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4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5.xml" ContentType="application/vnd.openxmlformats-officedocument.drawing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6.xml" ContentType="application/vnd.openxmlformats-officedocument.drawing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drawings/drawing19.xml" ContentType="application/vnd.openxmlformats-officedocument.drawing+xml"/>
  <Override PartName="/xl/charts/chart3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0.xml" ContentType="application/vnd.openxmlformats-officedocument.drawing+xml"/>
  <Override PartName="/xl/charts/chart3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6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7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sta\Documents\Consultorias\ICS ICCT\Dados Relatório 3\"/>
    </mc:Choice>
  </mc:AlternateContent>
  <xr:revisionPtr revIDLastSave="0" documentId="13_ncr:1_{30A95F18-EDE7-4160-9E43-E59913222B05}" xr6:coauthVersionLast="47" xr6:coauthVersionMax="47" xr10:uidLastSave="{00000000-0000-0000-0000-000000000000}"/>
  <bookViews>
    <workbookView xWindow="-96" yWindow="-96" windowWidth="23232" windowHeight="12432" tabRatio="932" firstSheet="2" activeTab="10" xr2:uid="{CC244D3C-0B28-4DD7-B1A9-6CEECE326E96}"/>
  </bookViews>
  <sheets>
    <sheet name="ABAC 2022" sheetId="43" state="hidden" r:id="rId1"/>
    <sheet name="Movimentacao de Conteineres" sheetId="1" r:id="rId2"/>
    <sheet name="Distancia Rodo" sheetId="2" r:id="rId3"/>
    <sheet name="Fatores Emissao" sheetId="5" r:id="rId4"/>
    <sheet name="Fatores Emissao (2)" sheetId="44" state="hidden" r:id="rId5"/>
    <sheet name="Cenarios" sheetId="23" r:id="rId6"/>
    <sheet name="Resumo Cenario Base" sheetId="20" r:id="rId7"/>
    <sheet name="Hidroviario Base C1" sheetId="17" r:id="rId8"/>
    <sheet name="Hidroviario C2" sheetId="29" r:id="rId9"/>
    <sheet name="Rodo Direto Base" sheetId="4" r:id="rId10"/>
    <sheet name="Rodo Direto C1" sheetId="27" r:id="rId11"/>
    <sheet name="Rodo Direto C2" sheetId="30" r:id="rId12"/>
    <sheet name="Rodo Cabotagem Base" sheetId="10" r:id="rId13"/>
    <sheet name="Rodo Cabotagem C1" sheetId="28" r:id="rId14"/>
    <sheet name="Rodo Cabotagem C2" sheetId="38" r:id="rId15"/>
    <sheet name="Depot Base C1" sheetId="11" r:id="rId16"/>
    <sheet name="Depot C2" sheetId="31" r:id="rId17"/>
    <sheet name="RTG Base C1" sheetId="12" r:id="rId18"/>
    <sheet name="RTG C2" sheetId="32" r:id="rId19"/>
    <sheet name="TT Base C1" sheetId="13" r:id="rId20"/>
    <sheet name="TT C2" sheetId="33" r:id="rId21"/>
    <sheet name="TC Total" sheetId="14" r:id="rId22"/>
    <sheet name="Navio Viagem Base C1" sheetId="15" r:id="rId23"/>
    <sheet name="Navio Viagem C2" sheetId="34" r:id="rId24"/>
    <sheet name="Navio Viagem C3" sheetId="40" r:id="rId25"/>
    <sheet name="Navio Viagem C4" sheetId="42" r:id="rId26"/>
    <sheet name="Navio Porto Base C1" sheetId="22" r:id="rId27"/>
    <sheet name="Navio Porto C2" sheetId="35" r:id="rId28"/>
    <sheet name="Navio Porto C3" sheetId="39" r:id="rId29"/>
    <sheet name="Navio Porto C4" sheetId="41" r:id="rId30"/>
    <sheet name="Praticagem e Rebocador Base C1" sheetId="16" r:id="rId31"/>
    <sheet name="Praticagem e Rebocador C2" sheetId="36" r:id="rId32"/>
    <sheet name="Cabotagem Total Base" sheetId="19" r:id="rId33"/>
    <sheet name="Cabotagem Total C1" sheetId="37" r:id="rId34"/>
    <sheet name="CabotageProforma_KAB01" sheetId="3" r:id="rId35"/>
    <sheet name="ContainerTerminalsBrazil" sheetId="25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xlnm._FilterDatabase" localSheetId="3" hidden="1">'Fatores Emissao'!$B$6:$J$7</definedName>
    <definedName name="_xlnm._FilterDatabase" localSheetId="4" hidden="1">'Fatores Emissao (2)'!$B$6:$J$26</definedName>
    <definedName name="_xlchart.v1.0" hidden="1">'Resumo Cenario Base'!$B$57:$B$62</definedName>
    <definedName name="_xlchart.v1.1" hidden="1">'Resumo Cenario Base'!$C$57:$C$62</definedName>
    <definedName name="A" localSheetId="34">#REF!</definedName>
    <definedName name="A" localSheetId="35">#REF!</definedName>
    <definedName name="A">#REF!</definedName>
    <definedName name="AA" localSheetId="34">#REF!</definedName>
    <definedName name="AA" localSheetId="35">#REF!</definedName>
    <definedName name="AA">#REF!</definedName>
    <definedName name="aaa" localSheetId="34">'[1]Sum Slots'!#REF!</definedName>
    <definedName name="aaa" localSheetId="35">'[1]Sum Slots'!#REF!</definedName>
    <definedName name="aaa">'[1]Sum Slots'!#REF!</definedName>
    <definedName name="AB" localSheetId="34">#REF!</definedName>
    <definedName name="AB" localSheetId="35">#REF!</definedName>
    <definedName name="AB">#REF!</definedName>
    <definedName name="ALL" localSheetId="34">#REF!</definedName>
    <definedName name="ALL" localSheetId="35">#REF!</definedName>
    <definedName name="ALL">#REF!</definedName>
    <definedName name="Allocations" localSheetId="34">#REF!</definedName>
    <definedName name="Allocations" localSheetId="35">#REF!</definedName>
    <definedName name="Allocations">#REF!</definedName>
    <definedName name="_xlnm.Print_Area" localSheetId="34">#REF!</definedName>
    <definedName name="_xlnm.Print_Area" localSheetId="35">#REF!</definedName>
    <definedName name="_xlnm.Print_Area">#REF!</definedName>
    <definedName name="AvgLegSpeed" localSheetId="34">#REF!</definedName>
    <definedName name="AvgLegSpeed" localSheetId="35">#REF!</definedName>
    <definedName name="AvgLegSpeed">#REF!</definedName>
    <definedName name="bBack" hidden="1">TRUE</definedName>
    <definedName name="bBackHomePage" hidden="1">TRUE</definedName>
    <definedName name="BottomCell">'[2]WBANZ '!$V$65535</definedName>
    <definedName name="bPreview" hidden="1">TRUE</definedName>
    <definedName name="bPrint" hidden="1">TRUE</definedName>
    <definedName name="BSA" localSheetId="34">#REF!</definedName>
    <definedName name="BSA" localSheetId="35">#REF!</definedName>
    <definedName name="BSA">#REF!</definedName>
    <definedName name="bunkers" localSheetId="34">#REF!</definedName>
    <definedName name="bunkers" localSheetId="35">#REF!</definedName>
    <definedName name="bunkers">#REF!</definedName>
    <definedName name="bZoom" hidden="1">FALSE</definedName>
    <definedName name="Capacities" localSheetId="34">#REF!</definedName>
    <definedName name="Capacities" localSheetId="35">#REF!</definedName>
    <definedName name="Capacities">#REF!</definedName>
    <definedName name="Capex" localSheetId="34">'[3]Slot Cost Comparison'!#REF!</definedName>
    <definedName name="Capex" localSheetId="35">'[3]Slot Cost Comparison'!#REF!</definedName>
    <definedName name="Capex">'[3]Slot Cost Comparison'!#REF!</definedName>
    <definedName name="Cntrs" localSheetId="34">#REF!</definedName>
    <definedName name="Cntrs" localSheetId="35">#REF!</definedName>
    <definedName name="Cntrs">#REF!</definedName>
    <definedName name="CopyToBlock" localSheetId="34">TopCell:BottomCell</definedName>
    <definedName name="CopyToBlock" localSheetId="35">TopCell:BottomCell</definedName>
    <definedName name="CopyToBlock">TopCell:BottomCell</definedName>
    <definedName name="cost">[4]Cost!$F$6:$G$41</definedName>
    <definedName name="dados_export">'[5]Login RE'!#REF!</definedName>
    <definedName name="date" localSheetId="34">#REF!</definedName>
    <definedName name="date" localSheetId="35">#REF!</definedName>
    <definedName name="date">#REF!</definedName>
    <definedName name="Days" localSheetId="34">#REF!</definedName>
    <definedName name="Days" localSheetId="35">#REF!</definedName>
    <definedName name="Days">#REF!</definedName>
    <definedName name="debotah" localSheetId="34">TopCell:BottomCell</definedName>
    <definedName name="debotah" localSheetId="35">TopCell:BottomCell</definedName>
    <definedName name="debotah">TopCell:BottomCell</definedName>
    <definedName name="DRFLMCS">'[6]Vessel Particulars'!$K$46</definedName>
    <definedName name="DWTLMCS">'[6]Vessel Particulars'!$K$41</definedName>
    <definedName name="DWTMED">[7]DATA!#REF!</definedName>
    <definedName name="EASTABOUT" localSheetId="34">#REF!</definedName>
    <definedName name="EASTABOUT" localSheetId="35">#REF!</definedName>
    <definedName name="EASTABOUT">#REF!</definedName>
    <definedName name="EBDirection" localSheetId="34">#REF!</definedName>
    <definedName name="EBDirection" localSheetId="35">#REF!</definedName>
    <definedName name="EBDirection">#REF!</definedName>
    <definedName name="EBSector" localSheetId="34">#REF!</definedName>
    <definedName name="EBSector" localSheetId="35">#REF!</definedName>
    <definedName name="EBSector">#REF!</definedName>
    <definedName name="fff" localSheetId="34">#REF!</definedName>
    <definedName name="fff" localSheetId="35">#REF!</definedName>
    <definedName name="fff">#REF!</definedName>
    <definedName name="_xlnm.Recorder" localSheetId="34">#REF!</definedName>
    <definedName name="_xlnm.Recorder" localSheetId="35">#REF!</definedName>
    <definedName name="_xlnm.Recorder">#REF!</definedName>
    <definedName name="LAO">'[8]Vessel Particulars'!$K$152</definedName>
    <definedName name="LegSpeed" localSheetId="34">#REF!</definedName>
    <definedName name="LegSpeed" localSheetId="35">#REF!</definedName>
    <definedName name="LegSpeed">#REF!</definedName>
    <definedName name="LOALMCS">'[6]Vessel Particulars'!$K$44</definedName>
    <definedName name="mailExport">'[5]Login RE'!#REF!</definedName>
    <definedName name="mailExportHeader">'[5]Login RE'!#REF!</definedName>
    <definedName name="moredetails" localSheetId="34">#REF!</definedName>
    <definedName name="moredetails" localSheetId="35">#REF!</definedName>
    <definedName name="moredetails">#REF!</definedName>
    <definedName name="planilha_0" localSheetId="35">'[5]Login RE'!#REF!</definedName>
    <definedName name="planilha_0">'[5]Login RE'!#REF!</definedName>
    <definedName name="planilhaExport" localSheetId="35">'[5]Login RE'!#REF!</definedName>
    <definedName name="planilhaExport">'[5]Login RE'!#REF!</definedName>
    <definedName name="port" localSheetId="34">#REF!</definedName>
    <definedName name="port" localSheetId="35">#REF!</definedName>
    <definedName name="port">#REF!</definedName>
    <definedName name="PortBunkerCost" localSheetId="34">#REF!</definedName>
    <definedName name="PortBunkerCost" localSheetId="35">#REF!</definedName>
    <definedName name="PortBunkerCost">#REF!</definedName>
    <definedName name="PortBunkerMt" localSheetId="34">#REF!</definedName>
    <definedName name="PortBunkerMt" localSheetId="35">#REF!</definedName>
    <definedName name="PortBunkerMt">#REF!</definedName>
    <definedName name="PortCopyColFirst" localSheetId="34">#REF!</definedName>
    <definedName name="PortCopyColFirst" localSheetId="35">#REF!</definedName>
    <definedName name="PortCopyColFirst">#REF!</definedName>
    <definedName name="PortCopyColLast" localSheetId="34">#REF!</definedName>
    <definedName name="PortCopyColLast" localSheetId="35">#REF!</definedName>
    <definedName name="PortCopyColLast">#REF!</definedName>
    <definedName name="PORTS" localSheetId="34">#REF!</definedName>
    <definedName name="PORTS" localSheetId="35">#REF!</definedName>
    <definedName name="PORTS">#REF!</definedName>
    <definedName name="POWER_USER_EXCEL_CHART_0020B6E3_E4B7_4CF1_977C_D4ADA2F5E7CD" localSheetId="33">'Cabotagem Total C1'!$B$14:$H$20</definedName>
    <definedName name="POWER_USER_EXCEL_CHART_0020B6E3_E4B7_4CF1_977C_D4ADA2F5E7CD">'Cabotagem Total Base'!$B$14:$H$20</definedName>
    <definedName name="POWER_USER_EXCEL_CHART_0B8D3DB3_8628_4C73_B2BD_8046A046FBEE" localSheetId="10">'Rodo Direto C1'!$B$72:$H$78</definedName>
    <definedName name="POWER_USER_EXCEL_CHART_0B8D3DB3_8628_4C73_B2BD_8046A046FBEE" localSheetId="11">'Rodo Direto C2'!$B$72:$H$78</definedName>
    <definedName name="POWER_USER_EXCEL_CHART_0B8D3DB3_8628_4C73_B2BD_8046A046FBEE">'Rodo Direto Base'!$B$72:$H$78</definedName>
    <definedName name="POWER_USER_EXCEL_CHART_0B9E44A9_8959_4E98_BFF1_93BFE1BEB124" localSheetId="10">'Rodo Direto C1'!$B$72:$H$78</definedName>
    <definedName name="POWER_USER_EXCEL_CHART_0B9E44A9_8959_4E98_BFF1_93BFE1BEB124" localSheetId="11">'Rodo Direto C2'!$B$72:$H$78</definedName>
    <definedName name="POWER_USER_EXCEL_CHART_0B9E44A9_8959_4E98_BFF1_93BFE1BEB124">'Rodo Direto Base'!$B$72:$H$78</definedName>
    <definedName name="POWER_USER_EXCEL_CHART_2573D74A_41D3_4F11_B668_FE873836DB76" localSheetId="15">'Depot Base C1'!$B$81:$H$87</definedName>
    <definedName name="POWER_USER_EXCEL_CHART_2573D74A_41D3_4F11_B668_FE873836DB76" localSheetId="16">'Depot C2'!$B$81:$H$87</definedName>
    <definedName name="POWER_USER_EXCEL_CHART_2573D74A_41D3_4F11_B668_FE873836DB76" localSheetId="12">'Rodo Cabotagem Base'!$B$71:$H$77</definedName>
    <definedName name="POWER_USER_EXCEL_CHART_2573D74A_41D3_4F11_B668_FE873836DB76" localSheetId="13">'Rodo Cabotagem C1'!$B$71:$H$77</definedName>
    <definedName name="POWER_USER_EXCEL_CHART_2573D74A_41D3_4F11_B668_FE873836DB76" localSheetId="14">'Rodo Cabotagem C2'!$B$71:$H$77</definedName>
    <definedName name="POWER_USER_EXCEL_CHART_2573D74A_41D3_4F11_B668_FE873836DB76" localSheetId="10">'Rodo Direto C1'!$B$72:$H$78</definedName>
    <definedName name="POWER_USER_EXCEL_CHART_2573D74A_41D3_4F11_B668_FE873836DB76" localSheetId="11">'Rodo Direto C2'!$B$72:$H$78</definedName>
    <definedName name="POWER_USER_EXCEL_CHART_2573D74A_41D3_4F11_B668_FE873836DB76" localSheetId="17">'RTG Base C1'!$B$81:$H$87</definedName>
    <definedName name="POWER_USER_EXCEL_CHART_2573D74A_41D3_4F11_B668_FE873836DB76" localSheetId="18">'RTG C2'!$B$81:$H$87</definedName>
    <definedName name="POWER_USER_EXCEL_CHART_2573D74A_41D3_4F11_B668_FE873836DB76" localSheetId="19">'TT Base C1'!$B$81:$H$87</definedName>
    <definedName name="POWER_USER_EXCEL_CHART_2573D74A_41D3_4F11_B668_FE873836DB76" localSheetId="20">'TT C2'!$B$81:$H$87</definedName>
    <definedName name="POWER_USER_EXCEL_CHART_2573D74A_41D3_4F11_B668_FE873836DB76">'Rodo Direto Base'!$B$72:$H$78</definedName>
    <definedName name="POWER_USER_EXCEL_CHART_2CAA31A4_4976_4E23_9073_5871B366D7F7" localSheetId="15">'Depot Base C1'!$B$82:$B$87,'Depot Base C1'!$I$82:$I$87</definedName>
    <definedName name="POWER_USER_EXCEL_CHART_2CAA31A4_4976_4E23_9073_5871B366D7F7" localSheetId="16">'Depot C2'!$B$82:$B$87,'Depot C2'!$I$82:$I$87</definedName>
    <definedName name="POWER_USER_EXCEL_CHART_2CAA31A4_4976_4E23_9073_5871B366D7F7" localSheetId="12">'Rodo Cabotagem Base'!$B$72:$B$77,'Rodo Cabotagem Base'!$I$72:$I$77</definedName>
    <definedName name="POWER_USER_EXCEL_CHART_2CAA31A4_4976_4E23_9073_5871B366D7F7" localSheetId="13">'Rodo Cabotagem C1'!$B$72:$B$77,'Rodo Cabotagem C1'!$I$72:$I$77</definedName>
    <definedName name="POWER_USER_EXCEL_CHART_2CAA31A4_4976_4E23_9073_5871B366D7F7" localSheetId="14">'Rodo Cabotagem C2'!$B$72:$B$77,'Rodo Cabotagem C2'!$I$72:$I$77</definedName>
    <definedName name="POWER_USER_EXCEL_CHART_2CAA31A4_4976_4E23_9073_5871B366D7F7" localSheetId="10">'Rodo Direto C1'!$B$73:$B$78,'Rodo Direto C1'!$I$73:$I$78</definedName>
    <definedName name="POWER_USER_EXCEL_CHART_2CAA31A4_4976_4E23_9073_5871B366D7F7" localSheetId="11">'Rodo Direto C2'!$B$73:$B$78,'Rodo Direto C2'!$I$73:$I$78</definedName>
    <definedName name="POWER_USER_EXCEL_CHART_2CAA31A4_4976_4E23_9073_5871B366D7F7" localSheetId="17">'RTG Base C1'!$B$82:$B$87,'RTG Base C1'!$I$82:$I$87</definedName>
    <definedName name="POWER_USER_EXCEL_CHART_2CAA31A4_4976_4E23_9073_5871B366D7F7" localSheetId="18">'RTG C2'!$B$82:$B$87,'RTG C2'!$I$82:$I$87</definedName>
    <definedName name="POWER_USER_EXCEL_CHART_2CAA31A4_4976_4E23_9073_5871B366D7F7" localSheetId="19">'TT Base C1'!$B$82:$B$87,'TT Base C1'!$I$82:$I$87</definedName>
    <definedName name="POWER_USER_EXCEL_CHART_2CAA31A4_4976_4E23_9073_5871B366D7F7" localSheetId="20">'TT C2'!$B$82:$B$87,'TT C2'!$I$82:$I$87</definedName>
    <definedName name="POWER_USER_EXCEL_CHART_2CAA31A4_4976_4E23_9073_5871B366D7F7">'Rodo Direto Base'!$B$73:$B$78,'Rodo Direto Base'!$I$73:$I$78</definedName>
    <definedName name="POWER_USER_EXCEL_CHART_A2FE93B4_1A0E_48EE_B9B3_BBBCFBDACC60" localSheetId="10">'Rodo Direto C1'!$B$72:$H$78</definedName>
    <definedName name="POWER_USER_EXCEL_CHART_A2FE93B4_1A0E_48EE_B9B3_BBBCFBDACC60" localSheetId="11">'Rodo Direto C2'!$B$72:$H$78</definedName>
    <definedName name="POWER_USER_EXCEL_CHART_A2FE93B4_1A0E_48EE_B9B3_BBBCFBDACC60">'Rodo Direto Base'!$B$72:$H$78</definedName>
    <definedName name="POWER_USER_EXCEL_CHART_A4C999C9_1A8D_4AF8_B487_5192759215FC" localSheetId="10">'Rodo Direto C1'!$B$72:$H$78</definedName>
    <definedName name="POWER_USER_EXCEL_CHART_A4C999C9_1A8D_4AF8_B487_5192759215FC" localSheetId="11">'Rodo Direto C2'!$B$72:$H$78</definedName>
    <definedName name="POWER_USER_EXCEL_CHART_A4C999C9_1A8D_4AF8_B487_5192759215FC">'Rodo Direto Base'!$B$72:$H$78</definedName>
    <definedName name="POWER_USER_EXCEL_CHART_B5174B4D_3B7A_4EBB_958E_A0AD28E3079F" localSheetId="33">'Cabotagem Total C1'!$B$14:$H$20</definedName>
    <definedName name="POWER_USER_EXCEL_CHART_B5174B4D_3B7A_4EBB_958E_A0AD28E3079F">'Cabotagem Total Base'!$B$14:$H$20</definedName>
    <definedName name="POWER_USER_EXCEL_CHART_B5E84B8D_B4FD_40E7_ABAA_701831660897" localSheetId="10">'Rodo Direto C1'!$B$72:$H$78</definedName>
    <definedName name="POWER_USER_EXCEL_CHART_B5E84B8D_B4FD_40E7_ABAA_701831660897" localSheetId="11">'Rodo Direto C2'!$B$72:$H$78</definedName>
    <definedName name="POWER_USER_EXCEL_CHART_B5E84B8D_B4FD_40E7_ABAA_701831660897">'Rodo Direto Base'!$B$72:$H$78</definedName>
    <definedName name="Priceperday" localSheetId="34">#REF!</definedName>
    <definedName name="Priceperday" localSheetId="35">#REF!</definedName>
    <definedName name="Priceperday">#REF!</definedName>
    <definedName name="Print_Area_MI">[9]PHASE1!$A$1:$X$56</definedName>
    <definedName name="Pro_ServicePlanName">[5]Proforma!#REF!</definedName>
    <definedName name="Provider" localSheetId="34">#REF!</definedName>
    <definedName name="Provider" localSheetId="35">#REF!</definedName>
    <definedName name="Provider">#REF!</definedName>
    <definedName name="ReeferIntensity" localSheetId="34">[5]Proforma!#REF!</definedName>
    <definedName name="ReeferIntensity" localSheetId="35">[5]Proforma!#REF!</definedName>
    <definedName name="ReeferIntensity">[5]Proforma!#REF!</definedName>
    <definedName name="ReeferTonsPerDayPer100Rf" localSheetId="34">#REF!</definedName>
    <definedName name="ReeferTonsPerDayPer100Rf" localSheetId="35">#REF!</definedName>
    <definedName name="ReeferTonsPerDayPer100Rf">#REF!</definedName>
    <definedName name="SailingDaysPerRoundTrip" localSheetId="34">'[3]Slot Cost Comparison'!#REF!</definedName>
    <definedName name="SailingDaysPerRoundTrip" localSheetId="35">'[3]Slot Cost Comparison'!#REF!</definedName>
    <definedName name="SailingDaysPerRoundTrip">'[3]Slot Cost Comparison'!#REF!</definedName>
    <definedName name="SCABunkerAdj" localSheetId="34">'[3]Slot Cost Comparison'!#REF!</definedName>
    <definedName name="SCABunkerAdj" localSheetId="35">'[3]Slot Cost Comparison'!#REF!</definedName>
    <definedName name="SCABunkerAdj">'[3]Slot Cost Comparison'!#REF!</definedName>
    <definedName name="SCABunkerPrice" localSheetId="34">'[3]Slot Cost Comparison'!#REF!</definedName>
    <definedName name="SCABunkerPrice">'[3]Slot Cost Comparison'!#REF!</definedName>
    <definedName name="SECTOR" localSheetId="34">#REF!</definedName>
    <definedName name="SECTOR" localSheetId="35">#REF!</definedName>
    <definedName name="SECTOR">#REF!</definedName>
    <definedName name="seriesExport" localSheetId="34">'[5]Login RE'!#REF!</definedName>
    <definedName name="seriesExport" localSheetId="35">'[5]Login RE'!#REF!</definedName>
    <definedName name="seriesExport">'[5]Login RE'!#REF!</definedName>
    <definedName name="ships">[4]Cost!$D$50:$H$73</definedName>
    <definedName name="solver_adj" localSheetId="34" hidden="1">CabotageProforma_KAB01!$AJ$21:$AJ$30</definedName>
    <definedName name="solver_cvg" localSheetId="34" hidden="1">"""""""""""""""0,0001"""""""""""""""</definedName>
    <definedName name="solver_drv" localSheetId="34" hidden="1">1</definedName>
    <definedName name="solver_eng" localSheetId="34" hidden="1">1</definedName>
    <definedName name="solver_est" localSheetId="34" hidden="1">1</definedName>
    <definedName name="solver_itr" localSheetId="34" hidden="1">2147483647</definedName>
    <definedName name="solver_lhs1" localSheetId="34" hidden="1">CabotageProforma_KAB01!$AJ$21:$AJ$30</definedName>
    <definedName name="solver_lhs2" localSheetId="34" hidden="1">CabotageProforma_KAB01!$D$11</definedName>
    <definedName name="solver_lhs3" localSheetId="34" hidden="1">CabotageProforma_KAB01!$D$11</definedName>
    <definedName name="solver_mip" localSheetId="34" hidden="1">2147483647</definedName>
    <definedName name="solver_mni" localSheetId="34" hidden="1">30</definedName>
    <definedName name="solver_mrt" localSheetId="34" hidden="1">"""""""""""""""0,075"""""""""""""""</definedName>
    <definedName name="solver_msl" localSheetId="34" hidden="1">2</definedName>
    <definedName name="solver_neg" localSheetId="34" hidden="1">1</definedName>
    <definedName name="solver_nod" localSheetId="34" hidden="1">2147483647</definedName>
    <definedName name="solver_num" localSheetId="34" hidden="1">2</definedName>
    <definedName name="solver_nwt" localSheetId="34" hidden="1">1</definedName>
    <definedName name="solver_opt" localSheetId="34" hidden="1">CabotageProforma_KAB01!$N$5</definedName>
    <definedName name="solver_pre" localSheetId="34" hidden="1">"""""""""""""""0,000001"""""""""""""""</definedName>
    <definedName name="solver_rbv" localSheetId="34" hidden="1">1</definedName>
    <definedName name="solver_rel1" localSheetId="34" hidden="1">1</definedName>
    <definedName name="solver_rel2" localSheetId="34" hidden="1">2</definedName>
    <definedName name="solver_rel3" localSheetId="34" hidden="1">2</definedName>
    <definedName name="solver_rhs1" localSheetId="34" hidden="1">CabotageProforma_KAB01!$J$6</definedName>
    <definedName name="solver_rhs2" localSheetId="34" hidden="1">CabotageProforma_KAB01!$C$13</definedName>
    <definedName name="solver_rhs3" localSheetId="34" hidden="1">28</definedName>
    <definedName name="solver_rlx" localSheetId="34" hidden="1">2</definedName>
    <definedName name="solver_rsd" localSheetId="34" hidden="1">0</definedName>
    <definedName name="solver_scl" localSheetId="34" hidden="1">1</definedName>
    <definedName name="solver_sho" localSheetId="34" hidden="1">2</definedName>
    <definedName name="solver_ssz" localSheetId="34" hidden="1">100</definedName>
    <definedName name="solver_tim" localSheetId="34" hidden="1">2147483647</definedName>
    <definedName name="solver_tol" localSheetId="34" hidden="1">1</definedName>
    <definedName name="solver_typ" localSheetId="34" hidden="1">2</definedName>
    <definedName name="solver_val" localSheetId="34" hidden="1">28</definedName>
    <definedName name="solver_ver" localSheetId="34" hidden="1">3</definedName>
    <definedName name="TAB" localSheetId="34">#REF!</definedName>
    <definedName name="TAB" localSheetId="35">#REF!</definedName>
    <definedName name="TAB">#REF!</definedName>
    <definedName name="TAB_AL" localSheetId="34">#REF!</definedName>
    <definedName name="TAB_AL" localSheetId="35">#REF!</definedName>
    <definedName name="TAB_AL">#REF!</definedName>
    <definedName name="TAB_BSA" localSheetId="34">#REF!</definedName>
    <definedName name="TAB_BSA" localSheetId="35">#REF!</definedName>
    <definedName name="TAB_BSA">#REF!</definedName>
    <definedName name="TAB_BSA1" localSheetId="34">#REF!</definedName>
    <definedName name="TAB_BSA1" localSheetId="35">#REF!</definedName>
    <definedName name="TAB_BSA1">#REF!</definedName>
    <definedName name="Tab_CBD" localSheetId="34">#REF!</definedName>
    <definedName name="Tab_CBD" localSheetId="35">#REF!</definedName>
    <definedName name="Tab_CBD">#REF!</definedName>
    <definedName name="TAB_HS" localSheetId="34">#REF!</definedName>
    <definedName name="TAB_HS" localSheetId="35">#REF!</definedName>
    <definedName name="TAB_HS">#REF!</definedName>
    <definedName name="TAB_IL">[10]BSA!$A$4:$N$10</definedName>
    <definedName name="TAB_LDATE" localSheetId="34">#REF!</definedName>
    <definedName name="TAB_LDATE" localSheetId="35">#REF!</definedName>
    <definedName name="TAB_LDATE">#REF!</definedName>
    <definedName name="TopCell">'[2]WBANZ '!$V$45</definedName>
    <definedName name="TOTAL" localSheetId="34">#REF!</definedName>
    <definedName name="TOTAL" localSheetId="35">#REF!</definedName>
    <definedName name="TOTAL">#REF!</definedName>
    <definedName name="TRGLMCS">'[6]Vessel Particulars'!$K$42</definedName>
    <definedName name="TRGMED">[7]DATA!#REF!</definedName>
    <definedName name="TRNMED">[7]DATA!#REF!</definedName>
    <definedName name="try" localSheetId="34">TopCell:BottomCell</definedName>
    <definedName name="try" localSheetId="35">TopCell:BottomCell</definedName>
    <definedName name="try">TopCell:BottomCell</definedName>
    <definedName name="unidadePlanilhaExport" localSheetId="34">'[5]Login RE'!#REF!</definedName>
    <definedName name="unidadePlanilhaExport" localSheetId="35">'[5]Login RE'!#REF!</definedName>
    <definedName name="unidadePlanilhaExport">'[5]Login RE'!#REF!</definedName>
    <definedName name="VESSELS">[11]Table!$A$3:$B$27</definedName>
    <definedName name="W" localSheetId="34">#REF!</definedName>
    <definedName name="W" localSheetId="35">#REF!</definedName>
    <definedName name="W">#REF!</definedName>
    <definedName name="WBDirection" localSheetId="34">#REF!</definedName>
    <definedName name="WBDirection" localSheetId="35">#REF!</definedName>
    <definedName name="WBDirection">#REF!</definedName>
    <definedName name="WBSector" localSheetId="34">#REF!</definedName>
    <definedName name="WBSector" localSheetId="35">#REF!</definedName>
    <definedName name="WBSector">#REF!</definedName>
    <definedName name="WESTABOUT" localSheetId="34">#REF!</definedName>
    <definedName name="WESTABOUT" localSheetId="35">#REF!</definedName>
    <definedName name="WESTABOUT">#REF!</definedName>
  </definedNames>
  <calcPr calcId="191029" iterate="1" iterateDelta="1.0000000000000001E-5"/>
  <pivotCaches>
    <pivotCache cacheId="0" r:id="rId4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27" l="1"/>
  <c r="G27" i="23" l="1"/>
  <c r="D27" i="23"/>
  <c r="D117" i="5"/>
  <c r="E117" i="5"/>
  <c r="D110" i="5"/>
  <c r="E110" i="5"/>
  <c r="D113" i="5"/>
  <c r="E113" i="5"/>
  <c r="C113" i="5"/>
  <c r="C110" i="5"/>
  <c r="H99" i="29"/>
  <c r="G99" i="29"/>
  <c r="H98" i="29"/>
  <c r="G98" i="29"/>
  <c r="H97" i="29"/>
  <c r="G97" i="29"/>
  <c r="F97" i="29"/>
  <c r="F96" i="29"/>
  <c r="E96" i="29"/>
  <c r="D96" i="29"/>
  <c r="F95" i="29"/>
  <c r="E95" i="29"/>
  <c r="D95" i="29"/>
  <c r="F94" i="29"/>
  <c r="C94" i="29"/>
  <c r="H24" i="29"/>
  <c r="G24" i="29"/>
  <c r="F24" i="29"/>
  <c r="E24" i="29"/>
  <c r="D24" i="29"/>
  <c r="C24" i="29"/>
  <c r="I24" i="29" s="1"/>
  <c r="H23" i="29"/>
  <c r="G23" i="29"/>
  <c r="F23" i="29"/>
  <c r="E23" i="29"/>
  <c r="D23" i="29"/>
  <c r="C23" i="29"/>
  <c r="H22" i="29"/>
  <c r="G22" i="29"/>
  <c r="F22" i="29"/>
  <c r="E22" i="29"/>
  <c r="D22" i="29"/>
  <c r="C22" i="29"/>
  <c r="I22" i="29" s="1"/>
  <c r="H21" i="29"/>
  <c r="G21" i="29"/>
  <c r="F21" i="29"/>
  <c r="E21" i="29"/>
  <c r="D21" i="29"/>
  <c r="C21" i="29"/>
  <c r="I21" i="29" s="1"/>
  <c r="H20" i="29"/>
  <c r="G20" i="29"/>
  <c r="F20" i="29"/>
  <c r="E20" i="29"/>
  <c r="D20" i="29"/>
  <c r="I20" i="29" s="1"/>
  <c r="C20" i="29"/>
  <c r="H19" i="29"/>
  <c r="G19" i="29"/>
  <c r="F19" i="29"/>
  <c r="F25" i="29" s="1"/>
  <c r="E19" i="29"/>
  <c r="E25" i="29" s="1"/>
  <c r="D19" i="29"/>
  <c r="C19" i="29"/>
  <c r="H99" i="17"/>
  <c r="H9" i="20" s="1"/>
  <c r="H39" i="20" s="1"/>
  <c r="G99" i="17"/>
  <c r="G9" i="20" s="1"/>
  <c r="G39" i="20" s="1"/>
  <c r="H98" i="17"/>
  <c r="H8" i="20" s="1"/>
  <c r="H38" i="20" s="1"/>
  <c r="G98" i="17"/>
  <c r="G8" i="20" s="1"/>
  <c r="G38" i="20" s="1"/>
  <c r="H97" i="17"/>
  <c r="H7" i="20" s="1"/>
  <c r="H37" i="20" s="1"/>
  <c r="G97" i="17"/>
  <c r="G7" i="20" s="1"/>
  <c r="G37" i="20" s="1"/>
  <c r="F97" i="17"/>
  <c r="F7" i="20" s="1"/>
  <c r="F37" i="20" s="1"/>
  <c r="F96" i="17"/>
  <c r="F6" i="20" s="1"/>
  <c r="F36" i="20" s="1"/>
  <c r="E96" i="17"/>
  <c r="E6" i="20" s="1"/>
  <c r="E36" i="20" s="1"/>
  <c r="D96" i="17"/>
  <c r="D6" i="20" s="1"/>
  <c r="D36" i="20" s="1"/>
  <c r="F95" i="17"/>
  <c r="F5" i="20" s="1"/>
  <c r="F35" i="20" s="1"/>
  <c r="E95" i="17"/>
  <c r="E5" i="20" s="1"/>
  <c r="E35" i="20" s="1"/>
  <c r="D95" i="17"/>
  <c r="D5" i="20" s="1"/>
  <c r="D35" i="20" s="1"/>
  <c r="F94" i="17"/>
  <c r="F4" i="20" s="1"/>
  <c r="F34" i="20" s="1"/>
  <c r="C94" i="17"/>
  <c r="C4" i="20" s="1"/>
  <c r="C34" i="20" s="1"/>
  <c r="H24" i="17"/>
  <c r="I24" i="17" s="1"/>
  <c r="G24" i="17"/>
  <c r="F24" i="17"/>
  <c r="E24" i="17"/>
  <c r="D24" i="17"/>
  <c r="C24" i="17"/>
  <c r="H23" i="17"/>
  <c r="G23" i="17"/>
  <c r="F23" i="17"/>
  <c r="E23" i="17"/>
  <c r="D23" i="17"/>
  <c r="C23" i="17"/>
  <c r="H22" i="17"/>
  <c r="G22" i="17"/>
  <c r="F22" i="17"/>
  <c r="E22" i="17"/>
  <c r="D22" i="17"/>
  <c r="C22" i="17"/>
  <c r="I22" i="17" s="1"/>
  <c r="H21" i="17"/>
  <c r="G21" i="17"/>
  <c r="F21" i="17"/>
  <c r="E21" i="17"/>
  <c r="D21" i="17"/>
  <c r="C21" i="17"/>
  <c r="I21" i="17" s="1"/>
  <c r="H20" i="17"/>
  <c r="G20" i="17"/>
  <c r="F20" i="17"/>
  <c r="E20" i="17"/>
  <c r="D20" i="17"/>
  <c r="C20" i="17"/>
  <c r="I20" i="17" s="1"/>
  <c r="H19" i="17"/>
  <c r="H25" i="17" s="1"/>
  <c r="G19" i="17"/>
  <c r="F19" i="17"/>
  <c r="F25" i="17" s="1"/>
  <c r="E19" i="17"/>
  <c r="E25" i="17" s="1"/>
  <c r="D19" i="17"/>
  <c r="D25" i="17" s="1"/>
  <c r="C19" i="17"/>
  <c r="G25" i="17"/>
  <c r="I23" i="17"/>
  <c r="E31" i="17"/>
  <c r="F33" i="17" s="1"/>
  <c r="C69" i="29"/>
  <c r="C68" i="29"/>
  <c r="C67" i="29"/>
  <c r="C68" i="17"/>
  <c r="C69" i="17"/>
  <c r="C67" i="17"/>
  <c r="G77" i="17" l="1"/>
  <c r="C34" i="17"/>
  <c r="E33" i="17"/>
  <c r="C37" i="17"/>
  <c r="C36" i="17"/>
  <c r="C35" i="17"/>
  <c r="H78" i="17"/>
  <c r="D33" i="17"/>
  <c r="C38" i="17"/>
  <c r="H33" i="17"/>
  <c r="G33" i="17"/>
  <c r="I23" i="29"/>
  <c r="G25" i="29"/>
  <c r="C25" i="29"/>
  <c r="H25" i="29"/>
  <c r="D25" i="29"/>
  <c r="I19" i="29"/>
  <c r="C25" i="17"/>
  <c r="D74" i="17"/>
  <c r="E75" i="17"/>
  <c r="F76" i="17"/>
  <c r="I19" i="17"/>
  <c r="I25" i="17" s="1"/>
  <c r="C73" i="17"/>
  <c r="C73" i="29"/>
  <c r="E75" i="29"/>
  <c r="H78" i="29"/>
  <c r="D74" i="29"/>
  <c r="G77" i="29"/>
  <c r="F76" i="29"/>
  <c r="L7" i="5"/>
  <c r="E106" i="44"/>
  <c r="D106" i="44"/>
  <c r="C106" i="44"/>
  <c r="H105" i="44"/>
  <c r="E98" i="44" s="1"/>
  <c r="H103" i="44"/>
  <c r="D98" i="44" s="1"/>
  <c r="E102" i="44"/>
  <c r="D102" i="44"/>
  <c r="C102" i="44"/>
  <c r="H101" i="44"/>
  <c r="C98" i="44"/>
  <c r="C90" i="44"/>
  <c r="L82" i="44"/>
  <c r="K82" i="44"/>
  <c r="J82" i="44"/>
  <c r="I82" i="44"/>
  <c r="H82" i="44"/>
  <c r="G82" i="44"/>
  <c r="F82" i="44"/>
  <c r="E82" i="44"/>
  <c r="D82" i="44"/>
  <c r="C82" i="44"/>
  <c r="L81" i="44"/>
  <c r="K81" i="44"/>
  <c r="J81" i="44"/>
  <c r="I81" i="44"/>
  <c r="H81" i="44"/>
  <c r="G81" i="44"/>
  <c r="F81" i="44"/>
  <c r="E81" i="44"/>
  <c r="D81" i="44"/>
  <c r="C81" i="44"/>
  <c r="E35" i="44"/>
  <c r="D35" i="44"/>
  <c r="C35" i="44"/>
  <c r="L21" i="44"/>
  <c r="I25" i="29" l="1"/>
  <c r="C17" i="43"/>
  <c r="C16" i="43"/>
  <c r="C15" i="43"/>
  <c r="C10" i="43"/>
  <c r="D10" i="43"/>
  <c r="E10" i="43"/>
  <c r="F10" i="43"/>
  <c r="G10" i="43"/>
  <c r="H10" i="43"/>
  <c r="I10" i="43"/>
  <c r="J10" i="43"/>
  <c r="K10" i="43"/>
  <c r="L10" i="43"/>
  <c r="M10" i="43"/>
  <c r="D9" i="43"/>
  <c r="E9" i="43"/>
  <c r="F9" i="43"/>
  <c r="G9" i="43"/>
  <c r="H9" i="43"/>
  <c r="I9" i="43"/>
  <c r="J9" i="43"/>
  <c r="K9" i="43"/>
  <c r="L9" i="43"/>
  <c r="M9" i="43"/>
  <c r="C9" i="43"/>
  <c r="D16" i="43"/>
  <c r="E16" i="43"/>
  <c r="F16" i="43"/>
  <c r="G16" i="43"/>
  <c r="H16" i="43"/>
  <c r="I16" i="43"/>
  <c r="J16" i="43"/>
  <c r="K16" i="43"/>
  <c r="L16" i="43"/>
  <c r="M16" i="43"/>
  <c r="D15" i="43"/>
  <c r="E15" i="43"/>
  <c r="F15" i="43"/>
  <c r="G15" i="43"/>
  <c r="H15" i="43"/>
  <c r="I15" i="43"/>
  <c r="J15" i="43"/>
  <c r="K15" i="43"/>
  <c r="L15" i="43"/>
  <c r="M15" i="43"/>
  <c r="N16" i="43"/>
  <c r="N15" i="43"/>
  <c r="D6" i="43"/>
  <c r="E6" i="43"/>
  <c r="D11" i="43" s="1"/>
  <c r="F6" i="43"/>
  <c r="G6" i="43"/>
  <c r="H6" i="43"/>
  <c r="I6" i="43"/>
  <c r="J6" i="43"/>
  <c r="I11" i="43" s="1"/>
  <c r="K6" i="43"/>
  <c r="L6" i="43"/>
  <c r="M6" i="43"/>
  <c r="N6" i="43"/>
  <c r="C6" i="43"/>
  <c r="F9" i="36"/>
  <c r="E9" i="36"/>
  <c r="E11" i="36" s="1"/>
  <c r="D5" i="33"/>
  <c r="D7" i="32"/>
  <c r="D5" i="31"/>
  <c r="D7" i="31" s="1"/>
  <c r="C17" i="5"/>
  <c r="C84" i="5"/>
  <c r="C114" i="5" s="1"/>
  <c r="H26" i="14"/>
  <c r="G26" i="14"/>
  <c r="H25" i="14"/>
  <c r="G25" i="14"/>
  <c r="H24" i="14"/>
  <c r="G24" i="14"/>
  <c r="F24" i="14"/>
  <c r="F23" i="14"/>
  <c r="E23" i="14"/>
  <c r="D23" i="14"/>
  <c r="F22" i="14"/>
  <c r="E22" i="14"/>
  <c r="D22" i="14"/>
  <c r="F21" i="14"/>
  <c r="C21" i="14"/>
  <c r="D7" i="11"/>
  <c r="C31" i="31"/>
  <c r="C88" i="5"/>
  <c r="D17" i="5"/>
  <c r="D19" i="42"/>
  <c r="E19" i="42"/>
  <c r="C19" i="42"/>
  <c r="F8" i="42"/>
  <c r="F9" i="42"/>
  <c r="F10" i="42"/>
  <c r="F11" i="42"/>
  <c r="F12" i="42"/>
  <c r="F13" i="42"/>
  <c r="F14" i="42"/>
  <c r="F7" i="42"/>
  <c r="F8" i="40"/>
  <c r="F9" i="40"/>
  <c r="F10" i="40"/>
  <c r="F11" i="40"/>
  <c r="F12" i="40"/>
  <c r="F13" i="40"/>
  <c r="F14" i="40"/>
  <c r="F7" i="40"/>
  <c r="E8" i="42"/>
  <c r="E9" i="42"/>
  <c r="E10" i="42"/>
  <c r="E11" i="42"/>
  <c r="E12" i="42"/>
  <c r="E13" i="42"/>
  <c r="E14" i="42"/>
  <c r="E7" i="42"/>
  <c r="F185" i="42"/>
  <c r="E185" i="42"/>
  <c r="D185" i="42"/>
  <c r="C185" i="42"/>
  <c r="Q184" i="42"/>
  <c r="P184" i="42"/>
  <c r="O184" i="42"/>
  <c r="N184" i="42"/>
  <c r="M184" i="42"/>
  <c r="L184" i="42"/>
  <c r="I184" i="42"/>
  <c r="Q183" i="42"/>
  <c r="P183" i="42"/>
  <c r="O183" i="42"/>
  <c r="N183" i="42"/>
  <c r="M183" i="42"/>
  <c r="L183" i="42"/>
  <c r="I183" i="42"/>
  <c r="Q182" i="42"/>
  <c r="P182" i="42"/>
  <c r="O182" i="42"/>
  <c r="N182" i="42"/>
  <c r="M182" i="42"/>
  <c r="L182" i="42"/>
  <c r="I182" i="42"/>
  <c r="O181" i="42"/>
  <c r="N181" i="42"/>
  <c r="M181" i="42"/>
  <c r="L181" i="42"/>
  <c r="O180" i="42"/>
  <c r="N180" i="42"/>
  <c r="M180" i="42"/>
  <c r="L180" i="42"/>
  <c r="O179" i="42"/>
  <c r="N179" i="42"/>
  <c r="M179" i="42"/>
  <c r="L179" i="42"/>
  <c r="D177" i="42"/>
  <c r="M177" i="42" s="1"/>
  <c r="C177" i="42"/>
  <c r="L177" i="42" s="1"/>
  <c r="E174" i="42"/>
  <c r="E173" i="42"/>
  <c r="E172" i="42"/>
  <c r="D166" i="42"/>
  <c r="C166" i="42"/>
  <c r="Q165" i="42"/>
  <c r="P165" i="42"/>
  <c r="O165" i="42"/>
  <c r="N165" i="42"/>
  <c r="M165" i="42"/>
  <c r="L165" i="42"/>
  <c r="I165" i="42"/>
  <c r="Q164" i="42"/>
  <c r="P164" i="42"/>
  <c r="O164" i="42"/>
  <c r="N164" i="42"/>
  <c r="M164" i="42"/>
  <c r="L164" i="42"/>
  <c r="I164" i="42"/>
  <c r="Q163" i="42"/>
  <c r="P163" i="42"/>
  <c r="O163" i="42"/>
  <c r="N163" i="42"/>
  <c r="M163" i="42"/>
  <c r="L163" i="42"/>
  <c r="I163" i="42"/>
  <c r="Q162" i="42"/>
  <c r="P162" i="42"/>
  <c r="O162" i="42"/>
  <c r="N162" i="42"/>
  <c r="M162" i="42"/>
  <c r="L162" i="42"/>
  <c r="I162" i="42"/>
  <c r="M161" i="42"/>
  <c r="L161" i="42"/>
  <c r="M160" i="42"/>
  <c r="L160" i="42"/>
  <c r="M158" i="42"/>
  <c r="D158" i="42"/>
  <c r="C158" i="42"/>
  <c r="L158" i="42" s="1"/>
  <c r="E155" i="42"/>
  <c r="E154" i="42"/>
  <c r="E153" i="42"/>
  <c r="Q146" i="42"/>
  <c r="P146" i="42"/>
  <c r="O146" i="42"/>
  <c r="N146" i="42"/>
  <c r="M146" i="42"/>
  <c r="L146" i="42"/>
  <c r="I146" i="42"/>
  <c r="Q145" i="42"/>
  <c r="P145" i="42"/>
  <c r="O145" i="42"/>
  <c r="N145" i="42"/>
  <c r="M145" i="42"/>
  <c r="L145" i="42"/>
  <c r="I145" i="42"/>
  <c r="Q144" i="42"/>
  <c r="P144" i="42"/>
  <c r="O144" i="42"/>
  <c r="N144" i="42"/>
  <c r="M144" i="42"/>
  <c r="L144" i="42"/>
  <c r="I144" i="42"/>
  <c r="Q143" i="42"/>
  <c r="P143" i="42"/>
  <c r="O143" i="42"/>
  <c r="N143" i="42"/>
  <c r="M143" i="42"/>
  <c r="L143" i="42"/>
  <c r="I143" i="42"/>
  <c r="Q142" i="42"/>
  <c r="P142" i="42"/>
  <c r="O142" i="42"/>
  <c r="N142" i="42"/>
  <c r="M142" i="42"/>
  <c r="L142" i="42"/>
  <c r="I142" i="42"/>
  <c r="D139" i="42"/>
  <c r="M139" i="42" s="1"/>
  <c r="C139" i="42"/>
  <c r="L139" i="42" s="1"/>
  <c r="E136" i="42"/>
  <c r="E135" i="42"/>
  <c r="E134" i="42"/>
  <c r="H128" i="42"/>
  <c r="G128" i="42"/>
  <c r="F128" i="42"/>
  <c r="E128" i="42"/>
  <c r="D128" i="42"/>
  <c r="Q127" i="42"/>
  <c r="P127" i="42"/>
  <c r="O127" i="42"/>
  <c r="N127" i="42"/>
  <c r="M127" i="42"/>
  <c r="Q126" i="42"/>
  <c r="P126" i="42"/>
  <c r="O126" i="42"/>
  <c r="N126" i="42"/>
  <c r="M126" i="42"/>
  <c r="Q125" i="42"/>
  <c r="P125" i="42"/>
  <c r="O125" i="42"/>
  <c r="N125" i="42"/>
  <c r="M125" i="42"/>
  <c r="Q124" i="42"/>
  <c r="P124" i="42"/>
  <c r="O124" i="42"/>
  <c r="N124" i="42"/>
  <c r="M124" i="42"/>
  <c r="Q123" i="42"/>
  <c r="P123" i="42"/>
  <c r="O123" i="42"/>
  <c r="N123" i="42"/>
  <c r="M123" i="42"/>
  <c r="Q122" i="42"/>
  <c r="P122" i="42"/>
  <c r="O122" i="42"/>
  <c r="N122" i="42"/>
  <c r="M122" i="42"/>
  <c r="L122" i="42"/>
  <c r="I122" i="42"/>
  <c r="D120" i="42"/>
  <c r="M120" i="42" s="1"/>
  <c r="C120" i="42"/>
  <c r="L120" i="42" s="1"/>
  <c r="E117" i="42"/>
  <c r="E116" i="42"/>
  <c r="E115" i="42"/>
  <c r="H109" i="42"/>
  <c r="G109" i="42"/>
  <c r="F109" i="42"/>
  <c r="E109" i="42"/>
  <c r="Q108" i="42"/>
  <c r="P108" i="42"/>
  <c r="O108" i="42"/>
  <c r="N108" i="42"/>
  <c r="Q107" i="42"/>
  <c r="P107" i="42"/>
  <c r="O107" i="42"/>
  <c r="N107" i="42"/>
  <c r="Q106" i="42"/>
  <c r="P106" i="42"/>
  <c r="O106" i="42"/>
  <c r="N106" i="42"/>
  <c r="Q105" i="42"/>
  <c r="P105" i="42"/>
  <c r="O105" i="42"/>
  <c r="N105" i="42"/>
  <c r="Q104" i="42"/>
  <c r="P104" i="42"/>
  <c r="O104" i="42"/>
  <c r="N104" i="42"/>
  <c r="M104" i="42"/>
  <c r="L104" i="42"/>
  <c r="I104" i="42"/>
  <c r="Q103" i="42"/>
  <c r="P103" i="42"/>
  <c r="O103" i="42"/>
  <c r="N103" i="42"/>
  <c r="M103" i="42"/>
  <c r="L103" i="42"/>
  <c r="I103" i="42"/>
  <c r="D101" i="42"/>
  <c r="M101" i="42" s="1"/>
  <c r="C101" i="42"/>
  <c r="L101" i="42" s="1"/>
  <c r="E98" i="42"/>
  <c r="E97" i="42"/>
  <c r="E96" i="42"/>
  <c r="H90" i="42"/>
  <c r="G90" i="42"/>
  <c r="F90" i="42"/>
  <c r="Q89" i="42"/>
  <c r="P89" i="42"/>
  <c r="O89" i="42"/>
  <c r="Q88" i="42"/>
  <c r="P88" i="42"/>
  <c r="O88" i="42"/>
  <c r="Q87" i="42"/>
  <c r="P87" i="42"/>
  <c r="O87" i="42"/>
  <c r="Q86" i="42"/>
  <c r="P86" i="42"/>
  <c r="O86" i="42"/>
  <c r="N86" i="42"/>
  <c r="M86" i="42"/>
  <c r="L86" i="42"/>
  <c r="I86" i="42"/>
  <c r="Q85" i="42"/>
  <c r="P85" i="42"/>
  <c r="O85" i="42"/>
  <c r="N85" i="42"/>
  <c r="M85" i="42"/>
  <c r="L85" i="42"/>
  <c r="I85" i="42"/>
  <c r="Q84" i="42"/>
  <c r="P84" i="42"/>
  <c r="O84" i="42"/>
  <c r="N84" i="42"/>
  <c r="M84" i="42"/>
  <c r="L84" i="42"/>
  <c r="I84" i="42"/>
  <c r="D82" i="42"/>
  <c r="M82" i="42" s="1"/>
  <c r="C82" i="42"/>
  <c r="L82" i="42" s="1"/>
  <c r="E79" i="42"/>
  <c r="E78" i="42"/>
  <c r="E77" i="42"/>
  <c r="Q68" i="42"/>
  <c r="P68" i="42"/>
  <c r="O68" i="42"/>
  <c r="N68" i="42"/>
  <c r="M68" i="42"/>
  <c r="L68" i="42"/>
  <c r="I68" i="42"/>
  <c r="Q67" i="42"/>
  <c r="P67" i="42"/>
  <c r="O67" i="42"/>
  <c r="N67" i="42"/>
  <c r="M67" i="42"/>
  <c r="L67" i="42"/>
  <c r="I67" i="42"/>
  <c r="Q66" i="42"/>
  <c r="P66" i="42"/>
  <c r="O66" i="42"/>
  <c r="N66" i="42"/>
  <c r="M66" i="42"/>
  <c r="L66" i="42"/>
  <c r="I66" i="42"/>
  <c r="Q65" i="42"/>
  <c r="P65" i="42"/>
  <c r="O65" i="42"/>
  <c r="N65" i="42"/>
  <c r="M65" i="42"/>
  <c r="L65" i="42"/>
  <c r="I65" i="42"/>
  <c r="D63" i="42"/>
  <c r="M63" i="42" s="1"/>
  <c r="C63" i="42"/>
  <c r="L63" i="42" s="1"/>
  <c r="E60" i="42"/>
  <c r="E59" i="42"/>
  <c r="E58" i="42"/>
  <c r="Q50" i="42"/>
  <c r="O50" i="42"/>
  <c r="N50" i="42"/>
  <c r="M50" i="42"/>
  <c r="L50" i="42"/>
  <c r="Q49" i="42"/>
  <c r="O49" i="42"/>
  <c r="N49" i="42"/>
  <c r="M49" i="42"/>
  <c r="L49" i="42"/>
  <c r="Q48" i="42"/>
  <c r="O48" i="42"/>
  <c r="N48" i="42"/>
  <c r="M48" i="42"/>
  <c r="L48" i="42"/>
  <c r="Q47" i="42"/>
  <c r="O47" i="42"/>
  <c r="N47" i="42"/>
  <c r="M47" i="42"/>
  <c r="L47" i="42"/>
  <c r="Q46" i="42"/>
  <c r="O46" i="42"/>
  <c r="N46" i="42"/>
  <c r="M46" i="42"/>
  <c r="L46" i="42"/>
  <c r="L44" i="42"/>
  <c r="D44" i="42"/>
  <c r="M44" i="42" s="1"/>
  <c r="C44" i="42"/>
  <c r="E41" i="42"/>
  <c r="E40" i="42"/>
  <c r="E39" i="42"/>
  <c r="H33" i="42"/>
  <c r="H51" i="42" s="1"/>
  <c r="G33" i="42"/>
  <c r="G70" i="42" s="1"/>
  <c r="P70" i="42" s="1"/>
  <c r="F33" i="42"/>
  <c r="F51" i="42" s="1"/>
  <c r="E33" i="42"/>
  <c r="E89" i="42" s="1"/>
  <c r="D33" i="42"/>
  <c r="D108" i="42" s="1"/>
  <c r="C33" i="42"/>
  <c r="C70" i="42" s="1"/>
  <c r="H32" i="42"/>
  <c r="H69" i="42" s="1"/>
  <c r="Q69" i="42" s="1"/>
  <c r="G32" i="42"/>
  <c r="G50" i="42" s="1"/>
  <c r="F32" i="42"/>
  <c r="F69" i="42" s="1"/>
  <c r="E32" i="42"/>
  <c r="E69" i="42" s="1"/>
  <c r="D32" i="42"/>
  <c r="D107" i="42" s="1"/>
  <c r="C32" i="42"/>
  <c r="C126" i="42" s="1"/>
  <c r="H31" i="42"/>
  <c r="G31" i="42"/>
  <c r="G49" i="42" s="1"/>
  <c r="P49" i="42" s="1"/>
  <c r="F31" i="42"/>
  <c r="E31" i="42"/>
  <c r="E87" i="42" s="1"/>
  <c r="D31" i="42"/>
  <c r="D87" i="42" s="1"/>
  <c r="C31" i="42"/>
  <c r="C87" i="42" s="1"/>
  <c r="H30" i="42"/>
  <c r="H181" i="42" s="1"/>
  <c r="G30" i="42"/>
  <c r="G181" i="42" s="1"/>
  <c r="F30" i="42"/>
  <c r="E30" i="42"/>
  <c r="D30" i="42"/>
  <c r="D105" i="42" s="1"/>
  <c r="C30" i="42"/>
  <c r="H29" i="42"/>
  <c r="H161" i="42" s="1"/>
  <c r="G29" i="42"/>
  <c r="G161" i="42" s="1"/>
  <c r="F29" i="42"/>
  <c r="F161" i="42" s="1"/>
  <c r="O161" i="42" s="1"/>
  <c r="E29" i="42"/>
  <c r="E161" i="42" s="1"/>
  <c r="N161" i="42" s="1"/>
  <c r="D29" i="42"/>
  <c r="C29" i="42"/>
  <c r="C123" i="42" s="1"/>
  <c r="H28" i="42"/>
  <c r="H141" i="42" s="1"/>
  <c r="G28" i="42"/>
  <c r="G46" i="42" s="1"/>
  <c r="F28" i="42"/>
  <c r="F141" i="42" s="1"/>
  <c r="E28" i="42"/>
  <c r="E141" i="42" s="1"/>
  <c r="D28" i="42"/>
  <c r="D141" i="42" s="1"/>
  <c r="C28" i="42"/>
  <c r="C141" i="42" s="1"/>
  <c r="D14" i="42"/>
  <c r="D13" i="42"/>
  <c r="D12" i="42"/>
  <c r="D11" i="42"/>
  <c r="D10" i="42"/>
  <c r="D9" i="42"/>
  <c r="D8" i="42"/>
  <c r="D7" i="42"/>
  <c r="D19" i="41"/>
  <c r="E19" i="41"/>
  <c r="C19" i="41"/>
  <c r="D8" i="41"/>
  <c r="D9" i="41"/>
  <c r="D10" i="41"/>
  <c r="D11" i="41"/>
  <c r="D12" i="41"/>
  <c r="D13" i="41"/>
  <c r="D14" i="41"/>
  <c r="D7" i="41"/>
  <c r="D185" i="41"/>
  <c r="C185" i="41"/>
  <c r="Q184" i="41"/>
  <c r="P184" i="41"/>
  <c r="O184" i="41"/>
  <c r="N184" i="41"/>
  <c r="M184" i="41"/>
  <c r="L184" i="41"/>
  <c r="I184" i="41"/>
  <c r="Q183" i="41"/>
  <c r="P183" i="41"/>
  <c r="O183" i="41"/>
  <c r="N183" i="41"/>
  <c r="M183" i="41"/>
  <c r="L183" i="41"/>
  <c r="I183" i="41"/>
  <c r="Q182" i="41"/>
  <c r="P182" i="41"/>
  <c r="O182" i="41"/>
  <c r="N182" i="41"/>
  <c r="M182" i="41"/>
  <c r="L182" i="41"/>
  <c r="I182" i="41"/>
  <c r="M181" i="41"/>
  <c r="L181" i="41"/>
  <c r="M180" i="41"/>
  <c r="L180" i="41"/>
  <c r="M179" i="41"/>
  <c r="L179" i="41"/>
  <c r="C177" i="41"/>
  <c r="L177" i="41" s="1"/>
  <c r="E174" i="41"/>
  <c r="E173" i="41"/>
  <c r="E172" i="41"/>
  <c r="C166" i="41"/>
  <c r="Q165" i="41"/>
  <c r="P165" i="41"/>
  <c r="O165" i="41"/>
  <c r="N165" i="41"/>
  <c r="M165" i="41"/>
  <c r="L165" i="41"/>
  <c r="I165" i="41"/>
  <c r="Q164" i="41"/>
  <c r="P164" i="41"/>
  <c r="O164" i="41"/>
  <c r="N164" i="41"/>
  <c r="M164" i="41"/>
  <c r="L164" i="41"/>
  <c r="I164" i="41"/>
  <c r="Q163" i="41"/>
  <c r="P163" i="41"/>
  <c r="O163" i="41"/>
  <c r="N163" i="41"/>
  <c r="M163" i="41"/>
  <c r="L163" i="41"/>
  <c r="I163" i="41"/>
  <c r="Q162" i="41"/>
  <c r="P162" i="41"/>
  <c r="O162" i="41"/>
  <c r="N162" i="41"/>
  <c r="M162" i="41"/>
  <c r="L162" i="41"/>
  <c r="I162" i="41"/>
  <c r="L161" i="41"/>
  <c r="L160" i="41"/>
  <c r="C158" i="41"/>
  <c r="L158" i="41" s="1"/>
  <c r="E155" i="41"/>
  <c r="E154" i="41"/>
  <c r="E153" i="41"/>
  <c r="Q146" i="41"/>
  <c r="P146" i="41"/>
  <c r="O146" i="41"/>
  <c r="N146" i="41"/>
  <c r="M146" i="41"/>
  <c r="Q145" i="41"/>
  <c r="P145" i="41"/>
  <c r="O145" i="41"/>
  <c r="N145" i="41"/>
  <c r="M145" i="41"/>
  <c r="Q144" i="41"/>
  <c r="P144" i="41"/>
  <c r="O144" i="41"/>
  <c r="N144" i="41"/>
  <c r="M144" i="41"/>
  <c r="Q143" i="41"/>
  <c r="P143" i="41"/>
  <c r="O143" i="41"/>
  <c r="N143" i="41"/>
  <c r="M143" i="41"/>
  <c r="Q142" i="41"/>
  <c r="P142" i="41"/>
  <c r="O142" i="41"/>
  <c r="N142" i="41"/>
  <c r="M142" i="41"/>
  <c r="C139" i="41"/>
  <c r="L139" i="41" s="1"/>
  <c r="E136" i="41"/>
  <c r="E135" i="41"/>
  <c r="E134" i="41"/>
  <c r="H128" i="41"/>
  <c r="G128" i="41"/>
  <c r="F128" i="41"/>
  <c r="E128" i="41"/>
  <c r="Q127" i="41"/>
  <c r="P127" i="41"/>
  <c r="O127" i="41"/>
  <c r="N127" i="41"/>
  <c r="Q126" i="41"/>
  <c r="P126" i="41"/>
  <c r="O126" i="41"/>
  <c r="N126" i="41"/>
  <c r="Q125" i="41"/>
  <c r="P125" i="41"/>
  <c r="O125" i="41"/>
  <c r="N125" i="41"/>
  <c r="Q124" i="41"/>
  <c r="P124" i="41"/>
  <c r="O124" i="41"/>
  <c r="N124" i="41"/>
  <c r="Q123" i="41"/>
  <c r="P123" i="41"/>
  <c r="O123" i="41"/>
  <c r="N123" i="41"/>
  <c r="M123" i="41"/>
  <c r="Q122" i="41"/>
  <c r="P122" i="41"/>
  <c r="O122" i="41"/>
  <c r="N122" i="41"/>
  <c r="M122" i="41"/>
  <c r="C120" i="41"/>
  <c r="L120" i="41" s="1"/>
  <c r="E117" i="41"/>
  <c r="E116" i="41"/>
  <c r="E115" i="41"/>
  <c r="H109" i="41"/>
  <c r="G109" i="41"/>
  <c r="F109" i="41"/>
  <c r="Q108" i="41"/>
  <c r="P108" i="41"/>
  <c r="O108" i="41"/>
  <c r="Q107" i="41"/>
  <c r="P107" i="41"/>
  <c r="O107" i="41"/>
  <c r="Q106" i="41"/>
  <c r="P106" i="41"/>
  <c r="O106" i="41"/>
  <c r="Q105" i="41"/>
  <c r="P105" i="41"/>
  <c r="O105" i="41"/>
  <c r="Q104" i="41"/>
  <c r="P104" i="41"/>
  <c r="O104" i="41"/>
  <c r="N104" i="41"/>
  <c r="M104" i="41"/>
  <c r="L104" i="41"/>
  <c r="I104" i="41"/>
  <c r="Q103" i="41"/>
  <c r="P103" i="41"/>
  <c r="O103" i="41"/>
  <c r="N103" i="41"/>
  <c r="M103" i="41"/>
  <c r="L103" i="41"/>
  <c r="I103" i="41"/>
  <c r="C101" i="41"/>
  <c r="L101" i="41" s="1"/>
  <c r="E98" i="41"/>
  <c r="E97" i="41"/>
  <c r="E96" i="41"/>
  <c r="H90" i="41"/>
  <c r="G90" i="41"/>
  <c r="Q89" i="41"/>
  <c r="P89" i="41"/>
  <c r="Q88" i="41"/>
  <c r="P88" i="41"/>
  <c r="Q87" i="41"/>
  <c r="P87" i="41"/>
  <c r="Q86" i="41"/>
  <c r="P86" i="41"/>
  <c r="O86" i="41"/>
  <c r="N86" i="41"/>
  <c r="M86" i="41"/>
  <c r="L86" i="41"/>
  <c r="I86" i="41"/>
  <c r="Q85" i="41"/>
  <c r="P85" i="41"/>
  <c r="O85" i="41"/>
  <c r="N85" i="41"/>
  <c r="M85" i="41"/>
  <c r="L85" i="41"/>
  <c r="I85" i="41"/>
  <c r="Q84" i="41"/>
  <c r="P84" i="41"/>
  <c r="O84" i="41"/>
  <c r="N84" i="41"/>
  <c r="M84" i="41"/>
  <c r="L84" i="41"/>
  <c r="I84" i="41"/>
  <c r="C82" i="41"/>
  <c r="L82" i="41" s="1"/>
  <c r="E79" i="41"/>
  <c r="E78" i="41"/>
  <c r="E77" i="41"/>
  <c r="H71" i="41"/>
  <c r="Q70" i="41"/>
  <c r="C70" i="41"/>
  <c r="Q69" i="41"/>
  <c r="Q68" i="41"/>
  <c r="O68" i="41"/>
  <c r="N68" i="41"/>
  <c r="M68" i="41"/>
  <c r="L68" i="41"/>
  <c r="Q67" i="41"/>
  <c r="O67" i="41"/>
  <c r="N67" i="41"/>
  <c r="M67" i="41"/>
  <c r="L67" i="41"/>
  <c r="Q66" i="41"/>
  <c r="O66" i="41"/>
  <c r="N66" i="41"/>
  <c r="M66" i="41"/>
  <c r="L66" i="41"/>
  <c r="Q65" i="41"/>
  <c r="O65" i="41"/>
  <c r="N65" i="41"/>
  <c r="M65" i="41"/>
  <c r="L65" i="41"/>
  <c r="C63" i="41"/>
  <c r="L63" i="41" s="1"/>
  <c r="E60" i="41"/>
  <c r="E59" i="41"/>
  <c r="E58" i="41"/>
  <c r="O50" i="41"/>
  <c r="N50" i="41"/>
  <c r="M50" i="41"/>
  <c r="L50" i="41"/>
  <c r="G50" i="41"/>
  <c r="P50" i="41" s="1"/>
  <c r="O49" i="41"/>
  <c r="N49" i="41"/>
  <c r="M49" i="41"/>
  <c r="L49" i="41"/>
  <c r="O48" i="41"/>
  <c r="N48" i="41"/>
  <c r="M48" i="41"/>
  <c r="L48" i="41"/>
  <c r="O47" i="41"/>
  <c r="N47" i="41"/>
  <c r="M47" i="41"/>
  <c r="L47" i="41"/>
  <c r="O46" i="41"/>
  <c r="N46" i="41"/>
  <c r="M46" i="41"/>
  <c r="L46" i="41"/>
  <c r="C44" i="41"/>
  <c r="L44" i="41" s="1"/>
  <c r="E41" i="41"/>
  <c r="E40" i="41"/>
  <c r="E39" i="41"/>
  <c r="H33" i="41"/>
  <c r="H51" i="41" s="1"/>
  <c r="Q51" i="41" s="1"/>
  <c r="G33" i="41"/>
  <c r="G70" i="41" s="1"/>
  <c r="P70" i="41" s="1"/>
  <c r="F33" i="41"/>
  <c r="F89" i="41" s="1"/>
  <c r="E33" i="41"/>
  <c r="E51" i="41" s="1"/>
  <c r="D33" i="41"/>
  <c r="D51" i="41" s="1"/>
  <c r="C33" i="41"/>
  <c r="C51" i="41" s="1"/>
  <c r="H32" i="41"/>
  <c r="H50" i="41" s="1"/>
  <c r="Q50" i="41" s="1"/>
  <c r="G32" i="41"/>
  <c r="G69" i="41" s="1"/>
  <c r="P69" i="41" s="1"/>
  <c r="F32" i="41"/>
  <c r="F88" i="41" s="1"/>
  <c r="E32" i="41"/>
  <c r="E107" i="41" s="1"/>
  <c r="D32" i="41"/>
  <c r="D126" i="41" s="1"/>
  <c r="C32" i="41"/>
  <c r="C145" i="41" s="1"/>
  <c r="H31" i="41"/>
  <c r="G31" i="41"/>
  <c r="G68" i="41" s="1"/>
  <c r="F31" i="41"/>
  <c r="F87" i="41" s="1"/>
  <c r="E31" i="41"/>
  <c r="E106" i="41" s="1"/>
  <c r="D31" i="41"/>
  <c r="D106" i="41" s="1"/>
  <c r="C31" i="41"/>
  <c r="C125" i="41" s="1"/>
  <c r="H30" i="41"/>
  <c r="H181" i="41" s="1"/>
  <c r="G30" i="41"/>
  <c r="G67" i="41" s="1"/>
  <c r="F30" i="41"/>
  <c r="F181" i="41" s="1"/>
  <c r="O181" i="41" s="1"/>
  <c r="E30" i="41"/>
  <c r="E181" i="41" s="1"/>
  <c r="D30" i="41"/>
  <c r="D124" i="41" s="1"/>
  <c r="C30" i="41"/>
  <c r="C105" i="41" s="1"/>
  <c r="H29" i="41"/>
  <c r="H180" i="41" s="1"/>
  <c r="G29" i="41"/>
  <c r="G180" i="41" s="1"/>
  <c r="F29" i="41"/>
  <c r="F161" i="41" s="1"/>
  <c r="O161" i="41" s="1"/>
  <c r="E29" i="41"/>
  <c r="E161" i="41" s="1"/>
  <c r="N161" i="41" s="1"/>
  <c r="D29" i="41"/>
  <c r="D161" i="41" s="1"/>
  <c r="C29" i="41"/>
  <c r="C142" i="41" s="1"/>
  <c r="H28" i="41"/>
  <c r="H179" i="41" s="1"/>
  <c r="G28" i="41"/>
  <c r="G179" i="41" s="1"/>
  <c r="F28" i="41"/>
  <c r="F160" i="41" s="1"/>
  <c r="E28" i="41"/>
  <c r="E141" i="41" s="1"/>
  <c r="D28" i="41"/>
  <c r="D141" i="41" s="1"/>
  <c r="C28" i="41"/>
  <c r="C122" i="41" s="1"/>
  <c r="C14" i="41"/>
  <c r="C199" i="41" s="1"/>
  <c r="C13" i="41"/>
  <c r="C198" i="41" s="1"/>
  <c r="C12" i="41"/>
  <c r="C197" i="41" s="1"/>
  <c r="C11" i="41"/>
  <c r="C196" i="41" s="1"/>
  <c r="C10" i="41"/>
  <c r="C195" i="41" s="1"/>
  <c r="C9" i="41"/>
  <c r="C194" i="41" s="1"/>
  <c r="C8" i="41"/>
  <c r="C193" i="41" s="1"/>
  <c r="C7" i="41"/>
  <c r="C192" i="41" s="1"/>
  <c r="E8" i="40"/>
  <c r="E9" i="40"/>
  <c r="E10" i="40"/>
  <c r="E11" i="40"/>
  <c r="E12" i="40"/>
  <c r="E13" i="40"/>
  <c r="E14" i="40"/>
  <c r="E7" i="40"/>
  <c r="F185" i="40"/>
  <c r="E185" i="40"/>
  <c r="D185" i="40"/>
  <c r="C185" i="40"/>
  <c r="Q184" i="40"/>
  <c r="P184" i="40"/>
  <c r="O184" i="40"/>
  <c r="N184" i="40"/>
  <c r="M184" i="40"/>
  <c r="L184" i="40"/>
  <c r="I184" i="40"/>
  <c r="Q183" i="40"/>
  <c r="P183" i="40"/>
  <c r="O183" i="40"/>
  <c r="N183" i="40"/>
  <c r="M183" i="40"/>
  <c r="L183" i="40"/>
  <c r="I183" i="40"/>
  <c r="Q182" i="40"/>
  <c r="P182" i="40"/>
  <c r="O182" i="40"/>
  <c r="N182" i="40"/>
  <c r="M182" i="40"/>
  <c r="L182" i="40"/>
  <c r="I182" i="40"/>
  <c r="O181" i="40"/>
  <c r="N181" i="40"/>
  <c r="M181" i="40"/>
  <c r="L181" i="40"/>
  <c r="O180" i="40"/>
  <c r="N180" i="40"/>
  <c r="M180" i="40"/>
  <c r="L180" i="40"/>
  <c r="G180" i="40"/>
  <c r="O179" i="40"/>
  <c r="N179" i="40"/>
  <c r="M179" i="40"/>
  <c r="L179" i="40"/>
  <c r="L177" i="40"/>
  <c r="D177" i="40"/>
  <c r="M177" i="40" s="1"/>
  <c r="C177" i="40"/>
  <c r="E174" i="40"/>
  <c r="E173" i="40"/>
  <c r="E172" i="40"/>
  <c r="D166" i="40"/>
  <c r="C166" i="40"/>
  <c r="Q165" i="40"/>
  <c r="P165" i="40"/>
  <c r="O165" i="40"/>
  <c r="N165" i="40"/>
  <c r="M165" i="40"/>
  <c r="L165" i="40"/>
  <c r="I165" i="40"/>
  <c r="Q164" i="40"/>
  <c r="P164" i="40"/>
  <c r="O164" i="40"/>
  <c r="N164" i="40"/>
  <c r="M164" i="40"/>
  <c r="L164" i="40"/>
  <c r="I164" i="40"/>
  <c r="Q163" i="40"/>
  <c r="P163" i="40"/>
  <c r="O163" i="40"/>
  <c r="N163" i="40"/>
  <c r="M163" i="40"/>
  <c r="L163" i="40"/>
  <c r="I163" i="40"/>
  <c r="Q162" i="40"/>
  <c r="P162" i="40"/>
  <c r="O162" i="40"/>
  <c r="N162" i="40"/>
  <c r="M162" i="40"/>
  <c r="L162" i="40"/>
  <c r="I162" i="40"/>
  <c r="M161" i="40"/>
  <c r="L161" i="40"/>
  <c r="M160" i="40"/>
  <c r="L160" i="40"/>
  <c r="D158" i="40"/>
  <c r="M158" i="40" s="1"/>
  <c r="C158" i="40"/>
  <c r="L158" i="40" s="1"/>
  <c r="E155" i="40"/>
  <c r="E154" i="40"/>
  <c r="E153" i="40"/>
  <c r="Q146" i="40"/>
  <c r="P146" i="40"/>
  <c r="O146" i="40"/>
  <c r="N146" i="40"/>
  <c r="M146" i="40"/>
  <c r="L146" i="40"/>
  <c r="I146" i="40"/>
  <c r="Q145" i="40"/>
  <c r="P145" i="40"/>
  <c r="O145" i="40"/>
  <c r="N145" i="40"/>
  <c r="M145" i="40"/>
  <c r="L145" i="40"/>
  <c r="I145" i="40"/>
  <c r="Q144" i="40"/>
  <c r="P144" i="40"/>
  <c r="O144" i="40"/>
  <c r="N144" i="40"/>
  <c r="M144" i="40"/>
  <c r="L144" i="40"/>
  <c r="I144" i="40"/>
  <c r="Q143" i="40"/>
  <c r="P143" i="40"/>
  <c r="O143" i="40"/>
  <c r="N143" i="40"/>
  <c r="M143" i="40"/>
  <c r="L143" i="40"/>
  <c r="I143" i="40"/>
  <c r="Q142" i="40"/>
  <c r="P142" i="40"/>
  <c r="O142" i="40"/>
  <c r="N142" i="40"/>
  <c r="M142" i="40"/>
  <c r="L142" i="40"/>
  <c r="I142" i="40"/>
  <c r="D139" i="40"/>
  <c r="M139" i="40" s="1"/>
  <c r="C139" i="40"/>
  <c r="L139" i="40" s="1"/>
  <c r="E136" i="40"/>
  <c r="E135" i="40"/>
  <c r="E134" i="40"/>
  <c r="H128" i="40"/>
  <c r="G128" i="40"/>
  <c r="F128" i="40"/>
  <c r="E128" i="40"/>
  <c r="D128" i="40"/>
  <c r="Q127" i="40"/>
  <c r="P127" i="40"/>
  <c r="O127" i="40"/>
  <c r="N127" i="40"/>
  <c r="M127" i="40"/>
  <c r="Q126" i="40"/>
  <c r="P126" i="40"/>
  <c r="O126" i="40"/>
  <c r="N126" i="40"/>
  <c r="M126" i="40"/>
  <c r="Q125" i="40"/>
  <c r="P125" i="40"/>
  <c r="O125" i="40"/>
  <c r="N125" i="40"/>
  <c r="M125" i="40"/>
  <c r="Q124" i="40"/>
  <c r="P124" i="40"/>
  <c r="O124" i="40"/>
  <c r="N124" i="40"/>
  <c r="M124" i="40"/>
  <c r="Q123" i="40"/>
  <c r="P123" i="40"/>
  <c r="O123" i="40"/>
  <c r="N123" i="40"/>
  <c r="M123" i="40"/>
  <c r="Q122" i="40"/>
  <c r="P122" i="40"/>
  <c r="O122" i="40"/>
  <c r="N122" i="40"/>
  <c r="M122" i="40"/>
  <c r="L122" i="40"/>
  <c r="I122" i="40"/>
  <c r="M120" i="40"/>
  <c r="L120" i="40"/>
  <c r="D120" i="40"/>
  <c r="C120" i="40"/>
  <c r="E117" i="40"/>
  <c r="E116" i="40"/>
  <c r="E115" i="40"/>
  <c r="H109" i="40"/>
  <c r="G109" i="40"/>
  <c r="F109" i="40"/>
  <c r="E109" i="40"/>
  <c r="Q108" i="40"/>
  <c r="P108" i="40"/>
  <c r="O108" i="40"/>
  <c r="N108" i="40"/>
  <c r="Q107" i="40"/>
  <c r="P107" i="40"/>
  <c r="O107" i="40"/>
  <c r="N107" i="40"/>
  <c r="Q106" i="40"/>
  <c r="P106" i="40"/>
  <c r="O106" i="40"/>
  <c r="N106" i="40"/>
  <c r="Q105" i="40"/>
  <c r="P105" i="40"/>
  <c r="O105" i="40"/>
  <c r="N105" i="40"/>
  <c r="Q104" i="40"/>
  <c r="P104" i="40"/>
  <c r="O104" i="40"/>
  <c r="N104" i="40"/>
  <c r="M104" i="40"/>
  <c r="L104" i="40"/>
  <c r="I104" i="40"/>
  <c r="Q103" i="40"/>
  <c r="P103" i="40"/>
  <c r="O103" i="40"/>
  <c r="N103" i="40"/>
  <c r="M103" i="40"/>
  <c r="L103" i="40"/>
  <c r="I103" i="40"/>
  <c r="L101" i="40"/>
  <c r="D101" i="40"/>
  <c r="M101" i="40" s="1"/>
  <c r="C101" i="40"/>
  <c r="E98" i="40"/>
  <c r="E97" i="40"/>
  <c r="E96" i="40"/>
  <c r="H90" i="40"/>
  <c r="G90" i="40"/>
  <c r="F90" i="40"/>
  <c r="Q89" i="40"/>
  <c r="P89" i="40"/>
  <c r="O89" i="40"/>
  <c r="Q88" i="40"/>
  <c r="P88" i="40"/>
  <c r="O88" i="40"/>
  <c r="Q87" i="40"/>
  <c r="P87" i="40"/>
  <c r="O87" i="40"/>
  <c r="Q86" i="40"/>
  <c r="P86" i="40"/>
  <c r="O86" i="40"/>
  <c r="N86" i="40"/>
  <c r="M86" i="40"/>
  <c r="L86" i="40"/>
  <c r="I86" i="40"/>
  <c r="Q85" i="40"/>
  <c r="P85" i="40"/>
  <c r="O85" i="40"/>
  <c r="N85" i="40"/>
  <c r="M85" i="40"/>
  <c r="L85" i="40"/>
  <c r="I85" i="40"/>
  <c r="Q84" i="40"/>
  <c r="P84" i="40"/>
  <c r="O84" i="40"/>
  <c r="N84" i="40"/>
  <c r="M84" i="40"/>
  <c r="L84" i="40"/>
  <c r="I84" i="40"/>
  <c r="D82" i="40"/>
  <c r="M82" i="40" s="1"/>
  <c r="C82" i="40"/>
  <c r="L82" i="40" s="1"/>
  <c r="E79" i="40"/>
  <c r="E78" i="40"/>
  <c r="E77" i="40"/>
  <c r="G70" i="40"/>
  <c r="P70" i="40" s="1"/>
  <c r="Q68" i="40"/>
  <c r="P68" i="40"/>
  <c r="O68" i="40"/>
  <c r="N68" i="40"/>
  <c r="M68" i="40"/>
  <c r="L68" i="40"/>
  <c r="I68" i="40"/>
  <c r="Q67" i="40"/>
  <c r="P67" i="40"/>
  <c r="O67" i="40"/>
  <c r="N67" i="40"/>
  <c r="M67" i="40"/>
  <c r="L67" i="40"/>
  <c r="I67" i="40"/>
  <c r="Q66" i="40"/>
  <c r="P66" i="40"/>
  <c r="O66" i="40"/>
  <c r="N66" i="40"/>
  <c r="M66" i="40"/>
  <c r="L66" i="40"/>
  <c r="I66" i="40"/>
  <c r="Q65" i="40"/>
  <c r="P65" i="40"/>
  <c r="O65" i="40"/>
  <c r="N65" i="40"/>
  <c r="M65" i="40"/>
  <c r="L65" i="40"/>
  <c r="I65" i="40"/>
  <c r="L63" i="40"/>
  <c r="D63" i="40"/>
  <c r="M63" i="40" s="1"/>
  <c r="C63" i="40"/>
  <c r="E60" i="40"/>
  <c r="E59" i="40"/>
  <c r="E58" i="40"/>
  <c r="Q50" i="40"/>
  <c r="O50" i="40"/>
  <c r="N50" i="40"/>
  <c r="M50" i="40"/>
  <c r="L50" i="40"/>
  <c r="Q49" i="40"/>
  <c r="O49" i="40"/>
  <c r="N49" i="40"/>
  <c r="M49" i="40"/>
  <c r="L49" i="40"/>
  <c r="G49" i="40"/>
  <c r="P49" i="40" s="1"/>
  <c r="Q48" i="40"/>
  <c r="O48" i="40"/>
  <c r="N48" i="40"/>
  <c r="M48" i="40"/>
  <c r="L48" i="40"/>
  <c r="Q47" i="40"/>
  <c r="O47" i="40"/>
  <c r="N47" i="40"/>
  <c r="M47" i="40"/>
  <c r="L47" i="40"/>
  <c r="Q46" i="40"/>
  <c r="O46" i="40"/>
  <c r="N46" i="40"/>
  <c r="M46" i="40"/>
  <c r="L46" i="40"/>
  <c r="G46" i="40"/>
  <c r="D44" i="40"/>
  <c r="M44" i="40" s="1"/>
  <c r="C44" i="40"/>
  <c r="L44" i="40" s="1"/>
  <c r="E41" i="40"/>
  <c r="E40" i="40"/>
  <c r="E39" i="40"/>
  <c r="H33" i="40"/>
  <c r="H51" i="40" s="1"/>
  <c r="G33" i="40"/>
  <c r="G51" i="40" s="1"/>
  <c r="P51" i="40" s="1"/>
  <c r="F33" i="40"/>
  <c r="E33" i="40"/>
  <c r="E89" i="40" s="1"/>
  <c r="D33" i="40"/>
  <c r="D108" i="40" s="1"/>
  <c r="C33" i="40"/>
  <c r="C70" i="40" s="1"/>
  <c r="H32" i="40"/>
  <c r="H69" i="40" s="1"/>
  <c r="Q69" i="40" s="1"/>
  <c r="G32" i="40"/>
  <c r="G50" i="40" s="1"/>
  <c r="F32" i="40"/>
  <c r="F69" i="40" s="1"/>
  <c r="E32" i="40"/>
  <c r="E69" i="40" s="1"/>
  <c r="D32" i="40"/>
  <c r="D107" i="40" s="1"/>
  <c r="C32" i="40"/>
  <c r="C126" i="40" s="1"/>
  <c r="H31" i="40"/>
  <c r="G31" i="40"/>
  <c r="F31" i="40"/>
  <c r="E31" i="40"/>
  <c r="E87" i="40" s="1"/>
  <c r="D31" i="40"/>
  <c r="D87" i="40" s="1"/>
  <c r="C31" i="40"/>
  <c r="C87" i="40" s="1"/>
  <c r="I30" i="40"/>
  <c r="H30" i="40"/>
  <c r="H181" i="40" s="1"/>
  <c r="G30" i="40"/>
  <c r="G181" i="40" s="1"/>
  <c r="F30" i="40"/>
  <c r="E30" i="40"/>
  <c r="D30" i="40"/>
  <c r="D105" i="40" s="1"/>
  <c r="C30" i="40"/>
  <c r="C124" i="40" s="1"/>
  <c r="H29" i="40"/>
  <c r="H161" i="40" s="1"/>
  <c r="G29" i="40"/>
  <c r="G47" i="40" s="1"/>
  <c r="F29" i="40"/>
  <c r="F161" i="40" s="1"/>
  <c r="O161" i="40" s="1"/>
  <c r="E29" i="40"/>
  <c r="E34" i="40" s="1"/>
  <c r="D29" i="40"/>
  <c r="I29" i="40" s="1"/>
  <c r="C29" i="40"/>
  <c r="C123" i="40" s="1"/>
  <c r="H28" i="40"/>
  <c r="H141" i="40" s="1"/>
  <c r="G28" i="40"/>
  <c r="G141" i="40" s="1"/>
  <c r="F28" i="40"/>
  <c r="F141" i="40" s="1"/>
  <c r="E28" i="40"/>
  <c r="E141" i="40" s="1"/>
  <c r="D28" i="40"/>
  <c r="D141" i="40" s="1"/>
  <c r="C28" i="40"/>
  <c r="C141" i="40" s="1"/>
  <c r="D14" i="40"/>
  <c r="D13" i="40"/>
  <c r="D12" i="40"/>
  <c r="D11" i="40"/>
  <c r="D10" i="40"/>
  <c r="D9" i="40"/>
  <c r="D8" i="40"/>
  <c r="D7" i="40"/>
  <c r="D8" i="39"/>
  <c r="D9" i="39"/>
  <c r="D10" i="39"/>
  <c r="D11" i="39"/>
  <c r="D12" i="39"/>
  <c r="D13" i="39"/>
  <c r="D14" i="39"/>
  <c r="D7" i="39"/>
  <c r="D185" i="39"/>
  <c r="C185" i="39"/>
  <c r="Q184" i="39"/>
  <c r="P184" i="39"/>
  <c r="O184" i="39"/>
  <c r="N184" i="39"/>
  <c r="M184" i="39"/>
  <c r="L184" i="39"/>
  <c r="I184" i="39"/>
  <c r="Q183" i="39"/>
  <c r="P183" i="39"/>
  <c r="O183" i="39"/>
  <c r="N183" i="39"/>
  <c r="M183" i="39"/>
  <c r="L183" i="39"/>
  <c r="I183" i="39"/>
  <c r="Q182" i="39"/>
  <c r="P182" i="39"/>
  <c r="O182" i="39"/>
  <c r="N182" i="39"/>
  <c r="M182" i="39"/>
  <c r="L182" i="39"/>
  <c r="I182" i="39"/>
  <c r="M181" i="39"/>
  <c r="L181" i="39"/>
  <c r="M180" i="39"/>
  <c r="L180" i="39"/>
  <c r="M179" i="39"/>
  <c r="L179" i="39"/>
  <c r="C177" i="39"/>
  <c r="L177" i="39" s="1"/>
  <c r="E174" i="39"/>
  <c r="E173" i="39"/>
  <c r="E172" i="39"/>
  <c r="C166" i="39"/>
  <c r="Q165" i="39"/>
  <c r="P165" i="39"/>
  <c r="O165" i="39"/>
  <c r="N165" i="39"/>
  <c r="M165" i="39"/>
  <c r="L165" i="39"/>
  <c r="I165" i="39"/>
  <c r="Q164" i="39"/>
  <c r="P164" i="39"/>
  <c r="O164" i="39"/>
  <c r="N164" i="39"/>
  <c r="M164" i="39"/>
  <c r="L164" i="39"/>
  <c r="I164" i="39"/>
  <c r="Q163" i="39"/>
  <c r="P163" i="39"/>
  <c r="O163" i="39"/>
  <c r="N163" i="39"/>
  <c r="M163" i="39"/>
  <c r="L163" i="39"/>
  <c r="I163" i="39"/>
  <c r="Q162" i="39"/>
  <c r="P162" i="39"/>
  <c r="O162" i="39"/>
  <c r="N162" i="39"/>
  <c r="M162" i="39"/>
  <c r="L162" i="39"/>
  <c r="I162" i="39"/>
  <c r="L161" i="39"/>
  <c r="L160" i="39"/>
  <c r="C158" i="39"/>
  <c r="L158" i="39" s="1"/>
  <c r="E155" i="39"/>
  <c r="E154" i="39"/>
  <c r="E153" i="39"/>
  <c r="Q146" i="39"/>
  <c r="P146" i="39"/>
  <c r="O146" i="39"/>
  <c r="N146" i="39"/>
  <c r="M146" i="39"/>
  <c r="Q145" i="39"/>
  <c r="P145" i="39"/>
  <c r="O145" i="39"/>
  <c r="N145" i="39"/>
  <c r="M145" i="39"/>
  <c r="Q144" i="39"/>
  <c r="P144" i="39"/>
  <c r="O144" i="39"/>
  <c r="N144" i="39"/>
  <c r="M144" i="39"/>
  <c r="Q143" i="39"/>
  <c r="P143" i="39"/>
  <c r="O143" i="39"/>
  <c r="N143" i="39"/>
  <c r="M143" i="39"/>
  <c r="Q142" i="39"/>
  <c r="P142" i="39"/>
  <c r="O142" i="39"/>
  <c r="N142" i="39"/>
  <c r="M142" i="39"/>
  <c r="C139" i="39"/>
  <c r="L139" i="39" s="1"/>
  <c r="E136" i="39"/>
  <c r="E135" i="39"/>
  <c r="E134" i="39"/>
  <c r="H128" i="39"/>
  <c r="G128" i="39"/>
  <c r="F128" i="39"/>
  <c r="E128" i="39"/>
  <c r="Q127" i="39"/>
  <c r="P127" i="39"/>
  <c r="O127" i="39"/>
  <c r="N127" i="39"/>
  <c r="Q126" i="39"/>
  <c r="P126" i="39"/>
  <c r="O126" i="39"/>
  <c r="N126" i="39"/>
  <c r="Q125" i="39"/>
  <c r="P125" i="39"/>
  <c r="O125" i="39"/>
  <c r="N125" i="39"/>
  <c r="Q124" i="39"/>
  <c r="P124" i="39"/>
  <c r="O124" i="39"/>
  <c r="N124" i="39"/>
  <c r="D124" i="39"/>
  <c r="M124" i="39" s="1"/>
  <c r="Q123" i="39"/>
  <c r="P123" i="39"/>
  <c r="O123" i="39"/>
  <c r="N123" i="39"/>
  <c r="M123" i="39"/>
  <c r="Q122" i="39"/>
  <c r="P122" i="39"/>
  <c r="O122" i="39"/>
  <c r="N122" i="39"/>
  <c r="M122" i="39"/>
  <c r="C120" i="39"/>
  <c r="L120" i="39" s="1"/>
  <c r="E117" i="39"/>
  <c r="E116" i="39"/>
  <c r="E115" i="39"/>
  <c r="H109" i="39"/>
  <c r="G109" i="39"/>
  <c r="F109" i="39"/>
  <c r="Q108" i="39"/>
  <c r="P108" i="39"/>
  <c r="O108" i="39"/>
  <c r="Q107" i="39"/>
  <c r="P107" i="39"/>
  <c r="O107" i="39"/>
  <c r="Q106" i="39"/>
  <c r="P106" i="39"/>
  <c r="O106" i="39"/>
  <c r="Q105" i="39"/>
  <c r="P105" i="39"/>
  <c r="O105" i="39"/>
  <c r="Q104" i="39"/>
  <c r="P104" i="39"/>
  <c r="O104" i="39"/>
  <c r="N104" i="39"/>
  <c r="M104" i="39"/>
  <c r="L104" i="39"/>
  <c r="I104" i="39"/>
  <c r="Q103" i="39"/>
  <c r="P103" i="39"/>
  <c r="O103" i="39"/>
  <c r="N103" i="39"/>
  <c r="M103" i="39"/>
  <c r="L103" i="39"/>
  <c r="I103" i="39"/>
  <c r="C101" i="39"/>
  <c r="L101" i="39" s="1"/>
  <c r="E98" i="39"/>
  <c r="E97" i="39"/>
  <c r="E96" i="39"/>
  <c r="H90" i="39"/>
  <c r="G90" i="39"/>
  <c r="Q89" i="39"/>
  <c r="P89" i="39"/>
  <c r="Q88" i="39"/>
  <c r="P88" i="39"/>
  <c r="Q87" i="39"/>
  <c r="P87" i="39"/>
  <c r="Q86" i="39"/>
  <c r="P86" i="39"/>
  <c r="O86" i="39"/>
  <c r="N86" i="39"/>
  <c r="M86" i="39"/>
  <c r="L86" i="39"/>
  <c r="I86" i="39"/>
  <c r="Q85" i="39"/>
  <c r="P85" i="39"/>
  <c r="O85" i="39"/>
  <c r="N85" i="39"/>
  <c r="M85" i="39"/>
  <c r="L85" i="39"/>
  <c r="I85" i="39"/>
  <c r="Q84" i="39"/>
  <c r="P84" i="39"/>
  <c r="O84" i="39"/>
  <c r="N84" i="39"/>
  <c r="M84" i="39"/>
  <c r="L84" i="39"/>
  <c r="I84" i="39"/>
  <c r="C82" i="39"/>
  <c r="L82" i="39" s="1"/>
  <c r="E79" i="39"/>
  <c r="E78" i="39"/>
  <c r="E77" i="39"/>
  <c r="H71" i="39"/>
  <c r="Q70" i="39"/>
  <c r="E70" i="39"/>
  <c r="Q69" i="39"/>
  <c r="Q68" i="39"/>
  <c r="O68" i="39"/>
  <c r="N68" i="39"/>
  <c r="M68" i="39"/>
  <c r="L68" i="39"/>
  <c r="Q67" i="39"/>
  <c r="O67" i="39"/>
  <c r="N67" i="39"/>
  <c r="M67" i="39"/>
  <c r="L67" i="39"/>
  <c r="Q66" i="39"/>
  <c r="O66" i="39"/>
  <c r="N66" i="39"/>
  <c r="M66" i="39"/>
  <c r="L66" i="39"/>
  <c r="Q65" i="39"/>
  <c r="O65" i="39"/>
  <c r="N65" i="39"/>
  <c r="M65" i="39"/>
  <c r="L65" i="39"/>
  <c r="C63" i="39"/>
  <c r="L63" i="39" s="1"/>
  <c r="E60" i="39"/>
  <c r="E59" i="39"/>
  <c r="E58" i="39"/>
  <c r="E51" i="39"/>
  <c r="E52" i="39" s="1"/>
  <c r="O50" i="39"/>
  <c r="N50" i="39"/>
  <c r="M50" i="39"/>
  <c r="L50" i="39"/>
  <c r="O49" i="39"/>
  <c r="N49" i="39"/>
  <c r="M49" i="39"/>
  <c r="L49" i="39"/>
  <c r="O48" i="39"/>
  <c r="N48" i="39"/>
  <c r="M48" i="39"/>
  <c r="L48" i="39"/>
  <c r="O47" i="39"/>
  <c r="N47" i="39"/>
  <c r="M47" i="39"/>
  <c r="L47" i="39"/>
  <c r="O46" i="39"/>
  <c r="N46" i="39"/>
  <c r="M46" i="39"/>
  <c r="L46" i="39"/>
  <c r="C44" i="39"/>
  <c r="L44" i="39" s="1"/>
  <c r="E41" i="39"/>
  <c r="E40" i="39"/>
  <c r="E39" i="39"/>
  <c r="H33" i="39"/>
  <c r="H51" i="39" s="1"/>
  <c r="Q51" i="39" s="1"/>
  <c r="G33" i="39"/>
  <c r="G70" i="39" s="1"/>
  <c r="P70" i="39" s="1"/>
  <c r="F33" i="39"/>
  <c r="F51" i="39" s="1"/>
  <c r="E33" i="39"/>
  <c r="E108" i="39" s="1"/>
  <c r="D33" i="39"/>
  <c r="D51" i="39" s="1"/>
  <c r="C33" i="39"/>
  <c r="C70" i="39" s="1"/>
  <c r="H32" i="39"/>
  <c r="H50" i="39" s="1"/>
  <c r="Q50" i="39" s="1"/>
  <c r="G32" i="39"/>
  <c r="G50" i="39" s="1"/>
  <c r="F32" i="39"/>
  <c r="F88" i="39" s="1"/>
  <c r="E32" i="39"/>
  <c r="E107" i="39" s="1"/>
  <c r="D32" i="39"/>
  <c r="D126" i="39" s="1"/>
  <c r="C32" i="39"/>
  <c r="C69" i="39" s="1"/>
  <c r="H31" i="39"/>
  <c r="H49" i="39" s="1"/>
  <c r="Q49" i="39" s="1"/>
  <c r="G31" i="39"/>
  <c r="G68" i="39" s="1"/>
  <c r="F31" i="39"/>
  <c r="F87" i="39" s="1"/>
  <c r="E31" i="39"/>
  <c r="E106" i="39" s="1"/>
  <c r="D31" i="39"/>
  <c r="D125" i="39" s="1"/>
  <c r="C31" i="39"/>
  <c r="C125" i="39" s="1"/>
  <c r="H30" i="39"/>
  <c r="H181" i="39" s="1"/>
  <c r="G30" i="39"/>
  <c r="G67" i="39" s="1"/>
  <c r="F30" i="39"/>
  <c r="F181" i="39" s="1"/>
  <c r="O181" i="39" s="1"/>
  <c r="E30" i="39"/>
  <c r="E105" i="39" s="1"/>
  <c r="D30" i="39"/>
  <c r="D105" i="39" s="1"/>
  <c r="C30" i="39"/>
  <c r="C105" i="39" s="1"/>
  <c r="H29" i="39"/>
  <c r="H161" i="39" s="1"/>
  <c r="G29" i="39"/>
  <c r="G66" i="39" s="1"/>
  <c r="F29" i="39"/>
  <c r="F161" i="39" s="1"/>
  <c r="O161" i="39" s="1"/>
  <c r="E29" i="39"/>
  <c r="E161" i="39" s="1"/>
  <c r="N161" i="39" s="1"/>
  <c r="D29" i="39"/>
  <c r="D161" i="39" s="1"/>
  <c r="C29" i="39"/>
  <c r="H28" i="39"/>
  <c r="H160" i="39" s="1"/>
  <c r="G28" i="39"/>
  <c r="G141" i="39" s="1"/>
  <c r="F28" i="39"/>
  <c r="F141" i="39" s="1"/>
  <c r="E28" i="39"/>
  <c r="E141" i="39" s="1"/>
  <c r="D28" i="39"/>
  <c r="D141" i="39" s="1"/>
  <c r="C28" i="39"/>
  <c r="C122" i="39" s="1"/>
  <c r="C14" i="39"/>
  <c r="C199" i="39" s="1"/>
  <c r="C13" i="39"/>
  <c r="C198" i="39" s="1"/>
  <c r="C12" i="39"/>
  <c r="C197" i="39" s="1"/>
  <c r="C11" i="39"/>
  <c r="C196" i="39" s="1"/>
  <c r="C10" i="39"/>
  <c r="C195" i="39" s="1"/>
  <c r="C9" i="39"/>
  <c r="C194" i="39" s="1"/>
  <c r="C8" i="39"/>
  <c r="C193" i="39" s="1"/>
  <c r="C7" i="39"/>
  <c r="C192" i="39" s="1"/>
  <c r="D135" i="41" l="1"/>
  <c r="F135" i="41" s="1"/>
  <c r="D78" i="42"/>
  <c r="D41" i="42"/>
  <c r="D11" i="32"/>
  <c r="C116" i="5"/>
  <c r="D96" i="41"/>
  <c r="F96" i="41" s="1"/>
  <c r="D16" i="32"/>
  <c r="C155" i="42"/>
  <c r="D116" i="41"/>
  <c r="F116" i="41" s="1"/>
  <c r="D41" i="41"/>
  <c r="F41" i="41" s="1"/>
  <c r="D153" i="42"/>
  <c r="C79" i="42"/>
  <c r="D58" i="42"/>
  <c r="C172" i="42"/>
  <c r="D115" i="42"/>
  <c r="C134" i="42"/>
  <c r="C115" i="42"/>
  <c r="C153" i="42"/>
  <c r="C96" i="42"/>
  <c r="C39" i="42"/>
  <c r="C77" i="42"/>
  <c r="C58" i="42"/>
  <c r="D134" i="42"/>
  <c r="D173" i="41"/>
  <c r="F173" i="41" s="1"/>
  <c r="C78" i="42"/>
  <c r="C154" i="42"/>
  <c r="C98" i="42"/>
  <c r="C174" i="42"/>
  <c r="C97" i="42"/>
  <c r="C173" i="42"/>
  <c r="D39" i="42"/>
  <c r="C117" i="42"/>
  <c r="C41" i="42"/>
  <c r="D40" i="42"/>
  <c r="C116" i="42"/>
  <c r="C40" i="42"/>
  <c r="D39" i="41"/>
  <c r="F39" i="41" s="1"/>
  <c r="D60" i="42"/>
  <c r="C136" i="42"/>
  <c r="C60" i="42"/>
  <c r="D97" i="41"/>
  <c r="F97" i="41" s="1"/>
  <c r="D59" i="42"/>
  <c r="C135" i="42"/>
  <c r="C59" i="42"/>
  <c r="L11" i="43"/>
  <c r="G11" i="43"/>
  <c r="F11" i="43"/>
  <c r="K11" i="43"/>
  <c r="C11" i="43"/>
  <c r="H11" i="43"/>
  <c r="E11" i="43"/>
  <c r="J11" i="43"/>
  <c r="M11" i="43"/>
  <c r="K17" i="43"/>
  <c r="G17" i="43"/>
  <c r="D17" i="43"/>
  <c r="L17" i="43"/>
  <c r="J17" i="43"/>
  <c r="I17" i="43"/>
  <c r="H17" i="43"/>
  <c r="F17" i="43"/>
  <c r="E17" i="43"/>
  <c r="N17" i="43"/>
  <c r="M17" i="43"/>
  <c r="I29" i="41"/>
  <c r="H34" i="41"/>
  <c r="G160" i="41"/>
  <c r="H160" i="41"/>
  <c r="G161" i="41"/>
  <c r="G66" i="41"/>
  <c r="F141" i="41"/>
  <c r="O141" i="41" s="1"/>
  <c r="H161" i="41"/>
  <c r="G46" i="41"/>
  <c r="I46" i="41" s="1"/>
  <c r="F51" i="41"/>
  <c r="F52" i="41" s="1"/>
  <c r="G141" i="41"/>
  <c r="G147" i="41" s="1"/>
  <c r="H46" i="41"/>
  <c r="G51" i="41"/>
  <c r="P51" i="41" s="1"/>
  <c r="P195" i="41" s="1"/>
  <c r="D105" i="41"/>
  <c r="I105" i="41" s="1"/>
  <c r="D125" i="41"/>
  <c r="I125" i="41" s="1"/>
  <c r="E105" i="41"/>
  <c r="C69" i="41"/>
  <c r="C71" i="41" s="1"/>
  <c r="D34" i="39"/>
  <c r="G48" i="39"/>
  <c r="I48" i="39" s="1"/>
  <c r="H46" i="39"/>
  <c r="C89" i="39"/>
  <c r="I29" i="39"/>
  <c r="G51" i="39"/>
  <c r="P51" i="39" s="1"/>
  <c r="P195" i="39" s="1"/>
  <c r="G49" i="39"/>
  <c r="P49" i="39" s="1"/>
  <c r="E69" i="39"/>
  <c r="E71" i="39" s="1"/>
  <c r="D106" i="40"/>
  <c r="D109" i="40" s="1"/>
  <c r="I33" i="40"/>
  <c r="E161" i="40"/>
  <c r="N161" i="40" s="1"/>
  <c r="N191" i="40" s="1"/>
  <c r="I31" i="40"/>
  <c r="D51" i="40"/>
  <c r="D52" i="40" s="1"/>
  <c r="C34" i="40"/>
  <c r="D70" i="40"/>
  <c r="E70" i="40"/>
  <c r="I28" i="40"/>
  <c r="C34" i="42"/>
  <c r="I33" i="42"/>
  <c r="E34" i="42"/>
  <c r="C51" i="42"/>
  <c r="C52" i="42" s="1"/>
  <c r="G51" i="42"/>
  <c r="P51" i="42" s="1"/>
  <c r="P195" i="42" s="1"/>
  <c r="D70" i="42"/>
  <c r="G47" i="42"/>
  <c r="I47" i="42" s="1"/>
  <c r="E70" i="42"/>
  <c r="G180" i="42"/>
  <c r="D174" i="42"/>
  <c r="D106" i="42"/>
  <c r="I30" i="42"/>
  <c r="D97" i="42"/>
  <c r="Q194" i="42"/>
  <c r="D96" i="42"/>
  <c r="O192" i="42"/>
  <c r="P193" i="42"/>
  <c r="M191" i="42"/>
  <c r="N191" i="42"/>
  <c r="O193" i="42"/>
  <c r="O191" i="42"/>
  <c r="Q193" i="42"/>
  <c r="N192" i="42"/>
  <c r="F147" i="42"/>
  <c r="O141" i="42"/>
  <c r="E71" i="42"/>
  <c r="I46" i="42"/>
  <c r="I181" i="42"/>
  <c r="H147" i="42"/>
  <c r="I50" i="42"/>
  <c r="P50" i="42"/>
  <c r="I123" i="42"/>
  <c r="I87" i="42"/>
  <c r="F52" i="42"/>
  <c r="L141" i="42"/>
  <c r="L190" i="42" s="1"/>
  <c r="C147" i="42"/>
  <c r="H52" i="42"/>
  <c r="Q51" i="42"/>
  <c r="D147" i="42"/>
  <c r="M105" i="42"/>
  <c r="M192" i="42" s="1"/>
  <c r="D109" i="42"/>
  <c r="I126" i="42"/>
  <c r="E147" i="42"/>
  <c r="D34" i="42"/>
  <c r="I49" i="42"/>
  <c r="G69" i="42"/>
  <c r="F70" i="42"/>
  <c r="C106" i="42"/>
  <c r="D172" i="42"/>
  <c r="F34" i="42"/>
  <c r="H70" i="42"/>
  <c r="Q70" i="42" s="1"/>
  <c r="D79" i="42"/>
  <c r="C125" i="42"/>
  <c r="D135" i="42"/>
  <c r="D154" i="42"/>
  <c r="E160" i="42"/>
  <c r="H180" i="42"/>
  <c r="I32" i="42"/>
  <c r="G34" i="42"/>
  <c r="G48" i="42"/>
  <c r="G52" i="42" s="1"/>
  <c r="C89" i="42"/>
  <c r="C105" i="42"/>
  <c r="D116" i="42"/>
  <c r="F160" i="42"/>
  <c r="H34" i="42"/>
  <c r="D51" i="42"/>
  <c r="D89" i="42"/>
  <c r="D90" i="42" s="1"/>
  <c r="G160" i="42"/>
  <c r="D173" i="42"/>
  <c r="G179" i="42"/>
  <c r="E51" i="42"/>
  <c r="C88" i="42"/>
  <c r="C90" i="42" s="1"/>
  <c r="D98" i="42"/>
  <c r="H160" i="42"/>
  <c r="I161" i="42"/>
  <c r="H179" i="42"/>
  <c r="I29" i="42"/>
  <c r="D77" i="42"/>
  <c r="D88" i="42"/>
  <c r="C108" i="42"/>
  <c r="C124" i="42"/>
  <c r="C127" i="42"/>
  <c r="D136" i="42"/>
  <c r="G141" i="42"/>
  <c r="I141" i="42" s="1"/>
  <c r="I147" i="42" s="1"/>
  <c r="D155" i="42"/>
  <c r="E88" i="42"/>
  <c r="D117" i="42"/>
  <c r="I31" i="42"/>
  <c r="C69" i="42"/>
  <c r="D69" i="42"/>
  <c r="C107" i="42"/>
  <c r="I28" i="42"/>
  <c r="D154" i="41"/>
  <c r="F154" i="41" s="1"/>
  <c r="D78" i="41"/>
  <c r="F78" i="41" s="1"/>
  <c r="D60" i="41"/>
  <c r="F60" i="41" s="1"/>
  <c r="D115" i="41"/>
  <c r="F115" i="41" s="1"/>
  <c r="D153" i="41"/>
  <c r="F153" i="41" s="1"/>
  <c r="O192" i="41"/>
  <c r="Q195" i="41"/>
  <c r="P194" i="41"/>
  <c r="Q194" i="41"/>
  <c r="P68" i="41"/>
  <c r="I68" i="41"/>
  <c r="I145" i="41"/>
  <c r="E147" i="41"/>
  <c r="M124" i="41"/>
  <c r="D147" i="41"/>
  <c r="O160" i="41"/>
  <c r="F166" i="41"/>
  <c r="N181" i="41"/>
  <c r="H185" i="41"/>
  <c r="I67" i="41"/>
  <c r="I142" i="41"/>
  <c r="M161" i="41"/>
  <c r="M191" i="41" s="1"/>
  <c r="I161" i="41"/>
  <c r="C52" i="41"/>
  <c r="D52" i="41"/>
  <c r="E52" i="41"/>
  <c r="I122" i="41"/>
  <c r="L122" i="41"/>
  <c r="O87" i="41"/>
  <c r="O193" i="41" s="1"/>
  <c r="F90" i="41"/>
  <c r="I31" i="41"/>
  <c r="I50" i="41"/>
  <c r="I66" i="41"/>
  <c r="D69" i="41"/>
  <c r="I69" i="41" s="1"/>
  <c r="D70" i="41"/>
  <c r="D79" i="41"/>
  <c r="F79" i="41" s="1"/>
  <c r="C124" i="41"/>
  <c r="H141" i="41"/>
  <c r="C144" i="41"/>
  <c r="D174" i="41"/>
  <c r="F174" i="41" s="1"/>
  <c r="D40" i="41"/>
  <c r="F40" i="41" s="1"/>
  <c r="G49" i="41"/>
  <c r="E69" i="41"/>
  <c r="E70" i="41"/>
  <c r="C89" i="41"/>
  <c r="D98" i="41"/>
  <c r="F98" i="41" s="1"/>
  <c r="D136" i="41"/>
  <c r="F136" i="41" s="1"/>
  <c r="D155" i="41"/>
  <c r="F155" i="41" s="1"/>
  <c r="I33" i="41"/>
  <c r="H49" i="41"/>
  <c r="Q49" i="41" s="1"/>
  <c r="Q193" i="41" s="1"/>
  <c r="F69" i="41"/>
  <c r="F70" i="41"/>
  <c r="C88" i="41"/>
  <c r="D89" i="41"/>
  <c r="M105" i="41"/>
  <c r="D117" i="41"/>
  <c r="F117" i="41" s="1"/>
  <c r="I28" i="41"/>
  <c r="C34" i="41"/>
  <c r="D58" i="41"/>
  <c r="F58" i="41" s="1"/>
  <c r="G65" i="41"/>
  <c r="C87" i="41"/>
  <c r="D88" i="41"/>
  <c r="E89" i="41"/>
  <c r="N105" i="41"/>
  <c r="C108" i="41"/>
  <c r="C127" i="41"/>
  <c r="F147" i="41"/>
  <c r="G166" i="41"/>
  <c r="D34" i="41"/>
  <c r="G48" i="41"/>
  <c r="D87" i="41"/>
  <c r="E88" i="41"/>
  <c r="D108" i="41"/>
  <c r="C123" i="41"/>
  <c r="D127" i="41"/>
  <c r="C143" i="41"/>
  <c r="C146" i="41"/>
  <c r="H166" i="41"/>
  <c r="I30" i="41"/>
  <c r="E34" i="41"/>
  <c r="H48" i="41"/>
  <c r="E87" i="41"/>
  <c r="C107" i="41"/>
  <c r="E108" i="41"/>
  <c r="E109" i="41" s="1"/>
  <c r="E180" i="41"/>
  <c r="F34" i="41"/>
  <c r="D59" i="41"/>
  <c r="F59" i="41" s="1"/>
  <c r="D77" i="41"/>
  <c r="F77" i="41" s="1"/>
  <c r="D107" i="41"/>
  <c r="C126" i="41"/>
  <c r="D172" i="41"/>
  <c r="F172" i="41" s="1"/>
  <c r="E179" i="41"/>
  <c r="F180" i="41"/>
  <c r="O180" i="41" s="1"/>
  <c r="O191" i="41" s="1"/>
  <c r="G181" i="41"/>
  <c r="G185" i="41" s="1"/>
  <c r="I32" i="41"/>
  <c r="G34" i="41"/>
  <c r="G47" i="41"/>
  <c r="C106" i="41"/>
  <c r="D134" i="41"/>
  <c r="F134" i="41" s="1"/>
  <c r="C141" i="41"/>
  <c r="D160" i="41"/>
  <c r="F179" i="41"/>
  <c r="H47" i="41"/>
  <c r="E160" i="41"/>
  <c r="P193" i="40"/>
  <c r="M191" i="40"/>
  <c r="O193" i="40"/>
  <c r="Q193" i="40"/>
  <c r="O192" i="40"/>
  <c r="N192" i="40"/>
  <c r="E147" i="40"/>
  <c r="H147" i="40"/>
  <c r="I123" i="40"/>
  <c r="C128" i="40"/>
  <c r="I50" i="40"/>
  <c r="P50" i="40"/>
  <c r="I87" i="40"/>
  <c r="C90" i="40"/>
  <c r="O191" i="40"/>
  <c r="G147" i="40"/>
  <c r="I181" i="40"/>
  <c r="I47" i="40"/>
  <c r="E71" i="40"/>
  <c r="L141" i="40"/>
  <c r="L190" i="40" s="1"/>
  <c r="I141" i="40"/>
  <c r="I147" i="40" s="1"/>
  <c r="C147" i="40"/>
  <c r="D147" i="40"/>
  <c r="I124" i="40"/>
  <c r="P195" i="40"/>
  <c r="Q194" i="40"/>
  <c r="M105" i="40"/>
  <c r="M192" i="40" s="1"/>
  <c r="H52" i="40"/>
  <c r="Q51" i="40"/>
  <c r="F147" i="40"/>
  <c r="O141" i="40"/>
  <c r="I126" i="40"/>
  <c r="I34" i="40"/>
  <c r="D34" i="40"/>
  <c r="I46" i="40"/>
  <c r="I49" i="40"/>
  <c r="G69" i="40"/>
  <c r="F70" i="40"/>
  <c r="C106" i="40"/>
  <c r="F34" i="40"/>
  <c r="H70" i="40"/>
  <c r="Q70" i="40" s="1"/>
  <c r="C125" i="40"/>
  <c r="E160" i="40"/>
  <c r="H180" i="40"/>
  <c r="I180" i="40" s="1"/>
  <c r="I32" i="40"/>
  <c r="G34" i="40"/>
  <c r="G48" i="40"/>
  <c r="G52" i="40" s="1"/>
  <c r="C51" i="40"/>
  <c r="C89" i="40"/>
  <c r="C105" i="40"/>
  <c r="F160" i="40"/>
  <c r="G161" i="40"/>
  <c r="H34" i="40"/>
  <c r="D89" i="40"/>
  <c r="G160" i="40"/>
  <c r="G179" i="40"/>
  <c r="E51" i="40"/>
  <c r="C88" i="40"/>
  <c r="H160" i="40"/>
  <c r="I161" i="40"/>
  <c r="H179" i="40"/>
  <c r="F51" i="40"/>
  <c r="D88" i="40"/>
  <c r="C108" i="40"/>
  <c r="C127" i="40"/>
  <c r="E88" i="40"/>
  <c r="C69" i="40"/>
  <c r="D69" i="40"/>
  <c r="C107" i="40"/>
  <c r="O192" i="39"/>
  <c r="Q195" i="39"/>
  <c r="Q193" i="39"/>
  <c r="Q194" i="39"/>
  <c r="M161" i="39"/>
  <c r="M191" i="39" s="1"/>
  <c r="I161" i="39"/>
  <c r="F52" i="39"/>
  <c r="L122" i="39"/>
  <c r="I122" i="39"/>
  <c r="I105" i="39"/>
  <c r="C71" i="39"/>
  <c r="D147" i="39"/>
  <c r="M105" i="39"/>
  <c r="M192" i="39" s="1"/>
  <c r="O87" i="39"/>
  <c r="O193" i="39" s="1"/>
  <c r="F90" i="39"/>
  <c r="P68" i="39"/>
  <c r="I68" i="39"/>
  <c r="E147" i="39"/>
  <c r="E109" i="39"/>
  <c r="N105" i="39"/>
  <c r="O141" i="39"/>
  <c r="F147" i="39"/>
  <c r="G147" i="39"/>
  <c r="I67" i="39"/>
  <c r="P50" i="39"/>
  <c r="I50" i="39"/>
  <c r="D52" i="39"/>
  <c r="I66" i="39"/>
  <c r="H166" i="39"/>
  <c r="I125" i="39"/>
  <c r="I31" i="39"/>
  <c r="D69" i="39"/>
  <c r="D70" i="39"/>
  <c r="C124" i="39"/>
  <c r="H141" i="39"/>
  <c r="C144" i="39"/>
  <c r="I33" i="39"/>
  <c r="F69" i="39"/>
  <c r="F70" i="39"/>
  <c r="I70" i="39" s="1"/>
  <c r="C88" i="39"/>
  <c r="D89" i="39"/>
  <c r="I28" i="39"/>
  <c r="C34" i="39"/>
  <c r="G65" i="39"/>
  <c r="G69" i="39"/>
  <c r="P69" i="39" s="1"/>
  <c r="C87" i="39"/>
  <c r="D88" i="39"/>
  <c r="E89" i="39"/>
  <c r="C108" i="39"/>
  <c r="C127" i="39"/>
  <c r="D87" i="39"/>
  <c r="E88" i="39"/>
  <c r="F89" i="39"/>
  <c r="D108" i="39"/>
  <c r="C123" i="39"/>
  <c r="D127" i="39"/>
  <c r="D128" i="39" s="1"/>
  <c r="C143" i="39"/>
  <c r="C146" i="39"/>
  <c r="E181" i="39"/>
  <c r="I30" i="39"/>
  <c r="E34" i="39"/>
  <c r="H48" i="39"/>
  <c r="E87" i="39"/>
  <c r="C107" i="39"/>
  <c r="E180" i="39"/>
  <c r="F34" i="39"/>
  <c r="D107" i="39"/>
  <c r="D109" i="39" s="1"/>
  <c r="C126" i="39"/>
  <c r="E179" i="39"/>
  <c r="F180" i="39"/>
  <c r="O180" i="39" s="1"/>
  <c r="O191" i="39" s="1"/>
  <c r="G181" i="39"/>
  <c r="I32" i="39"/>
  <c r="G34" i="39"/>
  <c r="G47" i="39"/>
  <c r="C51" i="39"/>
  <c r="C106" i="39"/>
  <c r="C141" i="39"/>
  <c r="D160" i="39"/>
  <c r="F179" i="39"/>
  <c r="G180" i="39"/>
  <c r="H34" i="39"/>
  <c r="H47" i="39"/>
  <c r="D106" i="39"/>
  <c r="C142" i="39"/>
  <c r="C145" i="39"/>
  <c r="E160" i="39"/>
  <c r="G179" i="39"/>
  <c r="H180" i="39"/>
  <c r="F160" i="39"/>
  <c r="H179" i="39"/>
  <c r="G46" i="39"/>
  <c r="G160" i="39"/>
  <c r="G161" i="39"/>
  <c r="F8" i="34"/>
  <c r="F9" i="34"/>
  <c r="F10" i="34"/>
  <c r="F11" i="34"/>
  <c r="F12" i="34"/>
  <c r="F13" i="34"/>
  <c r="F14" i="34"/>
  <c r="F7" i="34"/>
  <c r="E12" i="36"/>
  <c r="D8" i="35"/>
  <c r="D9" i="35"/>
  <c r="D10" i="35"/>
  <c r="D11" i="35"/>
  <c r="D12" i="35"/>
  <c r="D13" i="35"/>
  <c r="D14" i="35"/>
  <c r="D7" i="35"/>
  <c r="D7" i="13"/>
  <c r="D7" i="33"/>
  <c r="D12" i="13"/>
  <c r="D11" i="13"/>
  <c r="D16" i="13" s="1"/>
  <c r="D12" i="12"/>
  <c r="D17" i="12" s="1"/>
  <c r="D11" i="12"/>
  <c r="D16" i="12" s="1"/>
  <c r="C32" i="12"/>
  <c r="C32" i="11"/>
  <c r="E88" i="5"/>
  <c r="E116" i="5" s="1"/>
  <c r="D88" i="5"/>
  <c r="D116" i="5" s="1"/>
  <c r="D11" i="31"/>
  <c r="D16" i="31" s="1"/>
  <c r="E42" i="31" s="1"/>
  <c r="D12" i="11"/>
  <c r="D17" i="11" s="1"/>
  <c r="D11" i="11"/>
  <c r="D16" i="11" s="1"/>
  <c r="E17" i="5"/>
  <c r="D13" i="12" s="1"/>
  <c r="D18" i="12" s="1"/>
  <c r="C20" i="34"/>
  <c r="C68" i="38"/>
  <c r="C67" i="38"/>
  <c r="C66" i="38"/>
  <c r="H17" i="38"/>
  <c r="G17" i="38"/>
  <c r="H16" i="38"/>
  <c r="G16" i="38"/>
  <c r="F16" i="38"/>
  <c r="E16" i="38"/>
  <c r="D16" i="38"/>
  <c r="C16" i="38"/>
  <c r="I16" i="38" s="1"/>
  <c r="I15" i="38"/>
  <c r="H15" i="38"/>
  <c r="G15" i="38"/>
  <c r="F15" i="38"/>
  <c r="E15" i="38"/>
  <c r="D15" i="38"/>
  <c r="C15" i="38"/>
  <c r="H14" i="38"/>
  <c r="G14" i="38"/>
  <c r="F14" i="38"/>
  <c r="E14" i="38"/>
  <c r="D14" i="38"/>
  <c r="I14" i="38" s="1"/>
  <c r="C14" i="38"/>
  <c r="H13" i="38"/>
  <c r="G13" i="38"/>
  <c r="F13" i="38"/>
  <c r="E13" i="38"/>
  <c r="I13" i="38" s="1"/>
  <c r="D13" i="38"/>
  <c r="C13" i="38"/>
  <c r="H12" i="38"/>
  <c r="G12" i="38"/>
  <c r="F12" i="38"/>
  <c r="E12" i="38"/>
  <c r="D12" i="38"/>
  <c r="C12" i="38"/>
  <c r="C17" i="38" s="1"/>
  <c r="H11" i="38"/>
  <c r="G11" i="38"/>
  <c r="I11" i="38" s="1"/>
  <c r="F11" i="38"/>
  <c r="F17" i="38" s="1"/>
  <c r="E11" i="38"/>
  <c r="D11" i="38"/>
  <c r="D17" i="38" s="1"/>
  <c r="C11" i="38"/>
  <c r="D84" i="5"/>
  <c r="E84" i="5"/>
  <c r="H85" i="5"/>
  <c r="D80" i="5" s="1"/>
  <c r="H83" i="5"/>
  <c r="C80" i="5" s="1"/>
  <c r="F78" i="42" l="1"/>
  <c r="F153" i="42"/>
  <c r="F97" i="42"/>
  <c r="F115" i="42"/>
  <c r="F79" i="42"/>
  <c r="E43" i="38"/>
  <c r="D115" i="5"/>
  <c r="E31" i="30"/>
  <c r="C115" i="5"/>
  <c r="F174" i="42"/>
  <c r="E53" i="29"/>
  <c r="E114" i="5"/>
  <c r="E42" i="29"/>
  <c r="D114" i="5"/>
  <c r="F39" i="42"/>
  <c r="D17" i="13"/>
  <c r="F172" i="42"/>
  <c r="F154" i="42"/>
  <c r="F58" i="42"/>
  <c r="F96" i="42"/>
  <c r="P193" i="39"/>
  <c r="F134" i="42"/>
  <c r="F40" i="42"/>
  <c r="F60" i="42"/>
  <c r="F99" i="41"/>
  <c r="F118" i="41"/>
  <c r="D12" i="31"/>
  <c r="D17" i="31" s="1"/>
  <c r="E53" i="31" s="1"/>
  <c r="D12" i="32"/>
  <c r="D17" i="32" s="1"/>
  <c r="D13" i="33"/>
  <c r="D18" i="33" s="1"/>
  <c r="D13" i="32"/>
  <c r="D18" i="32" s="1"/>
  <c r="F135" i="42"/>
  <c r="F42" i="41"/>
  <c r="F12" i="36"/>
  <c r="E13" i="36"/>
  <c r="C128" i="41"/>
  <c r="I70" i="41"/>
  <c r="I51" i="41"/>
  <c r="C109" i="39"/>
  <c r="I49" i="39"/>
  <c r="C128" i="39"/>
  <c r="I69" i="39"/>
  <c r="I70" i="42"/>
  <c r="I34" i="42"/>
  <c r="H71" i="42"/>
  <c r="F117" i="42"/>
  <c r="F77" i="42"/>
  <c r="F173" i="42"/>
  <c r="Q195" i="42"/>
  <c r="I124" i="42"/>
  <c r="I108" i="42"/>
  <c r="E52" i="42"/>
  <c r="G185" i="42"/>
  <c r="I179" i="42"/>
  <c r="I105" i="42"/>
  <c r="C109" i="42"/>
  <c r="I125" i="42"/>
  <c r="I89" i="42"/>
  <c r="F116" i="42"/>
  <c r="D71" i="42"/>
  <c r="I88" i="42"/>
  <c r="F71" i="42"/>
  <c r="C128" i="42"/>
  <c r="C71" i="42"/>
  <c r="I69" i="42"/>
  <c r="I71" i="42" s="1"/>
  <c r="G166" i="42"/>
  <c r="H185" i="42"/>
  <c r="F98" i="42"/>
  <c r="F59" i="42"/>
  <c r="I48" i="42"/>
  <c r="F41" i="42"/>
  <c r="H166" i="42"/>
  <c r="G147" i="42"/>
  <c r="F155" i="42"/>
  <c r="I51" i="42"/>
  <c r="D52" i="42"/>
  <c r="E90" i="42"/>
  <c r="F136" i="42"/>
  <c r="I106" i="42"/>
  <c r="I127" i="42"/>
  <c r="I180" i="42"/>
  <c r="I107" i="42"/>
  <c r="E166" i="42"/>
  <c r="I160" i="42"/>
  <c r="I166" i="42" s="1"/>
  <c r="O160" i="42"/>
  <c r="O190" i="42" s="1"/>
  <c r="F166" i="42"/>
  <c r="P69" i="42"/>
  <c r="P194" i="42" s="1"/>
  <c r="G71" i="42"/>
  <c r="F156" i="41"/>
  <c r="M160" i="41" s="1"/>
  <c r="F61" i="41"/>
  <c r="M192" i="41"/>
  <c r="N192" i="41"/>
  <c r="E90" i="41"/>
  <c r="F71" i="41"/>
  <c r="I144" i="41"/>
  <c r="I181" i="41"/>
  <c r="E166" i="41"/>
  <c r="I179" i="41"/>
  <c r="E185" i="41"/>
  <c r="D90" i="41"/>
  <c r="I87" i="41"/>
  <c r="C90" i="41"/>
  <c r="H147" i="41"/>
  <c r="F175" i="41"/>
  <c r="I65" i="41"/>
  <c r="G71" i="41"/>
  <c r="I124" i="41"/>
  <c r="I126" i="41"/>
  <c r="I48" i="41"/>
  <c r="I52" i="41" s="1"/>
  <c r="L141" i="41"/>
  <c r="L190" i="41" s="1"/>
  <c r="I141" i="41"/>
  <c r="C147" i="41"/>
  <c r="I89" i="41"/>
  <c r="D166" i="41"/>
  <c r="I160" i="41"/>
  <c r="I166" i="41" s="1"/>
  <c r="F80" i="41"/>
  <c r="D71" i="41"/>
  <c r="F137" i="41"/>
  <c r="I106" i="41"/>
  <c r="I146" i="41"/>
  <c r="E71" i="41"/>
  <c r="G52" i="41"/>
  <c r="C109" i="41"/>
  <c r="F185" i="41"/>
  <c r="O179" i="41"/>
  <c r="O190" i="41" s="1"/>
  <c r="I34" i="41"/>
  <c r="I47" i="41"/>
  <c r="I180" i="41"/>
  <c r="N180" i="41"/>
  <c r="N191" i="41" s="1"/>
  <c r="I143" i="41"/>
  <c r="I127" i="41"/>
  <c r="H52" i="41"/>
  <c r="D109" i="41"/>
  <c r="I108" i="41"/>
  <c r="I88" i="41"/>
  <c r="P49" i="41"/>
  <c r="P193" i="41" s="1"/>
  <c r="I49" i="41"/>
  <c r="I107" i="41"/>
  <c r="I123" i="41"/>
  <c r="D128" i="41"/>
  <c r="H166" i="40"/>
  <c r="I127" i="40"/>
  <c r="I128" i="40" s="1"/>
  <c r="I88" i="40"/>
  <c r="I106" i="40"/>
  <c r="I107" i="40"/>
  <c r="I108" i="40"/>
  <c r="E52" i="40"/>
  <c r="O160" i="40"/>
  <c r="O190" i="40" s="1"/>
  <c r="F166" i="40"/>
  <c r="E166" i="40"/>
  <c r="I160" i="40"/>
  <c r="I166" i="40" s="1"/>
  <c r="F71" i="40"/>
  <c r="I70" i="40"/>
  <c r="P69" i="40"/>
  <c r="P194" i="40" s="1"/>
  <c r="G71" i="40"/>
  <c r="C71" i="40"/>
  <c r="I69" i="40"/>
  <c r="I105" i="40"/>
  <c r="C109" i="40"/>
  <c r="F52" i="40"/>
  <c r="I89" i="40"/>
  <c r="I125" i="40"/>
  <c r="D90" i="40"/>
  <c r="D71" i="40"/>
  <c r="G185" i="40"/>
  <c r="I179" i="40"/>
  <c r="I185" i="40" s="1"/>
  <c r="H185" i="40"/>
  <c r="G166" i="40"/>
  <c r="H71" i="40"/>
  <c r="I48" i="40"/>
  <c r="I52" i="40" s="1"/>
  <c r="I51" i="40"/>
  <c r="C52" i="40"/>
  <c r="Q195" i="40"/>
  <c r="E90" i="40"/>
  <c r="P194" i="39"/>
  <c r="I143" i="39"/>
  <c r="C52" i="39"/>
  <c r="I51" i="39"/>
  <c r="I123" i="39"/>
  <c r="I144" i="39"/>
  <c r="H52" i="39"/>
  <c r="I47" i="39"/>
  <c r="I180" i="39"/>
  <c r="N180" i="39"/>
  <c r="N191" i="39" s="1"/>
  <c r="H147" i="39"/>
  <c r="I107" i="39"/>
  <c r="I126" i="39"/>
  <c r="I145" i="39"/>
  <c r="G166" i="39"/>
  <c r="H185" i="39"/>
  <c r="D90" i="39"/>
  <c r="N181" i="39"/>
  <c r="N192" i="39" s="1"/>
  <c r="I181" i="39"/>
  <c r="E166" i="39"/>
  <c r="I106" i="39"/>
  <c r="G52" i="39"/>
  <c r="I46" i="39"/>
  <c r="I52" i="39" s="1"/>
  <c r="I89" i="39"/>
  <c r="I34" i="39"/>
  <c r="F185" i="39"/>
  <c r="O179" i="39"/>
  <c r="E90" i="39"/>
  <c r="D166" i="39"/>
  <c r="I160" i="39"/>
  <c r="I166" i="39" s="1"/>
  <c r="I179" i="39"/>
  <c r="E185" i="39"/>
  <c r="I108" i="39"/>
  <c r="I87" i="39"/>
  <c r="C90" i="39"/>
  <c r="I124" i="39"/>
  <c r="O160" i="39"/>
  <c r="F166" i="39"/>
  <c r="I127" i="39"/>
  <c r="D71" i="39"/>
  <c r="G185" i="39"/>
  <c r="I141" i="39"/>
  <c r="L141" i="39"/>
  <c r="L190" i="39" s="1"/>
  <c r="C147" i="39"/>
  <c r="I88" i="39"/>
  <c r="F71" i="39"/>
  <c r="I146" i="39"/>
  <c r="I142" i="39"/>
  <c r="I65" i="39"/>
  <c r="I71" i="39" s="1"/>
  <c r="G71" i="39"/>
  <c r="C19" i="36"/>
  <c r="D19" i="36"/>
  <c r="D13" i="11"/>
  <c r="D13" i="13"/>
  <c r="D18" i="13" s="1"/>
  <c r="D11" i="33"/>
  <c r="D16" i="33" s="1"/>
  <c r="E42" i="33" s="1"/>
  <c r="D12" i="33"/>
  <c r="D17" i="33" s="1"/>
  <c r="D13" i="31"/>
  <c r="D18" i="31" s="1"/>
  <c r="C19" i="35"/>
  <c r="E31" i="29"/>
  <c r="D19" i="35"/>
  <c r="E20" i="34"/>
  <c r="E19" i="35"/>
  <c r="E42" i="30"/>
  <c r="D20" i="34"/>
  <c r="E19" i="36"/>
  <c r="E32" i="38"/>
  <c r="I17" i="38"/>
  <c r="E17" i="38"/>
  <c r="I12" i="38"/>
  <c r="E64" i="5"/>
  <c r="E112" i="5" s="1"/>
  <c r="D64" i="5"/>
  <c r="D112" i="5" s="1"/>
  <c r="C64" i="5"/>
  <c r="C112" i="5" s="1"/>
  <c r="H87" i="5"/>
  <c r="E80" i="5" s="1"/>
  <c r="E115" i="5" s="1"/>
  <c r="C72" i="5"/>
  <c r="C117" i="5" s="1"/>
  <c r="F80" i="42" l="1"/>
  <c r="N89" i="42" s="1"/>
  <c r="F156" i="42"/>
  <c r="P160" i="42" s="1"/>
  <c r="F175" i="42"/>
  <c r="P181" i="42" s="1"/>
  <c r="F42" i="42"/>
  <c r="N51" i="42" s="1"/>
  <c r="F61" i="42"/>
  <c r="L69" i="42" s="1"/>
  <c r="F99" i="42"/>
  <c r="M106" i="42" s="1"/>
  <c r="F137" i="42"/>
  <c r="N141" i="42" s="1"/>
  <c r="N160" i="41"/>
  <c r="C19" i="40"/>
  <c r="C19" i="39"/>
  <c r="D19" i="39"/>
  <c r="D19" i="40"/>
  <c r="E19" i="39"/>
  <c r="E19" i="40"/>
  <c r="Q46" i="41"/>
  <c r="L51" i="41"/>
  <c r="D192" i="41" s="1"/>
  <c r="I128" i="41"/>
  <c r="M125" i="41" s="1"/>
  <c r="I109" i="41"/>
  <c r="M108" i="41" s="1"/>
  <c r="L146" i="41"/>
  <c r="I71" i="41"/>
  <c r="M70" i="41" s="1"/>
  <c r="I147" i="41"/>
  <c r="I128" i="39"/>
  <c r="I109" i="39"/>
  <c r="I52" i="42"/>
  <c r="I90" i="42"/>
  <c r="I109" i="42"/>
  <c r="F118" i="42"/>
  <c r="M89" i="42"/>
  <c r="I185" i="42"/>
  <c r="L87" i="42"/>
  <c r="N87" i="42"/>
  <c r="N193" i="42" s="1"/>
  <c r="M87" i="42"/>
  <c r="P161" i="42"/>
  <c r="L70" i="42"/>
  <c r="I128" i="42"/>
  <c r="O69" i="41"/>
  <c r="P67" i="41"/>
  <c r="O70" i="41"/>
  <c r="N70" i="41"/>
  <c r="P66" i="41"/>
  <c r="M69" i="41"/>
  <c r="M126" i="41"/>
  <c r="L126" i="41"/>
  <c r="Q179" i="41"/>
  <c r="D199" i="41" s="1"/>
  <c r="P46" i="41"/>
  <c r="P48" i="41"/>
  <c r="I90" i="41"/>
  <c r="M89" i="41" s="1"/>
  <c r="N88" i="41"/>
  <c r="N69" i="41"/>
  <c r="Q160" i="41"/>
  <c r="D198" i="41" s="1"/>
  <c r="Q161" i="41"/>
  <c r="P161" i="41"/>
  <c r="L69" i="41"/>
  <c r="P160" i="41"/>
  <c r="C202" i="41"/>
  <c r="H24" i="23" s="1"/>
  <c r="M41" i="23" s="1"/>
  <c r="L143" i="41"/>
  <c r="L144" i="41"/>
  <c r="P47" i="41"/>
  <c r="L70" i="41"/>
  <c r="Q47" i="41"/>
  <c r="Q141" i="41"/>
  <c r="N51" i="41"/>
  <c r="L106" i="41"/>
  <c r="P65" i="41"/>
  <c r="O51" i="41"/>
  <c r="M51" i="41"/>
  <c r="Q48" i="41"/>
  <c r="I185" i="41"/>
  <c r="P179" i="41" s="1"/>
  <c r="P141" i="41"/>
  <c r="M141" i="41"/>
  <c r="M190" i="41" s="1"/>
  <c r="L145" i="41"/>
  <c r="N141" i="41"/>
  <c r="L142" i="41"/>
  <c r="D197" i="41" s="1"/>
  <c r="I109" i="40"/>
  <c r="I90" i="40"/>
  <c r="I71" i="40"/>
  <c r="O190" i="39"/>
  <c r="I185" i="39"/>
  <c r="I147" i="39"/>
  <c r="I90" i="39"/>
  <c r="E53" i="30"/>
  <c r="E54" i="38"/>
  <c r="F118" i="36"/>
  <c r="D118" i="36"/>
  <c r="C118" i="36"/>
  <c r="Q117" i="36"/>
  <c r="P117" i="36"/>
  <c r="O117" i="36"/>
  <c r="N117" i="36"/>
  <c r="M117" i="36"/>
  <c r="L117" i="36"/>
  <c r="I117" i="36"/>
  <c r="Q116" i="36"/>
  <c r="P116" i="36"/>
  <c r="O116" i="36"/>
  <c r="N116" i="36"/>
  <c r="M116" i="36"/>
  <c r="L116" i="36"/>
  <c r="I116" i="36"/>
  <c r="Q115" i="36"/>
  <c r="P115" i="36"/>
  <c r="O115" i="36"/>
  <c r="N115" i="36"/>
  <c r="M115" i="36"/>
  <c r="L115" i="36"/>
  <c r="I115" i="36"/>
  <c r="O114" i="36"/>
  <c r="N114" i="36"/>
  <c r="M114" i="36"/>
  <c r="L114" i="36"/>
  <c r="O113" i="36"/>
  <c r="N113" i="36"/>
  <c r="M113" i="36"/>
  <c r="L113" i="36"/>
  <c r="O112" i="36"/>
  <c r="M112" i="36"/>
  <c r="L112" i="36"/>
  <c r="L110" i="36"/>
  <c r="F108" i="36"/>
  <c r="Q107" i="36"/>
  <c r="P107" i="36"/>
  <c r="O107" i="36"/>
  <c r="N107" i="36"/>
  <c r="M107" i="36"/>
  <c r="L107" i="36"/>
  <c r="I107" i="36"/>
  <c r="Q106" i="36"/>
  <c r="P106" i="36"/>
  <c r="O106" i="36"/>
  <c r="N106" i="36"/>
  <c r="M106" i="36"/>
  <c r="L106" i="36"/>
  <c r="I106" i="36"/>
  <c r="Q105" i="36"/>
  <c r="P105" i="36"/>
  <c r="O105" i="36"/>
  <c r="N105" i="36"/>
  <c r="M105" i="36"/>
  <c r="L105" i="36"/>
  <c r="I105" i="36"/>
  <c r="Q104" i="36"/>
  <c r="P104" i="36"/>
  <c r="O104" i="36"/>
  <c r="N104" i="36"/>
  <c r="M104" i="36"/>
  <c r="L104" i="36"/>
  <c r="I104" i="36"/>
  <c r="O103" i="36"/>
  <c r="M103" i="36"/>
  <c r="L103" i="36"/>
  <c r="G103" i="36"/>
  <c r="O102" i="36"/>
  <c r="L100" i="36"/>
  <c r="F98" i="36"/>
  <c r="Q97" i="36"/>
  <c r="P97" i="36"/>
  <c r="O97" i="36"/>
  <c r="N97" i="36"/>
  <c r="M97" i="36"/>
  <c r="Q96" i="36"/>
  <c r="P96" i="36"/>
  <c r="O96" i="36"/>
  <c r="N96" i="36"/>
  <c r="M96" i="36"/>
  <c r="Q95" i="36"/>
  <c r="P95" i="36"/>
  <c r="O95" i="36"/>
  <c r="N95" i="36"/>
  <c r="M95" i="36"/>
  <c r="Q94" i="36"/>
  <c r="P94" i="36"/>
  <c r="O94" i="36"/>
  <c r="N94" i="36"/>
  <c r="M94" i="36"/>
  <c r="Q93" i="36"/>
  <c r="P93" i="36"/>
  <c r="O93" i="36"/>
  <c r="N93" i="36"/>
  <c r="M93" i="36"/>
  <c r="O92" i="36"/>
  <c r="L92" i="36"/>
  <c r="D92" i="36"/>
  <c r="L90" i="36"/>
  <c r="H88" i="36"/>
  <c r="G88" i="36"/>
  <c r="F88" i="36"/>
  <c r="E88" i="36"/>
  <c r="Q87" i="36"/>
  <c r="P87" i="36"/>
  <c r="O87" i="36"/>
  <c r="N87" i="36"/>
  <c r="Q86" i="36"/>
  <c r="P86" i="36"/>
  <c r="O86" i="36"/>
  <c r="N86" i="36"/>
  <c r="Q85" i="36"/>
  <c r="P85" i="36"/>
  <c r="O85" i="36"/>
  <c r="N85" i="36"/>
  <c r="Q84" i="36"/>
  <c r="P84" i="36"/>
  <c r="O84" i="36"/>
  <c r="N84" i="36"/>
  <c r="M84" i="36"/>
  <c r="Q83" i="36"/>
  <c r="P83" i="36"/>
  <c r="O83" i="36"/>
  <c r="N83" i="36"/>
  <c r="M83" i="36"/>
  <c r="Q82" i="36"/>
  <c r="P82" i="36"/>
  <c r="O82" i="36"/>
  <c r="N82" i="36"/>
  <c r="M82" i="36"/>
  <c r="L82" i="36"/>
  <c r="I82" i="36"/>
  <c r="L80" i="36"/>
  <c r="H78" i="36"/>
  <c r="G78" i="36"/>
  <c r="F78" i="36"/>
  <c r="Q77" i="36"/>
  <c r="P77" i="36"/>
  <c r="O77" i="36"/>
  <c r="Q76" i="36"/>
  <c r="P76" i="36"/>
  <c r="O76" i="36"/>
  <c r="Q75" i="36"/>
  <c r="P75" i="36"/>
  <c r="O75" i="36"/>
  <c r="Q74" i="36"/>
  <c r="P74" i="36"/>
  <c r="O74" i="36"/>
  <c r="N74" i="36"/>
  <c r="M74" i="36"/>
  <c r="Q73" i="36"/>
  <c r="P73" i="36"/>
  <c r="O73" i="36"/>
  <c r="N73" i="36"/>
  <c r="M73" i="36"/>
  <c r="L73" i="36"/>
  <c r="I73" i="36"/>
  <c r="Q72" i="36"/>
  <c r="P72" i="36"/>
  <c r="O72" i="36"/>
  <c r="N72" i="36"/>
  <c r="M72" i="36"/>
  <c r="L72" i="36"/>
  <c r="I72" i="36"/>
  <c r="L70" i="36"/>
  <c r="H68" i="36"/>
  <c r="G68" i="36"/>
  <c r="Q67" i="36"/>
  <c r="P67" i="36"/>
  <c r="Q66" i="36"/>
  <c r="P66" i="36"/>
  <c r="F66" i="36"/>
  <c r="Q65" i="36"/>
  <c r="P65" i="36"/>
  <c r="Q64" i="36"/>
  <c r="P64" i="36"/>
  <c r="O64" i="36"/>
  <c r="N64" i="36"/>
  <c r="M64" i="36"/>
  <c r="L64" i="36"/>
  <c r="I64" i="36"/>
  <c r="Q63" i="36"/>
  <c r="P63" i="36"/>
  <c r="O63" i="36"/>
  <c r="N63" i="36"/>
  <c r="M63" i="36"/>
  <c r="L63" i="36"/>
  <c r="I63" i="36"/>
  <c r="Q62" i="36"/>
  <c r="P62" i="36"/>
  <c r="O62" i="36"/>
  <c r="N62" i="36"/>
  <c r="M62" i="36"/>
  <c r="L62" i="36"/>
  <c r="I62" i="36"/>
  <c r="L60" i="36"/>
  <c r="H58" i="36"/>
  <c r="Q57" i="36"/>
  <c r="P57" i="36"/>
  <c r="Q56" i="36"/>
  <c r="P56" i="36"/>
  <c r="Q55" i="36"/>
  <c r="P55" i="36"/>
  <c r="O55" i="36"/>
  <c r="N55" i="36"/>
  <c r="M55" i="36"/>
  <c r="L55" i="36"/>
  <c r="I55" i="36"/>
  <c r="Q54" i="36"/>
  <c r="O54" i="36"/>
  <c r="N54" i="36"/>
  <c r="M54" i="36"/>
  <c r="L54" i="36"/>
  <c r="Q53" i="36"/>
  <c r="O53" i="36"/>
  <c r="N53" i="36"/>
  <c r="M53" i="36"/>
  <c r="L53" i="36"/>
  <c r="Q52" i="36"/>
  <c r="O52" i="36"/>
  <c r="N52" i="36"/>
  <c r="M52" i="36"/>
  <c r="L52" i="36"/>
  <c r="L50" i="36"/>
  <c r="Q46" i="36"/>
  <c r="P46" i="36"/>
  <c r="O46" i="36"/>
  <c r="N46" i="36"/>
  <c r="M46" i="36"/>
  <c r="L46" i="36"/>
  <c r="I46" i="36"/>
  <c r="Q45" i="36"/>
  <c r="P45" i="36"/>
  <c r="O45" i="36"/>
  <c r="N45" i="36"/>
  <c r="M45" i="36"/>
  <c r="L45" i="36"/>
  <c r="I45" i="36"/>
  <c r="O44" i="36"/>
  <c r="N44" i="36"/>
  <c r="M44" i="36"/>
  <c r="L44" i="36"/>
  <c r="O43" i="36"/>
  <c r="N43" i="36"/>
  <c r="M43" i="36"/>
  <c r="L43" i="36"/>
  <c r="O42" i="36"/>
  <c r="N42" i="36"/>
  <c r="M42" i="36"/>
  <c r="L42" i="36"/>
  <c r="L40" i="36"/>
  <c r="H34" i="36"/>
  <c r="H47" i="36" s="1"/>
  <c r="Q47" i="36" s="1"/>
  <c r="G34" i="36"/>
  <c r="G47" i="36" s="1"/>
  <c r="P47" i="36" s="1"/>
  <c r="F34" i="36"/>
  <c r="F57" i="36" s="1"/>
  <c r="E34" i="36"/>
  <c r="E67" i="36" s="1"/>
  <c r="D34" i="36"/>
  <c r="D77" i="36" s="1"/>
  <c r="C34" i="36"/>
  <c r="C77" i="36" s="1"/>
  <c r="H33" i="36"/>
  <c r="G33" i="36"/>
  <c r="F33" i="36"/>
  <c r="F56" i="36" s="1"/>
  <c r="E33" i="36"/>
  <c r="E56" i="36" s="1"/>
  <c r="D33" i="36"/>
  <c r="D66" i="36" s="1"/>
  <c r="C33" i="36"/>
  <c r="C66" i="36" s="1"/>
  <c r="H32" i="36"/>
  <c r="G32" i="36"/>
  <c r="F32" i="36"/>
  <c r="F65" i="36" s="1"/>
  <c r="E32" i="36"/>
  <c r="E75" i="36" s="1"/>
  <c r="D32" i="36"/>
  <c r="D85" i="36" s="1"/>
  <c r="C32" i="36"/>
  <c r="C95" i="36" s="1"/>
  <c r="H31" i="36"/>
  <c r="H114" i="36" s="1"/>
  <c r="G31" i="36"/>
  <c r="G114" i="36" s="1"/>
  <c r="F31" i="36"/>
  <c r="E31" i="36"/>
  <c r="D31" i="36"/>
  <c r="C31" i="36"/>
  <c r="C94" i="36" s="1"/>
  <c r="H30" i="36"/>
  <c r="H113" i="36" s="1"/>
  <c r="G30" i="36"/>
  <c r="G113" i="36" s="1"/>
  <c r="F30" i="36"/>
  <c r="E30" i="36"/>
  <c r="E103" i="36" s="1"/>
  <c r="N103" i="36" s="1"/>
  <c r="D30" i="36"/>
  <c r="C30" i="36"/>
  <c r="C83" i="36" s="1"/>
  <c r="H29" i="36"/>
  <c r="G29" i="36"/>
  <c r="G42" i="36" s="1"/>
  <c r="F29" i="36"/>
  <c r="F35" i="36" s="1"/>
  <c r="E29" i="36"/>
  <c r="E112" i="36" s="1"/>
  <c r="D29" i="36"/>
  <c r="C29" i="36"/>
  <c r="C102" i="36" s="1"/>
  <c r="L102" i="36" s="1"/>
  <c r="D24" i="36"/>
  <c r="D23" i="36"/>
  <c r="D22" i="36"/>
  <c r="F11" i="36"/>
  <c r="F13" i="36" s="1"/>
  <c r="D185" i="35"/>
  <c r="C185" i="35"/>
  <c r="Q184" i="35"/>
  <c r="P184" i="35"/>
  <c r="O184" i="35"/>
  <c r="N184" i="35"/>
  <c r="M184" i="35"/>
  <c r="L184" i="35"/>
  <c r="I184" i="35"/>
  <c r="Q183" i="35"/>
  <c r="P183" i="35"/>
  <c r="O183" i="35"/>
  <c r="N183" i="35"/>
  <c r="M183" i="35"/>
  <c r="L183" i="35"/>
  <c r="I183" i="35"/>
  <c r="Q182" i="35"/>
  <c r="P182" i="35"/>
  <c r="O182" i="35"/>
  <c r="N182" i="35"/>
  <c r="M182" i="35"/>
  <c r="L182" i="35"/>
  <c r="I182" i="35"/>
  <c r="M181" i="35"/>
  <c r="L181" i="35"/>
  <c r="M180" i="35"/>
  <c r="L180" i="35"/>
  <c r="M179" i="35"/>
  <c r="L179" i="35"/>
  <c r="C177" i="35"/>
  <c r="L177" i="35" s="1"/>
  <c r="E174" i="35"/>
  <c r="E173" i="35"/>
  <c r="E172" i="35"/>
  <c r="C166" i="35"/>
  <c r="Q165" i="35"/>
  <c r="P165" i="35"/>
  <c r="O165" i="35"/>
  <c r="N165" i="35"/>
  <c r="M165" i="35"/>
  <c r="L165" i="35"/>
  <c r="I165" i="35"/>
  <c r="Q164" i="35"/>
  <c r="P164" i="35"/>
  <c r="O164" i="35"/>
  <c r="N164" i="35"/>
  <c r="M164" i="35"/>
  <c r="L164" i="35"/>
  <c r="I164" i="35"/>
  <c r="Q163" i="35"/>
  <c r="P163" i="35"/>
  <c r="O163" i="35"/>
  <c r="N163" i="35"/>
  <c r="M163" i="35"/>
  <c r="L163" i="35"/>
  <c r="I163" i="35"/>
  <c r="Q162" i="35"/>
  <c r="P162" i="35"/>
  <c r="O162" i="35"/>
  <c r="N162" i="35"/>
  <c r="M162" i="35"/>
  <c r="L162" i="35"/>
  <c r="I162" i="35"/>
  <c r="L161" i="35"/>
  <c r="L160" i="35"/>
  <c r="C158" i="35"/>
  <c r="L158" i="35" s="1"/>
  <c r="E155" i="35"/>
  <c r="E154" i="35"/>
  <c r="E153" i="35"/>
  <c r="Q146" i="35"/>
  <c r="P146" i="35"/>
  <c r="O146" i="35"/>
  <c r="N146" i="35"/>
  <c r="M146" i="35"/>
  <c r="Q145" i="35"/>
  <c r="P145" i="35"/>
  <c r="O145" i="35"/>
  <c r="N145" i="35"/>
  <c r="M145" i="35"/>
  <c r="Q144" i="35"/>
  <c r="P144" i="35"/>
  <c r="O144" i="35"/>
  <c r="N144" i="35"/>
  <c r="M144" i="35"/>
  <c r="Q143" i="35"/>
  <c r="P143" i="35"/>
  <c r="O143" i="35"/>
  <c r="N143" i="35"/>
  <c r="M143" i="35"/>
  <c r="Q142" i="35"/>
  <c r="P142" i="35"/>
  <c r="O142" i="35"/>
  <c r="N142" i="35"/>
  <c r="M142" i="35"/>
  <c r="C139" i="35"/>
  <c r="L139" i="35" s="1"/>
  <c r="E136" i="35"/>
  <c r="E135" i="35"/>
  <c r="E134" i="35"/>
  <c r="H128" i="35"/>
  <c r="G128" i="35"/>
  <c r="F128" i="35"/>
  <c r="E128" i="35"/>
  <c r="Q127" i="35"/>
  <c r="P127" i="35"/>
  <c r="O127" i="35"/>
  <c r="N127" i="35"/>
  <c r="Q126" i="35"/>
  <c r="P126" i="35"/>
  <c r="O126" i="35"/>
  <c r="N126" i="35"/>
  <c r="Q125" i="35"/>
  <c r="P125" i="35"/>
  <c r="O125" i="35"/>
  <c r="N125" i="35"/>
  <c r="Q124" i="35"/>
  <c r="P124" i="35"/>
  <c r="O124" i="35"/>
  <c r="N124" i="35"/>
  <c r="Q123" i="35"/>
  <c r="P123" i="35"/>
  <c r="O123" i="35"/>
  <c r="N123" i="35"/>
  <c r="M123" i="35"/>
  <c r="Q122" i="35"/>
  <c r="P122" i="35"/>
  <c r="O122" i="35"/>
  <c r="N122" i="35"/>
  <c r="M122" i="35"/>
  <c r="L120" i="35"/>
  <c r="C120" i="35"/>
  <c r="E117" i="35"/>
  <c r="E116" i="35"/>
  <c r="E115" i="35"/>
  <c r="H109" i="35"/>
  <c r="G109" i="35"/>
  <c r="F109" i="35"/>
  <c r="Q108" i="35"/>
  <c r="P108" i="35"/>
  <c r="O108" i="35"/>
  <c r="Q107" i="35"/>
  <c r="P107" i="35"/>
  <c r="O107" i="35"/>
  <c r="Q106" i="35"/>
  <c r="P106" i="35"/>
  <c r="O106" i="35"/>
  <c r="Q105" i="35"/>
  <c r="P105" i="35"/>
  <c r="O105" i="35"/>
  <c r="Q104" i="35"/>
  <c r="P104" i="35"/>
  <c r="O104" i="35"/>
  <c r="N104" i="35"/>
  <c r="M104" i="35"/>
  <c r="L104" i="35"/>
  <c r="I104" i="35"/>
  <c r="Q103" i="35"/>
  <c r="P103" i="35"/>
  <c r="O103" i="35"/>
  <c r="N103" i="35"/>
  <c r="M103" i="35"/>
  <c r="L103" i="35"/>
  <c r="I103" i="35"/>
  <c r="L101" i="35"/>
  <c r="C101" i="35"/>
  <c r="E98" i="35"/>
  <c r="E97" i="35"/>
  <c r="E96" i="35"/>
  <c r="H90" i="35"/>
  <c r="G90" i="35"/>
  <c r="Q89" i="35"/>
  <c r="P89" i="35"/>
  <c r="Q88" i="35"/>
  <c r="P88" i="35"/>
  <c r="Q87" i="35"/>
  <c r="P87" i="35"/>
  <c r="Q86" i="35"/>
  <c r="P86" i="35"/>
  <c r="O86" i="35"/>
  <c r="N86" i="35"/>
  <c r="M86" i="35"/>
  <c r="L86" i="35"/>
  <c r="I86" i="35"/>
  <c r="Q85" i="35"/>
  <c r="P85" i="35"/>
  <c r="O85" i="35"/>
  <c r="N85" i="35"/>
  <c r="M85" i="35"/>
  <c r="L85" i="35"/>
  <c r="I85" i="35"/>
  <c r="Q84" i="35"/>
  <c r="P84" i="35"/>
  <c r="O84" i="35"/>
  <c r="N84" i="35"/>
  <c r="M84" i="35"/>
  <c r="L84" i="35"/>
  <c r="I84" i="35"/>
  <c r="C82" i="35"/>
  <c r="L82" i="35" s="1"/>
  <c r="E79" i="35"/>
  <c r="E78" i="35"/>
  <c r="E77" i="35"/>
  <c r="H71" i="35"/>
  <c r="Q70" i="35"/>
  <c r="E70" i="35"/>
  <c r="Q69" i="35"/>
  <c r="Q68" i="35"/>
  <c r="O68" i="35"/>
  <c r="N68" i="35"/>
  <c r="M68" i="35"/>
  <c r="L68" i="35"/>
  <c r="Q67" i="35"/>
  <c r="O67" i="35"/>
  <c r="N67" i="35"/>
  <c r="M67" i="35"/>
  <c r="L67" i="35"/>
  <c r="Q66" i="35"/>
  <c r="O66" i="35"/>
  <c r="N66" i="35"/>
  <c r="M66" i="35"/>
  <c r="L66" i="35"/>
  <c r="Q65" i="35"/>
  <c r="O65" i="35"/>
  <c r="N65" i="35"/>
  <c r="M65" i="35"/>
  <c r="L65" i="35"/>
  <c r="C63" i="35"/>
  <c r="L63" i="35" s="1"/>
  <c r="E60" i="35"/>
  <c r="E59" i="35"/>
  <c r="E58" i="35"/>
  <c r="G51" i="35"/>
  <c r="P51" i="35" s="1"/>
  <c r="D51" i="35"/>
  <c r="D52" i="35" s="1"/>
  <c r="O50" i="35"/>
  <c r="N50" i="35"/>
  <c r="M50" i="35"/>
  <c r="L50" i="35"/>
  <c r="O49" i="35"/>
  <c r="N49" i="35"/>
  <c r="M49" i="35"/>
  <c r="L49" i="35"/>
  <c r="G49" i="35"/>
  <c r="P49" i="35" s="1"/>
  <c r="O48" i="35"/>
  <c r="N48" i="35"/>
  <c r="M48" i="35"/>
  <c r="L48" i="35"/>
  <c r="O47" i="35"/>
  <c r="N47" i="35"/>
  <c r="M47" i="35"/>
  <c r="L47" i="35"/>
  <c r="O46" i="35"/>
  <c r="N46" i="35"/>
  <c r="M46" i="35"/>
  <c r="L46" i="35"/>
  <c r="C44" i="35"/>
  <c r="L44" i="35" s="1"/>
  <c r="E41" i="35"/>
  <c r="E40" i="35"/>
  <c r="E39" i="35"/>
  <c r="H33" i="35"/>
  <c r="H51" i="35" s="1"/>
  <c r="Q51" i="35" s="1"/>
  <c r="G33" i="35"/>
  <c r="G70" i="35" s="1"/>
  <c r="P70" i="35" s="1"/>
  <c r="F33" i="35"/>
  <c r="F51" i="35" s="1"/>
  <c r="E33" i="35"/>
  <c r="E51" i="35" s="1"/>
  <c r="D33" i="35"/>
  <c r="D127" i="35" s="1"/>
  <c r="C33" i="35"/>
  <c r="C70" i="35" s="1"/>
  <c r="H32" i="35"/>
  <c r="H50" i="35" s="1"/>
  <c r="Q50" i="35" s="1"/>
  <c r="G32" i="35"/>
  <c r="G69" i="35" s="1"/>
  <c r="P69" i="35" s="1"/>
  <c r="F32" i="35"/>
  <c r="F88" i="35" s="1"/>
  <c r="E32" i="35"/>
  <c r="E107" i="35" s="1"/>
  <c r="D32" i="35"/>
  <c r="D126" i="35" s="1"/>
  <c r="C32" i="35"/>
  <c r="C69" i="35" s="1"/>
  <c r="H31" i="35"/>
  <c r="H49" i="35" s="1"/>
  <c r="Q49" i="35" s="1"/>
  <c r="G31" i="35"/>
  <c r="G68" i="35" s="1"/>
  <c r="F31" i="35"/>
  <c r="F87" i="35" s="1"/>
  <c r="E31" i="35"/>
  <c r="E106" i="35" s="1"/>
  <c r="D31" i="35"/>
  <c r="D125" i="35" s="1"/>
  <c r="C31" i="35"/>
  <c r="C125" i="35" s="1"/>
  <c r="H30" i="35"/>
  <c r="H181" i="35" s="1"/>
  <c r="G30" i="35"/>
  <c r="G181" i="35" s="1"/>
  <c r="F30" i="35"/>
  <c r="F181" i="35" s="1"/>
  <c r="O181" i="35" s="1"/>
  <c r="E30" i="35"/>
  <c r="E105" i="35" s="1"/>
  <c r="D30" i="35"/>
  <c r="D105" i="35" s="1"/>
  <c r="C30" i="35"/>
  <c r="C105" i="35" s="1"/>
  <c r="H29" i="35"/>
  <c r="H161" i="35" s="1"/>
  <c r="G29" i="35"/>
  <c r="G66" i="35" s="1"/>
  <c r="F29" i="35"/>
  <c r="E29" i="35"/>
  <c r="E161" i="35" s="1"/>
  <c r="N161" i="35" s="1"/>
  <c r="D29" i="35"/>
  <c r="D161" i="35" s="1"/>
  <c r="C29" i="35"/>
  <c r="C142" i="35" s="1"/>
  <c r="H28" i="35"/>
  <c r="H160" i="35" s="1"/>
  <c r="G28" i="35"/>
  <c r="G141" i="35" s="1"/>
  <c r="F28" i="35"/>
  <c r="F141" i="35" s="1"/>
  <c r="E28" i="35"/>
  <c r="E141" i="35" s="1"/>
  <c r="D28" i="35"/>
  <c r="D141" i="35" s="1"/>
  <c r="C28" i="35"/>
  <c r="C122" i="35" s="1"/>
  <c r="C14" i="35"/>
  <c r="C199" i="35" s="1"/>
  <c r="C13" i="35"/>
  <c r="C198" i="35" s="1"/>
  <c r="C12" i="35"/>
  <c r="C197" i="35" s="1"/>
  <c r="C11" i="35"/>
  <c r="C196" i="35" s="1"/>
  <c r="C10" i="35"/>
  <c r="C195" i="35" s="1"/>
  <c r="C9" i="35"/>
  <c r="C194" i="35" s="1"/>
  <c r="C8" i="35"/>
  <c r="C193" i="35" s="1"/>
  <c r="C7" i="35"/>
  <c r="C192" i="35" s="1"/>
  <c r="F186" i="34"/>
  <c r="E186" i="34"/>
  <c r="D186" i="34"/>
  <c r="C186" i="34"/>
  <c r="Q185" i="34"/>
  <c r="P185" i="34"/>
  <c r="O185" i="34"/>
  <c r="N185" i="34"/>
  <c r="M185" i="34"/>
  <c r="L185" i="34"/>
  <c r="I185" i="34"/>
  <c r="Q184" i="34"/>
  <c r="P184" i="34"/>
  <c r="O184" i="34"/>
  <c r="N184" i="34"/>
  <c r="M184" i="34"/>
  <c r="L184" i="34"/>
  <c r="I184" i="34"/>
  <c r="Q183" i="34"/>
  <c r="P183" i="34"/>
  <c r="O183" i="34"/>
  <c r="N183" i="34"/>
  <c r="M183" i="34"/>
  <c r="L183" i="34"/>
  <c r="I183" i="34"/>
  <c r="O182" i="34"/>
  <c r="N182" i="34"/>
  <c r="M182" i="34"/>
  <c r="L182" i="34"/>
  <c r="O181" i="34"/>
  <c r="N181" i="34"/>
  <c r="M181" i="34"/>
  <c r="L181" i="34"/>
  <c r="H181" i="34"/>
  <c r="G181" i="34"/>
  <c r="O180" i="34"/>
  <c r="N180" i="34"/>
  <c r="M180" i="34"/>
  <c r="L180" i="34"/>
  <c r="L178" i="34"/>
  <c r="D178" i="34"/>
  <c r="M178" i="34" s="1"/>
  <c r="C178" i="34"/>
  <c r="E175" i="34"/>
  <c r="E174" i="34"/>
  <c r="E173" i="34"/>
  <c r="D167" i="34"/>
  <c r="C167" i="34"/>
  <c r="Q166" i="34"/>
  <c r="P166" i="34"/>
  <c r="O166" i="34"/>
  <c r="N166" i="34"/>
  <c r="M166" i="34"/>
  <c r="L166" i="34"/>
  <c r="I166" i="34"/>
  <c r="Q165" i="34"/>
  <c r="P165" i="34"/>
  <c r="O165" i="34"/>
  <c r="N165" i="34"/>
  <c r="M165" i="34"/>
  <c r="L165" i="34"/>
  <c r="I165" i="34"/>
  <c r="Q164" i="34"/>
  <c r="P164" i="34"/>
  <c r="O164" i="34"/>
  <c r="N164" i="34"/>
  <c r="M164" i="34"/>
  <c r="L164" i="34"/>
  <c r="I164" i="34"/>
  <c r="Q163" i="34"/>
  <c r="P163" i="34"/>
  <c r="O163" i="34"/>
  <c r="N163" i="34"/>
  <c r="M163" i="34"/>
  <c r="L163" i="34"/>
  <c r="I163" i="34"/>
  <c r="M162" i="34"/>
  <c r="L162" i="34"/>
  <c r="F162" i="34"/>
  <c r="O162" i="34" s="1"/>
  <c r="E162" i="34"/>
  <c r="N162" i="34" s="1"/>
  <c r="M161" i="34"/>
  <c r="L161" i="34"/>
  <c r="E161" i="34"/>
  <c r="M159" i="34"/>
  <c r="D159" i="34"/>
  <c r="C159" i="34"/>
  <c r="L159" i="34" s="1"/>
  <c r="E156" i="34"/>
  <c r="E155" i="34"/>
  <c r="E154" i="34"/>
  <c r="Q147" i="34"/>
  <c r="P147" i="34"/>
  <c r="O147" i="34"/>
  <c r="N147" i="34"/>
  <c r="M147" i="34"/>
  <c r="L147" i="34"/>
  <c r="I147" i="34"/>
  <c r="Q146" i="34"/>
  <c r="P146" i="34"/>
  <c r="O146" i="34"/>
  <c r="N146" i="34"/>
  <c r="M146" i="34"/>
  <c r="L146" i="34"/>
  <c r="I146" i="34"/>
  <c r="Q145" i="34"/>
  <c r="P145" i="34"/>
  <c r="O145" i="34"/>
  <c r="N145" i="34"/>
  <c r="M145" i="34"/>
  <c r="L145" i="34"/>
  <c r="I145" i="34"/>
  <c r="Q144" i="34"/>
  <c r="P144" i="34"/>
  <c r="O144" i="34"/>
  <c r="N144" i="34"/>
  <c r="M144" i="34"/>
  <c r="L144" i="34"/>
  <c r="I144" i="34"/>
  <c r="Q143" i="34"/>
  <c r="P143" i="34"/>
  <c r="O143" i="34"/>
  <c r="N143" i="34"/>
  <c r="M143" i="34"/>
  <c r="L143" i="34"/>
  <c r="I143" i="34"/>
  <c r="C142" i="34"/>
  <c r="L142" i="34" s="1"/>
  <c r="M140" i="34"/>
  <c r="D140" i="34"/>
  <c r="C140" i="34"/>
  <c r="L140" i="34" s="1"/>
  <c r="E137" i="34"/>
  <c r="E136" i="34"/>
  <c r="E135" i="34"/>
  <c r="H129" i="34"/>
  <c r="G129" i="34"/>
  <c r="F129" i="34"/>
  <c r="E129" i="34"/>
  <c r="D129" i="34"/>
  <c r="Q128" i="34"/>
  <c r="P128" i="34"/>
  <c r="O128" i="34"/>
  <c r="N128" i="34"/>
  <c r="M128" i="34"/>
  <c r="Q127" i="34"/>
  <c r="P127" i="34"/>
  <c r="O127" i="34"/>
  <c r="N127" i="34"/>
  <c r="M127" i="34"/>
  <c r="Q126" i="34"/>
  <c r="P126" i="34"/>
  <c r="O126" i="34"/>
  <c r="N126" i="34"/>
  <c r="M126" i="34"/>
  <c r="Q125" i="34"/>
  <c r="P125" i="34"/>
  <c r="O125" i="34"/>
  <c r="N125" i="34"/>
  <c r="M125" i="34"/>
  <c r="Q124" i="34"/>
  <c r="P124" i="34"/>
  <c r="O124" i="34"/>
  <c r="N124" i="34"/>
  <c r="M124" i="34"/>
  <c r="Q123" i="34"/>
  <c r="P123" i="34"/>
  <c r="O123" i="34"/>
  <c r="N123" i="34"/>
  <c r="M123" i="34"/>
  <c r="L123" i="34"/>
  <c r="I123" i="34"/>
  <c r="M121" i="34"/>
  <c r="L121" i="34"/>
  <c r="D121" i="34"/>
  <c r="C121" i="34"/>
  <c r="E118" i="34"/>
  <c r="E117" i="34"/>
  <c r="E116" i="34"/>
  <c r="H110" i="34"/>
  <c r="G110" i="34"/>
  <c r="F110" i="34"/>
  <c r="E110" i="34"/>
  <c r="Q109" i="34"/>
  <c r="P109" i="34"/>
  <c r="O109" i="34"/>
  <c r="N109" i="34"/>
  <c r="Q108" i="34"/>
  <c r="P108" i="34"/>
  <c r="O108" i="34"/>
  <c r="N108" i="34"/>
  <c r="Q107" i="34"/>
  <c r="P107" i="34"/>
  <c r="O107" i="34"/>
  <c r="N107" i="34"/>
  <c r="D107" i="34"/>
  <c r="Q106" i="34"/>
  <c r="P106" i="34"/>
  <c r="O106" i="34"/>
  <c r="N106" i="34"/>
  <c r="Q105" i="34"/>
  <c r="P105" i="34"/>
  <c r="O105" i="34"/>
  <c r="N105" i="34"/>
  <c r="M105" i="34"/>
  <c r="L105" i="34"/>
  <c r="I105" i="34"/>
  <c r="Q104" i="34"/>
  <c r="P104" i="34"/>
  <c r="O104" i="34"/>
  <c r="N104" i="34"/>
  <c r="M104" i="34"/>
  <c r="L104" i="34"/>
  <c r="I104" i="34"/>
  <c r="L102" i="34"/>
  <c r="D102" i="34"/>
  <c r="M102" i="34" s="1"/>
  <c r="C102" i="34"/>
  <c r="E99" i="34"/>
  <c r="E98" i="34"/>
  <c r="E97" i="34"/>
  <c r="H91" i="34"/>
  <c r="G91" i="34"/>
  <c r="F91" i="34"/>
  <c r="Q90" i="34"/>
  <c r="P90" i="34"/>
  <c r="O90" i="34"/>
  <c r="Q89" i="34"/>
  <c r="P89" i="34"/>
  <c r="O89" i="34"/>
  <c r="Q88" i="34"/>
  <c r="P88" i="34"/>
  <c r="O88" i="34"/>
  <c r="Q87" i="34"/>
  <c r="P87" i="34"/>
  <c r="O87" i="34"/>
  <c r="N87" i="34"/>
  <c r="M87" i="34"/>
  <c r="L87" i="34"/>
  <c r="I87" i="34"/>
  <c r="Q86" i="34"/>
  <c r="P86" i="34"/>
  <c r="O86" i="34"/>
  <c r="N86" i="34"/>
  <c r="M86" i="34"/>
  <c r="L86" i="34"/>
  <c r="I86" i="34"/>
  <c r="Q85" i="34"/>
  <c r="P85" i="34"/>
  <c r="O85" i="34"/>
  <c r="N85" i="34"/>
  <c r="M85" i="34"/>
  <c r="L85" i="34"/>
  <c r="I85" i="34"/>
  <c r="M83" i="34"/>
  <c r="D83" i="34"/>
  <c r="C83" i="34"/>
  <c r="L83" i="34" s="1"/>
  <c r="E80" i="34"/>
  <c r="E79" i="34"/>
  <c r="E78" i="34"/>
  <c r="H71" i="34"/>
  <c r="Q71" i="34" s="1"/>
  <c r="G71" i="34"/>
  <c r="P71" i="34" s="1"/>
  <c r="H70" i="34"/>
  <c r="Q70" i="34" s="1"/>
  <c r="Q69" i="34"/>
  <c r="P69" i="34"/>
  <c r="O69" i="34"/>
  <c r="N69" i="34"/>
  <c r="M69" i="34"/>
  <c r="L69" i="34"/>
  <c r="I69" i="34"/>
  <c r="Q68" i="34"/>
  <c r="P68" i="34"/>
  <c r="O68" i="34"/>
  <c r="N68" i="34"/>
  <c r="M68" i="34"/>
  <c r="L68" i="34"/>
  <c r="I68" i="34"/>
  <c r="Q67" i="34"/>
  <c r="P67" i="34"/>
  <c r="O67" i="34"/>
  <c r="N67" i="34"/>
  <c r="M67" i="34"/>
  <c r="L67" i="34"/>
  <c r="I67" i="34"/>
  <c r="Q66" i="34"/>
  <c r="P66" i="34"/>
  <c r="O66" i="34"/>
  <c r="N66" i="34"/>
  <c r="M66" i="34"/>
  <c r="L66" i="34"/>
  <c r="I66" i="34"/>
  <c r="L64" i="34"/>
  <c r="D64" i="34"/>
  <c r="M64" i="34" s="1"/>
  <c r="C64" i="34"/>
  <c r="E61" i="34"/>
  <c r="E60" i="34"/>
  <c r="E59" i="34"/>
  <c r="Q51" i="34"/>
  <c r="O51" i="34"/>
  <c r="N51" i="34"/>
  <c r="M51" i="34"/>
  <c r="L51" i="34"/>
  <c r="Q50" i="34"/>
  <c r="O50" i="34"/>
  <c r="N50" i="34"/>
  <c r="M50" i="34"/>
  <c r="L50" i="34"/>
  <c r="Q49" i="34"/>
  <c r="O49" i="34"/>
  <c r="N49" i="34"/>
  <c r="M49" i="34"/>
  <c r="L49" i="34"/>
  <c r="Q48" i="34"/>
  <c r="O48" i="34"/>
  <c r="N48" i="34"/>
  <c r="M48" i="34"/>
  <c r="L48" i="34"/>
  <c r="Q47" i="34"/>
  <c r="O47" i="34"/>
  <c r="N47" i="34"/>
  <c r="M47" i="34"/>
  <c r="L47" i="34"/>
  <c r="M45" i="34"/>
  <c r="D45" i="34"/>
  <c r="C45" i="34"/>
  <c r="L45" i="34" s="1"/>
  <c r="E42" i="34"/>
  <c r="E41" i="34"/>
  <c r="E40" i="34"/>
  <c r="F35" i="34"/>
  <c r="E35" i="34"/>
  <c r="H34" i="34"/>
  <c r="H52" i="34" s="1"/>
  <c r="G34" i="34"/>
  <c r="G52" i="34" s="1"/>
  <c r="P52" i="34" s="1"/>
  <c r="F34" i="34"/>
  <c r="F52" i="34" s="1"/>
  <c r="E34" i="34"/>
  <c r="E71" i="34" s="1"/>
  <c r="D34" i="34"/>
  <c r="D71" i="34" s="1"/>
  <c r="C34" i="34"/>
  <c r="I34" i="34" s="1"/>
  <c r="H33" i="34"/>
  <c r="G33" i="34"/>
  <c r="G51" i="34" s="1"/>
  <c r="F33" i="34"/>
  <c r="F70" i="34" s="1"/>
  <c r="E33" i="34"/>
  <c r="E70" i="34" s="1"/>
  <c r="D33" i="34"/>
  <c r="D108" i="34" s="1"/>
  <c r="C33" i="34"/>
  <c r="C127" i="34" s="1"/>
  <c r="H32" i="34"/>
  <c r="G32" i="34"/>
  <c r="G50" i="34" s="1"/>
  <c r="F32" i="34"/>
  <c r="E32" i="34"/>
  <c r="E88" i="34" s="1"/>
  <c r="D32" i="34"/>
  <c r="D88" i="34" s="1"/>
  <c r="C32" i="34"/>
  <c r="C35" i="34" s="1"/>
  <c r="I31" i="34"/>
  <c r="H31" i="34"/>
  <c r="H182" i="34" s="1"/>
  <c r="G31" i="34"/>
  <c r="G182" i="34" s="1"/>
  <c r="F31" i="34"/>
  <c r="E31" i="34"/>
  <c r="D31" i="34"/>
  <c r="D106" i="34" s="1"/>
  <c r="C31" i="34"/>
  <c r="C125" i="34" s="1"/>
  <c r="H30" i="34"/>
  <c r="H162" i="34" s="1"/>
  <c r="G30" i="34"/>
  <c r="G48" i="34" s="1"/>
  <c r="F30" i="34"/>
  <c r="E30" i="34"/>
  <c r="D30" i="34"/>
  <c r="C30" i="34"/>
  <c r="C124" i="34" s="1"/>
  <c r="I29" i="34"/>
  <c r="H29" i="34"/>
  <c r="H142" i="34" s="1"/>
  <c r="G29" i="34"/>
  <c r="G47" i="34" s="1"/>
  <c r="F29" i="34"/>
  <c r="F142" i="34" s="1"/>
  <c r="E29" i="34"/>
  <c r="E142" i="34" s="1"/>
  <c r="D29" i="34"/>
  <c r="D142" i="34" s="1"/>
  <c r="C29" i="34"/>
  <c r="E19" i="34"/>
  <c r="C42" i="34" s="1"/>
  <c r="D19" i="34"/>
  <c r="C136" i="34" s="1"/>
  <c r="C19" i="34"/>
  <c r="E14" i="34"/>
  <c r="D14" i="34"/>
  <c r="E13" i="34"/>
  <c r="D13" i="34"/>
  <c r="E12" i="34"/>
  <c r="D12" i="34"/>
  <c r="E11" i="34"/>
  <c r="D11" i="34"/>
  <c r="E10" i="34"/>
  <c r="D10" i="34"/>
  <c r="E9" i="34"/>
  <c r="D9" i="34"/>
  <c r="E8" i="34"/>
  <c r="D8" i="34"/>
  <c r="E7" i="34"/>
  <c r="D7" i="34"/>
  <c r="C78" i="33"/>
  <c r="C77" i="33"/>
  <c r="C76" i="33"/>
  <c r="C34" i="33"/>
  <c r="H27" i="33"/>
  <c r="H36" i="33" s="1"/>
  <c r="G27" i="33"/>
  <c r="G36" i="33" s="1"/>
  <c r="F27" i="33"/>
  <c r="F36" i="33" s="1"/>
  <c r="E27" i="33"/>
  <c r="E36" i="33" s="1"/>
  <c r="D27" i="33"/>
  <c r="D36" i="33" s="1"/>
  <c r="C27" i="33"/>
  <c r="C36" i="33" s="1"/>
  <c r="H26" i="33"/>
  <c r="H35" i="33" s="1"/>
  <c r="G26" i="33"/>
  <c r="G35" i="33" s="1"/>
  <c r="F26" i="33"/>
  <c r="F35" i="33" s="1"/>
  <c r="E26" i="33"/>
  <c r="E35" i="33" s="1"/>
  <c r="D26" i="33"/>
  <c r="D35" i="33" s="1"/>
  <c r="C26" i="33"/>
  <c r="H25" i="33"/>
  <c r="H34" i="33" s="1"/>
  <c r="G25" i="33"/>
  <c r="G34" i="33" s="1"/>
  <c r="F25" i="33"/>
  <c r="F34" i="33" s="1"/>
  <c r="E25" i="33"/>
  <c r="E34" i="33" s="1"/>
  <c r="D25" i="33"/>
  <c r="D34" i="33" s="1"/>
  <c r="C25" i="33"/>
  <c r="I25" i="33" s="1"/>
  <c r="H24" i="33"/>
  <c r="H33" i="33" s="1"/>
  <c r="G24" i="33"/>
  <c r="G33" i="33" s="1"/>
  <c r="F24" i="33"/>
  <c r="F33" i="33" s="1"/>
  <c r="E24" i="33"/>
  <c r="E33" i="33" s="1"/>
  <c r="D24" i="33"/>
  <c r="D33" i="33" s="1"/>
  <c r="C24" i="33"/>
  <c r="H23" i="33"/>
  <c r="H32" i="33" s="1"/>
  <c r="G23" i="33"/>
  <c r="G32" i="33" s="1"/>
  <c r="F23" i="33"/>
  <c r="E23" i="33"/>
  <c r="E32" i="33" s="1"/>
  <c r="D23" i="33"/>
  <c r="D32" i="33" s="1"/>
  <c r="C23" i="33"/>
  <c r="C32" i="33" s="1"/>
  <c r="H22" i="33"/>
  <c r="H28" i="33" s="1"/>
  <c r="G22" i="33"/>
  <c r="G28" i="33" s="1"/>
  <c r="F22" i="33"/>
  <c r="F28" i="33" s="1"/>
  <c r="E22" i="33"/>
  <c r="E28" i="33" s="1"/>
  <c r="D22" i="33"/>
  <c r="D28" i="33" s="1"/>
  <c r="C22" i="33"/>
  <c r="C31" i="33" s="1"/>
  <c r="E64" i="33"/>
  <c r="C78" i="32"/>
  <c r="C77" i="32"/>
  <c r="C76" i="32"/>
  <c r="H34" i="32"/>
  <c r="C33" i="32"/>
  <c r="F31" i="32"/>
  <c r="H27" i="32"/>
  <c r="G27" i="32"/>
  <c r="G36" i="32" s="1"/>
  <c r="F27" i="32"/>
  <c r="F36" i="32" s="1"/>
  <c r="E27" i="32"/>
  <c r="E36" i="32" s="1"/>
  <c r="D27" i="32"/>
  <c r="D36" i="32" s="1"/>
  <c r="C27" i="32"/>
  <c r="C36" i="32" s="1"/>
  <c r="H26" i="32"/>
  <c r="H35" i="32" s="1"/>
  <c r="G26" i="32"/>
  <c r="G35" i="32" s="1"/>
  <c r="F26" i="32"/>
  <c r="F35" i="32" s="1"/>
  <c r="E26" i="32"/>
  <c r="E35" i="32" s="1"/>
  <c r="D26" i="32"/>
  <c r="D35" i="32" s="1"/>
  <c r="C26" i="32"/>
  <c r="C35" i="32" s="1"/>
  <c r="H25" i="32"/>
  <c r="G25" i="32"/>
  <c r="G34" i="32" s="1"/>
  <c r="F25" i="32"/>
  <c r="F34" i="32" s="1"/>
  <c r="E25" i="32"/>
  <c r="E34" i="32" s="1"/>
  <c r="D25" i="32"/>
  <c r="D34" i="32" s="1"/>
  <c r="C25" i="32"/>
  <c r="C34" i="32" s="1"/>
  <c r="H24" i="32"/>
  <c r="H33" i="32" s="1"/>
  <c r="G24" i="32"/>
  <c r="G33" i="32" s="1"/>
  <c r="F24" i="32"/>
  <c r="F33" i="32" s="1"/>
  <c r="E24" i="32"/>
  <c r="E33" i="32" s="1"/>
  <c r="D24" i="32"/>
  <c r="D33" i="32" s="1"/>
  <c r="C24" i="32"/>
  <c r="H23" i="32"/>
  <c r="H32" i="32" s="1"/>
  <c r="G23" i="32"/>
  <c r="G32" i="32" s="1"/>
  <c r="F23" i="32"/>
  <c r="F32" i="32" s="1"/>
  <c r="E23" i="32"/>
  <c r="E32" i="32" s="1"/>
  <c r="D23" i="32"/>
  <c r="D32" i="32" s="1"/>
  <c r="C23" i="32"/>
  <c r="H22" i="32"/>
  <c r="H28" i="32" s="1"/>
  <c r="G22" i="32"/>
  <c r="F22" i="32"/>
  <c r="E22" i="32"/>
  <c r="E31" i="32" s="1"/>
  <c r="D22" i="32"/>
  <c r="D31" i="32" s="1"/>
  <c r="C22" i="32"/>
  <c r="C31" i="32" s="1"/>
  <c r="C78" i="31"/>
  <c r="C77" i="31"/>
  <c r="C76" i="31"/>
  <c r="H27" i="31"/>
  <c r="H36" i="31" s="1"/>
  <c r="G27" i="31"/>
  <c r="G36" i="31" s="1"/>
  <c r="F27" i="31"/>
  <c r="F36" i="31" s="1"/>
  <c r="E27" i="31"/>
  <c r="E36" i="31" s="1"/>
  <c r="D27" i="31"/>
  <c r="D36" i="31" s="1"/>
  <c r="C27" i="31"/>
  <c r="C36" i="31" s="1"/>
  <c r="H26" i="31"/>
  <c r="H35" i="31" s="1"/>
  <c r="G26" i="31"/>
  <c r="G35" i="31" s="1"/>
  <c r="F26" i="31"/>
  <c r="F35" i="31" s="1"/>
  <c r="E26" i="31"/>
  <c r="E35" i="31" s="1"/>
  <c r="D26" i="31"/>
  <c r="D35" i="31" s="1"/>
  <c r="C26" i="31"/>
  <c r="I26" i="31" s="1"/>
  <c r="H25" i="31"/>
  <c r="H34" i="31" s="1"/>
  <c r="G25" i="31"/>
  <c r="G34" i="31" s="1"/>
  <c r="F25" i="31"/>
  <c r="F34" i="31" s="1"/>
  <c r="E25" i="31"/>
  <c r="E34" i="31" s="1"/>
  <c r="D25" i="31"/>
  <c r="D34" i="31" s="1"/>
  <c r="C25" i="31"/>
  <c r="C34" i="31" s="1"/>
  <c r="H24" i="31"/>
  <c r="H33" i="31" s="1"/>
  <c r="G24" i="31"/>
  <c r="G33" i="31" s="1"/>
  <c r="F24" i="31"/>
  <c r="F33" i="31" s="1"/>
  <c r="E24" i="31"/>
  <c r="E33" i="31" s="1"/>
  <c r="D24" i="31"/>
  <c r="D33" i="31" s="1"/>
  <c r="C24" i="31"/>
  <c r="I24" i="31" s="1"/>
  <c r="H23" i="31"/>
  <c r="H32" i="31" s="1"/>
  <c r="G23" i="31"/>
  <c r="G32" i="31" s="1"/>
  <c r="F23" i="31"/>
  <c r="E23" i="31"/>
  <c r="E32" i="31" s="1"/>
  <c r="D23" i="31"/>
  <c r="D32" i="31" s="1"/>
  <c r="C23" i="31"/>
  <c r="C32" i="31" s="1"/>
  <c r="H22" i="31"/>
  <c r="H28" i="31" s="1"/>
  <c r="G22" i="31"/>
  <c r="G28" i="31" s="1"/>
  <c r="F22" i="31"/>
  <c r="F28" i="31" s="1"/>
  <c r="E22" i="31"/>
  <c r="E28" i="31" s="1"/>
  <c r="D22" i="31"/>
  <c r="D31" i="31" s="1"/>
  <c r="C22" i="31"/>
  <c r="C69" i="30"/>
  <c r="C68" i="30"/>
  <c r="C67" i="30"/>
  <c r="H16" i="30"/>
  <c r="G16" i="30"/>
  <c r="F16" i="30"/>
  <c r="E16" i="30"/>
  <c r="D16" i="30"/>
  <c r="C16" i="30"/>
  <c r="I16" i="30" s="1"/>
  <c r="H15" i="30"/>
  <c r="G15" i="30"/>
  <c r="F15" i="30"/>
  <c r="E15" i="30"/>
  <c r="D15" i="30"/>
  <c r="C15" i="30"/>
  <c r="I15" i="30" s="1"/>
  <c r="H14" i="30"/>
  <c r="G14" i="30"/>
  <c r="F14" i="30"/>
  <c r="E14" i="30"/>
  <c r="D14" i="30"/>
  <c r="C14" i="30"/>
  <c r="I14" i="30" s="1"/>
  <c r="H13" i="30"/>
  <c r="G13" i="30"/>
  <c r="F13" i="30"/>
  <c r="E13" i="30"/>
  <c r="D13" i="30"/>
  <c r="C13" i="30"/>
  <c r="I13" i="30" s="1"/>
  <c r="H12" i="30"/>
  <c r="I12" i="30" s="1"/>
  <c r="G12" i="30"/>
  <c r="F12" i="30"/>
  <c r="E12" i="30"/>
  <c r="D12" i="30"/>
  <c r="C12" i="30"/>
  <c r="H11" i="30"/>
  <c r="H17" i="30" s="1"/>
  <c r="G11" i="30"/>
  <c r="G17" i="30" s="1"/>
  <c r="F11" i="30"/>
  <c r="F17" i="30" s="1"/>
  <c r="E11" i="30"/>
  <c r="E17" i="30" s="1"/>
  <c r="D11" i="30"/>
  <c r="C11" i="30"/>
  <c r="C17" i="30" s="1"/>
  <c r="C10" i="29"/>
  <c r="E54" i="28"/>
  <c r="E43" i="28"/>
  <c r="E32" i="28"/>
  <c r="E53" i="27"/>
  <c r="E42" i="27"/>
  <c r="E31" i="27"/>
  <c r="C68" i="28"/>
  <c r="C67" i="28"/>
  <c r="C66" i="28"/>
  <c r="F17" i="28"/>
  <c r="H16" i="28"/>
  <c r="I16" i="28" s="1"/>
  <c r="G16" i="28"/>
  <c r="F16" i="28"/>
  <c r="E16" i="28"/>
  <c r="D16" i="28"/>
  <c r="C16" i="28"/>
  <c r="H15" i="28"/>
  <c r="G15" i="28"/>
  <c r="F15" i="28"/>
  <c r="E15" i="28"/>
  <c r="D15" i="28"/>
  <c r="D17" i="28" s="1"/>
  <c r="C15" i="28"/>
  <c r="I15" i="28" s="1"/>
  <c r="H14" i="28"/>
  <c r="G14" i="28"/>
  <c r="F14" i="28"/>
  <c r="E14" i="28"/>
  <c r="D14" i="28"/>
  <c r="C14" i="28"/>
  <c r="C17" i="28" s="1"/>
  <c r="H13" i="28"/>
  <c r="G13" i="28"/>
  <c r="F13" i="28"/>
  <c r="E13" i="28"/>
  <c r="I13" i="28" s="1"/>
  <c r="D13" i="28"/>
  <c r="C13" i="28"/>
  <c r="H12" i="28"/>
  <c r="G12" i="28"/>
  <c r="F12" i="28"/>
  <c r="E12" i="28"/>
  <c r="D12" i="28"/>
  <c r="C12" i="28"/>
  <c r="I12" i="28" s="1"/>
  <c r="H11" i="28"/>
  <c r="G11" i="28"/>
  <c r="I11" i="28" s="1"/>
  <c r="F11" i="28"/>
  <c r="E11" i="28"/>
  <c r="E17" i="28" s="1"/>
  <c r="D11" i="28"/>
  <c r="C11" i="28"/>
  <c r="C69" i="27"/>
  <c r="C68" i="27"/>
  <c r="C67" i="27"/>
  <c r="F17" i="27"/>
  <c r="E17" i="27"/>
  <c r="H16" i="27"/>
  <c r="G16" i="27"/>
  <c r="F16" i="27"/>
  <c r="E16" i="27"/>
  <c r="D16" i="27"/>
  <c r="I16" i="27" s="1"/>
  <c r="C16" i="27"/>
  <c r="H15" i="27"/>
  <c r="G15" i="27"/>
  <c r="I15" i="27" s="1"/>
  <c r="F15" i="27"/>
  <c r="E15" i="27"/>
  <c r="D15" i="27"/>
  <c r="C15" i="27"/>
  <c r="H14" i="27"/>
  <c r="G14" i="27"/>
  <c r="F14" i="27"/>
  <c r="E14" i="27"/>
  <c r="D14" i="27"/>
  <c r="C14" i="27"/>
  <c r="I14" i="27" s="1"/>
  <c r="I13" i="27"/>
  <c r="H13" i="27"/>
  <c r="G13" i="27"/>
  <c r="G17" i="27" s="1"/>
  <c r="F13" i="27"/>
  <c r="E13" i="27"/>
  <c r="D13" i="27"/>
  <c r="C13" i="27"/>
  <c r="H12" i="27"/>
  <c r="G12" i="27"/>
  <c r="F12" i="27"/>
  <c r="E12" i="27"/>
  <c r="D12" i="27"/>
  <c r="D17" i="27" s="1"/>
  <c r="C12" i="27"/>
  <c r="I11" i="27"/>
  <c r="H11" i="27"/>
  <c r="H17" i="27" s="1"/>
  <c r="G11" i="27"/>
  <c r="F11" i="27"/>
  <c r="E11" i="27"/>
  <c r="D11" i="27"/>
  <c r="C11" i="27"/>
  <c r="F8" i="15"/>
  <c r="F9" i="15"/>
  <c r="F10" i="15"/>
  <c r="F11" i="15"/>
  <c r="F12" i="15"/>
  <c r="F13" i="15"/>
  <c r="F14" i="15"/>
  <c r="F7" i="15"/>
  <c r="D7" i="15"/>
  <c r="D8" i="15"/>
  <c r="D9" i="15"/>
  <c r="D10" i="15"/>
  <c r="D11" i="15"/>
  <c r="D12" i="15"/>
  <c r="D13" i="15"/>
  <c r="D14" i="15"/>
  <c r="D10" i="3"/>
  <c r="N6" i="3"/>
  <c r="AQ21" i="3"/>
  <c r="AP21" i="3"/>
  <c r="Q141" i="42" l="1"/>
  <c r="M69" i="42"/>
  <c r="M107" i="42"/>
  <c r="L88" i="42"/>
  <c r="N88" i="42"/>
  <c r="M88" i="42"/>
  <c r="L89" i="42"/>
  <c r="L106" i="42"/>
  <c r="L108" i="42"/>
  <c r="Q179" i="42"/>
  <c r="M108" i="42"/>
  <c r="P48" i="42"/>
  <c r="P192" i="42" s="1"/>
  <c r="Q160" i="42"/>
  <c r="N160" i="42"/>
  <c r="N190" i="42" s="1"/>
  <c r="Q161" i="42"/>
  <c r="O69" i="42"/>
  <c r="O194" i="42" s="1"/>
  <c r="M70" i="42"/>
  <c r="N70" i="42"/>
  <c r="N195" i="42" s="1"/>
  <c r="N69" i="42"/>
  <c r="N194" i="42" s="1"/>
  <c r="O70" i="42"/>
  <c r="M51" i="42"/>
  <c r="L51" i="42"/>
  <c r="P46" i="42"/>
  <c r="D74" i="30"/>
  <c r="F76" i="30"/>
  <c r="C73" i="30"/>
  <c r="G77" i="30"/>
  <c r="E75" i="30"/>
  <c r="H78" i="30"/>
  <c r="M141" i="42"/>
  <c r="M190" i="42" s="1"/>
  <c r="L126" i="42"/>
  <c r="D74" i="27"/>
  <c r="C73" i="27"/>
  <c r="G77" i="27"/>
  <c r="H78" i="27"/>
  <c r="E75" i="27"/>
  <c r="F76" i="27"/>
  <c r="C15" i="29"/>
  <c r="C16" i="29"/>
  <c r="C49" i="29" s="1"/>
  <c r="P141" i="42"/>
  <c r="C198" i="42"/>
  <c r="H26" i="23" s="1"/>
  <c r="M37" i="23" s="1"/>
  <c r="D60" i="40"/>
  <c r="C41" i="40"/>
  <c r="C79" i="40"/>
  <c r="C155" i="40"/>
  <c r="C98" i="40"/>
  <c r="C174" i="40"/>
  <c r="D41" i="40"/>
  <c r="C60" i="40"/>
  <c r="D136" i="40"/>
  <c r="C136" i="40"/>
  <c r="D117" i="40"/>
  <c r="C117" i="40"/>
  <c r="D155" i="40"/>
  <c r="D79" i="40"/>
  <c r="D98" i="40"/>
  <c r="D174" i="40"/>
  <c r="D155" i="39"/>
  <c r="F155" i="39" s="1"/>
  <c r="D136" i="39"/>
  <c r="F136" i="39" s="1"/>
  <c r="D98" i="39"/>
  <c r="F98" i="39" s="1"/>
  <c r="D117" i="39"/>
  <c r="F117" i="39" s="1"/>
  <c r="D60" i="39"/>
  <c r="F60" i="39" s="1"/>
  <c r="D79" i="39"/>
  <c r="F79" i="39" s="1"/>
  <c r="D41" i="39"/>
  <c r="F41" i="39" s="1"/>
  <c r="D174" i="39"/>
  <c r="F174" i="39" s="1"/>
  <c r="D78" i="40"/>
  <c r="C40" i="40"/>
  <c r="D59" i="40"/>
  <c r="C116" i="40"/>
  <c r="D154" i="40"/>
  <c r="D116" i="40"/>
  <c r="C173" i="40"/>
  <c r="D135" i="40"/>
  <c r="D173" i="40"/>
  <c r="D40" i="40"/>
  <c r="D97" i="40"/>
  <c r="C135" i="40"/>
  <c r="C154" i="40"/>
  <c r="C59" i="40"/>
  <c r="C78" i="40"/>
  <c r="C97" i="40"/>
  <c r="D116" i="39"/>
  <c r="F116" i="39" s="1"/>
  <c r="D97" i="39"/>
  <c r="F97" i="39" s="1"/>
  <c r="D78" i="39"/>
  <c r="F78" i="39" s="1"/>
  <c r="D173" i="39"/>
  <c r="F173" i="39" s="1"/>
  <c r="D154" i="39"/>
  <c r="F154" i="39" s="1"/>
  <c r="D135" i="39"/>
  <c r="F135" i="39" s="1"/>
  <c r="D59" i="39"/>
  <c r="F59" i="39" s="1"/>
  <c r="D40" i="39"/>
  <c r="F40" i="39" s="1"/>
  <c r="D134" i="39"/>
  <c r="F134" i="39" s="1"/>
  <c r="D172" i="39"/>
  <c r="F172" i="39" s="1"/>
  <c r="D39" i="39"/>
  <c r="F39" i="39" s="1"/>
  <c r="D115" i="39"/>
  <c r="F115" i="39" s="1"/>
  <c r="D58" i="39"/>
  <c r="F58" i="39" s="1"/>
  <c r="D96" i="39"/>
  <c r="F96" i="39" s="1"/>
  <c r="D77" i="39"/>
  <c r="F77" i="39" s="1"/>
  <c r="D153" i="39"/>
  <c r="F153" i="39" s="1"/>
  <c r="D115" i="40"/>
  <c r="C39" i="40"/>
  <c r="C115" i="40"/>
  <c r="C58" i="40"/>
  <c r="D58" i="40"/>
  <c r="D39" i="40"/>
  <c r="D77" i="40"/>
  <c r="C172" i="40"/>
  <c r="C153" i="40"/>
  <c r="D172" i="40"/>
  <c r="C134" i="40"/>
  <c r="D134" i="40"/>
  <c r="C96" i="40"/>
  <c r="C77" i="40"/>
  <c r="D96" i="40"/>
  <c r="D153" i="40"/>
  <c r="H35" i="36"/>
  <c r="D86" i="36"/>
  <c r="C65" i="36"/>
  <c r="D76" i="36"/>
  <c r="E65" i="36"/>
  <c r="E76" i="36"/>
  <c r="C93" i="36"/>
  <c r="I93" i="36" s="1"/>
  <c r="I30" i="36"/>
  <c r="D35" i="36"/>
  <c r="D102" i="36"/>
  <c r="C75" i="36"/>
  <c r="H112" i="36"/>
  <c r="H118" i="36" s="1"/>
  <c r="L127" i="41"/>
  <c r="L124" i="41"/>
  <c r="L108" i="41"/>
  <c r="M127" i="41"/>
  <c r="M195" i="41" s="1"/>
  <c r="M107" i="41"/>
  <c r="L123" i="41"/>
  <c r="D196" i="41" s="1"/>
  <c r="L88" i="41"/>
  <c r="N106" i="41"/>
  <c r="N107" i="41"/>
  <c r="N194" i="41" s="1"/>
  <c r="L107" i="41"/>
  <c r="L105" i="41"/>
  <c r="D195" i="41" s="1"/>
  <c r="M106" i="41"/>
  <c r="N108" i="41"/>
  <c r="L125" i="41"/>
  <c r="E69" i="35"/>
  <c r="D89" i="35"/>
  <c r="H47" i="35"/>
  <c r="G67" i="35"/>
  <c r="I67" i="35" s="1"/>
  <c r="F69" i="35"/>
  <c r="C89" i="35"/>
  <c r="I89" i="35" s="1"/>
  <c r="I29" i="35"/>
  <c r="G50" i="35"/>
  <c r="P50" i="35" s="1"/>
  <c r="P194" i="35" s="1"/>
  <c r="D124" i="35"/>
  <c r="L107" i="42"/>
  <c r="Q180" i="42"/>
  <c r="L105" i="42"/>
  <c r="O51" i="42"/>
  <c r="P47" i="42"/>
  <c r="L123" i="42"/>
  <c r="L191" i="42" s="1"/>
  <c r="L125" i="42"/>
  <c r="L193" i="42" s="1"/>
  <c r="L127" i="42"/>
  <c r="L124" i="42"/>
  <c r="P180" i="42"/>
  <c r="P179" i="42"/>
  <c r="M193" i="42"/>
  <c r="Q181" i="42"/>
  <c r="Q192" i="42" s="1"/>
  <c r="N89" i="41"/>
  <c r="P180" i="41"/>
  <c r="P191" i="41" s="1"/>
  <c r="Q190" i="41"/>
  <c r="M88" i="41"/>
  <c r="N87" i="41"/>
  <c r="N179" i="41"/>
  <c r="N190" i="41" s="1"/>
  <c r="M87" i="41"/>
  <c r="P181" i="41"/>
  <c r="P192" i="41" s="1"/>
  <c r="D193" i="41"/>
  <c r="P190" i="41"/>
  <c r="O89" i="41"/>
  <c r="O195" i="41" s="1"/>
  <c r="L87" i="41"/>
  <c r="L89" i="41"/>
  <c r="O88" i="41"/>
  <c r="O194" i="41" s="1"/>
  <c r="Q180" i="41"/>
  <c r="Q191" i="41" s="1"/>
  <c r="Q181" i="41"/>
  <c r="Q192" i="41" s="1"/>
  <c r="D85" i="27"/>
  <c r="I23" i="33"/>
  <c r="I24" i="33"/>
  <c r="I26" i="33"/>
  <c r="D31" i="33"/>
  <c r="F31" i="33"/>
  <c r="F44" i="33" s="1"/>
  <c r="I24" i="32"/>
  <c r="I25" i="32"/>
  <c r="I27" i="32"/>
  <c r="E28" i="32"/>
  <c r="F28" i="32"/>
  <c r="G28" i="32"/>
  <c r="I23" i="32"/>
  <c r="I23" i="31"/>
  <c r="F31" i="31"/>
  <c r="E42" i="32"/>
  <c r="E53" i="32"/>
  <c r="C116" i="34"/>
  <c r="C97" i="34"/>
  <c r="P128" i="36"/>
  <c r="E53" i="33"/>
  <c r="C60" i="33" s="1"/>
  <c r="O123" i="36"/>
  <c r="E64" i="32"/>
  <c r="F68" i="32" s="1"/>
  <c r="C135" i="34"/>
  <c r="N124" i="36"/>
  <c r="C154" i="34"/>
  <c r="D85" i="30"/>
  <c r="C59" i="34"/>
  <c r="O192" i="34"/>
  <c r="O125" i="36"/>
  <c r="H70" i="33"/>
  <c r="L123" i="36"/>
  <c r="P127" i="36"/>
  <c r="G49" i="33"/>
  <c r="Q193" i="35"/>
  <c r="Q195" i="35"/>
  <c r="Q194" i="35"/>
  <c r="M125" i="36"/>
  <c r="C117" i="34"/>
  <c r="Q128" i="36"/>
  <c r="N125" i="36"/>
  <c r="N193" i="34"/>
  <c r="P196" i="34"/>
  <c r="O193" i="34"/>
  <c r="Q127" i="36"/>
  <c r="G49" i="31"/>
  <c r="C41" i="34"/>
  <c r="C155" i="34"/>
  <c r="M192" i="34"/>
  <c r="O194" i="34"/>
  <c r="M124" i="36"/>
  <c r="P126" i="36"/>
  <c r="C173" i="34"/>
  <c r="N192" i="34"/>
  <c r="Q194" i="34"/>
  <c r="Q126" i="36"/>
  <c r="E64" i="31"/>
  <c r="D70" i="31" s="1"/>
  <c r="C79" i="34"/>
  <c r="O124" i="36"/>
  <c r="F58" i="36"/>
  <c r="I114" i="36"/>
  <c r="I95" i="36"/>
  <c r="I83" i="36"/>
  <c r="I113" i="36"/>
  <c r="I94" i="36"/>
  <c r="G13" i="36"/>
  <c r="C22" i="36" s="1"/>
  <c r="E118" i="36"/>
  <c r="I32" i="36"/>
  <c r="H42" i="36"/>
  <c r="D65" i="36"/>
  <c r="E66" i="36"/>
  <c r="E68" i="36" s="1"/>
  <c r="F67" i="36"/>
  <c r="C76" i="36"/>
  <c r="E77" i="36"/>
  <c r="C86" i="36"/>
  <c r="G112" i="36"/>
  <c r="I29" i="36"/>
  <c r="C35" i="36"/>
  <c r="D75" i="36"/>
  <c r="C85" i="36"/>
  <c r="E92" i="36"/>
  <c r="E102" i="36"/>
  <c r="H103" i="36"/>
  <c r="I103" i="36" s="1"/>
  <c r="C108" i="36"/>
  <c r="C47" i="36"/>
  <c r="G92" i="36"/>
  <c r="G102" i="36"/>
  <c r="D108" i="36"/>
  <c r="I31" i="36"/>
  <c r="E35" i="36"/>
  <c r="G44" i="36"/>
  <c r="D47" i="36"/>
  <c r="G54" i="36"/>
  <c r="H92" i="36"/>
  <c r="H102" i="36"/>
  <c r="G52" i="36"/>
  <c r="H44" i="36"/>
  <c r="E47" i="36"/>
  <c r="C74" i="36"/>
  <c r="D98" i="36"/>
  <c r="I33" i="36"/>
  <c r="G35" i="36"/>
  <c r="F47" i="36"/>
  <c r="C57" i="36"/>
  <c r="O65" i="36"/>
  <c r="O126" i="36" s="1"/>
  <c r="C84" i="36"/>
  <c r="G43" i="36"/>
  <c r="C56" i="36"/>
  <c r="D57" i="36"/>
  <c r="I34" i="36"/>
  <c r="H43" i="36"/>
  <c r="G53" i="36"/>
  <c r="D56" i="36"/>
  <c r="E57" i="36"/>
  <c r="C67" i="36"/>
  <c r="C87" i="36"/>
  <c r="C97" i="36"/>
  <c r="C96" i="36"/>
  <c r="D67" i="36"/>
  <c r="D87" i="36"/>
  <c r="I66" i="35"/>
  <c r="P68" i="35"/>
  <c r="P193" i="35" s="1"/>
  <c r="I68" i="35"/>
  <c r="L122" i="35"/>
  <c r="I122" i="35"/>
  <c r="I105" i="35"/>
  <c r="C71" i="35"/>
  <c r="E147" i="35"/>
  <c r="D147" i="35"/>
  <c r="E109" i="35"/>
  <c r="N105" i="35"/>
  <c r="O141" i="35"/>
  <c r="F147" i="35"/>
  <c r="G147" i="35"/>
  <c r="O192" i="35"/>
  <c r="D128" i="35"/>
  <c r="H166" i="35"/>
  <c r="P195" i="35"/>
  <c r="M105" i="35"/>
  <c r="I142" i="35"/>
  <c r="I125" i="35"/>
  <c r="M161" i="35"/>
  <c r="M191" i="35" s="1"/>
  <c r="E52" i="35"/>
  <c r="O87" i="35"/>
  <c r="O193" i="35" s="1"/>
  <c r="F52" i="35"/>
  <c r="E71" i="35"/>
  <c r="I31" i="35"/>
  <c r="I50" i="35"/>
  <c r="D69" i="35"/>
  <c r="D70" i="35"/>
  <c r="C124" i="35"/>
  <c r="H141" i="35"/>
  <c r="C144" i="35"/>
  <c r="I33" i="35"/>
  <c r="F70" i="35"/>
  <c r="F71" i="35" s="1"/>
  <c r="C88" i="35"/>
  <c r="I28" i="35"/>
  <c r="C34" i="35"/>
  <c r="I49" i="35"/>
  <c r="G65" i="35"/>
  <c r="C87" i="35"/>
  <c r="D88" i="35"/>
  <c r="E89" i="35"/>
  <c r="C108" i="35"/>
  <c r="C127" i="35"/>
  <c r="D34" i="35"/>
  <c r="G48" i="35"/>
  <c r="D87" i="35"/>
  <c r="E88" i="35"/>
  <c r="F89" i="35"/>
  <c r="F90" i="35" s="1"/>
  <c r="D108" i="35"/>
  <c r="C123" i="35"/>
  <c r="M124" i="35"/>
  <c r="C143" i="35"/>
  <c r="C146" i="35"/>
  <c r="E181" i="35"/>
  <c r="I30" i="35"/>
  <c r="E34" i="35"/>
  <c r="H48" i="35"/>
  <c r="E87" i="35"/>
  <c r="C107" i="35"/>
  <c r="E108" i="35"/>
  <c r="E180" i="35"/>
  <c r="F34" i="35"/>
  <c r="D107" i="35"/>
  <c r="C126" i="35"/>
  <c r="E179" i="35"/>
  <c r="F180" i="35"/>
  <c r="O180" i="35" s="1"/>
  <c r="I32" i="35"/>
  <c r="G34" i="35"/>
  <c r="G47" i="35"/>
  <c r="C51" i="35"/>
  <c r="C106" i="35"/>
  <c r="C141" i="35"/>
  <c r="D160" i="35"/>
  <c r="F179" i="35"/>
  <c r="G180" i="35"/>
  <c r="H34" i="35"/>
  <c r="D106" i="35"/>
  <c r="D109" i="35" s="1"/>
  <c r="C145" i="35"/>
  <c r="E160" i="35"/>
  <c r="G179" i="35"/>
  <c r="H180" i="35"/>
  <c r="F160" i="35"/>
  <c r="F161" i="35"/>
  <c r="O161" i="35" s="1"/>
  <c r="H179" i="35"/>
  <c r="G46" i="35"/>
  <c r="G160" i="35"/>
  <c r="G161" i="35"/>
  <c r="H46" i="35"/>
  <c r="G53" i="34"/>
  <c r="I47" i="34"/>
  <c r="E72" i="34"/>
  <c r="H148" i="34"/>
  <c r="I182" i="34"/>
  <c r="F72" i="34"/>
  <c r="I124" i="34"/>
  <c r="L191" i="34"/>
  <c r="Q195" i="34"/>
  <c r="I51" i="34"/>
  <c r="P51" i="34"/>
  <c r="I48" i="34"/>
  <c r="F53" i="34"/>
  <c r="H53" i="34"/>
  <c r="Q52" i="34"/>
  <c r="Q196" i="34" s="1"/>
  <c r="D148" i="34"/>
  <c r="I125" i="34"/>
  <c r="E148" i="34"/>
  <c r="M106" i="34"/>
  <c r="M193" i="34" s="1"/>
  <c r="D110" i="34"/>
  <c r="I127" i="34"/>
  <c r="F148" i="34"/>
  <c r="O142" i="34"/>
  <c r="P50" i="34"/>
  <c r="P194" i="34" s="1"/>
  <c r="I50" i="34"/>
  <c r="C80" i="34"/>
  <c r="C148" i="34"/>
  <c r="D35" i="34"/>
  <c r="G70" i="34"/>
  <c r="F71" i="34"/>
  <c r="C98" i="34"/>
  <c r="C107" i="34"/>
  <c r="I33" i="34"/>
  <c r="G35" i="34"/>
  <c r="G49" i="34"/>
  <c r="C52" i="34"/>
  <c r="C60" i="34"/>
  <c r="H72" i="34"/>
  <c r="C90" i="34"/>
  <c r="C106" i="34"/>
  <c r="F161" i="34"/>
  <c r="I161" i="34" s="1"/>
  <c r="G162" i="34"/>
  <c r="C174" i="34"/>
  <c r="I181" i="34"/>
  <c r="C126" i="34"/>
  <c r="H35" i="34"/>
  <c r="D52" i="34"/>
  <c r="D90" i="34"/>
  <c r="C99" i="34"/>
  <c r="G161" i="34"/>
  <c r="G180" i="34"/>
  <c r="E52" i="34"/>
  <c r="C78" i="34"/>
  <c r="C89" i="34"/>
  <c r="E90" i="34"/>
  <c r="C137" i="34"/>
  <c r="C156" i="34"/>
  <c r="H161" i="34"/>
  <c r="H180" i="34"/>
  <c r="I30" i="34"/>
  <c r="C40" i="34"/>
  <c r="D89" i="34"/>
  <c r="C109" i="34"/>
  <c r="C118" i="34"/>
  <c r="C128" i="34"/>
  <c r="G142" i="34"/>
  <c r="E167" i="34"/>
  <c r="C61" i="34"/>
  <c r="C88" i="34"/>
  <c r="E89" i="34"/>
  <c r="D109" i="34"/>
  <c r="C175" i="34"/>
  <c r="I32" i="34"/>
  <c r="I35" i="34" s="1"/>
  <c r="C70" i="34"/>
  <c r="I142" i="34"/>
  <c r="I148" i="34" s="1"/>
  <c r="D70" i="34"/>
  <c r="C71" i="34"/>
  <c r="C108" i="34"/>
  <c r="H68" i="33"/>
  <c r="H46" i="33"/>
  <c r="C67" i="33"/>
  <c r="C45" i="33"/>
  <c r="C71" i="33"/>
  <c r="C49" i="33"/>
  <c r="I36" i="33"/>
  <c r="D69" i="33"/>
  <c r="D47" i="33"/>
  <c r="I34" i="33"/>
  <c r="D71" i="33"/>
  <c r="D49" i="33"/>
  <c r="E47" i="33"/>
  <c r="E69" i="33"/>
  <c r="E49" i="33"/>
  <c r="E71" i="33"/>
  <c r="F71" i="33"/>
  <c r="F49" i="33"/>
  <c r="G45" i="33"/>
  <c r="G67" i="33"/>
  <c r="G47" i="33"/>
  <c r="G69" i="33"/>
  <c r="H45" i="33"/>
  <c r="H67" i="33"/>
  <c r="H47" i="33"/>
  <c r="H69" i="33"/>
  <c r="E70" i="33"/>
  <c r="E48" i="33"/>
  <c r="F68" i="33"/>
  <c r="F46" i="33"/>
  <c r="F70" i="33"/>
  <c r="F48" i="33"/>
  <c r="D70" i="33"/>
  <c r="D48" i="33"/>
  <c r="E67" i="33"/>
  <c r="G68" i="33"/>
  <c r="G46" i="33"/>
  <c r="C69" i="33"/>
  <c r="E31" i="33"/>
  <c r="C33" i="33"/>
  <c r="D44" i="33"/>
  <c r="I27" i="33"/>
  <c r="G31" i="33"/>
  <c r="C35" i="33"/>
  <c r="G71" i="33"/>
  <c r="I22" i="33"/>
  <c r="C28" i="33"/>
  <c r="H31" i="33"/>
  <c r="H48" i="33"/>
  <c r="D66" i="33"/>
  <c r="D46" i="33"/>
  <c r="D37" i="33"/>
  <c r="D68" i="33"/>
  <c r="C47" i="33"/>
  <c r="E45" i="33"/>
  <c r="F32" i="33"/>
  <c r="D37" i="32"/>
  <c r="I34" i="32"/>
  <c r="I36" i="32"/>
  <c r="I35" i="32"/>
  <c r="I22" i="32"/>
  <c r="H31" i="32"/>
  <c r="D28" i="32"/>
  <c r="G31" i="32"/>
  <c r="I31" i="32" s="1"/>
  <c r="C32" i="32"/>
  <c r="C37" i="32" s="1"/>
  <c r="H36" i="32"/>
  <c r="I33" i="32"/>
  <c r="E37" i="32"/>
  <c r="I26" i="32"/>
  <c r="F37" i="32"/>
  <c r="C28" i="32"/>
  <c r="D37" i="31"/>
  <c r="D44" i="31"/>
  <c r="F48" i="31"/>
  <c r="G46" i="31"/>
  <c r="C45" i="31"/>
  <c r="C47" i="31"/>
  <c r="I34" i="31"/>
  <c r="C49" i="31"/>
  <c r="I36" i="31"/>
  <c r="D47" i="31"/>
  <c r="D49" i="31"/>
  <c r="E48" i="31"/>
  <c r="H46" i="31"/>
  <c r="E45" i="31"/>
  <c r="E49" i="31"/>
  <c r="F49" i="31"/>
  <c r="G45" i="31"/>
  <c r="G47" i="31"/>
  <c r="D48" i="31"/>
  <c r="F46" i="31"/>
  <c r="H48" i="31"/>
  <c r="E47" i="31"/>
  <c r="H45" i="31"/>
  <c r="H47" i="31"/>
  <c r="I25" i="31"/>
  <c r="E31" i="31"/>
  <c r="C33" i="31"/>
  <c r="I27" i="31"/>
  <c r="G31" i="31"/>
  <c r="C35" i="31"/>
  <c r="F44" i="31"/>
  <c r="I22" i="31"/>
  <c r="C28" i="31"/>
  <c r="H31" i="31"/>
  <c r="D28" i="31"/>
  <c r="D46" i="31"/>
  <c r="F59" i="31"/>
  <c r="F32" i="31"/>
  <c r="I32" i="31" s="1"/>
  <c r="I11" i="30"/>
  <c r="I17" i="30" s="1"/>
  <c r="D17" i="30"/>
  <c r="G17" i="28"/>
  <c r="H17" i="28"/>
  <c r="I14" i="28"/>
  <c r="I17" i="28" s="1"/>
  <c r="I12" i="27"/>
  <c r="I17" i="27" s="1"/>
  <c r="C17" i="27"/>
  <c r="C63" i="5"/>
  <c r="C111" i="5" s="1"/>
  <c r="M194" i="42" l="1"/>
  <c r="Q190" i="42"/>
  <c r="M195" i="42"/>
  <c r="F99" i="39"/>
  <c r="M108" i="39" s="1"/>
  <c r="Q191" i="42"/>
  <c r="L195" i="42"/>
  <c r="L191" i="41"/>
  <c r="O195" i="42"/>
  <c r="N108" i="39"/>
  <c r="F58" i="40"/>
  <c r="P190" i="42"/>
  <c r="L108" i="39"/>
  <c r="L194" i="42"/>
  <c r="F153" i="40"/>
  <c r="F98" i="40"/>
  <c r="L105" i="39"/>
  <c r="D195" i="39" s="1"/>
  <c r="F97" i="40"/>
  <c r="F155" i="40"/>
  <c r="F77" i="40"/>
  <c r="F60" i="40"/>
  <c r="F41" i="40"/>
  <c r="C60" i="29"/>
  <c r="C34" i="29"/>
  <c r="C57" i="29"/>
  <c r="C47" i="29"/>
  <c r="C59" i="29"/>
  <c r="C36" i="29"/>
  <c r="C48" i="29"/>
  <c r="C35" i="29"/>
  <c r="C38" i="29"/>
  <c r="C37" i="29"/>
  <c r="C56" i="29"/>
  <c r="C46" i="29"/>
  <c r="C45" i="29"/>
  <c r="C58" i="29"/>
  <c r="F173" i="40"/>
  <c r="F156" i="39"/>
  <c r="N160" i="39" s="1"/>
  <c r="F172" i="40"/>
  <c r="F174" i="40"/>
  <c r="F78" i="40"/>
  <c r="N195" i="41"/>
  <c r="F136" i="40"/>
  <c r="L107" i="39"/>
  <c r="N107" i="39"/>
  <c r="M106" i="39"/>
  <c r="N106" i="39"/>
  <c r="L106" i="39"/>
  <c r="F134" i="40"/>
  <c r="F118" i="39"/>
  <c r="F116" i="40"/>
  <c r="M194" i="41"/>
  <c r="L192" i="42"/>
  <c r="F42" i="39"/>
  <c r="F80" i="39"/>
  <c r="F39" i="40"/>
  <c r="F175" i="39"/>
  <c r="F59" i="40"/>
  <c r="F40" i="40"/>
  <c r="F79" i="40"/>
  <c r="F137" i="39"/>
  <c r="F154" i="40"/>
  <c r="F61" i="39"/>
  <c r="L195" i="41"/>
  <c r="F135" i="40"/>
  <c r="L194" i="41"/>
  <c r="F96" i="40"/>
  <c r="F115" i="40"/>
  <c r="F117" i="40"/>
  <c r="M107" i="39"/>
  <c r="G71" i="32"/>
  <c r="E69" i="32"/>
  <c r="C88" i="36"/>
  <c r="I102" i="36"/>
  <c r="L192" i="41"/>
  <c r="M193" i="41"/>
  <c r="N193" i="41"/>
  <c r="I161" i="35"/>
  <c r="I70" i="35"/>
  <c r="C128" i="35"/>
  <c r="C109" i="35"/>
  <c r="I34" i="35"/>
  <c r="P191" i="42"/>
  <c r="D194" i="41"/>
  <c r="L193" i="41"/>
  <c r="C71" i="32"/>
  <c r="H69" i="32"/>
  <c r="D57" i="33"/>
  <c r="D84" i="33" s="1"/>
  <c r="D58" i="33"/>
  <c r="D85" i="33" s="1"/>
  <c r="D105" i="33" s="1"/>
  <c r="C68" i="32"/>
  <c r="M192" i="35"/>
  <c r="E56" i="33"/>
  <c r="E83" i="33" s="1"/>
  <c r="F57" i="33"/>
  <c r="F84" i="33" s="1"/>
  <c r="F60" i="33"/>
  <c r="F87" i="33" s="1"/>
  <c r="H58" i="33"/>
  <c r="H85" i="33" s="1"/>
  <c r="C56" i="33"/>
  <c r="C83" i="33" s="1"/>
  <c r="D59" i="33"/>
  <c r="D86" i="33" s="1"/>
  <c r="D106" i="33" s="1"/>
  <c r="H59" i="33"/>
  <c r="H86" i="33" s="1"/>
  <c r="F55" i="33"/>
  <c r="I28" i="33"/>
  <c r="F37" i="33"/>
  <c r="F66" i="33"/>
  <c r="E58" i="33"/>
  <c r="E85" i="33" s="1"/>
  <c r="G58" i="33"/>
  <c r="G85" i="33" s="1"/>
  <c r="F66" i="32"/>
  <c r="G67" i="32"/>
  <c r="D70" i="32"/>
  <c r="E71" i="32"/>
  <c r="C70" i="32"/>
  <c r="D66" i="32"/>
  <c r="E66" i="32"/>
  <c r="F70" i="32"/>
  <c r="F67" i="32"/>
  <c r="G68" i="32"/>
  <c r="D71" i="32"/>
  <c r="H67" i="32"/>
  <c r="H70" i="32"/>
  <c r="C69" i="32"/>
  <c r="F55" i="32"/>
  <c r="C60" i="32"/>
  <c r="G57" i="32"/>
  <c r="C59" i="32"/>
  <c r="E44" i="32"/>
  <c r="G46" i="32"/>
  <c r="H46" i="32"/>
  <c r="G49" i="32"/>
  <c r="C48" i="32"/>
  <c r="G47" i="32"/>
  <c r="F48" i="32"/>
  <c r="C47" i="32"/>
  <c r="E45" i="32"/>
  <c r="F45" i="32"/>
  <c r="D49" i="32"/>
  <c r="H47" i="32"/>
  <c r="F49" i="32"/>
  <c r="D44" i="32"/>
  <c r="E47" i="32"/>
  <c r="H48" i="32"/>
  <c r="E49" i="32"/>
  <c r="C46" i="32"/>
  <c r="F46" i="32"/>
  <c r="D48" i="32"/>
  <c r="D46" i="32"/>
  <c r="H45" i="32"/>
  <c r="G45" i="32"/>
  <c r="D47" i="32"/>
  <c r="E48" i="32"/>
  <c r="C49" i="32"/>
  <c r="F44" i="32"/>
  <c r="G56" i="32"/>
  <c r="C57" i="32"/>
  <c r="E59" i="32"/>
  <c r="D58" i="32"/>
  <c r="G60" i="32"/>
  <c r="E60" i="32"/>
  <c r="H59" i="32"/>
  <c r="H58" i="32"/>
  <c r="E58" i="32"/>
  <c r="D59" i="32"/>
  <c r="F57" i="32"/>
  <c r="E55" i="32"/>
  <c r="D57" i="32"/>
  <c r="F56" i="32"/>
  <c r="E56" i="32"/>
  <c r="D60" i="32"/>
  <c r="G58" i="32"/>
  <c r="F59" i="32"/>
  <c r="D55" i="32"/>
  <c r="H57" i="32"/>
  <c r="F60" i="32"/>
  <c r="C58" i="32"/>
  <c r="H56" i="32"/>
  <c r="H69" i="31"/>
  <c r="F59" i="33"/>
  <c r="F86" i="33" s="1"/>
  <c r="F106" i="33" s="1"/>
  <c r="D55" i="33"/>
  <c r="D82" i="33" s="1"/>
  <c r="C69" i="31"/>
  <c r="H67" i="31"/>
  <c r="H68" i="31"/>
  <c r="G60" i="33"/>
  <c r="G87" i="33" s="1"/>
  <c r="C58" i="33"/>
  <c r="C85" i="33" s="1"/>
  <c r="G57" i="33"/>
  <c r="G84" i="33" s="1"/>
  <c r="G104" i="33" s="1"/>
  <c r="G56" i="33"/>
  <c r="G83" i="33" s="1"/>
  <c r="D60" i="33"/>
  <c r="G68" i="31"/>
  <c r="E59" i="33"/>
  <c r="E86" i="33" s="1"/>
  <c r="H57" i="33"/>
  <c r="H84" i="33" s="1"/>
  <c r="D71" i="31"/>
  <c r="G69" i="31"/>
  <c r="G67" i="31"/>
  <c r="C71" i="31"/>
  <c r="H56" i="33"/>
  <c r="H83" i="33" s="1"/>
  <c r="H103" i="33" s="1"/>
  <c r="E60" i="33"/>
  <c r="E87" i="33" s="1"/>
  <c r="E107" i="33" s="1"/>
  <c r="D69" i="32"/>
  <c r="H68" i="32"/>
  <c r="E70" i="32"/>
  <c r="D68" i="32"/>
  <c r="F71" i="32"/>
  <c r="G69" i="32"/>
  <c r="E67" i="32"/>
  <c r="O191" i="35"/>
  <c r="E70" i="31"/>
  <c r="C67" i="31"/>
  <c r="G71" i="31"/>
  <c r="E69" i="31"/>
  <c r="F71" i="31"/>
  <c r="D69" i="31"/>
  <c r="F70" i="31"/>
  <c r="F86" i="31" s="1"/>
  <c r="E71" i="31"/>
  <c r="H70" i="31"/>
  <c r="D66" i="31"/>
  <c r="F66" i="31"/>
  <c r="F68" i="31"/>
  <c r="E67" i="31"/>
  <c r="I69" i="33"/>
  <c r="D68" i="31"/>
  <c r="I108" i="36"/>
  <c r="E98" i="36"/>
  <c r="H48" i="36"/>
  <c r="D88" i="36"/>
  <c r="I43" i="36"/>
  <c r="E48" i="36"/>
  <c r="I85" i="36"/>
  <c r="I66" i="36"/>
  <c r="D78" i="36"/>
  <c r="I42" i="36"/>
  <c r="I97" i="36"/>
  <c r="G58" i="36"/>
  <c r="I52" i="36"/>
  <c r="I84" i="36"/>
  <c r="I87" i="36"/>
  <c r="I57" i="36"/>
  <c r="G108" i="36"/>
  <c r="I35" i="36"/>
  <c r="G48" i="36"/>
  <c r="I67" i="36"/>
  <c r="F48" i="36"/>
  <c r="H108" i="36"/>
  <c r="G98" i="36"/>
  <c r="G118" i="36"/>
  <c r="C58" i="36"/>
  <c r="I56" i="36"/>
  <c r="I96" i="36"/>
  <c r="C98" i="36"/>
  <c r="I86" i="36"/>
  <c r="I112" i="36"/>
  <c r="I118" i="36" s="1"/>
  <c r="D58" i="36"/>
  <c r="I47" i="36"/>
  <c r="C48" i="36"/>
  <c r="I77" i="36"/>
  <c r="H98" i="36"/>
  <c r="I53" i="36"/>
  <c r="I75" i="36"/>
  <c r="I76" i="36"/>
  <c r="C68" i="36"/>
  <c r="I54" i="36"/>
  <c r="E22" i="36"/>
  <c r="F68" i="36"/>
  <c r="D48" i="36"/>
  <c r="E108" i="36"/>
  <c r="E78" i="36"/>
  <c r="I92" i="36"/>
  <c r="C78" i="36"/>
  <c r="I74" i="36"/>
  <c r="I44" i="36"/>
  <c r="D68" i="36"/>
  <c r="I65" i="36"/>
  <c r="E58" i="36"/>
  <c r="N181" i="35"/>
  <c r="N192" i="35" s="1"/>
  <c r="I181" i="35"/>
  <c r="F185" i="35"/>
  <c r="O179" i="35"/>
  <c r="I108" i="35"/>
  <c r="D39" i="35"/>
  <c r="F39" i="35" s="1"/>
  <c r="H185" i="35"/>
  <c r="D166" i="35"/>
  <c r="I160" i="35"/>
  <c r="I166" i="35" s="1"/>
  <c r="I143" i="35"/>
  <c r="I126" i="35"/>
  <c r="I127" i="35"/>
  <c r="D153" i="35"/>
  <c r="F153" i="35" s="1"/>
  <c r="G52" i="35"/>
  <c r="I46" i="35"/>
  <c r="I146" i="35"/>
  <c r="I141" i="35"/>
  <c r="L141" i="35"/>
  <c r="L190" i="35" s="1"/>
  <c r="C147" i="35"/>
  <c r="D96" i="35"/>
  <c r="F96" i="35" s="1"/>
  <c r="D172" i="35"/>
  <c r="F172" i="35" s="1"/>
  <c r="O160" i="35"/>
  <c r="F166" i="35"/>
  <c r="I180" i="35"/>
  <c r="N180" i="35"/>
  <c r="N191" i="35" s="1"/>
  <c r="I123" i="35"/>
  <c r="I128" i="35" s="1"/>
  <c r="I87" i="35"/>
  <c r="C90" i="35"/>
  <c r="D58" i="35"/>
  <c r="F58" i="35" s="1"/>
  <c r="I65" i="35"/>
  <c r="I71" i="35" s="1"/>
  <c r="G71" i="35"/>
  <c r="G166" i="35"/>
  <c r="I106" i="35"/>
  <c r="I144" i="35"/>
  <c r="G185" i="35"/>
  <c r="C52" i="35"/>
  <c r="I51" i="35"/>
  <c r="I107" i="35"/>
  <c r="I109" i="35" s="1"/>
  <c r="H147" i="35"/>
  <c r="E166" i="35"/>
  <c r="I47" i="35"/>
  <c r="I124" i="35"/>
  <c r="I145" i="35"/>
  <c r="E90" i="35"/>
  <c r="D90" i="35"/>
  <c r="I48" i="35"/>
  <c r="D71" i="35"/>
  <c r="I69" i="35"/>
  <c r="H52" i="35"/>
  <c r="I179" i="35"/>
  <c r="I185" i="35" s="1"/>
  <c r="E185" i="35"/>
  <c r="D77" i="35"/>
  <c r="F77" i="35" s="1"/>
  <c r="I88" i="35"/>
  <c r="H167" i="34"/>
  <c r="I71" i="34"/>
  <c r="I126" i="34"/>
  <c r="I129" i="34" s="1"/>
  <c r="D72" i="34"/>
  <c r="O161" i="34"/>
  <c r="O191" i="34" s="1"/>
  <c r="F167" i="34"/>
  <c r="I109" i="34"/>
  <c r="E53" i="34"/>
  <c r="C129" i="34"/>
  <c r="I89" i="34"/>
  <c r="I107" i="34"/>
  <c r="G186" i="34"/>
  <c r="I180" i="34"/>
  <c r="I186" i="34" s="1"/>
  <c r="I106" i="34"/>
  <c r="C110" i="34"/>
  <c r="P70" i="34"/>
  <c r="P195" i="34" s="1"/>
  <c r="G72" i="34"/>
  <c r="D91" i="34"/>
  <c r="I70" i="34"/>
  <c r="C72" i="34"/>
  <c r="G167" i="34"/>
  <c r="I90" i="34"/>
  <c r="G148" i="34"/>
  <c r="I128" i="34"/>
  <c r="I88" i="34"/>
  <c r="C91" i="34"/>
  <c r="H186" i="34"/>
  <c r="E91" i="34"/>
  <c r="I162" i="34"/>
  <c r="I167" i="34" s="1"/>
  <c r="D53" i="34"/>
  <c r="I52" i="34"/>
  <c r="C53" i="34"/>
  <c r="I108" i="34"/>
  <c r="I49" i="34"/>
  <c r="I53" i="34" s="1"/>
  <c r="C59" i="33"/>
  <c r="I35" i="33"/>
  <c r="C70" i="33"/>
  <c r="I70" i="33" s="1"/>
  <c r="C48" i="33"/>
  <c r="G55" i="33"/>
  <c r="G37" i="33"/>
  <c r="G66" i="33"/>
  <c r="G72" i="33" s="1"/>
  <c r="G44" i="33"/>
  <c r="I49" i="33"/>
  <c r="C87" i="33"/>
  <c r="I71" i="33"/>
  <c r="C57" i="33"/>
  <c r="I33" i="33"/>
  <c r="C68" i="33"/>
  <c r="I68" i="33" s="1"/>
  <c r="C46" i="33"/>
  <c r="C37" i="33"/>
  <c r="D72" i="33"/>
  <c r="D50" i="33"/>
  <c r="I31" i="33"/>
  <c r="I37" i="33" s="1"/>
  <c r="F45" i="33"/>
  <c r="F50" i="33" s="1"/>
  <c r="F56" i="33"/>
  <c r="F67" i="33"/>
  <c r="I67" i="33" s="1"/>
  <c r="H37" i="33"/>
  <c r="H66" i="33"/>
  <c r="H72" i="33" s="1"/>
  <c r="H44" i="33"/>
  <c r="H55" i="33"/>
  <c r="E55" i="33"/>
  <c r="E37" i="33"/>
  <c r="E66" i="33"/>
  <c r="E72" i="33" s="1"/>
  <c r="E44" i="33"/>
  <c r="I32" i="33"/>
  <c r="I47" i="33"/>
  <c r="G55" i="32"/>
  <c r="G44" i="32"/>
  <c r="G37" i="32"/>
  <c r="G66" i="32"/>
  <c r="H37" i="32"/>
  <c r="H66" i="32"/>
  <c r="H44" i="32"/>
  <c r="H55" i="32"/>
  <c r="I28" i="32"/>
  <c r="I32" i="32"/>
  <c r="I37" i="32" s="1"/>
  <c r="C67" i="32"/>
  <c r="C45" i="32"/>
  <c r="C56" i="32"/>
  <c r="G55" i="31"/>
  <c r="G37" i="31"/>
  <c r="G66" i="31"/>
  <c r="G44" i="31"/>
  <c r="H56" i="31"/>
  <c r="D50" i="31"/>
  <c r="G60" i="31"/>
  <c r="C57" i="31"/>
  <c r="I33" i="31"/>
  <c r="C68" i="31"/>
  <c r="C46" i="31"/>
  <c r="D59" i="31"/>
  <c r="D86" i="31" s="1"/>
  <c r="C56" i="31"/>
  <c r="E55" i="31"/>
  <c r="E37" i="31"/>
  <c r="E66" i="31"/>
  <c r="E44" i="31"/>
  <c r="E58" i="31"/>
  <c r="E56" i="31"/>
  <c r="D58" i="31"/>
  <c r="G58" i="31"/>
  <c r="D55" i="31"/>
  <c r="F55" i="31"/>
  <c r="H59" i="31"/>
  <c r="D60" i="31"/>
  <c r="I47" i="31"/>
  <c r="E60" i="31"/>
  <c r="I31" i="31"/>
  <c r="G56" i="31"/>
  <c r="H57" i="31"/>
  <c r="I28" i="31"/>
  <c r="G57" i="31"/>
  <c r="H58" i="31"/>
  <c r="F60" i="31"/>
  <c r="F45" i="31"/>
  <c r="I45" i="31" s="1"/>
  <c r="F56" i="31"/>
  <c r="F67" i="31"/>
  <c r="F57" i="31"/>
  <c r="C58" i="31"/>
  <c r="H37" i="31"/>
  <c r="H66" i="31"/>
  <c r="H44" i="31"/>
  <c r="H55" i="31"/>
  <c r="C60" i="31"/>
  <c r="C37" i="31"/>
  <c r="I49" i="31"/>
  <c r="F37" i="31"/>
  <c r="C59" i="31"/>
  <c r="I35" i="31"/>
  <c r="C70" i="31"/>
  <c r="C48" i="31"/>
  <c r="D57" i="31"/>
  <c r="E59" i="31"/>
  <c r="F44" i="29"/>
  <c r="E44" i="29"/>
  <c r="H55" i="29"/>
  <c r="D44" i="29"/>
  <c r="D33" i="29"/>
  <c r="G55" i="29"/>
  <c r="F55" i="29"/>
  <c r="E55" i="29"/>
  <c r="H44" i="29"/>
  <c r="D55" i="29"/>
  <c r="H33" i="29"/>
  <c r="G33" i="29"/>
  <c r="F33" i="29"/>
  <c r="E33" i="29"/>
  <c r="G44" i="29"/>
  <c r="F99" i="40" l="1"/>
  <c r="P160" i="39"/>
  <c r="F80" i="40"/>
  <c r="N89" i="40" s="1"/>
  <c r="F61" i="40"/>
  <c r="N70" i="40" s="1"/>
  <c r="F156" i="40"/>
  <c r="P161" i="40" s="1"/>
  <c r="C74" i="29"/>
  <c r="C95" i="29" s="1"/>
  <c r="M160" i="39"/>
  <c r="P161" i="39"/>
  <c r="C50" i="29"/>
  <c r="Q161" i="39"/>
  <c r="Q160" i="39"/>
  <c r="D198" i="39" s="1"/>
  <c r="C77" i="29"/>
  <c r="C98" i="29" s="1"/>
  <c r="C78" i="29"/>
  <c r="C99" i="29" s="1"/>
  <c r="C39" i="29"/>
  <c r="E73" i="29"/>
  <c r="E94" i="29" s="1"/>
  <c r="H73" i="29"/>
  <c r="H94" i="29" s="1"/>
  <c r="G73" i="29"/>
  <c r="G94" i="29" s="1"/>
  <c r="C61" i="29"/>
  <c r="D73" i="29"/>
  <c r="D94" i="29" s="1"/>
  <c r="C75" i="29"/>
  <c r="F73" i="29"/>
  <c r="C76" i="29"/>
  <c r="C97" i="29" s="1"/>
  <c r="F175" i="40"/>
  <c r="M88" i="40"/>
  <c r="L87" i="40"/>
  <c r="L88" i="40"/>
  <c r="M89" i="40"/>
  <c r="N88" i="40"/>
  <c r="L89" i="40"/>
  <c r="N87" i="40"/>
  <c r="N193" i="40" s="1"/>
  <c r="M87" i="40"/>
  <c r="P66" i="39"/>
  <c r="M70" i="39"/>
  <c r="O70" i="39"/>
  <c r="L70" i="39"/>
  <c r="L69" i="39"/>
  <c r="P67" i="39"/>
  <c r="N69" i="39"/>
  <c r="O69" i="39"/>
  <c r="P65" i="39"/>
  <c r="M69" i="39"/>
  <c r="N70" i="39"/>
  <c r="P160" i="40"/>
  <c r="L51" i="39"/>
  <c r="M51" i="39"/>
  <c r="C202" i="39"/>
  <c r="G24" i="23" s="1"/>
  <c r="K41" i="23" s="1"/>
  <c r="P48" i="39"/>
  <c r="P46" i="39"/>
  <c r="P47" i="39"/>
  <c r="N51" i="39"/>
  <c r="Q47" i="39"/>
  <c r="O51" i="39"/>
  <c r="Q48" i="39"/>
  <c r="Q46" i="39"/>
  <c r="N69" i="40"/>
  <c r="O70" i="40"/>
  <c r="O69" i="40"/>
  <c r="O194" i="40" s="1"/>
  <c r="M70" i="40"/>
  <c r="M69" i="40"/>
  <c r="L69" i="40"/>
  <c r="Q181" i="39"/>
  <c r="N179" i="39"/>
  <c r="P179" i="39"/>
  <c r="Q179" i="39"/>
  <c r="D199" i="39" s="1"/>
  <c r="Q180" i="39"/>
  <c r="P180" i="39"/>
  <c r="P181" i="39"/>
  <c r="F42" i="40"/>
  <c r="F118" i="40"/>
  <c r="L105" i="40"/>
  <c r="M107" i="40"/>
  <c r="L107" i="40"/>
  <c r="L108" i="40"/>
  <c r="M108" i="40"/>
  <c r="L106" i="40"/>
  <c r="M106" i="40"/>
  <c r="N88" i="39"/>
  <c r="L87" i="39"/>
  <c r="L88" i="39"/>
  <c r="M89" i="39"/>
  <c r="O88" i="39"/>
  <c r="O194" i="39" s="1"/>
  <c r="M88" i="39"/>
  <c r="N89" i="39"/>
  <c r="L89" i="39"/>
  <c r="O89" i="39"/>
  <c r="M87" i="39"/>
  <c r="N87" i="39"/>
  <c r="N193" i="39" s="1"/>
  <c r="L123" i="39"/>
  <c r="M125" i="39"/>
  <c r="L124" i="39"/>
  <c r="L125" i="39"/>
  <c r="L127" i="39"/>
  <c r="M126" i="39"/>
  <c r="L126" i="39"/>
  <c r="M127" i="39"/>
  <c r="L142" i="39"/>
  <c r="D197" i="39" s="1"/>
  <c r="L145" i="39"/>
  <c r="Q141" i="39"/>
  <c r="L146" i="39"/>
  <c r="P141" i="39"/>
  <c r="L143" i="39"/>
  <c r="L144" i="39"/>
  <c r="N141" i="39"/>
  <c r="M141" i="39"/>
  <c r="F137" i="40"/>
  <c r="E85" i="32"/>
  <c r="E105" i="32" s="1"/>
  <c r="H85" i="32"/>
  <c r="D87" i="31"/>
  <c r="D107" i="31" s="1"/>
  <c r="E82" i="32"/>
  <c r="E102" i="32" s="1"/>
  <c r="F86" i="32"/>
  <c r="F106" i="32" s="1"/>
  <c r="F25" i="14" s="1"/>
  <c r="I88" i="36"/>
  <c r="I78" i="36"/>
  <c r="I98" i="36"/>
  <c r="I147" i="35"/>
  <c r="F82" i="32"/>
  <c r="C87" i="32"/>
  <c r="C107" i="32" s="1"/>
  <c r="F72" i="32"/>
  <c r="F82" i="33"/>
  <c r="I58" i="33"/>
  <c r="G83" i="32"/>
  <c r="G103" i="32" s="1"/>
  <c r="C86" i="32"/>
  <c r="C106" i="32" s="1"/>
  <c r="E87" i="32"/>
  <c r="E107" i="32" s="1"/>
  <c r="E26" i="14" s="1"/>
  <c r="E61" i="32"/>
  <c r="I57" i="32"/>
  <c r="F61" i="32"/>
  <c r="F83" i="32"/>
  <c r="I60" i="32"/>
  <c r="D87" i="32"/>
  <c r="D107" i="32" s="1"/>
  <c r="I58" i="32"/>
  <c r="D84" i="32"/>
  <c r="H83" i="32"/>
  <c r="H103" i="32" s="1"/>
  <c r="H22" i="14" s="1"/>
  <c r="G87" i="32"/>
  <c r="E86" i="32"/>
  <c r="E106" i="32" s="1"/>
  <c r="H86" i="32"/>
  <c r="D82" i="32"/>
  <c r="D102" i="32" s="1"/>
  <c r="G84" i="32"/>
  <c r="G104" i="32" s="1"/>
  <c r="G23" i="14" s="1"/>
  <c r="H84" i="32"/>
  <c r="H104" i="32" s="1"/>
  <c r="I59" i="32"/>
  <c r="I47" i="32"/>
  <c r="F84" i="32"/>
  <c r="D61" i="32"/>
  <c r="I48" i="32"/>
  <c r="D86" i="32"/>
  <c r="D106" i="32" s="1"/>
  <c r="D25" i="14" s="1"/>
  <c r="I49" i="32"/>
  <c r="F87" i="32"/>
  <c r="F107" i="32" s="1"/>
  <c r="E50" i="32"/>
  <c r="D85" i="31"/>
  <c r="D105" i="31" s="1"/>
  <c r="I37" i="31"/>
  <c r="I46" i="32"/>
  <c r="C85" i="32"/>
  <c r="C105" i="32" s="1"/>
  <c r="C84" i="32"/>
  <c r="C104" i="32" s="1"/>
  <c r="H61" i="32"/>
  <c r="D50" i="32"/>
  <c r="G61" i="32"/>
  <c r="H72" i="32"/>
  <c r="E83" i="32"/>
  <c r="I57" i="33"/>
  <c r="G85" i="32"/>
  <c r="D173" i="34"/>
  <c r="F173" i="34" s="1"/>
  <c r="D154" i="34"/>
  <c r="F154" i="34" s="1"/>
  <c r="D116" i="34"/>
  <c r="F116" i="34" s="1"/>
  <c r="D59" i="34"/>
  <c r="F59" i="34" s="1"/>
  <c r="D78" i="34"/>
  <c r="F78" i="34" s="1"/>
  <c r="D40" i="34"/>
  <c r="F40" i="34" s="1"/>
  <c r="D135" i="34"/>
  <c r="F135" i="34" s="1"/>
  <c r="D97" i="34"/>
  <c r="F97" i="34" s="1"/>
  <c r="F50" i="32"/>
  <c r="D134" i="35"/>
  <c r="F134" i="35" s="1"/>
  <c r="D115" i="35"/>
  <c r="F115" i="35" s="1"/>
  <c r="G84" i="31"/>
  <c r="G104" i="31" s="1"/>
  <c r="H84" i="31"/>
  <c r="H104" i="31" s="1"/>
  <c r="G83" i="31"/>
  <c r="G103" i="31" s="1"/>
  <c r="H83" i="31"/>
  <c r="H103" i="31" s="1"/>
  <c r="E87" i="31"/>
  <c r="E107" i="31" s="1"/>
  <c r="D84" i="31"/>
  <c r="F84" i="31"/>
  <c r="F87" i="31"/>
  <c r="F107" i="31" s="1"/>
  <c r="D72" i="31"/>
  <c r="H85" i="31"/>
  <c r="G85" i="31"/>
  <c r="G61" i="33"/>
  <c r="F61" i="33"/>
  <c r="E83" i="31"/>
  <c r="G72" i="32"/>
  <c r="I59" i="33"/>
  <c r="H61" i="33"/>
  <c r="F72" i="31"/>
  <c r="D72" i="32"/>
  <c r="I60" i="33"/>
  <c r="G72" i="31"/>
  <c r="I68" i="31"/>
  <c r="D85" i="32"/>
  <c r="D105" i="32" s="1"/>
  <c r="D24" i="14" s="1"/>
  <c r="I71" i="32"/>
  <c r="E86" i="31"/>
  <c r="E106" i="31" s="1"/>
  <c r="H72" i="31"/>
  <c r="I71" i="31"/>
  <c r="O190" i="35"/>
  <c r="D87" i="33"/>
  <c r="D107" i="33" s="1"/>
  <c r="D61" i="33"/>
  <c r="H86" i="31"/>
  <c r="C83" i="31"/>
  <c r="C103" i="31" s="1"/>
  <c r="I69" i="32"/>
  <c r="I70" i="32"/>
  <c r="I70" i="31"/>
  <c r="I44" i="33"/>
  <c r="I67" i="31"/>
  <c r="G87" i="31"/>
  <c r="E72" i="32"/>
  <c r="I69" i="31"/>
  <c r="E72" i="31"/>
  <c r="I68" i="32"/>
  <c r="E85" i="31"/>
  <c r="E105" i="31" s="1"/>
  <c r="I60" i="31"/>
  <c r="C61" i="33"/>
  <c r="C87" i="31"/>
  <c r="C107" i="31" s="1"/>
  <c r="F50" i="31"/>
  <c r="I44" i="32"/>
  <c r="F61" i="31"/>
  <c r="I58" i="36"/>
  <c r="I68" i="36"/>
  <c r="I48" i="36"/>
  <c r="I52" i="35"/>
  <c r="I90" i="35"/>
  <c r="I110" i="34"/>
  <c r="I91" i="34"/>
  <c r="I72" i="34"/>
  <c r="E106" i="33"/>
  <c r="F83" i="33"/>
  <c r="I83" i="33" s="1"/>
  <c r="I45" i="33"/>
  <c r="I56" i="33"/>
  <c r="I46" i="33"/>
  <c r="C84" i="33"/>
  <c r="E61" i="33"/>
  <c r="I55" i="33"/>
  <c r="I48" i="33"/>
  <c r="C86" i="33"/>
  <c r="F107" i="33"/>
  <c r="H82" i="33"/>
  <c r="H50" i="33"/>
  <c r="C105" i="33"/>
  <c r="I85" i="33"/>
  <c r="E105" i="33"/>
  <c r="D102" i="33"/>
  <c r="I66" i="33"/>
  <c r="I72" i="33" s="1"/>
  <c r="C107" i="33"/>
  <c r="C50" i="33"/>
  <c r="C72" i="33"/>
  <c r="F72" i="33"/>
  <c r="G82" i="33"/>
  <c r="G50" i="33"/>
  <c r="H104" i="33"/>
  <c r="E82" i="33"/>
  <c r="E50" i="33"/>
  <c r="C103" i="33"/>
  <c r="G103" i="33"/>
  <c r="I55" i="32"/>
  <c r="C61" i="32"/>
  <c r="I56" i="32"/>
  <c r="H82" i="32"/>
  <c r="H50" i="32"/>
  <c r="I45" i="32"/>
  <c r="C83" i="32"/>
  <c r="C50" i="32"/>
  <c r="I67" i="32"/>
  <c r="C72" i="32"/>
  <c r="I66" i="32"/>
  <c r="G82" i="32"/>
  <c r="G50" i="32"/>
  <c r="D106" i="31"/>
  <c r="I46" i="31"/>
  <c r="C84" i="31"/>
  <c r="D61" i="31"/>
  <c r="I55" i="31"/>
  <c r="H61" i="31"/>
  <c r="G61" i="31"/>
  <c r="H82" i="31"/>
  <c r="H50" i="31"/>
  <c r="F83" i="31"/>
  <c r="C72" i="31"/>
  <c r="E82" i="31"/>
  <c r="E50" i="31"/>
  <c r="I57" i="31"/>
  <c r="E61" i="31"/>
  <c r="D82" i="31"/>
  <c r="F82" i="31"/>
  <c r="I48" i="31"/>
  <c r="C86" i="31"/>
  <c r="F106" i="31"/>
  <c r="I58" i="31"/>
  <c r="C85" i="31"/>
  <c r="I66" i="31"/>
  <c r="G82" i="31"/>
  <c r="G50" i="31"/>
  <c r="I59" i="31"/>
  <c r="I44" i="31"/>
  <c r="C50" i="31"/>
  <c r="C61" i="31"/>
  <c r="I56" i="31"/>
  <c r="I44" i="29"/>
  <c r="I33" i="29"/>
  <c r="I55" i="29"/>
  <c r="D35" i="13"/>
  <c r="C35" i="13"/>
  <c r="D33" i="13"/>
  <c r="C33" i="13"/>
  <c r="D31" i="13"/>
  <c r="C31" i="13"/>
  <c r="C194" i="22"/>
  <c r="C195" i="22"/>
  <c r="C196" i="22"/>
  <c r="C197" i="22"/>
  <c r="C198" i="22"/>
  <c r="C199" i="22"/>
  <c r="C200" i="22"/>
  <c r="C193" i="22"/>
  <c r="Q185" i="22"/>
  <c r="P185" i="22"/>
  <c r="P183" i="22"/>
  <c r="O183" i="22"/>
  <c r="H182" i="22"/>
  <c r="G182" i="22"/>
  <c r="M182" i="22"/>
  <c r="M181" i="22"/>
  <c r="L180" i="22"/>
  <c r="P166" i="22"/>
  <c r="I166" i="22"/>
  <c r="M163" i="22"/>
  <c r="I163" i="22"/>
  <c r="H161" i="22"/>
  <c r="L161" i="22"/>
  <c r="N144" i="22"/>
  <c r="M144" i="22"/>
  <c r="E129" i="22"/>
  <c r="G129" i="22"/>
  <c r="D128" i="22"/>
  <c r="I105" i="22"/>
  <c r="O106" i="22"/>
  <c r="G110" i="22"/>
  <c r="F110" i="22"/>
  <c r="N87" i="22"/>
  <c r="M87" i="22"/>
  <c r="O86" i="22"/>
  <c r="I86" i="22"/>
  <c r="O69" i="22"/>
  <c r="N68" i="22"/>
  <c r="M68" i="22"/>
  <c r="H49" i="22"/>
  <c r="M49" i="22"/>
  <c r="O49" i="22"/>
  <c r="O47" i="22"/>
  <c r="C14" i="22"/>
  <c r="D14" i="22" s="1"/>
  <c r="C13" i="22"/>
  <c r="D13" i="22" s="1"/>
  <c r="C12" i="22"/>
  <c r="D12" i="22" s="1"/>
  <c r="C8" i="22"/>
  <c r="D8" i="22" s="1"/>
  <c r="C9" i="22"/>
  <c r="D9" i="22" s="1"/>
  <c r="C10" i="22"/>
  <c r="C11" i="22"/>
  <c r="C7" i="22"/>
  <c r="D7" i="22" s="1"/>
  <c r="I185" i="22"/>
  <c r="Q184" i="22"/>
  <c r="P184" i="22"/>
  <c r="Q183" i="22"/>
  <c r="I183" i="22"/>
  <c r="C178" i="22"/>
  <c r="L178" i="22" s="1"/>
  <c r="E175" i="22"/>
  <c r="E174" i="22"/>
  <c r="E173" i="22"/>
  <c r="Q166" i="22"/>
  <c r="Q165" i="22"/>
  <c r="P165" i="22"/>
  <c r="Q164" i="22"/>
  <c r="P164" i="22"/>
  <c r="O164" i="22"/>
  <c r="O163" i="22"/>
  <c r="N163" i="22"/>
  <c r="C159" i="22"/>
  <c r="L159" i="22" s="1"/>
  <c r="E156" i="22"/>
  <c r="E155" i="22"/>
  <c r="E154" i="22"/>
  <c r="Q147" i="22"/>
  <c r="P147" i="22"/>
  <c r="Q146" i="22"/>
  <c r="P146" i="22"/>
  <c r="Q145" i="22"/>
  <c r="P145" i="22"/>
  <c r="O145" i="22"/>
  <c r="O144" i="22"/>
  <c r="O143" i="22"/>
  <c r="N143" i="22"/>
  <c r="M143" i="22"/>
  <c r="C140" i="22"/>
  <c r="L140" i="22" s="1"/>
  <c r="E137" i="22"/>
  <c r="E136" i="22"/>
  <c r="E135" i="22"/>
  <c r="H129" i="22"/>
  <c r="F129" i="22"/>
  <c r="Q128" i="22"/>
  <c r="P128" i="22"/>
  <c r="Q127" i="22"/>
  <c r="Q126" i="22"/>
  <c r="P126" i="22"/>
  <c r="O126" i="22"/>
  <c r="O125" i="22"/>
  <c r="O124" i="22"/>
  <c r="N124" i="22"/>
  <c r="M124" i="22"/>
  <c r="O123" i="22"/>
  <c r="C121" i="22"/>
  <c r="L121" i="22" s="1"/>
  <c r="E118" i="22"/>
  <c r="E117" i="22"/>
  <c r="E116" i="22"/>
  <c r="H110" i="22"/>
  <c r="Q109" i="22"/>
  <c r="P109" i="22"/>
  <c r="Q108" i="22"/>
  <c r="P108" i="22"/>
  <c r="Q107" i="22"/>
  <c r="P107" i="22"/>
  <c r="O107" i="22"/>
  <c r="O105" i="22"/>
  <c r="N105" i="22"/>
  <c r="M105" i="22"/>
  <c r="L104" i="22"/>
  <c r="C102" i="22"/>
  <c r="L102" i="22" s="1"/>
  <c r="E99" i="22"/>
  <c r="E98" i="22"/>
  <c r="E97" i="22"/>
  <c r="H91" i="22"/>
  <c r="G91" i="22"/>
  <c r="Q90" i="22"/>
  <c r="P90" i="22"/>
  <c r="Q89" i="22"/>
  <c r="P89" i="22"/>
  <c r="Q88" i="22"/>
  <c r="P88" i="22"/>
  <c r="O87" i="22"/>
  <c r="N86" i="22"/>
  <c r="M86" i="22"/>
  <c r="O85" i="22"/>
  <c r="L85" i="22"/>
  <c r="C83" i="22"/>
  <c r="L83" i="22" s="1"/>
  <c r="E80" i="22"/>
  <c r="E79" i="22"/>
  <c r="E78" i="22"/>
  <c r="Q69" i="22"/>
  <c r="O68" i="22"/>
  <c r="O67" i="22"/>
  <c r="N67" i="22"/>
  <c r="M67" i="22"/>
  <c r="O66" i="22"/>
  <c r="L66" i="22"/>
  <c r="C64" i="22"/>
  <c r="L64" i="22" s="1"/>
  <c r="E61" i="22"/>
  <c r="E60" i="22"/>
  <c r="E59" i="22"/>
  <c r="O50" i="22"/>
  <c r="N49" i="22"/>
  <c r="O48" i="22"/>
  <c r="N48" i="22"/>
  <c r="M48" i="22"/>
  <c r="L47" i="22"/>
  <c r="C45" i="22"/>
  <c r="L45" i="22" s="1"/>
  <c r="E42" i="22"/>
  <c r="E41" i="22"/>
  <c r="E40" i="22"/>
  <c r="H34" i="22"/>
  <c r="H52" i="22" s="1"/>
  <c r="G34" i="22"/>
  <c r="F34" i="22"/>
  <c r="F52" i="22" s="1"/>
  <c r="E34" i="22"/>
  <c r="E90" i="22" s="1"/>
  <c r="D34" i="22"/>
  <c r="D90" i="22" s="1"/>
  <c r="C34" i="22"/>
  <c r="C128" i="22" s="1"/>
  <c r="H33" i="22"/>
  <c r="H51" i="22" s="1"/>
  <c r="Q51" i="22" s="1"/>
  <c r="G33" i="22"/>
  <c r="G51" i="22" s="1"/>
  <c r="F33" i="22"/>
  <c r="F89" i="22" s="1"/>
  <c r="E33" i="22"/>
  <c r="E70" i="22" s="1"/>
  <c r="D33" i="22"/>
  <c r="D70" i="22" s="1"/>
  <c r="C33" i="22"/>
  <c r="C127" i="22" s="1"/>
  <c r="H32" i="22"/>
  <c r="H50" i="22" s="1"/>
  <c r="Q50" i="22" s="1"/>
  <c r="G32" i="22"/>
  <c r="G69" i="22" s="1"/>
  <c r="F32" i="22"/>
  <c r="F88" i="22" s="1"/>
  <c r="E32" i="22"/>
  <c r="E107" i="22" s="1"/>
  <c r="D32" i="22"/>
  <c r="D107" i="22" s="1"/>
  <c r="C32" i="22"/>
  <c r="C126" i="22" s="1"/>
  <c r="H31" i="22"/>
  <c r="G31" i="22"/>
  <c r="G68" i="22" s="1"/>
  <c r="F31" i="22"/>
  <c r="F182" i="22" s="1"/>
  <c r="O182" i="22" s="1"/>
  <c r="E31" i="22"/>
  <c r="E182" i="22" s="1"/>
  <c r="N182" i="22" s="1"/>
  <c r="D31" i="22"/>
  <c r="D125" i="22" s="1"/>
  <c r="C31" i="22"/>
  <c r="C125" i="22" s="1"/>
  <c r="H30" i="22"/>
  <c r="H48" i="22" s="1"/>
  <c r="G30" i="22"/>
  <c r="G48" i="22" s="1"/>
  <c r="F30" i="22"/>
  <c r="E30" i="22"/>
  <c r="E181" i="22" s="1"/>
  <c r="N181" i="22" s="1"/>
  <c r="D30" i="22"/>
  <c r="D162" i="22" s="1"/>
  <c r="M162" i="22" s="1"/>
  <c r="C30" i="22"/>
  <c r="C124" i="22" s="1"/>
  <c r="H29" i="22"/>
  <c r="H47" i="22" s="1"/>
  <c r="G29" i="22"/>
  <c r="G142" i="22" s="1"/>
  <c r="F29" i="22"/>
  <c r="F161" i="22" s="1"/>
  <c r="E29" i="22"/>
  <c r="E161" i="22" s="1"/>
  <c r="D29" i="22"/>
  <c r="D161" i="22" s="1"/>
  <c r="C29" i="22"/>
  <c r="C142" i="22" s="1"/>
  <c r="E19" i="22"/>
  <c r="D19" i="22"/>
  <c r="C19" i="22"/>
  <c r="D11" i="22"/>
  <c r="D10" i="22"/>
  <c r="L112" i="16"/>
  <c r="Q117" i="16"/>
  <c r="P117" i="16"/>
  <c r="M117" i="16"/>
  <c r="L117" i="16"/>
  <c r="Q116" i="16"/>
  <c r="P116" i="16"/>
  <c r="M116" i="16"/>
  <c r="L116" i="16"/>
  <c r="Q115" i="16"/>
  <c r="P115" i="16"/>
  <c r="O115" i="16"/>
  <c r="M115" i="16"/>
  <c r="L115" i="16"/>
  <c r="O114" i="16"/>
  <c r="N114" i="16"/>
  <c r="M114" i="16"/>
  <c r="L114" i="16"/>
  <c r="O113" i="16"/>
  <c r="N113" i="16"/>
  <c r="M113" i="16"/>
  <c r="L113" i="16"/>
  <c r="O112" i="16"/>
  <c r="M112" i="16"/>
  <c r="I117" i="16"/>
  <c r="I116" i="16"/>
  <c r="G112" i="16"/>
  <c r="F118" i="16"/>
  <c r="L110" i="16"/>
  <c r="Q107" i="16"/>
  <c r="P107" i="16"/>
  <c r="O107" i="16"/>
  <c r="N107" i="16"/>
  <c r="M107" i="16"/>
  <c r="L107" i="16"/>
  <c r="Q106" i="16"/>
  <c r="P106" i="16"/>
  <c r="O106" i="16"/>
  <c r="N106" i="16"/>
  <c r="M106" i="16"/>
  <c r="L106" i="16"/>
  <c r="Q105" i="16"/>
  <c r="P105" i="16"/>
  <c r="O105" i="16"/>
  <c r="N105" i="16"/>
  <c r="M105" i="16"/>
  <c r="L105" i="16"/>
  <c r="Q104" i="16"/>
  <c r="P104" i="16"/>
  <c r="O104" i="16"/>
  <c r="N104" i="16"/>
  <c r="M104" i="16"/>
  <c r="L104" i="16"/>
  <c r="O103" i="16"/>
  <c r="M103" i="16"/>
  <c r="L103" i="16"/>
  <c r="O102" i="16"/>
  <c r="G103" i="16"/>
  <c r="F108" i="16"/>
  <c r="I107" i="16"/>
  <c r="L100" i="16"/>
  <c r="Q97" i="16"/>
  <c r="P97" i="16"/>
  <c r="O97" i="16"/>
  <c r="N97" i="16"/>
  <c r="M97" i="16"/>
  <c r="Q96" i="16"/>
  <c r="P96" i="16"/>
  <c r="O96" i="16"/>
  <c r="N96" i="16"/>
  <c r="M96" i="16"/>
  <c r="Q95" i="16"/>
  <c r="P95" i="16"/>
  <c r="O95" i="16"/>
  <c r="N95" i="16"/>
  <c r="M95" i="16"/>
  <c r="Q94" i="16"/>
  <c r="P94" i="16"/>
  <c r="O94" i="16"/>
  <c r="N94" i="16"/>
  <c r="M94" i="16"/>
  <c r="Q93" i="16"/>
  <c r="P93" i="16"/>
  <c r="O93" i="16"/>
  <c r="N93" i="16"/>
  <c r="M93" i="16"/>
  <c r="O92" i="16"/>
  <c r="L92" i="16"/>
  <c r="C97" i="16"/>
  <c r="G92" i="16"/>
  <c r="G98" i="16" s="1"/>
  <c r="E92" i="16"/>
  <c r="E98" i="16" s="1"/>
  <c r="C95" i="16"/>
  <c r="I95" i="16" s="1"/>
  <c r="F98" i="16"/>
  <c r="L90" i="16"/>
  <c r="Q87" i="16"/>
  <c r="P87" i="16"/>
  <c r="O87" i="16"/>
  <c r="N87" i="16"/>
  <c r="Q86" i="16"/>
  <c r="P86" i="16"/>
  <c r="O86" i="16"/>
  <c r="N86" i="16"/>
  <c r="Q85" i="16"/>
  <c r="P85" i="16"/>
  <c r="O85" i="16"/>
  <c r="N85" i="16"/>
  <c r="Q84" i="16"/>
  <c r="P84" i="16"/>
  <c r="O84" i="16"/>
  <c r="N84" i="16"/>
  <c r="M84" i="16"/>
  <c r="Q83" i="16"/>
  <c r="P83" i="16"/>
  <c r="O83" i="16"/>
  <c r="N83" i="16"/>
  <c r="M83" i="16"/>
  <c r="Q82" i="16"/>
  <c r="P82" i="16"/>
  <c r="O82" i="16"/>
  <c r="N82" i="16"/>
  <c r="L82" i="16"/>
  <c r="D87" i="16"/>
  <c r="C87" i="16"/>
  <c r="D85" i="16"/>
  <c r="H88" i="16"/>
  <c r="G88" i="16"/>
  <c r="F88" i="16"/>
  <c r="L80" i="16"/>
  <c r="L72" i="16"/>
  <c r="Q77" i="16"/>
  <c r="P77" i="16"/>
  <c r="O77" i="16"/>
  <c r="Q76" i="16"/>
  <c r="P76" i="16"/>
  <c r="O76" i="16"/>
  <c r="Q75" i="16"/>
  <c r="P75" i="16"/>
  <c r="O75" i="16"/>
  <c r="Q74" i="16"/>
  <c r="P74" i="16"/>
  <c r="O74" i="16"/>
  <c r="N74" i="16"/>
  <c r="M74" i="16"/>
  <c r="Q73" i="16"/>
  <c r="P73" i="16"/>
  <c r="O73" i="16"/>
  <c r="N73" i="16"/>
  <c r="M73" i="16"/>
  <c r="Q72" i="16"/>
  <c r="P72" i="16"/>
  <c r="O72" i="16"/>
  <c r="D77" i="16"/>
  <c r="C77" i="16"/>
  <c r="C75" i="16"/>
  <c r="I75" i="16" s="1"/>
  <c r="H78" i="16"/>
  <c r="G78" i="16"/>
  <c r="F78" i="16"/>
  <c r="I72" i="16"/>
  <c r="L70" i="16"/>
  <c r="Q67" i="16"/>
  <c r="P67" i="16"/>
  <c r="Q66" i="16"/>
  <c r="P66" i="16"/>
  <c r="Q65" i="16"/>
  <c r="P65" i="16"/>
  <c r="Q64" i="16"/>
  <c r="P64" i="16"/>
  <c r="O64" i="16"/>
  <c r="N64" i="16"/>
  <c r="M64" i="16"/>
  <c r="L64" i="16"/>
  <c r="Q63" i="16"/>
  <c r="P63" i="16"/>
  <c r="O63" i="16"/>
  <c r="N63" i="16"/>
  <c r="M63" i="16"/>
  <c r="L63" i="16"/>
  <c r="Q62" i="16"/>
  <c r="P62" i="16"/>
  <c r="O62" i="16"/>
  <c r="N62" i="16"/>
  <c r="M62" i="16"/>
  <c r="L62" i="16"/>
  <c r="D67" i="16"/>
  <c r="F65" i="16"/>
  <c r="E65" i="16"/>
  <c r="I63" i="16"/>
  <c r="H68" i="16"/>
  <c r="G68" i="16"/>
  <c r="L60" i="16"/>
  <c r="Q57" i="16"/>
  <c r="P57" i="16"/>
  <c r="Q56" i="16"/>
  <c r="P56" i="16"/>
  <c r="Q55" i="16"/>
  <c r="P55" i="16"/>
  <c r="O55" i="16"/>
  <c r="L55" i="16"/>
  <c r="O54" i="16"/>
  <c r="N54" i="16"/>
  <c r="M54" i="16"/>
  <c r="L54" i="16"/>
  <c r="O53" i="16"/>
  <c r="N53" i="16"/>
  <c r="M53" i="16"/>
  <c r="L53" i="16"/>
  <c r="O52" i="16"/>
  <c r="L52" i="16"/>
  <c r="G54" i="16"/>
  <c r="L50" i="16"/>
  <c r="L40" i="16"/>
  <c r="Q46" i="16"/>
  <c r="P46" i="16"/>
  <c r="O46" i="16"/>
  <c r="N46" i="16"/>
  <c r="M46" i="16"/>
  <c r="L46" i="16"/>
  <c r="Q45" i="16"/>
  <c r="P45" i="16"/>
  <c r="O45" i="16"/>
  <c r="N45" i="16"/>
  <c r="M45" i="16"/>
  <c r="L45" i="16"/>
  <c r="O44" i="16"/>
  <c r="N44" i="16"/>
  <c r="M44" i="16"/>
  <c r="L44" i="16"/>
  <c r="O43" i="16"/>
  <c r="N43" i="16"/>
  <c r="M43" i="16"/>
  <c r="L43" i="16"/>
  <c r="O42" i="16"/>
  <c r="N42" i="16"/>
  <c r="M42" i="16"/>
  <c r="L42" i="16"/>
  <c r="I46" i="16"/>
  <c r="G43" i="16"/>
  <c r="D23" i="16"/>
  <c r="D24" i="16"/>
  <c r="D22" i="16"/>
  <c r="F11" i="16"/>
  <c r="F13" i="16" s="1"/>
  <c r="E11" i="16"/>
  <c r="E13" i="16" s="1"/>
  <c r="H34" i="16"/>
  <c r="H47" i="16" s="1"/>
  <c r="Q47" i="16" s="1"/>
  <c r="G34" i="16"/>
  <c r="G47" i="16" s="1"/>
  <c r="P47" i="16" s="1"/>
  <c r="F34" i="16"/>
  <c r="F47" i="16" s="1"/>
  <c r="F48" i="16" s="1"/>
  <c r="E34" i="16"/>
  <c r="E47" i="16" s="1"/>
  <c r="E48" i="16" s="1"/>
  <c r="D34" i="16"/>
  <c r="D47" i="16" s="1"/>
  <c r="C34" i="16"/>
  <c r="C47" i="16" s="1"/>
  <c r="H33" i="16"/>
  <c r="G33" i="16"/>
  <c r="F33" i="16"/>
  <c r="F66" i="16" s="1"/>
  <c r="E33" i="16"/>
  <c r="E66" i="16" s="1"/>
  <c r="D33" i="16"/>
  <c r="D76" i="16" s="1"/>
  <c r="C33" i="16"/>
  <c r="C86" i="16" s="1"/>
  <c r="H32" i="16"/>
  <c r="G32" i="16"/>
  <c r="F32" i="16"/>
  <c r="E32" i="16"/>
  <c r="E75" i="16" s="1"/>
  <c r="D32" i="16"/>
  <c r="D75" i="16" s="1"/>
  <c r="C32" i="16"/>
  <c r="C65" i="16" s="1"/>
  <c r="H31" i="16"/>
  <c r="H114" i="16" s="1"/>
  <c r="G31" i="16"/>
  <c r="G114" i="16" s="1"/>
  <c r="I114" i="16" s="1"/>
  <c r="F31" i="16"/>
  <c r="E31" i="16"/>
  <c r="D31" i="16"/>
  <c r="C31" i="16"/>
  <c r="C84" i="16" s="1"/>
  <c r="H30" i="16"/>
  <c r="H103" i="16" s="1"/>
  <c r="H108" i="16" s="1"/>
  <c r="G30" i="16"/>
  <c r="G113" i="16" s="1"/>
  <c r="F30" i="16"/>
  <c r="E30" i="16"/>
  <c r="E103" i="16" s="1"/>
  <c r="D30" i="16"/>
  <c r="C30" i="16"/>
  <c r="C83" i="16" s="1"/>
  <c r="H29" i="16"/>
  <c r="H102" i="16" s="1"/>
  <c r="G29" i="16"/>
  <c r="G42" i="16" s="1"/>
  <c r="F29" i="16"/>
  <c r="E29" i="16"/>
  <c r="E102" i="16" s="1"/>
  <c r="E108" i="16" s="1"/>
  <c r="D29" i="16"/>
  <c r="D102" i="16" s="1"/>
  <c r="C29" i="16"/>
  <c r="C102" i="16" s="1"/>
  <c r="L102" i="16" s="1"/>
  <c r="Q185" i="15"/>
  <c r="P185" i="15"/>
  <c r="O185" i="15"/>
  <c r="N185" i="15"/>
  <c r="M185" i="15"/>
  <c r="L185" i="15"/>
  <c r="Q184" i="15"/>
  <c r="P184" i="15"/>
  <c r="O184" i="15"/>
  <c r="N184" i="15"/>
  <c r="M184" i="15"/>
  <c r="L184" i="15"/>
  <c r="Q183" i="15"/>
  <c r="P183" i="15"/>
  <c r="O183" i="15"/>
  <c r="N183" i="15"/>
  <c r="M183" i="15"/>
  <c r="L183" i="15"/>
  <c r="O182" i="15"/>
  <c r="N182" i="15"/>
  <c r="M182" i="15"/>
  <c r="L182" i="15"/>
  <c r="O181" i="15"/>
  <c r="N181" i="15"/>
  <c r="M181" i="15"/>
  <c r="L181" i="15"/>
  <c r="O180" i="15"/>
  <c r="N180" i="15"/>
  <c r="M180" i="15"/>
  <c r="L180" i="15"/>
  <c r="I185" i="15"/>
  <c r="H182" i="15"/>
  <c r="G182" i="15"/>
  <c r="I182" i="15"/>
  <c r="H181" i="15"/>
  <c r="H186" i="15" s="1"/>
  <c r="G181" i="15"/>
  <c r="G186" i="15" s="1"/>
  <c r="H180" i="15"/>
  <c r="G180" i="15"/>
  <c r="D186" i="15"/>
  <c r="I184" i="15"/>
  <c r="M178" i="15"/>
  <c r="L178" i="15"/>
  <c r="D178" i="15"/>
  <c r="C178" i="15"/>
  <c r="E175" i="15"/>
  <c r="E174" i="15"/>
  <c r="E173" i="15"/>
  <c r="Q166" i="15"/>
  <c r="P166" i="15"/>
  <c r="O166" i="15"/>
  <c r="N166" i="15"/>
  <c r="M166" i="15"/>
  <c r="L166" i="15"/>
  <c r="Q165" i="15"/>
  <c r="P165" i="15"/>
  <c r="O165" i="15"/>
  <c r="N165" i="15"/>
  <c r="M165" i="15"/>
  <c r="L165" i="15"/>
  <c r="Q164" i="15"/>
  <c r="P164" i="15"/>
  <c r="O164" i="15"/>
  <c r="N164" i="15"/>
  <c r="M164" i="15"/>
  <c r="L164" i="15"/>
  <c r="Q163" i="15"/>
  <c r="P163" i="15"/>
  <c r="O163" i="15"/>
  <c r="N163" i="15"/>
  <c r="M163" i="15"/>
  <c r="L163" i="15"/>
  <c r="O162" i="15"/>
  <c r="N162" i="15"/>
  <c r="M162" i="15"/>
  <c r="L162" i="15"/>
  <c r="O161" i="15"/>
  <c r="M161" i="15"/>
  <c r="L161" i="15"/>
  <c r="I163" i="15"/>
  <c r="C167" i="15"/>
  <c r="H162" i="15"/>
  <c r="G162" i="15"/>
  <c r="F162" i="15"/>
  <c r="E162" i="15"/>
  <c r="H161" i="15"/>
  <c r="G161" i="15"/>
  <c r="F161" i="15"/>
  <c r="F167" i="15" s="1"/>
  <c r="E161" i="15"/>
  <c r="I161" i="15"/>
  <c r="I166" i="15"/>
  <c r="I164" i="15"/>
  <c r="I162" i="15"/>
  <c r="H167" i="15"/>
  <c r="G167" i="15"/>
  <c r="D159" i="15"/>
  <c r="M159" i="15" s="1"/>
  <c r="C159" i="15"/>
  <c r="L159" i="15" s="1"/>
  <c r="E156" i="15"/>
  <c r="E155" i="15"/>
  <c r="E154" i="15"/>
  <c r="Q147" i="15"/>
  <c r="P147" i="15"/>
  <c r="O147" i="15"/>
  <c r="N147" i="15"/>
  <c r="M147" i="15"/>
  <c r="L147" i="15"/>
  <c r="Q146" i="15"/>
  <c r="P146" i="15"/>
  <c r="O146" i="15"/>
  <c r="N146" i="15"/>
  <c r="M146" i="15"/>
  <c r="L146" i="15"/>
  <c r="Q145" i="15"/>
  <c r="P145" i="15"/>
  <c r="O145" i="15"/>
  <c r="N145" i="15"/>
  <c r="M145" i="15"/>
  <c r="L145" i="15"/>
  <c r="Q144" i="15"/>
  <c r="P144" i="15"/>
  <c r="O144" i="15"/>
  <c r="N144" i="15"/>
  <c r="M144" i="15"/>
  <c r="L144" i="15"/>
  <c r="Q143" i="15"/>
  <c r="P143" i="15"/>
  <c r="O143" i="15"/>
  <c r="N143" i="15"/>
  <c r="M143" i="15"/>
  <c r="L143" i="15"/>
  <c r="I146" i="15"/>
  <c r="I147" i="15"/>
  <c r="I143" i="15"/>
  <c r="D140" i="15"/>
  <c r="M140" i="15" s="1"/>
  <c r="C140" i="15"/>
  <c r="L140" i="15" s="1"/>
  <c r="E137" i="15"/>
  <c r="E136" i="15"/>
  <c r="E135" i="15"/>
  <c r="Q128" i="15"/>
  <c r="P128" i="15"/>
  <c r="O128" i="15"/>
  <c r="N128" i="15"/>
  <c r="M128" i="15"/>
  <c r="Q127" i="15"/>
  <c r="P127" i="15"/>
  <c r="O127" i="15"/>
  <c r="N127" i="15"/>
  <c r="M127" i="15"/>
  <c r="Q126" i="15"/>
  <c r="P126" i="15"/>
  <c r="O126" i="15"/>
  <c r="N126" i="15"/>
  <c r="M126" i="15"/>
  <c r="Q125" i="15"/>
  <c r="P125" i="15"/>
  <c r="O125" i="15"/>
  <c r="N125" i="15"/>
  <c r="M125" i="15"/>
  <c r="Q124" i="15"/>
  <c r="P124" i="15"/>
  <c r="O124" i="15"/>
  <c r="N124" i="15"/>
  <c r="M124" i="15"/>
  <c r="Q123" i="15"/>
  <c r="P123" i="15"/>
  <c r="O123" i="15"/>
  <c r="N123" i="15"/>
  <c r="M123" i="15"/>
  <c r="L123" i="15"/>
  <c r="H129" i="15"/>
  <c r="G129" i="15"/>
  <c r="D129" i="15"/>
  <c r="F129" i="15"/>
  <c r="E129" i="15"/>
  <c r="I123" i="15"/>
  <c r="D121" i="15"/>
  <c r="M121" i="15" s="1"/>
  <c r="C121" i="15"/>
  <c r="L121" i="15" s="1"/>
  <c r="E118" i="15"/>
  <c r="E117" i="15"/>
  <c r="E116" i="15"/>
  <c r="Q109" i="15"/>
  <c r="P109" i="15"/>
  <c r="O109" i="15"/>
  <c r="N109" i="15"/>
  <c r="Q108" i="15"/>
  <c r="P108" i="15"/>
  <c r="O108" i="15"/>
  <c r="N108" i="15"/>
  <c r="Q107" i="15"/>
  <c r="P107" i="15"/>
  <c r="O107" i="15"/>
  <c r="N107" i="15"/>
  <c r="Q106" i="15"/>
  <c r="P106" i="15"/>
  <c r="O106" i="15"/>
  <c r="N106" i="15"/>
  <c r="Q105" i="15"/>
  <c r="P105" i="15"/>
  <c r="O105" i="15"/>
  <c r="N105" i="15"/>
  <c r="M105" i="15"/>
  <c r="L105" i="15"/>
  <c r="Q104" i="15"/>
  <c r="P104" i="15"/>
  <c r="O104" i="15"/>
  <c r="N104" i="15"/>
  <c r="M104" i="15"/>
  <c r="L104" i="15"/>
  <c r="E110" i="15"/>
  <c r="G110" i="15"/>
  <c r="F110" i="15"/>
  <c r="I105" i="15"/>
  <c r="C102" i="15"/>
  <c r="L102" i="15" s="1"/>
  <c r="D102" i="15"/>
  <c r="M102" i="15" s="1"/>
  <c r="E99" i="15"/>
  <c r="E98" i="15"/>
  <c r="E97" i="15"/>
  <c r="Q90" i="15"/>
  <c r="P90" i="15"/>
  <c r="O90" i="15"/>
  <c r="Q89" i="15"/>
  <c r="P89" i="15"/>
  <c r="O89" i="15"/>
  <c r="Q88" i="15"/>
  <c r="P88" i="15"/>
  <c r="O88" i="15"/>
  <c r="Q87" i="15"/>
  <c r="P87" i="15"/>
  <c r="O87" i="15"/>
  <c r="N87" i="15"/>
  <c r="M87" i="15"/>
  <c r="L87" i="15"/>
  <c r="Q86" i="15"/>
  <c r="P86" i="15"/>
  <c r="O86" i="15"/>
  <c r="N86" i="15"/>
  <c r="M86" i="15"/>
  <c r="L86" i="15"/>
  <c r="Q85" i="15"/>
  <c r="P85" i="15"/>
  <c r="O85" i="15"/>
  <c r="N85" i="15"/>
  <c r="M85" i="15"/>
  <c r="L85" i="15"/>
  <c r="I87" i="15"/>
  <c r="I86" i="15"/>
  <c r="I85" i="15"/>
  <c r="D83" i="15"/>
  <c r="M83" i="15" s="1"/>
  <c r="C83" i="15"/>
  <c r="L83" i="15" s="1"/>
  <c r="D64" i="15"/>
  <c r="M64" i="15" s="1"/>
  <c r="C64" i="15"/>
  <c r="L64" i="15" s="1"/>
  <c r="D45" i="15"/>
  <c r="M45" i="15" s="1"/>
  <c r="C45" i="15"/>
  <c r="L45" i="15" s="1"/>
  <c r="H91" i="15"/>
  <c r="E80" i="15"/>
  <c r="E79" i="15"/>
  <c r="E78" i="15"/>
  <c r="Q69" i="15"/>
  <c r="P69" i="15"/>
  <c r="O69" i="15"/>
  <c r="N69" i="15"/>
  <c r="M69" i="15"/>
  <c r="L69" i="15"/>
  <c r="Q68" i="15"/>
  <c r="P68" i="15"/>
  <c r="O68" i="15"/>
  <c r="N68" i="15"/>
  <c r="M68" i="15"/>
  <c r="L68" i="15"/>
  <c r="Q67" i="15"/>
  <c r="P67" i="15"/>
  <c r="O67" i="15"/>
  <c r="N67" i="15"/>
  <c r="M67" i="15"/>
  <c r="L67" i="15"/>
  <c r="Q66" i="15"/>
  <c r="P66" i="15"/>
  <c r="O66" i="15"/>
  <c r="N66" i="15"/>
  <c r="M66" i="15"/>
  <c r="L66" i="15"/>
  <c r="I69" i="15"/>
  <c r="I67" i="15"/>
  <c r="I68" i="15"/>
  <c r="E61" i="15"/>
  <c r="E60" i="15"/>
  <c r="E59" i="15"/>
  <c r="Q51" i="15"/>
  <c r="O51" i="15"/>
  <c r="N51" i="15"/>
  <c r="M51" i="15"/>
  <c r="L51" i="15"/>
  <c r="Q50" i="15"/>
  <c r="O50" i="15"/>
  <c r="N50" i="15"/>
  <c r="M50" i="15"/>
  <c r="L50" i="15"/>
  <c r="Q49" i="15"/>
  <c r="O49" i="15"/>
  <c r="N49" i="15"/>
  <c r="M49" i="15"/>
  <c r="L49" i="15"/>
  <c r="Q48" i="15"/>
  <c r="O48" i="15"/>
  <c r="N48" i="15"/>
  <c r="M48" i="15"/>
  <c r="L48" i="15"/>
  <c r="Q47" i="15"/>
  <c r="O47" i="15"/>
  <c r="N47" i="15"/>
  <c r="M47" i="15"/>
  <c r="L47" i="15"/>
  <c r="AP22" i="3"/>
  <c r="AP23" i="3"/>
  <c r="AP24" i="3"/>
  <c r="AP25" i="3"/>
  <c r="AP26" i="3"/>
  <c r="AP27" i="3"/>
  <c r="AP28" i="3"/>
  <c r="AP29" i="3"/>
  <c r="AP30" i="3"/>
  <c r="E13" i="15"/>
  <c r="C78" i="13"/>
  <c r="C77" i="13"/>
  <c r="C76" i="13"/>
  <c r="H27" i="13"/>
  <c r="H36" i="13" s="1"/>
  <c r="G27" i="13"/>
  <c r="G36" i="13" s="1"/>
  <c r="F27" i="13"/>
  <c r="F36" i="13" s="1"/>
  <c r="E27" i="13"/>
  <c r="E36" i="13" s="1"/>
  <c r="D27" i="13"/>
  <c r="D36" i="13" s="1"/>
  <c r="C27" i="13"/>
  <c r="C36" i="13" s="1"/>
  <c r="H26" i="13"/>
  <c r="H35" i="13" s="1"/>
  <c r="G26" i="13"/>
  <c r="G35" i="13" s="1"/>
  <c r="F26" i="13"/>
  <c r="F35" i="13" s="1"/>
  <c r="E26" i="13"/>
  <c r="E28" i="13" s="1"/>
  <c r="D26" i="13"/>
  <c r="C26" i="13"/>
  <c r="I25" i="13"/>
  <c r="H25" i="13"/>
  <c r="H34" i="13" s="1"/>
  <c r="G25" i="13"/>
  <c r="G34" i="13" s="1"/>
  <c r="F25" i="13"/>
  <c r="F34" i="13" s="1"/>
  <c r="E25" i="13"/>
  <c r="E34" i="13" s="1"/>
  <c r="D25" i="13"/>
  <c r="D34" i="13" s="1"/>
  <c r="C25" i="13"/>
  <c r="C34" i="13" s="1"/>
  <c r="H24" i="13"/>
  <c r="H33" i="13" s="1"/>
  <c r="G24" i="13"/>
  <c r="G33" i="13" s="1"/>
  <c r="F24" i="13"/>
  <c r="F33" i="13" s="1"/>
  <c r="E24" i="13"/>
  <c r="E33" i="13" s="1"/>
  <c r="D24" i="13"/>
  <c r="C24" i="13"/>
  <c r="H23" i="13"/>
  <c r="H32" i="13" s="1"/>
  <c r="G23" i="13"/>
  <c r="G32" i="13" s="1"/>
  <c r="F23" i="13"/>
  <c r="F32" i="13" s="1"/>
  <c r="E23" i="13"/>
  <c r="E32" i="13" s="1"/>
  <c r="D23" i="13"/>
  <c r="D32" i="13" s="1"/>
  <c r="C23" i="13"/>
  <c r="I23" i="13" s="1"/>
  <c r="H22" i="13"/>
  <c r="H28" i="13" s="1"/>
  <c r="G22" i="13"/>
  <c r="G28" i="13" s="1"/>
  <c r="F22" i="13"/>
  <c r="F31" i="13" s="1"/>
  <c r="E22" i="13"/>
  <c r="E31" i="13" s="1"/>
  <c r="D22" i="13"/>
  <c r="C22" i="13"/>
  <c r="C77" i="12"/>
  <c r="C78" i="12"/>
  <c r="C76" i="12"/>
  <c r="C77" i="11"/>
  <c r="C78" i="11"/>
  <c r="C76" i="11"/>
  <c r="E32" i="10"/>
  <c r="C67" i="10"/>
  <c r="C68" i="10"/>
  <c r="C66" i="10"/>
  <c r="E54" i="10"/>
  <c r="E43" i="10"/>
  <c r="C68" i="4"/>
  <c r="C69" i="4"/>
  <c r="C67" i="4"/>
  <c r="E53" i="17"/>
  <c r="E42" i="17"/>
  <c r="C20" i="22"/>
  <c r="D63" i="5"/>
  <c r="D111" i="5" s="1"/>
  <c r="E63" i="5"/>
  <c r="E111" i="5" s="1"/>
  <c r="C10" i="17"/>
  <c r="C15" i="17" s="1"/>
  <c r="E53" i="4"/>
  <c r="E42" i="4"/>
  <c r="E42" i="15"/>
  <c r="E41" i="15"/>
  <c r="E40" i="15"/>
  <c r="D19" i="15"/>
  <c r="C155" i="15" s="1"/>
  <c r="E19" i="15"/>
  <c r="C175" i="15" s="1"/>
  <c r="C19" i="15"/>
  <c r="C173" i="15" s="1"/>
  <c r="H12" i="14"/>
  <c r="G12" i="14"/>
  <c r="H11" i="14"/>
  <c r="G11" i="14"/>
  <c r="H10" i="14"/>
  <c r="G10" i="14"/>
  <c r="F10" i="14"/>
  <c r="F9" i="14"/>
  <c r="E9" i="14"/>
  <c r="D9" i="14"/>
  <c r="F8" i="14"/>
  <c r="E8" i="14"/>
  <c r="D8" i="14"/>
  <c r="F7" i="14"/>
  <c r="C7" i="14"/>
  <c r="F25" i="12"/>
  <c r="F34" i="12" s="1"/>
  <c r="H5" i="2"/>
  <c r="E15" i="2" s="1"/>
  <c r="H6" i="2"/>
  <c r="F16" i="2" s="1"/>
  <c r="H7" i="2"/>
  <c r="H8" i="2"/>
  <c r="H9" i="2"/>
  <c r="H4" i="2"/>
  <c r="E14" i="10"/>
  <c r="AB559" i="3"/>
  <c r="AA559" i="3"/>
  <c r="Z559" i="3"/>
  <c r="Y559" i="3"/>
  <c r="X559" i="3"/>
  <c r="W559" i="3"/>
  <c r="V559" i="3"/>
  <c r="U559" i="3"/>
  <c r="T559" i="3"/>
  <c r="S559" i="3"/>
  <c r="R559" i="3"/>
  <c r="Q559" i="3"/>
  <c r="P559" i="3"/>
  <c r="O559" i="3"/>
  <c r="N559" i="3"/>
  <c r="AB558" i="3"/>
  <c r="AA558" i="3"/>
  <c r="Z558" i="3"/>
  <c r="Y558" i="3"/>
  <c r="X558" i="3"/>
  <c r="W558" i="3"/>
  <c r="V558" i="3"/>
  <c r="U558" i="3"/>
  <c r="T558" i="3"/>
  <c r="S558" i="3"/>
  <c r="R558" i="3"/>
  <c r="Q558" i="3"/>
  <c r="P558" i="3"/>
  <c r="O558" i="3"/>
  <c r="N558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AB556" i="3"/>
  <c r="AA556" i="3"/>
  <c r="Z556" i="3"/>
  <c r="Y556" i="3"/>
  <c r="X556" i="3"/>
  <c r="W556" i="3"/>
  <c r="V556" i="3"/>
  <c r="U556" i="3"/>
  <c r="T556" i="3"/>
  <c r="S556" i="3"/>
  <c r="R556" i="3"/>
  <c r="Q556" i="3"/>
  <c r="P556" i="3"/>
  <c r="O556" i="3"/>
  <c r="N556" i="3"/>
  <c r="AB555" i="3"/>
  <c r="AA555" i="3"/>
  <c r="Z555" i="3"/>
  <c r="Y555" i="3"/>
  <c r="X555" i="3"/>
  <c r="W555" i="3"/>
  <c r="V555" i="3"/>
  <c r="U555" i="3"/>
  <c r="T555" i="3"/>
  <c r="S555" i="3"/>
  <c r="R555" i="3"/>
  <c r="Q555" i="3"/>
  <c r="P555" i="3"/>
  <c r="O555" i="3"/>
  <c r="N555" i="3"/>
  <c r="AB554" i="3"/>
  <c r="AA554" i="3"/>
  <c r="Z554" i="3"/>
  <c r="Y554" i="3"/>
  <c r="X554" i="3"/>
  <c r="W554" i="3"/>
  <c r="V554" i="3"/>
  <c r="U554" i="3"/>
  <c r="T554" i="3"/>
  <c r="S554" i="3"/>
  <c r="R554" i="3"/>
  <c r="Q554" i="3"/>
  <c r="P554" i="3"/>
  <c r="O554" i="3"/>
  <c r="N554" i="3"/>
  <c r="AB553" i="3"/>
  <c r="AA553" i="3"/>
  <c r="Z553" i="3"/>
  <c r="Y553" i="3"/>
  <c r="X553" i="3"/>
  <c r="W553" i="3"/>
  <c r="V553" i="3"/>
  <c r="U553" i="3"/>
  <c r="T553" i="3"/>
  <c r="S553" i="3"/>
  <c r="R553" i="3"/>
  <c r="Q553" i="3"/>
  <c r="P553" i="3"/>
  <c r="O553" i="3"/>
  <c r="N553" i="3"/>
  <c r="AB552" i="3"/>
  <c r="AA552" i="3"/>
  <c r="Z552" i="3"/>
  <c r="Y552" i="3"/>
  <c r="X552" i="3"/>
  <c r="W552" i="3"/>
  <c r="V552" i="3"/>
  <c r="U552" i="3"/>
  <c r="T552" i="3"/>
  <c r="S552" i="3"/>
  <c r="R552" i="3"/>
  <c r="Q552" i="3"/>
  <c r="P552" i="3"/>
  <c r="O552" i="3"/>
  <c r="N552" i="3"/>
  <c r="AB551" i="3"/>
  <c r="AA551" i="3"/>
  <c r="Z551" i="3"/>
  <c r="Y551" i="3"/>
  <c r="X551" i="3"/>
  <c r="W551" i="3"/>
  <c r="V551" i="3"/>
  <c r="U551" i="3"/>
  <c r="T551" i="3"/>
  <c r="S551" i="3"/>
  <c r="R551" i="3"/>
  <c r="Q551" i="3"/>
  <c r="P551" i="3"/>
  <c r="O551" i="3"/>
  <c r="N551" i="3"/>
  <c r="AB550" i="3"/>
  <c r="AA550" i="3"/>
  <c r="Z550" i="3"/>
  <c r="Y550" i="3"/>
  <c r="X550" i="3"/>
  <c r="W550" i="3"/>
  <c r="V550" i="3"/>
  <c r="U550" i="3"/>
  <c r="T550" i="3"/>
  <c r="S550" i="3"/>
  <c r="R550" i="3"/>
  <c r="Q550" i="3"/>
  <c r="P550" i="3"/>
  <c r="O550" i="3"/>
  <c r="N550" i="3"/>
  <c r="AB549" i="3"/>
  <c r="AA549" i="3"/>
  <c r="Z549" i="3"/>
  <c r="Y549" i="3"/>
  <c r="X549" i="3"/>
  <c r="W549" i="3"/>
  <c r="V549" i="3"/>
  <c r="U549" i="3"/>
  <c r="T549" i="3"/>
  <c r="S549" i="3"/>
  <c r="R549" i="3"/>
  <c r="Q549" i="3"/>
  <c r="P549" i="3"/>
  <c r="O549" i="3"/>
  <c r="N549" i="3"/>
  <c r="AB548" i="3"/>
  <c r="AA548" i="3"/>
  <c r="Z548" i="3"/>
  <c r="Y548" i="3"/>
  <c r="X548" i="3"/>
  <c r="W548" i="3"/>
  <c r="V548" i="3"/>
  <c r="U548" i="3"/>
  <c r="T548" i="3"/>
  <c r="S548" i="3"/>
  <c r="R548" i="3"/>
  <c r="Q548" i="3"/>
  <c r="P548" i="3"/>
  <c r="O548" i="3"/>
  <c r="N548" i="3"/>
  <c r="AB547" i="3"/>
  <c r="AA547" i="3"/>
  <c r="Z547" i="3"/>
  <c r="Y547" i="3"/>
  <c r="X547" i="3"/>
  <c r="W547" i="3"/>
  <c r="V547" i="3"/>
  <c r="U547" i="3"/>
  <c r="T547" i="3"/>
  <c r="S547" i="3"/>
  <c r="R547" i="3"/>
  <c r="Q547" i="3"/>
  <c r="P547" i="3"/>
  <c r="O547" i="3"/>
  <c r="N547" i="3"/>
  <c r="AB546" i="3"/>
  <c r="AA546" i="3"/>
  <c r="Z546" i="3"/>
  <c r="Y546" i="3"/>
  <c r="X546" i="3"/>
  <c r="W546" i="3"/>
  <c r="V546" i="3"/>
  <c r="U546" i="3"/>
  <c r="T546" i="3"/>
  <c r="S546" i="3"/>
  <c r="R546" i="3"/>
  <c r="Q546" i="3"/>
  <c r="P546" i="3"/>
  <c r="O546" i="3"/>
  <c r="N546" i="3"/>
  <c r="AB545" i="3"/>
  <c r="AA545" i="3"/>
  <c r="Z545" i="3"/>
  <c r="Y545" i="3"/>
  <c r="X545" i="3"/>
  <c r="W545" i="3"/>
  <c r="V545" i="3"/>
  <c r="U545" i="3"/>
  <c r="T545" i="3"/>
  <c r="S545" i="3"/>
  <c r="R545" i="3"/>
  <c r="Q545" i="3"/>
  <c r="P545" i="3"/>
  <c r="O545" i="3"/>
  <c r="N545" i="3"/>
  <c r="AB544" i="3"/>
  <c r="AA544" i="3"/>
  <c r="Z544" i="3"/>
  <c r="Y544" i="3"/>
  <c r="X544" i="3"/>
  <c r="W544" i="3"/>
  <c r="V544" i="3"/>
  <c r="U544" i="3"/>
  <c r="T544" i="3"/>
  <c r="S544" i="3"/>
  <c r="R544" i="3"/>
  <c r="Q544" i="3"/>
  <c r="P544" i="3"/>
  <c r="O544" i="3"/>
  <c r="N544" i="3"/>
  <c r="AB543" i="3"/>
  <c r="AA543" i="3"/>
  <c r="Z543" i="3"/>
  <c r="Y543" i="3"/>
  <c r="X543" i="3"/>
  <c r="W543" i="3"/>
  <c r="V543" i="3"/>
  <c r="U543" i="3"/>
  <c r="T543" i="3"/>
  <c r="S543" i="3"/>
  <c r="R543" i="3"/>
  <c r="Q543" i="3"/>
  <c r="P543" i="3"/>
  <c r="O543" i="3"/>
  <c r="N543" i="3"/>
  <c r="AB542" i="3"/>
  <c r="AA542" i="3"/>
  <c r="Z542" i="3"/>
  <c r="Y542" i="3"/>
  <c r="X542" i="3"/>
  <c r="W542" i="3"/>
  <c r="V542" i="3"/>
  <c r="U542" i="3"/>
  <c r="T542" i="3"/>
  <c r="S542" i="3"/>
  <c r="R542" i="3"/>
  <c r="Q542" i="3"/>
  <c r="P542" i="3"/>
  <c r="O542" i="3"/>
  <c r="N542" i="3"/>
  <c r="AB541" i="3"/>
  <c r="AA541" i="3"/>
  <c r="Z541" i="3"/>
  <c r="Y541" i="3"/>
  <c r="X541" i="3"/>
  <c r="W541" i="3"/>
  <c r="V541" i="3"/>
  <c r="U541" i="3"/>
  <c r="T541" i="3"/>
  <c r="S541" i="3"/>
  <c r="R541" i="3"/>
  <c r="Q541" i="3"/>
  <c r="P541" i="3"/>
  <c r="O541" i="3"/>
  <c r="N541" i="3"/>
  <c r="AB540" i="3"/>
  <c r="AA540" i="3"/>
  <c r="Z540" i="3"/>
  <c r="Y540" i="3"/>
  <c r="X540" i="3"/>
  <c r="W540" i="3"/>
  <c r="V540" i="3"/>
  <c r="U540" i="3"/>
  <c r="T540" i="3"/>
  <c r="S540" i="3"/>
  <c r="R540" i="3"/>
  <c r="Q540" i="3"/>
  <c r="P540" i="3"/>
  <c r="O540" i="3"/>
  <c r="N540" i="3"/>
  <c r="AB539" i="3"/>
  <c r="AA539" i="3"/>
  <c r="Z539" i="3"/>
  <c r="Y539" i="3"/>
  <c r="X539" i="3"/>
  <c r="W539" i="3"/>
  <c r="V539" i="3"/>
  <c r="U539" i="3"/>
  <c r="T539" i="3"/>
  <c r="S539" i="3"/>
  <c r="R539" i="3"/>
  <c r="Q539" i="3"/>
  <c r="P539" i="3"/>
  <c r="O539" i="3"/>
  <c r="N539" i="3"/>
  <c r="M539" i="3"/>
  <c r="AB538" i="3"/>
  <c r="AA538" i="3"/>
  <c r="Z538" i="3"/>
  <c r="Y538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AB537" i="3"/>
  <c r="AA537" i="3"/>
  <c r="Z537" i="3"/>
  <c r="Y537" i="3"/>
  <c r="X537" i="3"/>
  <c r="W537" i="3"/>
  <c r="V537" i="3"/>
  <c r="U537" i="3"/>
  <c r="T537" i="3"/>
  <c r="S537" i="3"/>
  <c r="R537" i="3"/>
  <c r="Q537" i="3"/>
  <c r="P537" i="3"/>
  <c r="O537" i="3"/>
  <c r="N537" i="3"/>
  <c r="M537" i="3"/>
  <c r="AB536" i="3"/>
  <c r="AA536" i="3"/>
  <c r="Z536" i="3"/>
  <c r="Y536" i="3"/>
  <c r="X536" i="3"/>
  <c r="W536" i="3"/>
  <c r="V536" i="3"/>
  <c r="U536" i="3"/>
  <c r="T536" i="3"/>
  <c r="S536" i="3"/>
  <c r="R536" i="3"/>
  <c r="Q536" i="3"/>
  <c r="P536" i="3"/>
  <c r="O536" i="3"/>
  <c r="N536" i="3"/>
  <c r="M536" i="3"/>
  <c r="AB535" i="3"/>
  <c r="AA535" i="3"/>
  <c r="Z535" i="3"/>
  <c r="Y535" i="3"/>
  <c r="X535" i="3"/>
  <c r="W535" i="3"/>
  <c r="V535" i="3"/>
  <c r="U535" i="3"/>
  <c r="T535" i="3"/>
  <c r="S535" i="3"/>
  <c r="R535" i="3"/>
  <c r="Q535" i="3"/>
  <c r="P535" i="3"/>
  <c r="O535" i="3"/>
  <c r="N535" i="3"/>
  <c r="M535" i="3"/>
  <c r="AB534" i="3"/>
  <c r="AA534" i="3"/>
  <c r="Z534" i="3"/>
  <c r="Y534" i="3"/>
  <c r="X534" i="3"/>
  <c r="W534" i="3"/>
  <c r="V534" i="3"/>
  <c r="U534" i="3"/>
  <c r="T534" i="3"/>
  <c r="S534" i="3"/>
  <c r="R534" i="3"/>
  <c r="Q534" i="3"/>
  <c r="P534" i="3"/>
  <c r="O534" i="3"/>
  <c r="N534" i="3"/>
  <c r="M534" i="3"/>
  <c r="AB533" i="3"/>
  <c r="AA533" i="3"/>
  <c r="Z533" i="3"/>
  <c r="Y533" i="3"/>
  <c r="X533" i="3"/>
  <c r="W533" i="3"/>
  <c r="V533" i="3"/>
  <c r="U533" i="3"/>
  <c r="T533" i="3"/>
  <c r="S533" i="3"/>
  <c r="R533" i="3"/>
  <c r="Q533" i="3"/>
  <c r="P533" i="3"/>
  <c r="O533" i="3"/>
  <c r="N533" i="3"/>
  <c r="M533" i="3"/>
  <c r="AB532" i="3"/>
  <c r="AA532" i="3"/>
  <c r="Z532" i="3"/>
  <c r="Y532" i="3"/>
  <c r="X532" i="3"/>
  <c r="W532" i="3"/>
  <c r="V532" i="3"/>
  <c r="U532" i="3"/>
  <c r="T532" i="3"/>
  <c r="S532" i="3"/>
  <c r="R532" i="3"/>
  <c r="Q532" i="3"/>
  <c r="P532" i="3"/>
  <c r="O532" i="3"/>
  <c r="N532" i="3"/>
  <c r="M532" i="3"/>
  <c r="AB531" i="3"/>
  <c r="AA531" i="3"/>
  <c r="Z531" i="3"/>
  <c r="Y531" i="3"/>
  <c r="X531" i="3"/>
  <c r="W531" i="3"/>
  <c r="V531" i="3"/>
  <c r="U531" i="3"/>
  <c r="T531" i="3"/>
  <c r="S531" i="3"/>
  <c r="R531" i="3"/>
  <c r="Q531" i="3"/>
  <c r="P531" i="3"/>
  <c r="O531" i="3"/>
  <c r="N531" i="3"/>
  <c r="M531" i="3"/>
  <c r="AB530" i="3"/>
  <c r="AA530" i="3"/>
  <c r="Z530" i="3"/>
  <c r="Y530" i="3"/>
  <c r="X530" i="3"/>
  <c r="W530" i="3"/>
  <c r="V530" i="3"/>
  <c r="U530" i="3"/>
  <c r="T530" i="3"/>
  <c r="S530" i="3"/>
  <c r="R530" i="3"/>
  <c r="Q530" i="3"/>
  <c r="P530" i="3"/>
  <c r="O530" i="3"/>
  <c r="N530" i="3"/>
  <c r="M530" i="3"/>
  <c r="AB529" i="3"/>
  <c r="AA529" i="3"/>
  <c r="Z529" i="3"/>
  <c r="Y529" i="3"/>
  <c r="X529" i="3"/>
  <c r="W529" i="3"/>
  <c r="V529" i="3"/>
  <c r="U529" i="3"/>
  <c r="T529" i="3"/>
  <c r="S529" i="3"/>
  <c r="R529" i="3"/>
  <c r="Q529" i="3"/>
  <c r="P529" i="3"/>
  <c r="O529" i="3"/>
  <c r="N529" i="3"/>
  <c r="AB528" i="3"/>
  <c r="AA528" i="3"/>
  <c r="Z528" i="3"/>
  <c r="Y528" i="3"/>
  <c r="X528" i="3"/>
  <c r="W528" i="3"/>
  <c r="V528" i="3"/>
  <c r="U528" i="3"/>
  <c r="T528" i="3"/>
  <c r="S528" i="3"/>
  <c r="R528" i="3"/>
  <c r="Q528" i="3"/>
  <c r="P528" i="3"/>
  <c r="O528" i="3"/>
  <c r="N528" i="3"/>
  <c r="AB527" i="3"/>
  <c r="AA527" i="3"/>
  <c r="Z527" i="3"/>
  <c r="Y527" i="3"/>
  <c r="X527" i="3"/>
  <c r="W527" i="3"/>
  <c r="V527" i="3"/>
  <c r="U527" i="3"/>
  <c r="T527" i="3"/>
  <c r="S527" i="3"/>
  <c r="R527" i="3"/>
  <c r="Q527" i="3"/>
  <c r="P527" i="3"/>
  <c r="O527" i="3"/>
  <c r="N527" i="3"/>
  <c r="AB526" i="3"/>
  <c r="AA526" i="3"/>
  <c r="Z526" i="3"/>
  <c r="Y526" i="3"/>
  <c r="X526" i="3"/>
  <c r="W526" i="3"/>
  <c r="V526" i="3"/>
  <c r="U526" i="3"/>
  <c r="T526" i="3"/>
  <c r="S526" i="3"/>
  <c r="R526" i="3"/>
  <c r="Q526" i="3"/>
  <c r="P526" i="3"/>
  <c r="O526" i="3"/>
  <c r="N526" i="3"/>
  <c r="AB525" i="3"/>
  <c r="AA525" i="3"/>
  <c r="Z525" i="3"/>
  <c r="Y525" i="3"/>
  <c r="X525" i="3"/>
  <c r="W525" i="3"/>
  <c r="V525" i="3"/>
  <c r="U525" i="3"/>
  <c r="T525" i="3"/>
  <c r="S525" i="3"/>
  <c r="R525" i="3"/>
  <c r="Q525" i="3"/>
  <c r="P525" i="3"/>
  <c r="O525" i="3"/>
  <c r="N525" i="3"/>
  <c r="AB524" i="3"/>
  <c r="AA524" i="3"/>
  <c r="Z524" i="3"/>
  <c r="Y524" i="3"/>
  <c r="X524" i="3"/>
  <c r="W524" i="3"/>
  <c r="V524" i="3"/>
  <c r="U524" i="3"/>
  <c r="T524" i="3"/>
  <c r="S524" i="3"/>
  <c r="R524" i="3"/>
  <c r="Q524" i="3"/>
  <c r="P524" i="3"/>
  <c r="O524" i="3"/>
  <c r="N524" i="3"/>
  <c r="AB523" i="3"/>
  <c r="AA523" i="3"/>
  <c r="Z523" i="3"/>
  <c r="Y523" i="3"/>
  <c r="X523" i="3"/>
  <c r="W523" i="3"/>
  <c r="V523" i="3"/>
  <c r="U523" i="3"/>
  <c r="T523" i="3"/>
  <c r="S523" i="3"/>
  <c r="R523" i="3"/>
  <c r="Q523" i="3"/>
  <c r="P523" i="3"/>
  <c r="O523" i="3"/>
  <c r="N523" i="3"/>
  <c r="AB522" i="3"/>
  <c r="AA522" i="3"/>
  <c r="Z522" i="3"/>
  <c r="Y522" i="3"/>
  <c r="X522" i="3"/>
  <c r="W522" i="3"/>
  <c r="V522" i="3"/>
  <c r="U522" i="3"/>
  <c r="T522" i="3"/>
  <c r="S522" i="3"/>
  <c r="R522" i="3"/>
  <c r="Q522" i="3"/>
  <c r="P522" i="3"/>
  <c r="O522" i="3"/>
  <c r="N522" i="3"/>
  <c r="AB521" i="3"/>
  <c r="AA521" i="3"/>
  <c r="Z521" i="3"/>
  <c r="Y521" i="3"/>
  <c r="X521" i="3"/>
  <c r="W521" i="3"/>
  <c r="V521" i="3"/>
  <c r="U521" i="3"/>
  <c r="T521" i="3"/>
  <c r="S521" i="3"/>
  <c r="R521" i="3"/>
  <c r="Q521" i="3"/>
  <c r="P521" i="3"/>
  <c r="O521" i="3"/>
  <c r="N521" i="3"/>
  <c r="AB520" i="3"/>
  <c r="AA520" i="3"/>
  <c r="Z520" i="3"/>
  <c r="Y520" i="3"/>
  <c r="X520" i="3"/>
  <c r="W520" i="3"/>
  <c r="V520" i="3"/>
  <c r="U520" i="3"/>
  <c r="T520" i="3"/>
  <c r="S520" i="3"/>
  <c r="R520" i="3"/>
  <c r="Q520" i="3"/>
  <c r="P520" i="3"/>
  <c r="O520" i="3"/>
  <c r="N520" i="3"/>
  <c r="AB519" i="3"/>
  <c r="AA519" i="3"/>
  <c r="Z519" i="3"/>
  <c r="Y519" i="3"/>
  <c r="X519" i="3"/>
  <c r="W519" i="3"/>
  <c r="V519" i="3"/>
  <c r="U519" i="3"/>
  <c r="T519" i="3"/>
  <c r="S519" i="3"/>
  <c r="R519" i="3"/>
  <c r="Q519" i="3"/>
  <c r="P519" i="3"/>
  <c r="O519" i="3"/>
  <c r="N519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AB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AB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AB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AB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AB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AB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AB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AB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AB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AB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AB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AB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AB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AB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AB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AB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AB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AB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AB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AB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AB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AB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AB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AB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AB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AB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AB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AB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AB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AB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AB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AB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AB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AB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AB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AB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AB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AB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AB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AB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AB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AB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AB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AB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AB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AB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AB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AB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AB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AB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AB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AB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AB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AB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AB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AB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AB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AB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AB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AB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AB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AB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AB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AB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AB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AB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AB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AB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AB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AB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AB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AB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AB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AB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AB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AB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AB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AB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AB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AB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AB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AB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AB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AB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M59" i="3"/>
  <c r="D59" i="3"/>
  <c r="C59" i="3"/>
  <c r="B59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M58" i="3"/>
  <c r="D58" i="3"/>
  <c r="C58" i="3"/>
  <c r="B58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M57" i="3"/>
  <c r="B57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M56" i="3"/>
  <c r="H56" i="3"/>
  <c r="G56" i="3"/>
  <c r="D56" i="3"/>
  <c r="B56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M55" i="3"/>
  <c r="B55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M54" i="3"/>
  <c r="J54" i="3"/>
  <c r="C54" i="3"/>
  <c r="B54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M53" i="3"/>
  <c r="J53" i="3"/>
  <c r="H53" i="3"/>
  <c r="C53" i="3"/>
  <c r="B53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M52" i="3"/>
  <c r="J52" i="3"/>
  <c r="H52" i="3"/>
  <c r="G52" i="3"/>
  <c r="C52" i="3"/>
  <c r="B52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M51" i="3"/>
  <c r="J51" i="3"/>
  <c r="H51" i="3"/>
  <c r="G51" i="3"/>
  <c r="F51" i="3"/>
  <c r="C51" i="3"/>
  <c r="B51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M50" i="3"/>
  <c r="J50" i="3"/>
  <c r="I50" i="3"/>
  <c r="H50" i="3"/>
  <c r="G50" i="3"/>
  <c r="F50" i="3"/>
  <c r="E50" i="3"/>
  <c r="B50" i="3"/>
  <c r="J49" i="3"/>
  <c r="I49" i="3"/>
  <c r="H49" i="3"/>
  <c r="G49" i="3"/>
  <c r="F49" i="3"/>
  <c r="E49" i="3"/>
  <c r="D49" i="3"/>
  <c r="K31" i="3"/>
  <c r="J31" i="3"/>
  <c r="I31" i="3"/>
  <c r="AQ30" i="3"/>
  <c r="AO30" i="3"/>
  <c r="AN30" i="3"/>
  <c r="AM30" i="3"/>
  <c r="AL30" i="3"/>
  <c r="AH30" i="3"/>
  <c r="AG30" i="3"/>
  <c r="AD30" i="3"/>
  <c r="AC30" i="3"/>
  <c r="AA30" i="3"/>
  <c r="Z30" i="3"/>
  <c r="Y30" i="3"/>
  <c r="P30" i="3"/>
  <c r="N30" i="3"/>
  <c r="K30" i="3"/>
  <c r="J30" i="3"/>
  <c r="I30" i="3"/>
  <c r="AQ29" i="3"/>
  <c r="AO29" i="3"/>
  <c r="AN29" i="3"/>
  <c r="AM29" i="3"/>
  <c r="AL29" i="3"/>
  <c r="AH29" i="3"/>
  <c r="AG29" i="3"/>
  <c r="AD29" i="3"/>
  <c r="AC29" i="3"/>
  <c r="AA29" i="3"/>
  <c r="Z29" i="3"/>
  <c r="Y29" i="3"/>
  <c r="P29" i="3"/>
  <c r="N29" i="3"/>
  <c r="K29" i="3"/>
  <c r="J29" i="3"/>
  <c r="I29" i="3"/>
  <c r="AR28" i="3"/>
  <c r="AQ28" i="3"/>
  <c r="AO28" i="3"/>
  <c r="AN28" i="3"/>
  <c r="AM28" i="3"/>
  <c r="AL28" i="3"/>
  <c r="AH28" i="3"/>
  <c r="AG28" i="3"/>
  <c r="AD28" i="3"/>
  <c r="AC28" i="3"/>
  <c r="AA28" i="3"/>
  <c r="Z28" i="3"/>
  <c r="Y28" i="3"/>
  <c r="P28" i="3"/>
  <c r="N28" i="3"/>
  <c r="K28" i="3"/>
  <c r="J28" i="3"/>
  <c r="I28" i="3"/>
  <c r="AQ27" i="3"/>
  <c r="E12" i="15" s="1"/>
  <c r="AO27" i="3"/>
  <c r="AN27" i="3"/>
  <c r="AM27" i="3"/>
  <c r="AL27" i="3"/>
  <c r="AH27" i="3"/>
  <c r="AG27" i="3"/>
  <c r="AD27" i="3"/>
  <c r="AC27" i="3"/>
  <c r="AA27" i="3"/>
  <c r="Z27" i="3"/>
  <c r="Y27" i="3"/>
  <c r="P27" i="3"/>
  <c r="N27" i="3"/>
  <c r="K27" i="3"/>
  <c r="J27" i="3"/>
  <c r="I27" i="3"/>
  <c r="AQ26" i="3"/>
  <c r="AO26" i="3"/>
  <c r="AN26" i="3"/>
  <c r="AM26" i="3"/>
  <c r="AL26" i="3"/>
  <c r="AH26" i="3"/>
  <c r="AG26" i="3"/>
  <c r="AD26" i="3"/>
  <c r="AC26" i="3"/>
  <c r="AA26" i="3"/>
  <c r="Z26" i="3"/>
  <c r="Y26" i="3"/>
  <c r="P26" i="3"/>
  <c r="N26" i="3"/>
  <c r="K26" i="3"/>
  <c r="J26" i="3"/>
  <c r="I26" i="3"/>
  <c r="AQ25" i="3"/>
  <c r="AR25" i="3" s="1"/>
  <c r="AO25" i="3"/>
  <c r="AN25" i="3"/>
  <c r="AM25" i="3"/>
  <c r="AL25" i="3"/>
  <c r="AH25" i="3"/>
  <c r="AG25" i="3"/>
  <c r="AD25" i="3"/>
  <c r="AC25" i="3"/>
  <c r="AA25" i="3"/>
  <c r="Z25" i="3"/>
  <c r="Y25" i="3"/>
  <c r="P25" i="3"/>
  <c r="N25" i="3"/>
  <c r="K25" i="3"/>
  <c r="J25" i="3"/>
  <c r="I25" i="3"/>
  <c r="AQ24" i="3"/>
  <c r="E10" i="15" s="1"/>
  <c r="AO24" i="3"/>
  <c r="AN24" i="3"/>
  <c r="AM24" i="3"/>
  <c r="AL24" i="3"/>
  <c r="AH24" i="3"/>
  <c r="AG24" i="3"/>
  <c r="AD24" i="3"/>
  <c r="AC24" i="3"/>
  <c r="AA24" i="3"/>
  <c r="Z24" i="3"/>
  <c r="Y24" i="3"/>
  <c r="P24" i="3"/>
  <c r="N24" i="3"/>
  <c r="K24" i="3"/>
  <c r="J24" i="3"/>
  <c r="I24" i="3"/>
  <c r="AQ23" i="3"/>
  <c r="E9" i="15" s="1"/>
  <c r="C80" i="15" s="1"/>
  <c r="AO23" i="3"/>
  <c r="AN23" i="3"/>
  <c r="AM23" i="3"/>
  <c r="AL23" i="3"/>
  <c r="AH23" i="3"/>
  <c r="AG23" i="3"/>
  <c r="AD23" i="3"/>
  <c r="AC23" i="3"/>
  <c r="AA23" i="3"/>
  <c r="Z23" i="3"/>
  <c r="Y23" i="3"/>
  <c r="P23" i="3"/>
  <c r="N23" i="3"/>
  <c r="K23" i="3"/>
  <c r="J23" i="3"/>
  <c r="I23" i="3"/>
  <c r="AQ22" i="3"/>
  <c r="AR22" i="3" s="1"/>
  <c r="AO22" i="3"/>
  <c r="AN22" i="3"/>
  <c r="AM22" i="3"/>
  <c r="AL22" i="3"/>
  <c r="AH22" i="3"/>
  <c r="AG22" i="3"/>
  <c r="AD22" i="3"/>
  <c r="AC22" i="3"/>
  <c r="AA22" i="3"/>
  <c r="Z22" i="3"/>
  <c r="Y22" i="3"/>
  <c r="P22" i="3"/>
  <c r="N22" i="3"/>
  <c r="K22" i="3"/>
  <c r="J22" i="3"/>
  <c r="I22" i="3"/>
  <c r="AO21" i="3"/>
  <c r="AN21" i="3"/>
  <c r="AM21" i="3"/>
  <c r="AL21" i="3"/>
  <c r="AH21" i="3"/>
  <c r="AG21" i="3"/>
  <c r="AD21" i="3"/>
  <c r="AC21" i="3"/>
  <c r="AA21" i="3"/>
  <c r="Z21" i="3"/>
  <c r="Y21" i="3"/>
  <c r="P21" i="3"/>
  <c r="N21" i="3"/>
  <c r="K21" i="3"/>
  <c r="J21" i="3"/>
  <c r="C17" i="3"/>
  <c r="C16" i="3"/>
  <c r="C15" i="3"/>
  <c r="C14" i="3"/>
  <c r="C13" i="3"/>
  <c r="F11" i="3"/>
  <c r="D11" i="3"/>
  <c r="C11" i="3"/>
  <c r="F10" i="3"/>
  <c r="E10" i="3"/>
  <c r="C10" i="3"/>
  <c r="F9" i="3"/>
  <c r="E9" i="3"/>
  <c r="D9" i="3"/>
  <c r="C9" i="3"/>
  <c r="F8" i="3"/>
  <c r="E8" i="3"/>
  <c r="D8" i="3"/>
  <c r="C8" i="3"/>
  <c r="N7" i="3"/>
  <c r="F7" i="3"/>
  <c r="E7" i="3"/>
  <c r="D7" i="3"/>
  <c r="C7" i="3"/>
  <c r="F6" i="3"/>
  <c r="E6" i="3"/>
  <c r="D6" i="3"/>
  <c r="C6" i="3"/>
  <c r="F5" i="3"/>
  <c r="E5" i="3"/>
  <c r="D5" i="3"/>
  <c r="C5" i="3"/>
  <c r="N4" i="3"/>
  <c r="F4" i="3"/>
  <c r="E4" i="3"/>
  <c r="D4" i="3"/>
  <c r="C4" i="3"/>
  <c r="N3" i="3"/>
  <c r="F3" i="3"/>
  <c r="E3" i="3"/>
  <c r="D3" i="3"/>
  <c r="C3" i="3"/>
  <c r="N2" i="3"/>
  <c r="F2" i="3"/>
  <c r="E2" i="3"/>
  <c r="D2" i="3"/>
  <c r="C2" i="3"/>
  <c r="G39" i="2"/>
  <c r="H38" i="2"/>
  <c r="H37" i="2"/>
  <c r="G37" i="2"/>
  <c r="H36" i="2"/>
  <c r="G36" i="2"/>
  <c r="F36" i="2"/>
  <c r="H35" i="2"/>
  <c r="G35" i="2"/>
  <c r="F35" i="2"/>
  <c r="E35" i="2"/>
  <c r="H34" i="2"/>
  <c r="G34" i="2"/>
  <c r="F34" i="2"/>
  <c r="E34" i="2"/>
  <c r="D34" i="2"/>
  <c r="F29" i="2"/>
  <c r="F39" i="2" s="1"/>
  <c r="E29" i="2"/>
  <c r="E39" i="2" s="1"/>
  <c r="D29" i="2"/>
  <c r="D39" i="2" s="1"/>
  <c r="C29" i="2"/>
  <c r="C39" i="2" s="1"/>
  <c r="F28" i="2"/>
  <c r="F38" i="2" s="1"/>
  <c r="E28" i="2"/>
  <c r="E38" i="2" s="1"/>
  <c r="D28" i="2"/>
  <c r="D38" i="2" s="1"/>
  <c r="C28" i="2"/>
  <c r="C38" i="2" s="1"/>
  <c r="E27" i="2"/>
  <c r="E37" i="2" s="1"/>
  <c r="D27" i="2"/>
  <c r="D37" i="2" s="1"/>
  <c r="C27" i="2"/>
  <c r="C37" i="2" s="1"/>
  <c r="D26" i="2"/>
  <c r="D36" i="2" s="1"/>
  <c r="C26" i="2"/>
  <c r="C36" i="2" s="1"/>
  <c r="C25" i="2"/>
  <c r="P43" i="1"/>
  <c r="O43" i="1"/>
  <c r="N42" i="1"/>
  <c r="L42" i="1"/>
  <c r="K42" i="1"/>
  <c r="P40" i="1"/>
  <c r="V19" i="1"/>
  <c r="V16" i="1"/>
  <c r="L34" i="1"/>
  <c r="D26" i="11" s="1"/>
  <c r="D35" i="11" s="1"/>
  <c r="P33" i="1"/>
  <c r="H14" i="4" s="1"/>
  <c r="X10" i="1"/>
  <c r="O27" i="1"/>
  <c r="V20" i="1" s="1"/>
  <c r="V4" i="1" s="1"/>
  <c r="N27" i="1"/>
  <c r="M27" i="1"/>
  <c r="L27" i="1"/>
  <c r="K27" i="1"/>
  <c r="X8" i="1"/>
  <c r="Q26" i="1"/>
  <c r="N26" i="1"/>
  <c r="M26" i="1"/>
  <c r="K26" i="1"/>
  <c r="Q25" i="1"/>
  <c r="Q24" i="1"/>
  <c r="K24" i="1"/>
  <c r="W5" i="1"/>
  <c r="Q23" i="1"/>
  <c r="P23" i="1"/>
  <c r="K23" i="1"/>
  <c r="P22" i="1"/>
  <c r="K22" i="1"/>
  <c r="Q22" i="1" s="1"/>
  <c r="Q21" i="1"/>
  <c r="M18" i="1"/>
  <c r="L18" i="1"/>
  <c r="P17" i="1"/>
  <c r="O17" i="1"/>
  <c r="N17" i="1"/>
  <c r="M17" i="1"/>
  <c r="L17" i="1"/>
  <c r="K17" i="1"/>
  <c r="Q17" i="1" s="1"/>
  <c r="P16" i="1"/>
  <c r="O16" i="1"/>
  <c r="N16" i="1"/>
  <c r="M16" i="1"/>
  <c r="L16" i="1"/>
  <c r="K16" i="1"/>
  <c r="Q16" i="1" s="1"/>
  <c r="P15" i="1"/>
  <c r="O15" i="1"/>
  <c r="Q15" i="1" s="1"/>
  <c r="N15" i="1"/>
  <c r="M15" i="1"/>
  <c r="L15" i="1"/>
  <c r="K15" i="1"/>
  <c r="P14" i="1"/>
  <c r="P18" i="1" s="1"/>
  <c r="O14" i="1"/>
  <c r="N14" i="1"/>
  <c r="N32" i="1" s="1"/>
  <c r="M14" i="1"/>
  <c r="L14" i="1"/>
  <c r="K14" i="1"/>
  <c r="P13" i="1"/>
  <c r="O13" i="1"/>
  <c r="N13" i="1"/>
  <c r="M13" i="1"/>
  <c r="L13" i="1"/>
  <c r="K13" i="1"/>
  <c r="Q13" i="1" s="1"/>
  <c r="P12" i="1"/>
  <c r="O12" i="1"/>
  <c r="N12" i="1"/>
  <c r="M12" i="1"/>
  <c r="L12" i="1"/>
  <c r="K12" i="1"/>
  <c r="P9" i="1"/>
  <c r="O9" i="1"/>
  <c r="T20" i="1" s="1"/>
  <c r="N9" i="1"/>
  <c r="T19" i="1" s="1"/>
  <c r="P8" i="1"/>
  <c r="P44" i="1" s="1"/>
  <c r="O8" i="1"/>
  <c r="O44" i="1" s="1"/>
  <c r="N8" i="1"/>
  <c r="N44" i="1" s="1"/>
  <c r="M8" i="1"/>
  <c r="L8" i="1"/>
  <c r="K8" i="1"/>
  <c r="K35" i="1" s="1"/>
  <c r="P7" i="1"/>
  <c r="P34" i="1" s="1"/>
  <c r="O7" i="1"/>
  <c r="O34" i="1" s="1"/>
  <c r="N7" i="1"/>
  <c r="N43" i="1" s="1"/>
  <c r="M7" i="1"/>
  <c r="M43" i="1" s="1"/>
  <c r="L7" i="1"/>
  <c r="L43" i="1" s="1"/>
  <c r="K7" i="1"/>
  <c r="Q7" i="1" s="1"/>
  <c r="Q6" i="1"/>
  <c r="P6" i="1"/>
  <c r="P42" i="1" s="1"/>
  <c r="O6" i="1"/>
  <c r="N6" i="1"/>
  <c r="N33" i="1" s="1"/>
  <c r="F14" i="10" s="1"/>
  <c r="M6" i="1"/>
  <c r="M33" i="1" s="1"/>
  <c r="L6" i="1"/>
  <c r="L33" i="1" s="1"/>
  <c r="K6" i="1"/>
  <c r="K33" i="1" s="1"/>
  <c r="P5" i="1"/>
  <c r="P41" i="1" s="1"/>
  <c r="O5" i="1"/>
  <c r="O41" i="1" s="1"/>
  <c r="N5" i="1"/>
  <c r="N41" i="1" s="1"/>
  <c r="M5" i="1"/>
  <c r="L5" i="1"/>
  <c r="L41" i="1" s="1"/>
  <c r="K5" i="1"/>
  <c r="K32" i="1" s="1"/>
  <c r="P4" i="1"/>
  <c r="P31" i="1" s="1"/>
  <c r="O4" i="1"/>
  <c r="O40" i="1" s="1"/>
  <c r="N4" i="1"/>
  <c r="N40" i="1" s="1"/>
  <c r="M4" i="1"/>
  <c r="M40" i="1" s="1"/>
  <c r="L4" i="1"/>
  <c r="L40" i="1" s="1"/>
  <c r="K4" i="1"/>
  <c r="Q4" i="1" s="1"/>
  <c r="P3" i="1"/>
  <c r="P30" i="1" s="1"/>
  <c r="O3" i="1"/>
  <c r="O30" i="1" s="1"/>
  <c r="G29" i="15" s="1"/>
  <c r="G47" i="15" s="1"/>
  <c r="N3" i="1"/>
  <c r="N39" i="1" s="1"/>
  <c r="N45" i="1" s="1"/>
  <c r="M3" i="1"/>
  <c r="L3" i="1"/>
  <c r="L9" i="1" s="1"/>
  <c r="T17" i="1" s="1"/>
  <c r="K3" i="1"/>
  <c r="M190" i="39" l="1"/>
  <c r="L70" i="40"/>
  <c r="Q190" i="39"/>
  <c r="C135" i="15"/>
  <c r="Q160" i="40"/>
  <c r="Q161" i="40"/>
  <c r="N160" i="40"/>
  <c r="M194" i="39"/>
  <c r="C45" i="17"/>
  <c r="C48" i="17"/>
  <c r="E44" i="17"/>
  <c r="F44" i="17"/>
  <c r="D44" i="17"/>
  <c r="C46" i="17"/>
  <c r="C49" i="17"/>
  <c r="G44" i="17"/>
  <c r="H44" i="17"/>
  <c r="C47" i="17"/>
  <c r="C59" i="17"/>
  <c r="C60" i="17"/>
  <c r="C56" i="17"/>
  <c r="C58" i="17"/>
  <c r="E55" i="17"/>
  <c r="H55" i="17"/>
  <c r="D55" i="17"/>
  <c r="F55" i="17"/>
  <c r="G55" i="17"/>
  <c r="C57" i="17"/>
  <c r="F76" i="4"/>
  <c r="D74" i="4"/>
  <c r="C73" i="4"/>
  <c r="E75" i="4"/>
  <c r="G77" i="4"/>
  <c r="H78" i="4"/>
  <c r="M193" i="39"/>
  <c r="C79" i="29"/>
  <c r="C96" i="29"/>
  <c r="I73" i="29"/>
  <c r="Q191" i="39"/>
  <c r="N194" i="40"/>
  <c r="M193" i="40"/>
  <c r="P179" i="40"/>
  <c r="Q179" i="40"/>
  <c r="Q180" i="40"/>
  <c r="Q191" i="40" s="1"/>
  <c r="Q181" i="40"/>
  <c r="Q192" i="40" s="1"/>
  <c r="P180" i="40"/>
  <c r="P181" i="40"/>
  <c r="D196" i="39"/>
  <c r="L191" i="39"/>
  <c r="O195" i="39"/>
  <c r="Q192" i="39"/>
  <c r="N195" i="39"/>
  <c r="M194" i="40"/>
  <c r="P190" i="39"/>
  <c r="Q141" i="40"/>
  <c r="N141" i="40"/>
  <c r="M141" i="40"/>
  <c r="M190" i="40" s="1"/>
  <c r="P141" i="40"/>
  <c r="L125" i="40"/>
  <c r="L193" i="40" s="1"/>
  <c r="L127" i="40"/>
  <c r="L124" i="40"/>
  <c r="L192" i="40" s="1"/>
  <c r="L126" i="40"/>
  <c r="L194" i="40" s="1"/>
  <c r="L123" i="40"/>
  <c r="L191" i="40" s="1"/>
  <c r="P192" i="39"/>
  <c r="M195" i="39"/>
  <c r="N51" i="40"/>
  <c r="N195" i="40" s="1"/>
  <c r="O51" i="40"/>
  <c r="O195" i="40" s="1"/>
  <c r="P47" i="40"/>
  <c r="P48" i="40"/>
  <c r="M51" i="40"/>
  <c r="M195" i="40" s="1"/>
  <c r="L51" i="40"/>
  <c r="P46" i="40"/>
  <c r="C198" i="40"/>
  <c r="G26" i="23" s="1"/>
  <c r="K37" i="23" s="1"/>
  <c r="N190" i="39"/>
  <c r="D194" i="39"/>
  <c r="L193" i="39"/>
  <c r="P191" i="39"/>
  <c r="D192" i="39"/>
  <c r="L195" i="39"/>
  <c r="D193" i="39"/>
  <c r="L194" i="39"/>
  <c r="L192" i="39"/>
  <c r="N194" i="39"/>
  <c r="D26" i="14"/>
  <c r="C26" i="14"/>
  <c r="C24" i="14"/>
  <c r="H23" i="14"/>
  <c r="D21" i="14"/>
  <c r="F26" i="14"/>
  <c r="E25" i="14"/>
  <c r="G22" i="14"/>
  <c r="E24" i="14"/>
  <c r="E7" i="4"/>
  <c r="E7" i="30"/>
  <c r="E24" i="30" s="1"/>
  <c r="E7" i="27"/>
  <c r="E24" i="27" s="1"/>
  <c r="F4" i="4"/>
  <c r="F4" i="27"/>
  <c r="F21" i="27" s="1"/>
  <c r="F4" i="30"/>
  <c r="F21" i="30" s="1"/>
  <c r="F7" i="4"/>
  <c r="F7" i="30"/>
  <c r="F24" i="30" s="1"/>
  <c r="F7" i="27"/>
  <c r="F24" i="27" s="1"/>
  <c r="G4" i="4"/>
  <c r="G4" i="27"/>
  <c r="G21" i="27" s="1"/>
  <c r="G4" i="30"/>
  <c r="G21" i="30" s="1"/>
  <c r="E4" i="4"/>
  <c r="E4" i="27"/>
  <c r="E21" i="27" s="1"/>
  <c r="E4" i="30"/>
  <c r="E21" i="30" s="1"/>
  <c r="C8" i="4"/>
  <c r="C8" i="30"/>
  <c r="C25" i="30" s="1"/>
  <c r="C8" i="27"/>
  <c r="C25" i="27" s="1"/>
  <c r="H4" i="4"/>
  <c r="H4" i="27"/>
  <c r="H21" i="27" s="1"/>
  <c r="H4" i="30"/>
  <c r="H21" i="30" s="1"/>
  <c r="F5" i="10"/>
  <c r="F5" i="38"/>
  <c r="F22" i="38" s="1"/>
  <c r="F5" i="28"/>
  <c r="F22" i="28" s="1"/>
  <c r="D7" i="4"/>
  <c r="D7" i="27"/>
  <c r="D24" i="27" s="1"/>
  <c r="D7" i="30"/>
  <c r="D24" i="30" s="1"/>
  <c r="D8" i="4"/>
  <c r="D8" i="30"/>
  <c r="D25" i="30" s="1"/>
  <c r="D8" i="27"/>
  <c r="D25" i="27" s="1"/>
  <c r="F5" i="4"/>
  <c r="F5" i="30"/>
  <c r="F22" i="30" s="1"/>
  <c r="F5" i="27"/>
  <c r="F22" i="27" s="1"/>
  <c r="D16" i="2"/>
  <c r="E4" i="38"/>
  <c r="E21" i="38" s="1"/>
  <c r="E4" i="28"/>
  <c r="E21" i="28" s="1"/>
  <c r="E8" i="4"/>
  <c r="E8" i="30"/>
  <c r="E25" i="30" s="1"/>
  <c r="E8" i="27"/>
  <c r="E25" i="27" s="1"/>
  <c r="G5" i="4"/>
  <c r="G5" i="30"/>
  <c r="G22" i="30" s="1"/>
  <c r="G5" i="27"/>
  <c r="G22" i="27" s="1"/>
  <c r="H3" i="4"/>
  <c r="H3" i="30"/>
  <c r="H20" i="30" s="1"/>
  <c r="H3" i="27"/>
  <c r="H20" i="27" s="1"/>
  <c r="C5" i="4"/>
  <c r="C5" i="27"/>
  <c r="C22" i="27" s="1"/>
  <c r="C5" i="30"/>
  <c r="C22" i="30" s="1"/>
  <c r="F8" i="4"/>
  <c r="F8" i="27"/>
  <c r="F25" i="27" s="1"/>
  <c r="F8" i="30"/>
  <c r="F25" i="30" s="1"/>
  <c r="H5" i="4"/>
  <c r="H5" i="30"/>
  <c r="H22" i="30" s="1"/>
  <c r="H5" i="27"/>
  <c r="H22" i="27" s="1"/>
  <c r="D5" i="4"/>
  <c r="D5" i="30"/>
  <c r="D22" i="30" s="1"/>
  <c r="D5" i="27"/>
  <c r="D22" i="27" s="1"/>
  <c r="D3" i="4"/>
  <c r="D3" i="30"/>
  <c r="D20" i="30" s="1"/>
  <c r="D3" i="27"/>
  <c r="D20" i="27" s="1"/>
  <c r="G6" i="4"/>
  <c r="G6" i="27"/>
  <c r="G23" i="27" s="1"/>
  <c r="G6" i="30"/>
  <c r="G23" i="30" s="1"/>
  <c r="C7" i="4"/>
  <c r="C7" i="27"/>
  <c r="C24" i="27" s="1"/>
  <c r="C7" i="30"/>
  <c r="C24" i="30" s="1"/>
  <c r="C6" i="4"/>
  <c r="C6" i="27"/>
  <c r="C23" i="27" s="1"/>
  <c r="C6" i="30"/>
  <c r="C23" i="30" s="1"/>
  <c r="E3" i="4"/>
  <c r="E3" i="30"/>
  <c r="E20" i="30" s="1"/>
  <c r="E3" i="27"/>
  <c r="E20" i="27" s="1"/>
  <c r="H6" i="4"/>
  <c r="H6" i="27"/>
  <c r="H23" i="27" s="1"/>
  <c r="H6" i="30"/>
  <c r="H23" i="30" s="1"/>
  <c r="D6" i="4"/>
  <c r="D6" i="30"/>
  <c r="D23" i="30" s="1"/>
  <c r="D6" i="27"/>
  <c r="D23" i="27" s="1"/>
  <c r="F3" i="4"/>
  <c r="F3" i="30"/>
  <c r="F20" i="30" s="1"/>
  <c r="F3" i="27"/>
  <c r="F20" i="27" s="1"/>
  <c r="H7" i="4"/>
  <c r="H7" i="30"/>
  <c r="H24" i="30" s="1"/>
  <c r="H7" i="27"/>
  <c r="H24" i="27" s="1"/>
  <c r="E6" i="4"/>
  <c r="E6" i="27"/>
  <c r="E23" i="27" s="1"/>
  <c r="E6" i="30"/>
  <c r="E23" i="30" s="1"/>
  <c r="G3" i="4"/>
  <c r="G3" i="30"/>
  <c r="G20" i="30" s="1"/>
  <c r="G3" i="27"/>
  <c r="G20" i="27" s="1"/>
  <c r="G8" i="4"/>
  <c r="G8" i="27"/>
  <c r="G25" i="27" s="1"/>
  <c r="G8" i="30"/>
  <c r="G25" i="30" s="1"/>
  <c r="I87" i="32"/>
  <c r="E68" i="16"/>
  <c r="C88" i="16"/>
  <c r="I47" i="16"/>
  <c r="D48" i="16"/>
  <c r="I103" i="16"/>
  <c r="N103" i="16"/>
  <c r="N124" i="16" s="1"/>
  <c r="G118" i="16"/>
  <c r="H42" i="16"/>
  <c r="H48" i="16" s="1"/>
  <c r="G53" i="16"/>
  <c r="I53" i="16" s="1"/>
  <c r="D65" i="16"/>
  <c r="D68" i="16" s="1"/>
  <c r="E76" i="16"/>
  <c r="I76" i="16" s="1"/>
  <c r="D86" i="16"/>
  <c r="D88" i="16" s="1"/>
  <c r="D92" i="16"/>
  <c r="D98" i="16" s="1"/>
  <c r="E112" i="16"/>
  <c r="E118" i="16" s="1"/>
  <c r="H43" i="16"/>
  <c r="I43" i="16" s="1"/>
  <c r="D56" i="16"/>
  <c r="D66" i="16"/>
  <c r="E77" i="16"/>
  <c r="H92" i="16"/>
  <c r="H98" i="16" s="1"/>
  <c r="H112" i="16"/>
  <c r="H118" i="16" s="1"/>
  <c r="C56" i="16"/>
  <c r="E56" i="16"/>
  <c r="E58" i="16" s="1"/>
  <c r="O65" i="16"/>
  <c r="O126" i="16" s="1"/>
  <c r="C76" i="16"/>
  <c r="C93" i="16"/>
  <c r="G44" i="16"/>
  <c r="I44" i="16" s="1"/>
  <c r="F56" i="16"/>
  <c r="C85" i="16"/>
  <c r="H113" i="16"/>
  <c r="H44" i="16"/>
  <c r="C57" i="16"/>
  <c r="C58" i="16" s="1"/>
  <c r="D57" i="16"/>
  <c r="C67" i="16"/>
  <c r="I67" i="16" s="1"/>
  <c r="C74" i="16"/>
  <c r="E57" i="16"/>
  <c r="C94" i="16"/>
  <c r="G52" i="16"/>
  <c r="I52" i="16" s="1"/>
  <c r="F57" i="16"/>
  <c r="C66" i="16"/>
  <c r="E67" i="16"/>
  <c r="F67" i="16"/>
  <c r="F68" i="16" s="1"/>
  <c r="C96" i="16"/>
  <c r="I96" i="16" s="1"/>
  <c r="G102" i="16"/>
  <c r="G108" i="16" s="1"/>
  <c r="F88" i="32"/>
  <c r="I86" i="32"/>
  <c r="C99" i="15"/>
  <c r="E35" i="13"/>
  <c r="G31" i="13"/>
  <c r="H31" i="13"/>
  <c r="C32" i="13"/>
  <c r="C37" i="13" s="1"/>
  <c r="E88" i="32"/>
  <c r="D88" i="32"/>
  <c r="I84" i="32"/>
  <c r="D18" i="11"/>
  <c r="E64" i="11" s="1"/>
  <c r="C69" i="11" s="1"/>
  <c r="E42" i="11"/>
  <c r="E20" i="22"/>
  <c r="D156" i="22" s="1"/>
  <c r="C24" i="36"/>
  <c r="E24" i="36" s="1"/>
  <c r="D20" i="22"/>
  <c r="D98" i="22" s="1"/>
  <c r="F98" i="22" s="1"/>
  <c r="C23" i="36"/>
  <c r="E23" i="36" s="1"/>
  <c r="I85" i="32"/>
  <c r="I83" i="31"/>
  <c r="I87" i="31"/>
  <c r="I50" i="32"/>
  <c r="I87" i="33"/>
  <c r="D88" i="33"/>
  <c r="C88" i="31"/>
  <c r="I61" i="32"/>
  <c r="F88" i="33"/>
  <c r="I72" i="31"/>
  <c r="I82" i="32"/>
  <c r="I61" i="33"/>
  <c r="I50" i="33"/>
  <c r="I86" i="33"/>
  <c r="C106" i="33"/>
  <c r="C25" i="14" s="1"/>
  <c r="C104" i="33"/>
  <c r="C23" i="14" s="1"/>
  <c r="I84" i="33"/>
  <c r="E102" i="33"/>
  <c r="E21" i="14" s="1"/>
  <c r="E88" i="33"/>
  <c r="C88" i="33"/>
  <c r="G88" i="33"/>
  <c r="G102" i="33"/>
  <c r="H88" i="33"/>
  <c r="H102" i="33"/>
  <c r="I82" i="33"/>
  <c r="C88" i="32"/>
  <c r="C103" i="32"/>
  <c r="C22" i="14" s="1"/>
  <c r="I83" i="32"/>
  <c r="H88" i="32"/>
  <c r="H102" i="32"/>
  <c r="I72" i="32"/>
  <c r="G88" i="32"/>
  <c r="G102" i="32"/>
  <c r="I50" i="31"/>
  <c r="I86" i="31"/>
  <c r="C106" i="31"/>
  <c r="G88" i="31"/>
  <c r="G102" i="31"/>
  <c r="I61" i="31"/>
  <c r="I82" i="31"/>
  <c r="D102" i="31"/>
  <c r="D88" i="31"/>
  <c r="F88" i="31"/>
  <c r="C104" i="31"/>
  <c r="I84" i="31"/>
  <c r="E102" i="31"/>
  <c r="E88" i="31"/>
  <c r="H88" i="31"/>
  <c r="H102" i="31"/>
  <c r="I85" i="31"/>
  <c r="C105" i="31"/>
  <c r="AR21" i="3"/>
  <c r="E7" i="15"/>
  <c r="D20" i="15"/>
  <c r="D174" i="15" s="1"/>
  <c r="L123" i="16"/>
  <c r="E31" i="4"/>
  <c r="E19" i="16"/>
  <c r="C19" i="16"/>
  <c r="C22" i="16" s="1"/>
  <c r="E22" i="16" s="1"/>
  <c r="E53" i="13"/>
  <c r="H59" i="13" s="1"/>
  <c r="M125" i="16"/>
  <c r="E42" i="12"/>
  <c r="O125" i="16"/>
  <c r="M124" i="16"/>
  <c r="F28" i="13"/>
  <c r="I24" i="13"/>
  <c r="I26" i="13"/>
  <c r="C28" i="13"/>
  <c r="D19" i="16"/>
  <c r="N125" i="16"/>
  <c r="P128" i="16"/>
  <c r="O123" i="16"/>
  <c r="Q128" i="16"/>
  <c r="P126" i="16"/>
  <c r="Q126" i="16"/>
  <c r="O124" i="16"/>
  <c r="E64" i="13"/>
  <c r="E42" i="13"/>
  <c r="H47" i="13" s="1"/>
  <c r="P127" i="16"/>
  <c r="D85" i="4"/>
  <c r="Q127" i="16"/>
  <c r="K4" i="20"/>
  <c r="K34" i="20" s="1"/>
  <c r="G49" i="22"/>
  <c r="E89" i="22"/>
  <c r="G66" i="22"/>
  <c r="F90" i="22"/>
  <c r="G67" i="22"/>
  <c r="I67" i="22" s="1"/>
  <c r="H142" i="22"/>
  <c r="E180" i="22"/>
  <c r="C144" i="22"/>
  <c r="I144" i="22" s="1"/>
  <c r="F180" i="22"/>
  <c r="O180" i="22" s="1"/>
  <c r="G180" i="22"/>
  <c r="D109" i="22"/>
  <c r="F70" i="22"/>
  <c r="E109" i="22"/>
  <c r="G181" i="22"/>
  <c r="G70" i="22"/>
  <c r="E106" i="22"/>
  <c r="N106" i="22" s="1"/>
  <c r="G161" i="22"/>
  <c r="F91" i="22"/>
  <c r="O88" i="22"/>
  <c r="O194" i="22" s="1"/>
  <c r="P69" i="22"/>
  <c r="I69" i="22"/>
  <c r="M125" i="22"/>
  <c r="E186" i="22"/>
  <c r="C88" i="22"/>
  <c r="C143" i="22"/>
  <c r="I143" i="22" s="1"/>
  <c r="C71" i="22"/>
  <c r="D88" i="22"/>
  <c r="D127" i="22"/>
  <c r="O162" i="22"/>
  <c r="G50" i="22"/>
  <c r="D71" i="22"/>
  <c r="E88" i="22"/>
  <c r="D106" i="22"/>
  <c r="D126" i="22"/>
  <c r="D129" i="22" s="1"/>
  <c r="E162" i="22"/>
  <c r="E167" i="22" s="1"/>
  <c r="H180" i="22"/>
  <c r="E71" i="22"/>
  <c r="E72" i="22" s="1"/>
  <c r="C106" i="22"/>
  <c r="F162" i="22"/>
  <c r="F71" i="22"/>
  <c r="C89" i="22"/>
  <c r="C107" i="22"/>
  <c r="C145" i="22"/>
  <c r="I145" i="22" s="1"/>
  <c r="G162" i="22"/>
  <c r="C35" i="22"/>
  <c r="G71" i="22"/>
  <c r="P71" i="22" s="1"/>
  <c r="D89" i="22"/>
  <c r="C123" i="22"/>
  <c r="L123" i="22" s="1"/>
  <c r="C146" i="22"/>
  <c r="I146" i="22" s="1"/>
  <c r="H162" i="22"/>
  <c r="F181" i="22"/>
  <c r="O181" i="22" s="1"/>
  <c r="C52" i="22"/>
  <c r="C147" i="22"/>
  <c r="I147" i="22" s="1"/>
  <c r="F186" i="22"/>
  <c r="G47" i="22"/>
  <c r="D52" i="22"/>
  <c r="C108" i="22"/>
  <c r="D142" i="22"/>
  <c r="I142" i="22" s="1"/>
  <c r="H181" i="22"/>
  <c r="E52" i="22"/>
  <c r="C70" i="22"/>
  <c r="C90" i="22"/>
  <c r="D108" i="22"/>
  <c r="E142" i="22"/>
  <c r="E108" i="22"/>
  <c r="E110" i="22" s="1"/>
  <c r="F142" i="22"/>
  <c r="G52" i="22"/>
  <c r="P52" i="22" s="1"/>
  <c r="C109" i="22"/>
  <c r="I184" i="22"/>
  <c r="D186" i="22"/>
  <c r="C186" i="22"/>
  <c r="I165" i="22"/>
  <c r="C167" i="22"/>
  <c r="D167" i="22"/>
  <c r="I164" i="22"/>
  <c r="N125" i="22"/>
  <c r="P127" i="22"/>
  <c r="I104" i="22"/>
  <c r="O104" i="22"/>
  <c r="I85" i="22"/>
  <c r="I87" i="22"/>
  <c r="I66" i="22"/>
  <c r="I68" i="22"/>
  <c r="D35" i="22"/>
  <c r="Q71" i="22"/>
  <c r="G35" i="22"/>
  <c r="M192" i="22"/>
  <c r="I49" i="22"/>
  <c r="I32" i="22"/>
  <c r="I34" i="22"/>
  <c r="F35" i="22"/>
  <c r="Q194" i="22"/>
  <c r="P70" i="22"/>
  <c r="O193" i="22"/>
  <c r="C53" i="22"/>
  <c r="D118" i="22"/>
  <c r="F118" i="22" s="1"/>
  <c r="D116" i="22"/>
  <c r="F116" i="22" s="1"/>
  <c r="I48" i="22"/>
  <c r="P50" i="22"/>
  <c r="I50" i="22"/>
  <c r="H53" i="22"/>
  <c r="Q52" i="22"/>
  <c r="D135" i="22"/>
  <c r="F135" i="22" s="1"/>
  <c r="I125" i="22"/>
  <c r="I127" i="22"/>
  <c r="D154" i="22"/>
  <c r="F154" i="22" s="1"/>
  <c r="F148" i="22"/>
  <c r="O142" i="22"/>
  <c r="D59" i="22"/>
  <c r="D173" i="22"/>
  <c r="G148" i="22"/>
  <c r="I182" i="22"/>
  <c r="I51" i="22"/>
  <c r="P51" i="22"/>
  <c r="M106" i="22"/>
  <c r="E148" i="22"/>
  <c r="H148" i="22"/>
  <c r="Q70" i="22"/>
  <c r="Q195" i="22" s="1"/>
  <c r="H72" i="22"/>
  <c r="D78" i="22"/>
  <c r="F78" i="22" s="1"/>
  <c r="I124" i="22"/>
  <c r="D40" i="22"/>
  <c r="D97" i="22"/>
  <c r="F97" i="22" s="1"/>
  <c r="F53" i="22"/>
  <c r="I29" i="22"/>
  <c r="I31" i="22"/>
  <c r="E35" i="22"/>
  <c r="I107" i="22"/>
  <c r="I33" i="22"/>
  <c r="I161" i="22"/>
  <c r="H35" i="22"/>
  <c r="I30" i="22"/>
  <c r="C129" i="22"/>
  <c r="E91" i="22"/>
  <c r="O192" i="15"/>
  <c r="E53" i="12"/>
  <c r="E64" i="12"/>
  <c r="L6" i="20"/>
  <c r="L36" i="20" s="1"/>
  <c r="M6" i="20"/>
  <c r="M36" i="20" s="1"/>
  <c r="N4" i="20"/>
  <c r="N34" i="20" s="1"/>
  <c r="N6" i="20"/>
  <c r="N36" i="20" s="1"/>
  <c r="O8" i="20"/>
  <c r="O38" i="20" s="1"/>
  <c r="P8" i="20"/>
  <c r="P38" i="20" s="1"/>
  <c r="L5" i="20"/>
  <c r="L35" i="20" s="1"/>
  <c r="M5" i="20"/>
  <c r="M35" i="20" s="1"/>
  <c r="N5" i="20"/>
  <c r="N35" i="20" s="1"/>
  <c r="N7" i="20"/>
  <c r="N37" i="20" s="1"/>
  <c r="O7" i="20"/>
  <c r="O37" i="20" s="1"/>
  <c r="O9" i="20"/>
  <c r="O39" i="20" s="1"/>
  <c r="P7" i="20"/>
  <c r="P37" i="20" s="1"/>
  <c r="P9" i="20"/>
  <c r="P39" i="20" s="1"/>
  <c r="M192" i="15"/>
  <c r="O194" i="15"/>
  <c r="C154" i="15"/>
  <c r="Q194" i="15"/>
  <c r="O193" i="15"/>
  <c r="C156" i="15"/>
  <c r="C136" i="15"/>
  <c r="C174" i="15"/>
  <c r="N192" i="15"/>
  <c r="N193" i="15"/>
  <c r="I115" i="16"/>
  <c r="C118" i="16"/>
  <c r="I113" i="16"/>
  <c r="D118" i="16"/>
  <c r="I102" i="16"/>
  <c r="D108" i="16"/>
  <c r="I106" i="16"/>
  <c r="I105" i="16"/>
  <c r="C108" i="16"/>
  <c r="I104" i="16"/>
  <c r="I94" i="16"/>
  <c r="I93" i="16"/>
  <c r="I97" i="16"/>
  <c r="E88" i="16"/>
  <c r="I87" i="16"/>
  <c r="I82" i="16"/>
  <c r="I83" i="16"/>
  <c r="I86" i="16"/>
  <c r="I85" i="16"/>
  <c r="I84" i="16"/>
  <c r="I74" i="16"/>
  <c r="I77" i="16"/>
  <c r="I73" i="16"/>
  <c r="D78" i="16"/>
  <c r="C78" i="16"/>
  <c r="I62" i="16"/>
  <c r="I64" i="16"/>
  <c r="C68" i="16"/>
  <c r="G58" i="16"/>
  <c r="H58" i="16"/>
  <c r="I54" i="16"/>
  <c r="I55" i="16"/>
  <c r="I56" i="16"/>
  <c r="C48" i="16"/>
  <c r="I45" i="16"/>
  <c r="G13" i="16"/>
  <c r="E35" i="16"/>
  <c r="C35" i="16"/>
  <c r="I31" i="16"/>
  <c r="I33" i="16"/>
  <c r="F35" i="16"/>
  <c r="D35" i="16"/>
  <c r="G35" i="16"/>
  <c r="H35" i="16"/>
  <c r="I30" i="16"/>
  <c r="I34" i="16"/>
  <c r="I32" i="16"/>
  <c r="I29" i="16"/>
  <c r="C186" i="15"/>
  <c r="I183" i="15"/>
  <c r="I181" i="15"/>
  <c r="I180" i="15"/>
  <c r="E186" i="15"/>
  <c r="F186" i="15"/>
  <c r="I165" i="15"/>
  <c r="I167" i="15" s="1"/>
  <c r="D167" i="15"/>
  <c r="E167" i="15"/>
  <c r="C137" i="15"/>
  <c r="G142" i="15"/>
  <c r="I144" i="15"/>
  <c r="I145" i="15"/>
  <c r="C78" i="15"/>
  <c r="C79" i="15"/>
  <c r="C97" i="15"/>
  <c r="C98" i="15"/>
  <c r="I104" i="15"/>
  <c r="H110" i="15"/>
  <c r="F91" i="15"/>
  <c r="I66" i="15"/>
  <c r="C40" i="15"/>
  <c r="C42" i="15"/>
  <c r="I47" i="15"/>
  <c r="C41" i="15"/>
  <c r="AR29" i="3"/>
  <c r="E8" i="15"/>
  <c r="AR23" i="3"/>
  <c r="E14" i="15"/>
  <c r="AR30" i="3"/>
  <c r="E11" i="15"/>
  <c r="AR24" i="3"/>
  <c r="AR27" i="3"/>
  <c r="AR26" i="3"/>
  <c r="H37" i="13"/>
  <c r="I36" i="13"/>
  <c r="I31" i="13"/>
  <c r="I34" i="13"/>
  <c r="D37" i="13"/>
  <c r="I27" i="13"/>
  <c r="D28" i="13"/>
  <c r="I22" i="13"/>
  <c r="I33" i="13"/>
  <c r="E37" i="13"/>
  <c r="E53" i="11"/>
  <c r="C16" i="17"/>
  <c r="H18" i="2"/>
  <c r="C20" i="15"/>
  <c r="D116" i="15" s="1"/>
  <c r="E20" i="15"/>
  <c r="C16" i="10"/>
  <c r="C16" i="4"/>
  <c r="C25" i="4" s="1"/>
  <c r="C27" i="12"/>
  <c r="C36" i="12" s="1"/>
  <c r="C27" i="11"/>
  <c r="C36" i="11" s="1"/>
  <c r="C34" i="15"/>
  <c r="C128" i="15" s="1"/>
  <c r="C24" i="11"/>
  <c r="C33" i="11" s="1"/>
  <c r="T6" i="1"/>
  <c r="C31" i="15"/>
  <c r="C13" i="10"/>
  <c r="C24" i="12"/>
  <c r="C33" i="12" s="1"/>
  <c r="C13" i="4"/>
  <c r="C22" i="4" s="1"/>
  <c r="V22" i="1"/>
  <c r="Q3" i="1"/>
  <c r="Q9" i="1" s="1"/>
  <c r="G26" i="11"/>
  <c r="G35" i="11" s="1"/>
  <c r="G15" i="10"/>
  <c r="G26" i="12"/>
  <c r="G35" i="12" s="1"/>
  <c r="G15" i="4"/>
  <c r="P27" i="1"/>
  <c r="V21" i="1" s="1"/>
  <c r="C14" i="10"/>
  <c r="C25" i="12"/>
  <c r="C34" i="12" s="1"/>
  <c r="C14" i="4"/>
  <c r="C25" i="11"/>
  <c r="C34" i="11" s="1"/>
  <c r="C32" i="15"/>
  <c r="C126" i="15" s="1"/>
  <c r="I126" i="15" s="1"/>
  <c r="H15" i="10"/>
  <c r="H26" i="12"/>
  <c r="H35" i="12" s="1"/>
  <c r="H15" i="4"/>
  <c r="H24" i="4" s="1"/>
  <c r="H48" i="4" s="1"/>
  <c r="H33" i="15"/>
  <c r="H70" i="15" s="1"/>
  <c r="H26" i="11"/>
  <c r="H35" i="11" s="1"/>
  <c r="F24" i="11"/>
  <c r="F33" i="11" s="1"/>
  <c r="D14" i="10"/>
  <c r="D25" i="12"/>
  <c r="D34" i="12" s="1"/>
  <c r="D14" i="4"/>
  <c r="D23" i="4" s="1"/>
  <c r="D25" i="11"/>
  <c r="D34" i="11" s="1"/>
  <c r="D32" i="15"/>
  <c r="Q8" i="1"/>
  <c r="T21" i="1" s="1"/>
  <c r="K44" i="1"/>
  <c r="Q14" i="1"/>
  <c r="F31" i="15"/>
  <c r="E25" i="12"/>
  <c r="E34" i="12" s="1"/>
  <c r="E14" i="4"/>
  <c r="E23" i="4" s="1"/>
  <c r="E25" i="11"/>
  <c r="E34" i="11" s="1"/>
  <c r="E32" i="15"/>
  <c r="E88" i="15" s="1"/>
  <c r="L44" i="1"/>
  <c r="L35" i="1"/>
  <c r="Q35" i="1" s="1"/>
  <c r="O18" i="1"/>
  <c r="U20" i="1" s="1"/>
  <c r="H11" i="4"/>
  <c r="H11" i="10"/>
  <c r="H22" i="12"/>
  <c r="H31" i="12" s="1"/>
  <c r="H29" i="15"/>
  <c r="H142" i="15" s="1"/>
  <c r="P36" i="1"/>
  <c r="U3" i="1" s="1"/>
  <c r="H22" i="11"/>
  <c r="H31" i="11" s="1"/>
  <c r="M35" i="1"/>
  <c r="M44" i="1"/>
  <c r="F13" i="10"/>
  <c r="F24" i="12"/>
  <c r="F33" i="12" s="1"/>
  <c r="F13" i="4"/>
  <c r="F22" i="4" s="1"/>
  <c r="U17" i="1"/>
  <c r="V7" i="1" s="1"/>
  <c r="M41" i="1"/>
  <c r="M32" i="1"/>
  <c r="Q32" i="1" s="1"/>
  <c r="AB5" i="1" s="1"/>
  <c r="G11" i="10"/>
  <c r="G22" i="12"/>
  <c r="G31" i="12" s="1"/>
  <c r="G22" i="11"/>
  <c r="G31" i="11" s="1"/>
  <c r="G11" i="4"/>
  <c r="U18" i="1"/>
  <c r="L32" i="1"/>
  <c r="G33" i="15"/>
  <c r="G70" i="15" s="1"/>
  <c r="W4" i="1"/>
  <c r="W20" i="1"/>
  <c r="F14" i="4"/>
  <c r="F25" i="11"/>
  <c r="F34" i="11" s="1"/>
  <c r="F32" i="15"/>
  <c r="O42" i="1"/>
  <c r="V17" i="1"/>
  <c r="K9" i="1"/>
  <c r="H12" i="4"/>
  <c r="H23" i="11"/>
  <c r="H32" i="11" s="1"/>
  <c r="H30" i="15"/>
  <c r="H23" i="12"/>
  <c r="H32" i="12" s="1"/>
  <c r="H12" i="10"/>
  <c r="U21" i="1"/>
  <c r="W3" i="1" s="1"/>
  <c r="N18" i="1"/>
  <c r="U19" i="1" s="1"/>
  <c r="W19" i="1" s="1"/>
  <c r="V5" i="1" s="1"/>
  <c r="V18" i="1"/>
  <c r="O33" i="1"/>
  <c r="Q5" i="1"/>
  <c r="K41" i="1"/>
  <c r="Q41" i="1" s="1"/>
  <c r="Q27" i="1"/>
  <c r="H25" i="11"/>
  <c r="H34" i="11" s="1"/>
  <c r="H32" i="15"/>
  <c r="H25" i="12"/>
  <c r="H34" i="12" s="1"/>
  <c r="H14" i="10"/>
  <c r="O39" i="1"/>
  <c r="K18" i="1"/>
  <c r="U16" i="1" s="1"/>
  <c r="W11" i="1"/>
  <c r="M9" i="1"/>
  <c r="T18" i="1" s="1"/>
  <c r="Q33" i="1"/>
  <c r="P39" i="1"/>
  <c r="P45" i="1" s="1"/>
  <c r="K34" i="1"/>
  <c r="M42" i="1"/>
  <c r="Q42" i="1" s="1"/>
  <c r="D26" i="12"/>
  <c r="D35" i="12" s="1"/>
  <c r="O32" i="1"/>
  <c r="M34" i="1"/>
  <c r="N35" i="1"/>
  <c r="D15" i="10"/>
  <c r="K30" i="1"/>
  <c r="K31" i="1"/>
  <c r="P32" i="1"/>
  <c r="N34" i="1"/>
  <c r="O35" i="1"/>
  <c r="D15" i="4"/>
  <c r="D24" i="4" s="1"/>
  <c r="L30" i="1"/>
  <c r="L31" i="1"/>
  <c r="P35" i="1"/>
  <c r="K40" i="1"/>
  <c r="Q40" i="1" s="1"/>
  <c r="M30" i="1"/>
  <c r="M31" i="1"/>
  <c r="K39" i="1"/>
  <c r="K43" i="1"/>
  <c r="Q43" i="1" s="1"/>
  <c r="H23" i="4"/>
  <c r="H58" i="4" s="1"/>
  <c r="N30" i="1"/>
  <c r="N31" i="1"/>
  <c r="L39" i="1"/>
  <c r="O31" i="1"/>
  <c r="O36" i="1" s="1"/>
  <c r="U4" i="1" s="1"/>
  <c r="M39" i="1"/>
  <c r="D33" i="15"/>
  <c r="Q12" i="1"/>
  <c r="Q18" i="1" s="1"/>
  <c r="F15" i="2"/>
  <c r="D14" i="2"/>
  <c r="C35" i="2"/>
  <c r="H17" i="2"/>
  <c r="H16" i="2"/>
  <c r="H15" i="2"/>
  <c r="G16" i="2"/>
  <c r="E17" i="2"/>
  <c r="H14" i="2"/>
  <c r="E14" i="2"/>
  <c r="F14" i="2"/>
  <c r="G14" i="2"/>
  <c r="E4" i="10"/>
  <c r="G15" i="2"/>
  <c r="G17" i="2"/>
  <c r="H7" i="10"/>
  <c r="F22" i="10"/>
  <c r="P191" i="40" l="1"/>
  <c r="N190" i="40"/>
  <c r="P192" i="40"/>
  <c r="H44" i="11"/>
  <c r="H34" i="17"/>
  <c r="D35" i="17"/>
  <c r="G34" i="17"/>
  <c r="F35" i="17"/>
  <c r="G35" i="17"/>
  <c r="H36" i="17"/>
  <c r="H35" i="17"/>
  <c r="G36" i="17"/>
  <c r="F34" i="17"/>
  <c r="D36" i="17"/>
  <c r="E36" i="17"/>
  <c r="E34" i="17"/>
  <c r="P190" i="40"/>
  <c r="I33" i="17"/>
  <c r="L195" i="40"/>
  <c r="Q190" i="40"/>
  <c r="F9" i="37"/>
  <c r="F18" i="37" s="1"/>
  <c r="H21" i="14"/>
  <c r="D60" i="22"/>
  <c r="F60" i="22" s="1"/>
  <c r="D7" i="37"/>
  <c r="D16" i="37" s="1"/>
  <c r="G21" i="14"/>
  <c r="D41" i="22"/>
  <c r="F41" i="22" s="1"/>
  <c r="D136" i="22"/>
  <c r="F136" i="22" s="1"/>
  <c r="F8" i="37"/>
  <c r="F17" i="37" s="1"/>
  <c r="H9" i="37"/>
  <c r="H18" i="37" s="1"/>
  <c r="D174" i="22"/>
  <c r="D79" i="22"/>
  <c r="F79" i="22" s="1"/>
  <c r="F58" i="28"/>
  <c r="F36" i="28"/>
  <c r="F47" i="28"/>
  <c r="H48" i="30"/>
  <c r="H59" i="30"/>
  <c r="H37" i="30"/>
  <c r="E55" i="30"/>
  <c r="E33" i="30"/>
  <c r="E44" i="30"/>
  <c r="E26" i="30"/>
  <c r="D33" i="30"/>
  <c r="D55" i="30"/>
  <c r="I20" i="30"/>
  <c r="D44" i="30"/>
  <c r="D26" i="30"/>
  <c r="C46" i="27"/>
  <c r="C57" i="27"/>
  <c r="C35" i="27"/>
  <c r="I22" i="27"/>
  <c r="E46" i="38"/>
  <c r="E35" i="38"/>
  <c r="E57" i="38"/>
  <c r="F47" i="38"/>
  <c r="F36" i="38"/>
  <c r="F58" i="38"/>
  <c r="G45" i="27"/>
  <c r="G34" i="27"/>
  <c r="G56" i="27"/>
  <c r="D19" i="2"/>
  <c r="H4" i="38"/>
  <c r="H21" i="38" s="1"/>
  <c r="H4" i="28"/>
  <c r="H21" i="28" s="1"/>
  <c r="I20" i="27"/>
  <c r="D44" i="27"/>
  <c r="D26" i="27"/>
  <c r="D55" i="27"/>
  <c r="D33" i="27"/>
  <c r="G56" i="30"/>
  <c r="G34" i="30"/>
  <c r="G45" i="30"/>
  <c r="H5" i="10"/>
  <c r="H5" i="38"/>
  <c r="H22" i="38" s="1"/>
  <c r="H5" i="28"/>
  <c r="H22" i="28" s="1"/>
  <c r="G19" i="2"/>
  <c r="H7" i="38"/>
  <c r="H24" i="38" s="1"/>
  <c r="H7" i="28"/>
  <c r="H24" i="28" s="1"/>
  <c r="G6" i="38"/>
  <c r="G23" i="38" s="1"/>
  <c r="G6" i="28"/>
  <c r="G23" i="28" s="1"/>
  <c r="F19" i="2"/>
  <c r="H6" i="38"/>
  <c r="H23" i="38" s="1"/>
  <c r="H6" i="28"/>
  <c r="H23" i="28" s="1"/>
  <c r="D5" i="10"/>
  <c r="D5" i="38"/>
  <c r="D22" i="38" s="1"/>
  <c r="D5" i="28"/>
  <c r="D22" i="28" s="1"/>
  <c r="H37" i="27"/>
  <c r="H59" i="27"/>
  <c r="H48" i="27"/>
  <c r="C4" i="4"/>
  <c r="C4" i="27"/>
  <c r="C21" i="27" s="1"/>
  <c r="C4" i="30"/>
  <c r="C21" i="30" s="1"/>
  <c r="G60" i="30"/>
  <c r="G38" i="30"/>
  <c r="G49" i="30"/>
  <c r="F59" i="27"/>
  <c r="F37" i="27"/>
  <c r="F48" i="27"/>
  <c r="H4" i="10"/>
  <c r="H21" i="10" s="1"/>
  <c r="H57" i="10" s="1"/>
  <c r="D3" i="10"/>
  <c r="D3" i="38"/>
  <c r="D20" i="38" s="1"/>
  <c r="D3" i="28"/>
  <c r="D20" i="28" s="1"/>
  <c r="G38" i="27"/>
  <c r="G49" i="27"/>
  <c r="G60" i="27"/>
  <c r="F44" i="30"/>
  <c r="F26" i="30"/>
  <c r="F55" i="30"/>
  <c r="F33" i="30"/>
  <c r="C58" i="27"/>
  <c r="C36" i="27"/>
  <c r="I23" i="27"/>
  <c r="C47" i="27"/>
  <c r="D35" i="30"/>
  <c r="D46" i="30"/>
  <c r="D57" i="30"/>
  <c r="H55" i="30"/>
  <c r="H33" i="30"/>
  <c r="H44" i="30"/>
  <c r="H26" i="30"/>
  <c r="F46" i="30"/>
  <c r="F57" i="30"/>
  <c r="F35" i="30"/>
  <c r="H34" i="27"/>
  <c r="H45" i="27"/>
  <c r="H56" i="27"/>
  <c r="F37" i="30"/>
  <c r="F59" i="30"/>
  <c r="F48" i="30"/>
  <c r="E35" i="28"/>
  <c r="E46" i="28"/>
  <c r="E57" i="28"/>
  <c r="G4" i="38"/>
  <c r="G21" i="38" s="1"/>
  <c r="G4" i="28"/>
  <c r="G21" i="28" s="1"/>
  <c r="D46" i="27"/>
  <c r="D35" i="27"/>
  <c r="D57" i="27"/>
  <c r="G26" i="27"/>
  <c r="G33" i="27"/>
  <c r="G55" i="27"/>
  <c r="G44" i="27"/>
  <c r="D58" i="27"/>
  <c r="D47" i="27"/>
  <c r="D36" i="27"/>
  <c r="C48" i="30"/>
  <c r="I24" i="30"/>
  <c r="C37" i="30"/>
  <c r="C59" i="30"/>
  <c r="H46" i="27"/>
  <c r="H35" i="27"/>
  <c r="H57" i="27"/>
  <c r="G57" i="27"/>
  <c r="G35" i="27"/>
  <c r="G46" i="27"/>
  <c r="D60" i="27"/>
  <c r="D38" i="27"/>
  <c r="D49" i="27"/>
  <c r="I25" i="27"/>
  <c r="C49" i="27"/>
  <c r="C60" i="27"/>
  <c r="C38" i="27"/>
  <c r="C78" i="27" s="1"/>
  <c r="F56" i="30"/>
  <c r="F34" i="30"/>
  <c r="F45" i="30"/>
  <c r="H26" i="27"/>
  <c r="H55" i="27"/>
  <c r="H33" i="27"/>
  <c r="H44" i="27"/>
  <c r="F4" i="10"/>
  <c r="F4" i="38"/>
  <c r="F21" i="38" s="1"/>
  <c r="F4" i="28"/>
  <c r="F21" i="28" s="1"/>
  <c r="G44" i="30"/>
  <c r="G26" i="30"/>
  <c r="G55" i="30"/>
  <c r="G33" i="30"/>
  <c r="D47" i="30"/>
  <c r="D36" i="30"/>
  <c r="D58" i="30"/>
  <c r="C59" i="27"/>
  <c r="C37" i="27"/>
  <c r="I24" i="27"/>
  <c r="C48" i="27"/>
  <c r="H46" i="30"/>
  <c r="H57" i="30"/>
  <c r="H35" i="30"/>
  <c r="H75" i="30" s="1"/>
  <c r="G46" i="30"/>
  <c r="G57" i="30"/>
  <c r="G35" i="30"/>
  <c r="D60" i="30"/>
  <c r="D38" i="30"/>
  <c r="D49" i="30"/>
  <c r="C60" i="30"/>
  <c r="C38" i="30"/>
  <c r="I25" i="30"/>
  <c r="C49" i="30"/>
  <c r="F56" i="27"/>
  <c r="F45" i="27"/>
  <c r="F34" i="27"/>
  <c r="E33" i="27"/>
  <c r="E26" i="27"/>
  <c r="E55" i="27"/>
  <c r="E44" i="27"/>
  <c r="C58" i="30"/>
  <c r="I23" i="30"/>
  <c r="C36" i="30"/>
  <c r="C47" i="30"/>
  <c r="C18" i="2"/>
  <c r="G3" i="38"/>
  <c r="G20" i="38" s="1"/>
  <c r="G3" i="28"/>
  <c r="G20" i="28" s="1"/>
  <c r="C16" i="2"/>
  <c r="E3" i="38"/>
  <c r="E20" i="38" s="1"/>
  <c r="E3" i="28"/>
  <c r="E20" i="28" s="1"/>
  <c r="H21" i="4"/>
  <c r="H45" i="4" s="1"/>
  <c r="C35" i="30"/>
  <c r="I22" i="30"/>
  <c r="C57" i="30"/>
  <c r="C46" i="30"/>
  <c r="H34" i="30"/>
  <c r="H45" i="30"/>
  <c r="H56" i="30"/>
  <c r="E58" i="30"/>
  <c r="E47" i="30"/>
  <c r="E36" i="30"/>
  <c r="H36" i="30"/>
  <c r="H47" i="30"/>
  <c r="H58" i="30"/>
  <c r="G47" i="30"/>
  <c r="G58" i="30"/>
  <c r="G36" i="30"/>
  <c r="F60" i="30"/>
  <c r="F38" i="30"/>
  <c r="F49" i="30"/>
  <c r="E49" i="27"/>
  <c r="E38" i="27"/>
  <c r="E60" i="27"/>
  <c r="D59" i="30"/>
  <c r="D48" i="30"/>
  <c r="D37" i="30"/>
  <c r="E56" i="30"/>
  <c r="E34" i="30"/>
  <c r="E45" i="30"/>
  <c r="E48" i="27"/>
  <c r="E59" i="27"/>
  <c r="E37" i="27"/>
  <c r="F44" i="27"/>
  <c r="F26" i="27"/>
  <c r="F55" i="27"/>
  <c r="F33" i="27"/>
  <c r="F3" i="10"/>
  <c r="F3" i="38"/>
  <c r="F20" i="38" s="1"/>
  <c r="F3" i="28"/>
  <c r="F20" i="28" s="1"/>
  <c r="H3" i="38"/>
  <c r="H20" i="38" s="1"/>
  <c r="H3" i="28"/>
  <c r="H20" i="28" s="1"/>
  <c r="E58" i="27"/>
  <c r="E36" i="27"/>
  <c r="E47" i="27"/>
  <c r="H36" i="27"/>
  <c r="H47" i="27"/>
  <c r="H58" i="27"/>
  <c r="G58" i="27"/>
  <c r="G36" i="27"/>
  <c r="G47" i="27"/>
  <c r="F38" i="27"/>
  <c r="F49" i="27"/>
  <c r="F60" i="27"/>
  <c r="E38" i="30"/>
  <c r="E49" i="30"/>
  <c r="E60" i="30"/>
  <c r="D48" i="27"/>
  <c r="D59" i="27"/>
  <c r="D37" i="27"/>
  <c r="E45" i="27"/>
  <c r="E56" i="27"/>
  <c r="E34" i="27"/>
  <c r="E48" i="30"/>
  <c r="E59" i="30"/>
  <c r="E37" i="30"/>
  <c r="F46" i="27"/>
  <c r="F57" i="27"/>
  <c r="F35" i="27"/>
  <c r="E6" i="10"/>
  <c r="E23" i="10" s="1"/>
  <c r="E6" i="38"/>
  <c r="E23" i="38" s="1"/>
  <c r="E6" i="28"/>
  <c r="E23" i="28" s="1"/>
  <c r="G5" i="38"/>
  <c r="G22" i="38" s="1"/>
  <c r="G5" i="28"/>
  <c r="G22" i="28" s="1"/>
  <c r="G48" i="16"/>
  <c r="I42" i="16"/>
  <c r="I48" i="16" s="1"/>
  <c r="I66" i="16"/>
  <c r="E78" i="16"/>
  <c r="D58" i="16"/>
  <c r="I112" i="16"/>
  <c r="F58" i="16"/>
  <c r="I57" i="16"/>
  <c r="I58" i="16" s="1"/>
  <c r="C98" i="16"/>
  <c r="I65" i="16"/>
  <c r="I68" i="16" s="1"/>
  <c r="I92" i="16"/>
  <c r="I98" i="16" s="1"/>
  <c r="I108" i="16"/>
  <c r="D155" i="22"/>
  <c r="D117" i="22"/>
  <c r="F117" i="22" s="1"/>
  <c r="F119" i="22" s="1"/>
  <c r="D80" i="22"/>
  <c r="F80" i="22" s="1"/>
  <c r="D137" i="22"/>
  <c r="F137" i="22" s="1"/>
  <c r="D175" i="22"/>
  <c r="F175" i="22" s="1"/>
  <c r="D61" i="22"/>
  <c r="F61" i="22" s="1"/>
  <c r="D99" i="22"/>
  <c r="F99" i="22" s="1"/>
  <c r="F100" i="22" s="1"/>
  <c r="L106" i="22" s="1"/>
  <c r="D196" i="22" s="1"/>
  <c r="D42" i="22"/>
  <c r="F42" i="22" s="1"/>
  <c r="I32" i="13"/>
  <c r="D80" i="34"/>
  <c r="F80" i="34" s="1"/>
  <c r="D156" i="34"/>
  <c r="F156" i="34" s="1"/>
  <c r="D118" i="34"/>
  <c r="F118" i="34" s="1"/>
  <c r="D137" i="34"/>
  <c r="F137" i="34" s="1"/>
  <c r="D175" i="34"/>
  <c r="F175" i="34" s="1"/>
  <c r="D61" i="34"/>
  <c r="F61" i="34" s="1"/>
  <c r="D99" i="34"/>
  <c r="F99" i="34" s="1"/>
  <c r="D42" i="34"/>
  <c r="F42" i="34" s="1"/>
  <c r="D136" i="35"/>
  <c r="F136" i="35" s="1"/>
  <c r="D117" i="35"/>
  <c r="F117" i="35" s="1"/>
  <c r="D60" i="35"/>
  <c r="F60" i="35" s="1"/>
  <c r="D98" i="35"/>
  <c r="F98" i="35" s="1"/>
  <c r="D155" i="35"/>
  <c r="F155" i="35" s="1"/>
  <c r="D79" i="35"/>
  <c r="F79" i="35" s="1"/>
  <c r="D174" i="35"/>
  <c r="F174" i="35" s="1"/>
  <c r="D41" i="35"/>
  <c r="F41" i="35" s="1"/>
  <c r="D155" i="34"/>
  <c r="F155" i="34" s="1"/>
  <c r="D174" i="34"/>
  <c r="F174" i="34" s="1"/>
  <c r="D60" i="34"/>
  <c r="F60" i="34" s="1"/>
  <c r="D79" i="34"/>
  <c r="F79" i="34" s="1"/>
  <c r="D98" i="34"/>
  <c r="F98" i="34" s="1"/>
  <c r="D117" i="34"/>
  <c r="F117" i="34" s="1"/>
  <c r="D136" i="34"/>
  <c r="F136" i="34" s="1"/>
  <c r="D41" i="34"/>
  <c r="F41" i="34" s="1"/>
  <c r="E25" i="36"/>
  <c r="D116" i="35"/>
  <c r="F116" i="35" s="1"/>
  <c r="D135" i="35"/>
  <c r="F135" i="35" s="1"/>
  <c r="D97" i="35"/>
  <c r="F97" i="35" s="1"/>
  <c r="D59" i="35"/>
  <c r="F59" i="35" s="1"/>
  <c r="D78" i="35"/>
  <c r="F78" i="35" s="1"/>
  <c r="D173" i="35"/>
  <c r="F173" i="35" s="1"/>
  <c r="D154" i="35"/>
  <c r="F154" i="35" s="1"/>
  <c r="D40" i="35"/>
  <c r="F40" i="35" s="1"/>
  <c r="D98" i="15"/>
  <c r="F98" i="15" s="1"/>
  <c r="I88" i="32"/>
  <c r="H36" i="29"/>
  <c r="G36" i="29"/>
  <c r="E36" i="29"/>
  <c r="H34" i="29"/>
  <c r="D36" i="29"/>
  <c r="G38" i="29"/>
  <c r="H35" i="29"/>
  <c r="F38" i="29"/>
  <c r="G35" i="29"/>
  <c r="E38" i="29"/>
  <c r="F35" i="29"/>
  <c r="D38" i="29"/>
  <c r="D35" i="29"/>
  <c r="H37" i="29"/>
  <c r="F37" i="29"/>
  <c r="G34" i="29"/>
  <c r="E34" i="29"/>
  <c r="E37" i="29"/>
  <c r="F34" i="29"/>
  <c r="D37" i="29"/>
  <c r="I88" i="33"/>
  <c r="I88" i="31"/>
  <c r="D79" i="15"/>
  <c r="F79" i="15" s="1"/>
  <c r="D41" i="15"/>
  <c r="F41" i="15" s="1"/>
  <c r="D117" i="15"/>
  <c r="F174" i="15"/>
  <c r="D155" i="15"/>
  <c r="F155" i="15" s="1"/>
  <c r="D60" i="15"/>
  <c r="D136" i="15"/>
  <c r="F136" i="15" s="1"/>
  <c r="D59" i="13"/>
  <c r="E55" i="13"/>
  <c r="G57" i="13"/>
  <c r="F57" i="13"/>
  <c r="H55" i="13"/>
  <c r="H57" i="13"/>
  <c r="C57" i="13"/>
  <c r="C58" i="13"/>
  <c r="E60" i="13"/>
  <c r="D60" i="13"/>
  <c r="H58" i="13"/>
  <c r="D55" i="13"/>
  <c r="D37" i="17"/>
  <c r="F37" i="17"/>
  <c r="H37" i="17"/>
  <c r="O192" i="22"/>
  <c r="F7" i="19" s="1"/>
  <c r="F16" i="19" s="1"/>
  <c r="F60" i="13"/>
  <c r="G60" i="13"/>
  <c r="E56" i="13"/>
  <c r="H56" i="13"/>
  <c r="C60" i="13"/>
  <c r="C56" i="13"/>
  <c r="F59" i="13"/>
  <c r="G58" i="13"/>
  <c r="D58" i="13"/>
  <c r="E58" i="13"/>
  <c r="G56" i="13"/>
  <c r="F56" i="13"/>
  <c r="D38" i="17"/>
  <c r="E38" i="17"/>
  <c r="E37" i="17"/>
  <c r="F38" i="17"/>
  <c r="C45" i="13"/>
  <c r="F68" i="11"/>
  <c r="H48" i="11"/>
  <c r="C49" i="11"/>
  <c r="G38" i="17"/>
  <c r="N193" i="22"/>
  <c r="E8" i="19" s="1"/>
  <c r="C46" i="12"/>
  <c r="C47" i="12"/>
  <c r="F46" i="12"/>
  <c r="E47" i="12"/>
  <c r="D48" i="12"/>
  <c r="G44" i="12"/>
  <c r="H48" i="12"/>
  <c r="H44" i="12"/>
  <c r="C47" i="11"/>
  <c r="P196" i="22"/>
  <c r="D69" i="13"/>
  <c r="C69" i="13"/>
  <c r="G67" i="13"/>
  <c r="H66" i="13"/>
  <c r="I28" i="13"/>
  <c r="C47" i="13"/>
  <c r="D49" i="13"/>
  <c r="F46" i="13"/>
  <c r="E44" i="13"/>
  <c r="H46" i="13"/>
  <c r="G45" i="13"/>
  <c r="F49" i="13"/>
  <c r="H44" i="13"/>
  <c r="C46" i="13"/>
  <c r="E47" i="13"/>
  <c r="E45" i="13"/>
  <c r="F48" i="13"/>
  <c r="E49" i="13"/>
  <c r="D44" i="13"/>
  <c r="D47" i="13"/>
  <c r="G46" i="13"/>
  <c r="G49" i="13"/>
  <c r="H45" i="13"/>
  <c r="F45" i="13"/>
  <c r="C49" i="13"/>
  <c r="H48" i="13"/>
  <c r="D48" i="13"/>
  <c r="G47" i="13"/>
  <c r="F70" i="13"/>
  <c r="F67" i="13"/>
  <c r="D7" i="19"/>
  <c r="D16" i="19" s="1"/>
  <c r="F68" i="13"/>
  <c r="G69" i="13"/>
  <c r="H68" i="13"/>
  <c r="F8" i="19"/>
  <c r="F17" i="19" s="1"/>
  <c r="H69" i="13"/>
  <c r="E67" i="13"/>
  <c r="G68" i="13"/>
  <c r="H70" i="13"/>
  <c r="G71" i="13"/>
  <c r="D70" i="13"/>
  <c r="C71" i="13"/>
  <c r="M193" i="22"/>
  <c r="P194" i="22"/>
  <c r="H9" i="19"/>
  <c r="H18" i="19" s="1"/>
  <c r="E66" i="13"/>
  <c r="D66" i="13"/>
  <c r="F71" i="13"/>
  <c r="H67" i="13"/>
  <c r="E71" i="13"/>
  <c r="D71" i="13"/>
  <c r="C67" i="13"/>
  <c r="C68" i="13"/>
  <c r="E69" i="13"/>
  <c r="F9" i="19"/>
  <c r="F18" i="19" s="1"/>
  <c r="N162" i="22"/>
  <c r="N192" i="22" s="1"/>
  <c r="E7" i="19" s="1"/>
  <c r="D148" i="22"/>
  <c r="I162" i="22"/>
  <c r="I167" i="22" s="1"/>
  <c r="D91" i="22"/>
  <c r="C148" i="22"/>
  <c r="I148" i="22"/>
  <c r="I123" i="22"/>
  <c r="L142" i="22"/>
  <c r="L191" i="22" s="1"/>
  <c r="N145" i="22"/>
  <c r="P143" i="22"/>
  <c r="M145" i="22"/>
  <c r="O147" i="22"/>
  <c r="O146" i="22"/>
  <c r="Q144" i="22"/>
  <c r="P144" i="22"/>
  <c r="N147" i="22"/>
  <c r="Q143" i="22"/>
  <c r="M147" i="22"/>
  <c r="N146" i="22"/>
  <c r="M146" i="22"/>
  <c r="Q196" i="22"/>
  <c r="F40" i="22"/>
  <c r="P195" i="22"/>
  <c r="D110" i="22"/>
  <c r="F59" i="22"/>
  <c r="I52" i="22"/>
  <c r="F156" i="22"/>
  <c r="F174" i="22"/>
  <c r="I108" i="22"/>
  <c r="I128" i="22"/>
  <c r="I89" i="22"/>
  <c r="I109" i="22"/>
  <c r="F173" i="22"/>
  <c r="I90" i="22"/>
  <c r="G186" i="22"/>
  <c r="I180" i="22"/>
  <c r="D72" i="22"/>
  <c r="E53" i="22"/>
  <c r="I106" i="22"/>
  <c r="C110" i="22"/>
  <c r="G167" i="22"/>
  <c r="F72" i="22"/>
  <c r="I126" i="22"/>
  <c r="G53" i="22"/>
  <c r="I47" i="22"/>
  <c r="C72" i="22"/>
  <c r="I70" i="22"/>
  <c r="I181" i="22"/>
  <c r="G72" i="22"/>
  <c r="F155" i="22"/>
  <c r="I35" i="22"/>
  <c r="H186" i="22"/>
  <c r="D53" i="22"/>
  <c r="I71" i="22"/>
  <c r="O161" i="22"/>
  <c r="O191" i="22" s="1"/>
  <c r="F167" i="22"/>
  <c r="I88" i="22"/>
  <c r="C91" i="22"/>
  <c r="H167" i="22"/>
  <c r="C71" i="11"/>
  <c r="H69" i="11"/>
  <c r="E47" i="11"/>
  <c r="G66" i="11"/>
  <c r="D69" i="11"/>
  <c r="D175" i="15"/>
  <c r="F175" i="15" s="1"/>
  <c r="D156" i="15"/>
  <c r="F156" i="15" s="1"/>
  <c r="D97" i="15"/>
  <c r="F97" i="15" s="1"/>
  <c r="D173" i="15"/>
  <c r="F173" i="15" s="1"/>
  <c r="D154" i="15"/>
  <c r="F154" i="15" s="1"/>
  <c r="I118" i="16"/>
  <c r="I88" i="16"/>
  <c r="I78" i="16"/>
  <c r="C24" i="16"/>
  <c r="E24" i="16" s="1"/>
  <c r="C23" i="16"/>
  <c r="E23" i="16" s="1"/>
  <c r="I35" i="16"/>
  <c r="I186" i="15"/>
  <c r="D99" i="15"/>
  <c r="F99" i="15" s="1"/>
  <c r="D118" i="15"/>
  <c r="C106" i="15"/>
  <c r="C125" i="15"/>
  <c r="G148" i="15"/>
  <c r="H148" i="15"/>
  <c r="I128" i="15"/>
  <c r="C118" i="15"/>
  <c r="C117" i="15"/>
  <c r="C116" i="15"/>
  <c r="F116" i="15" s="1"/>
  <c r="D135" i="15"/>
  <c r="F135" i="15" s="1"/>
  <c r="D137" i="15"/>
  <c r="F137" i="15" s="1"/>
  <c r="D80" i="15"/>
  <c r="F80" i="15" s="1"/>
  <c r="C109" i="15"/>
  <c r="C90" i="15"/>
  <c r="C107" i="15"/>
  <c r="C88" i="15"/>
  <c r="D107" i="15"/>
  <c r="D88" i="15"/>
  <c r="D78" i="15"/>
  <c r="F78" i="15" s="1"/>
  <c r="D70" i="15"/>
  <c r="D108" i="15"/>
  <c r="D89" i="15"/>
  <c r="D61" i="15"/>
  <c r="Q70" i="15"/>
  <c r="Q195" i="15" s="1"/>
  <c r="H10" i="37" s="1"/>
  <c r="H19" i="37" s="1"/>
  <c r="C52" i="15"/>
  <c r="C53" i="15" s="1"/>
  <c r="C71" i="15"/>
  <c r="D59" i="15"/>
  <c r="P70" i="15"/>
  <c r="C61" i="15"/>
  <c r="C60" i="15"/>
  <c r="C59" i="15"/>
  <c r="G51" i="15"/>
  <c r="D40" i="15"/>
  <c r="F40" i="15" s="1"/>
  <c r="D42" i="15"/>
  <c r="F42" i="15" s="1"/>
  <c r="N5" i="3"/>
  <c r="N8" i="3" s="1"/>
  <c r="C59" i="13"/>
  <c r="I35" i="13"/>
  <c r="I37" i="13" s="1"/>
  <c r="C70" i="13"/>
  <c r="C48" i="13"/>
  <c r="G55" i="13"/>
  <c r="G44" i="13"/>
  <c r="G37" i="13"/>
  <c r="G66" i="13"/>
  <c r="D57" i="13"/>
  <c r="D68" i="13"/>
  <c r="D46" i="13"/>
  <c r="E59" i="13"/>
  <c r="E70" i="13"/>
  <c r="E48" i="13"/>
  <c r="F55" i="13"/>
  <c r="F37" i="13"/>
  <c r="F66" i="13"/>
  <c r="F44" i="13"/>
  <c r="D70" i="12"/>
  <c r="D48" i="11"/>
  <c r="C46" i="11"/>
  <c r="H47" i="11"/>
  <c r="D70" i="11"/>
  <c r="D47" i="11"/>
  <c r="H66" i="11"/>
  <c r="E69" i="11"/>
  <c r="F46" i="11"/>
  <c r="H70" i="11"/>
  <c r="H24" i="10"/>
  <c r="H60" i="10" s="1"/>
  <c r="H20" i="4"/>
  <c r="H55" i="4" s="1"/>
  <c r="H73" i="17"/>
  <c r="H94" i="17" s="1"/>
  <c r="G20" i="4"/>
  <c r="G44" i="4" s="1"/>
  <c r="G73" i="17"/>
  <c r="G94" i="17" s="1"/>
  <c r="D17" i="2"/>
  <c r="G3" i="10"/>
  <c r="G20" i="10" s="1"/>
  <c r="G34" i="10" s="1"/>
  <c r="C68" i="12"/>
  <c r="C69" i="12"/>
  <c r="H70" i="12"/>
  <c r="E69" i="12"/>
  <c r="G66" i="12"/>
  <c r="F68" i="12"/>
  <c r="H59" i="11"/>
  <c r="D69" i="12"/>
  <c r="H66" i="12"/>
  <c r="H56" i="12"/>
  <c r="H36" i="4"/>
  <c r="H44" i="4"/>
  <c r="H33" i="4"/>
  <c r="F57" i="4"/>
  <c r="F35" i="4"/>
  <c r="F46" i="4"/>
  <c r="C57" i="4"/>
  <c r="C46" i="4"/>
  <c r="H34" i="4"/>
  <c r="W21" i="1"/>
  <c r="W6" i="1"/>
  <c r="V3" i="1"/>
  <c r="T3" i="1"/>
  <c r="AB8" i="1"/>
  <c r="AE8" i="1" s="1"/>
  <c r="D48" i="4"/>
  <c r="D59" i="4"/>
  <c r="D37" i="4"/>
  <c r="D47" i="4"/>
  <c r="D36" i="4"/>
  <c r="D58" i="4"/>
  <c r="E58" i="4"/>
  <c r="E47" i="4"/>
  <c r="E36" i="4"/>
  <c r="C60" i="4"/>
  <c r="C38" i="4"/>
  <c r="C49" i="4"/>
  <c r="K45" i="1"/>
  <c r="Q39" i="1"/>
  <c r="C68" i="11"/>
  <c r="G16" i="10"/>
  <c r="G27" i="11"/>
  <c r="G36" i="11" s="1"/>
  <c r="G34" i="15"/>
  <c r="G71" i="15" s="1"/>
  <c r="P71" i="15" s="1"/>
  <c r="G16" i="4"/>
  <c r="G25" i="4" s="1"/>
  <c r="G27" i="12"/>
  <c r="G36" i="12" s="1"/>
  <c r="E29" i="15"/>
  <c r="E142" i="15" s="1"/>
  <c r="E11" i="10"/>
  <c r="E22" i="12"/>
  <c r="E31" i="12" s="1"/>
  <c r="M36" i="1"/>
  <c r="E22" i="11"/>
  <c r="E31" i="11" s="1"/>
  <c r="E11" i="4"/>
  <c r="U12" i="1"/>
  <c r="H59" i="4"/>
  <c r="L45" i="1"/>
  <c r="F15" i="10"/>
  <c r="F26" i="12"/>
  <c r="F35" i="12" s="1"/>
  <c r="F15" i="4"/>
  <c r="F24" i="4" s="1"/>
  <c r="F33" i="15"/>
  <c r="F70" i="15" s="1"/>
  <c r="F26" i="11"/>
  <c r="F35" i="11" s="1"/>
  <c r="D24" i="11"/>
  <c r="D33" i="11" s="1"/>
  <c r="D31" i="15"/>
  <c r="D106" i="15" s="1"/>
  <c r="I106" i="15" s="1"/>
  <c r="D13" i="10"/>
  <c r="D24" i="12"/>
  <c r="D33" i="12" s="1"/>
  <c r="D13" i="4"/>
  <c r="D22" i="4" s="1"/>
  <c r="W17" i="1"/>
  <c r="C35" i="4"/>
  <c r="H45" i="12"/>
  <c r="F12" i="4"/>
  <c r="F21" i="4" s="1"/>
  <c r="F23" i="11"/>
  <c r="F32" i="11" s="1"/>
  <c r="F30" i="15"/>
  <c r="F23" i="12"/>
  <c r="F32" i="12" s="1"/>
  <c r="F12" i="10"/>
  <c r="F21" i="10" s="1"/>
  <c r="F57" i="10" s="1"/>
  <c r="H31" i="15"/>
  <c r="H13" i="10"/>
  <c r="H22" i="10" s="1"/>
  <c r="H36" i="10" s="1"/>
  <c r="H24" i="12"/>
  <c r="H33" i="12" s="1"/>
  <c r="H13" i="4"/>
  <c r="H22" i="4" s="1"/>
  <c r="H24" i="11"/>
  <c r="H33" i="11" s="1"/>
  <c r="T16" i="1"/>
  <c r="V12" i="1"/>
  <c r="W9" i="1"/>
  <c r="U22" i="1"/>
  <c r="V6" i="1"/>
  <c r="H67" i="12"/>
  <c r="D47" i="12"/>
  <c r="H47" i="4"/>
  <c r="N36" i="1"/>
  <c r="U5" i="1" s="1"/>
  <c r="F11" i="10"/>
  <c r="F22" i="12"/>
  <c r="F31" i="12" s="1"/>
  <c r="F11" i="4"/>
  <c r="F29" i="15"/>
  <c r="F142" i="15" s="1"/>
  <c r="F22" i="11"/>
  <c r="F31" i="11" s="1"/>
  <c r="C12" i="10"/>
  <c r="T7" i="1"/>
  <c r="C23" i="12"/>
  <c r="C45" i="12" s="1"/>
  <c r="C12" i="4"/>
  <c r="C21" i="4" s="1"/>
  <c r="C56" i="4" s="1"/>
  <c r="C23" i="11"/>
  <c r="C56" i="11" s="1"/>
  <c r="C30" i="15"/>
  <c r="C124" i="15" s="1"/>
  <c r="Q31" i="1"/>
  <c r="AB4" i="1" s="1"/>
  <c r="C26" i="11"/>
  <c r="C35" i="11" s="1"/>
  <c r="C33" i="15"/>
  <c r="C127" i="15" s="1"/>
  <c r="Q34" i="1"/>
  <c r="C15" i="10"/>
  <c r="C26" i="12"/>
  <c r="C35" i="12" s="1"/>
  <c r="C15" i="4"/>
  <c r="O45" i="1"/>
  <c r="G25" i="11"/>
  <c r="G34" i="11" s="1"/>
  <c r="G32" i="15"/>
  <c r="G50" i="15" s="1"/>
  <c r="G14" i="10"/>
  <c r="I14" i="10" s="1"/>
  <c r="G25" i="12"/>
  <c r="G34" i="12" s="1"/>
  <c r="G14" i="4"/>
  <c r="G23" i="4" s="1"/>
  <c r="Q44" i="1"/>
  <c r="AC12" i="1" s="1"/>
  <c r="H27" i="11"/>
  <c r="H36" i="11" s="1"/>
  <c r="H34" i="15"/>
  <c r="H27" i="12"/>
  <c r="H36" i="12" s="1"/>
  <c r="H16" i="10"/>
  <c r="H16" i="4"/>
  <c r="C11" i="4"/>
  <c r="C22" i="11"/>
  <c r="C31" i="11" s="1"/>
  <c r="C29" i="15"/>
  <c r="C142" i="15" s="1"/>
  <c r="C11" i="10"/>
  <c r="C22" i="12"/>
  <c r="C31" i="12" s="1"/>
  <c r="K36" i="1"/>
  <c r="U9" i="1" s="1"/>
  <c r="Q30" i="1"/>
  <c r="D16" i="10"/>
  <c r="D16" i="4"/>
  <c r="D25" i="4" s="1"/>
  <c r="D27" i="12"/>
  <c r="D36" i="12" s="1"/>
  <c r="D27" i="11"/>
  <c r="D36" i="11" s="1"/>
  <c r="D34" i="15"/>
  <c r="C49" i="12"/>
  <c r="W18" i="1"/>
  <c r="W12" i="1"/>
  <c r="E23" i="12"/>
  <c r="E32" i="12" s="1"/>
  <c r="E12" i="4"/>
  <c r="E21" i="4" s="1"/>
  <c r="E23" i="11"/>
  <c r="E32" i="11" s="1"/>
  <c r="E30" i="15"/>
  <c r="E12" i="10"/>
  <c r="E21" i="10" s="1"/>
  <c r="E35" i="10" s="1"/>
  <c r="H37" i="4"/>
  <c r="H77" i="4" s="1"/>
  <c r="D12" i="10"/>
  <c r="D23" i="12"/>
  <c r="D32" i="12" s="1"/>
  <c r="D12" i="4"/>
  <c r="D23" i="11"/>
  <c r="D32" i="11" s="1"/>
  <c r="D30" i="15"/>
  <c r="E33" i="15"/>
  <c r="E15" i="10"/>
  <c r="E26" i="12"/>
  <c r="E35" i="12" s="1"/>
  <c r="E15" i="4"/>
  <c r="E24" i="4" s="1"/>
  <c r="E26" i="11"/>
  <c r="E35" i="11" s="1"/>
  <c r="G13" i="10"/>
  <c r="G24" i="12"/>
  <c r="G33" i="12" s="1"/>
  <c r="G13" i="4"/>
  <c r="G22" i="4" s="1"/>
  <c r="G24" i="11"/>
  <c r="G33" i="11" s="1"/>
  <c r="G31" i="15"/>
  <c r="G49" i="15" s="1"/>
  <c r="T12" i="1"/>
  <c r="E31" i="15"/>
  <c r="E13" i="10"/>
  <c r="E24" i="12"/>
  <c r="E33" i="12" s="1"/>
  <c r="E13" i="4"/>
  <c r="E24" i="11"/>
  <c r="E33" i="11" s="1"/>
  <c r="E27" i="12"/>
  <c r="E36" i="12" s="1"/>
  <c r="U6" i="1"/>
  <c r="E27" i="11"/>
  <c r="E36" i="11" s="1"/>
  <c r="E34" i="15"/>
  <c r="E90" i="15" s="1"/>
  <c r="E16" i="10"/>
  <c r="E16" i="4"/>
  <c r="E25" i="4" s="1"/>
  <c r="D22" i="11"/>
  <c r="D31" i="11" s="1"/>
  <c r="D29" i="15"/>
  <c r="D142" i="15" s="1"/>
  <c r="D11" i="10"/>
  <c r="D22" i="12"/>
  <c r="D31" i="12" s="1"/>
  <c r="U11" i="1"/>
  <c r="D11" i="4"/>
  <c r="L36" i="1"/>
  <c r="C23" i="4"/>
  <c r="U7" i="1"/>
  <c r="G12" i="4"/>
  <c r="G21" i="4" s="1"/>
  <c r="G23" i="11"/>
  <c r="G32" i="11" s="1"/>
  <c r="G12" i="10"/>
  <c r="G30" i="15"/>
  <c r="T11" i="1"/>
  <c r="G23" i="12"/>
  <c r="G32" i="12" s="1"/>
  <c r="M45" i="1"/>
  <c r="F27" i="11"/>
  <c r="F36" i="11" s="1"/>
  <c r="F34" i="15"/>
  <c r="F16" i="10"/>
  <c r="F16" i="4"/>
  <c r="F25" i="4" s="1"/>
  <c r="F27" i="12"/>
  <c r="F36" i="12" s="1"/>
  <c r="T5" i="1"/>
  <c r="X5" i="1" s="1"/>
  <c r="AB6" i="1"/>
  <c r="X6" i="1"/>
  <c r="C15" i="2"/>
  <c r="E3" i="10"/>
  <c r="E20" i="10" s="1"/>
  <c r="E34" i="10" s="1"/>
  <c r="H6" i="10"/>
  <c r="H23" i="10" s="1"/>
  <c r="H37" i="10" s="1"/>
  <c r="G5" i="10"/>
  <c r="E18" i="2"/>
  <c r="C17" i="2"/>
  <c r="E19" i="2"/>
  <c r="H3" i="10"/>
  <c r="H20" i="10" s="1"/>
  <c r="H45" i="10" s="1"/>
  <c r="C19" i="2"/>
  <c r="H46" i="10"/>
  <c r="E59" i="10"/>
  <c r="E48" i="10"/>
  <c r="F36" i="10"/>
  <c r="F58" i="10"/>
  <c r="F47" i="10"/>
  <c r="H67" i="11"/>
  <c r="H69" i="12"/>
  <c r="H47" i="12"/>
  <c r="H45" i="11"/>
  <c r="G44" i="11"/>
  <c r="D18" i="2"/>
  <c r="G4" i="10"/>
  <c r="F18" i="2"/>
  <c r="G6" i="10"/>
  <c r="E37" i="10"/>
  <c r="F157" i="22" l="1"/>
  <c r="F75" i="30"/>
  <c r="E76" i="27"/>
  <c r="F81" i="22"/>
  <c r="F78" i="27"/>
  <c r="E73" i="30"/>
  <c r="H76" i="27"/>
  <c r="E73" i="27"/>
  <c r="G73" i="27"/>
  <c r="F77" i="30"/>
  <c r="G78" i="27"/>
  <c r="D75" i="30"/>
  <c r="H73" i="27"/>
  <c r="H94" i="27" s="1"/>
  <c r="G74" i="30"/>
  <c r="C75" i="4"/>
  <c r="D76" i="4"/>
  <c r="F78" i="30"/>
  <c r="C77" i="30"/>
  <c r="C75" i="27"/>
  <c r="H77" i="30"/>
  <c r="E74" i="27"/>
  <c r="D77" i="30"/>
  <c r="C75" i="30"/>
  <c r="E78" i="27"/>
  <c r="F74" i="27"/>
  <c r="H75" i="27"/>
  <c r="F75" i="27"/>
  <c r="E77" i="27"/>
  <c r="D75" i="27"/>
  <c r="H74" i="27"/>
  <c r="D77" i="4"/>
  <c r="F75" i="4"/>
  <c r="C76" i="27"/>
  <c r="H77" i="27"/>
  <c r="E78" i="30"/>
  <c r="H74" i="30"/>
  <c r="H73" i="4"/>
  <c r="E77" i="30"/>
  <c r="G76" i="30"/>
  <c r="C76" i="30"/>
  <c r="C78" i="30"/>
  <c r="F73" i="30"/>
  <c r="F77" i="27"/>
  <c r="E74" i="30"/>
  <c r="C77" i="27"/>
  <c r="D78" i="27"/>
  <c r="D76" i="27"/>
  <c r="G74" i="27"/>
  <c r="C78" i="4"/>
  <c r="H76" i="4"/>
  <c r="D78" i="30"/>
  <c r="H73" i="30"/>
  <c r="G78" i="30"/>
  <c r="E76" i="4"/>
  <c r="G76" i="27"/>
  <c r="D76" i="30"/>
  <c r="G75" i="27"/>
  <c r="D73" i="27"/>
  <c r="F73" i="27"/>
  <c r="H76" i="30"/>
  <c r="G75" i="30"/>
  <c r="D73" i="30"/>
  <c r="D77" i="27"/>
  <c r="E76" i="30"/>
  <c r="G73" i="30"/>
  <c r="F74" i="30"/>
  <c r="E73" i="38"/>
  <c r="G46" i="29"/>
  <c r="G57" i="29" s="1"/>
  <c r="F49" i="29"/>
  <c r="F60" i="29" s="1"/>
  <c r="F78" i="29" s="1"/>
  <c r="F99" i="29" s="1"/>
  <c r="H46" i="29"/>
  <c r="H57" i="29" s="1"/>
  <c r="H75" i="29" s="1"/>
  <c r="H96" i="29" s="1"/>
  <c r="E48" i="29"/>
  <c r="E59" i="29" s="1"/>
  <c r="G49" i="29"/>
  <c r="G60" i="29" s="1"/>
  <c r="E49" i="29"/>
  <c r="E60" i="29" s="1"/>
  <c r="F48" i="29"/>
  <c r="F59" i="29" s="1"/>
  <c r="E47" i="29"/>
  <c r="E58" i="29" s="1"/>
  <c r="E76" i="29"/>
  <c r="E97" i="29" s="1"/>
  <c r="H48" i="29"/>
  <c r="H59" i="29" s="1"/>
  <c r="G47" i="29"/>
  <c r="G58" i="29" s="1"/>
  <c r="H47" i="29"/>
  <c r="H58" i="29" s="1"/>
  <c r="F46" i="29"/>
  <c r="F57" i="29" s="1"/>
  <c r="I36" i="17"/>
  <c r="C76" i="17"/>
  <c r="C97" i="17" s="1"/>
  <c r="I35" i="17"/>
  <c r="C75" i="17"/>
  <c r="C96" i="17" s="1"/>
  <c r="I34" i="17"/>
  <c r="C78" i="17"/>
  <c r="C99" i="17" s="1"/>
  <c r="G50" i="27"/>
  <c r="F50" i="27"/>
  <c r="G50" i="30"/>
  <c r="I60" i="27"/>
  <c r="I59" i="30"/>
  <c r="F7" i="37"/>
  <c r="F16" i="37" s="1"/>
  <c r="I49" i="27"/>
  <c r="I37" i="30"/>
  <c r="E7" i="37"/>
  <c r="E16" i="37" s="1"/>
  <c r="E8" i="37"/>
  <c r="E17" i="37" s="1"/>
  <c r="E73" i="28"/>
  <c r="F93" i="32"/>
  <c r="C28" i="14"/>
  <c r="F23" i="23" s="1"/>
  <c r="I40" i="23" s="1"/>
  <c r="E61" i="27"/>
  <c r="F8" i="10"/>
  <c r="F8" i="38"/>
  <c r="F25" i="38" s="1"/>
  <c r="F8" i="28"/>
  <c r="F25" i="28" s="1"/>
  <c r="G47" i="38"/>
  <c r="G36" i="38"/>
  <c r="G58" i="38"/>
  <c r="F39" i="27"/>
  <c r="E45" i="28"/>
  <c r="E56" i="28"/>
  <c r="E34" i="28"/>
  <c r="G61" i="27"/>
  <c r="I21" i="30"/>
  <c r="C26" i="30"/>
  <c r="C56" i="30"/>
  <c r="C34" i="30"/>
  <c r="C45" i="30"/>
  <c r="G37" i="28"/>
  <c r="G48" i="28"/>
  <c r="G59" i="28"/>
  <c r="I55" i="27"/>
  <c r="D61" i="27"/>
  <c r="I33" i="30"/>
  <c r="D39" i="30"/>
  <c r="G47" i="28"/>
  <c r="G36" i="28"/>
  <c r="G58" i="28"/>
  <c r="H61" i="30"/>
  <c r="I55" i="30"/>
  <c r="D61" i="30"/>
  <c r="D7" i="10"/>
  <c r="D24" i="10" s="1"/>
  <c r="D7" i="38"/>
  <c r="D24" i="38" s="1"/>
  <c r="D7" i="28"/>
  <c r="D24" i="28" s="1"/>
  <c r="D6" i="10"/>
  <c r="D23" i="10" s="1"/>
  <c r="D48" i="10" s="1"/>
  <c r="D6" i="38"/>
  <c r="D23" i="38" s="1"/>
  <c r="D6" i="28"/>
  <c r="D23" i="28" s="1"/>
  <c r="E37" i="28"/>
  <c r="E48" i="28"/>
  <c r="E59" i="28"/>
  <c r="F61" i="27"/>
  <c r="E45" i="38"/>
  <c r="E34" i="38"/>
  <c r="E56" i="38"/>
  <c r="E39" i="27"/>
  <c r="G39" i="30"/>
  <c r="G39" i="27"/>
  <c r="C56" i="27"/>
  <c r="C34" i="27"/>
  <c r="C26" i="27"/>
  <c r="I21" i="27"/>
  <c r="C45" i="27"/>
  <c r="G48" i="38"/>
  <c r="G37" i="38"/>
  <c r="G59" i="38"/>
  <c r="C4" i="10"/>
  <c r="C21" i="10" s="1"/>
  <c r="C4" i="38"/>
  <c r="C21" i="38" s="1"/>
  <c r="C4" i="28"/>
  <c r="C21" i="28" s="1"/>
  <c r="H35" i="10"/>
  <c r="H73" i="10" s="1"/>
  <c r="H94" i="10" s="1"/>
  <c r="E48" i="38"/>
  <c r="E37" i="38"/>
  <c r="E59" i="38"/>
  <c r="C5" i="10"/>
  <c r="C22" i="10" s="1"/>
  <c r="C36" i="10" s="1"/>
  <c r="C5" i="38"/>
  <c r="C22" i="38" s="1"/>
  <c r="C5" i="28"/>
  <c r="C22" i="28" s="1"/>
  <c r="G61" i="30"/>
  <c r="I20" i="28"/>
  <c r="D45" i="28"/>
  <c r="D26" i="28"/>
  <c r="D56" i="28"/>
  <c r="D34" i="28"/>
  <c r="H60" i="28"/>
  <c r="H38" i="28"/>
  <c r="H49" i="28"/>
  <c r="D50" i="27"/>
  <c r="I44" i="27"/>
  <c r="E50" i="30"/>
  <c r="D39" i="27"/>
  <c r="I33" i="27"/>
  <c r="H56" i="4"/>
  <c r="H74" i="4" s="1"/>
  <c r="G56" i="28"/>
  <c r="G34" i="28"/>
  <c r="G45" i="28"/>
  <c r="I38" i="27"/>
  <c r="I47" i="27"/>
  <c r="D45" i="38"/>
  <c r="D34" i="38"/>
  <c r="I20" i="38"/>
  <c r="D56" i="38"/>
  <c r="H49" i="38"/>
  <c r="H38" i="38"/>
  <c r="H60" i="38"/>
  <c r="I26" i="27"/>
  <c r="E39" i="30"/>
  <c r="H35" i="28"/>
  <c r="H57" i="28"/>
  <c r="H46" i="28"/>
  <c r="F35" i="28"/>
  <c r="F46" i="28"/>
  <c r="F57" i="28"/>
  <c r="I36" i="27"/>
  <c r="I47" i="30"/>
  <c r="I48" i="27"/>
  <c r="F46" i="38"/>
  <c r="F35" i="38"/>
  <c r="F57" i="38"/>
  <c r="G35" i="28"/>
  <c r="G46" i="28"/>
  <c r="G57" i="28"/>
  <c r="I58" i="27"/>
  <c r="D36" i="28"/>
  <c r="D58" i="28"/>
  <c r="D47" i="28"/>
  <c r="H47" i="38"/>
  <c r="H36" i="38"/>
  <c r="H58" i="38"/>
  <c r="D8" i="10"/>
  <c r="D25" i="10" s="1"/>
  <c r="D8" i="38"/>
  <c r="D25" i="38" s="1"/>
  <c r="D8" i="28"/>
  <c r="D25" i="28" s="1"/>
  <c r="I57" i="27"/>
  <c r="G45" i="38"/>
  <c r="G34" i="38"/>
  <c r="G56" i="38"/>
  <c r="G8" i="10"/>
  <c r="G25" i="10" s="1"/>
  <c r="G8" i="38"/>
  <c r="G25" i="38" s="1"/>
  <c r="G8" i="28"/>
  <c r="G25" i="28" s="1"/>
  <c r="G26" i="28" s="1"/>
  <c r="I49" i="30"/>
  <c r="H46" i="38"/>
  <c r="H35" i="38"/>
  <c r="H57" i="38"/>
  <c r="H49" i="10"/>
  <c r="E8" i="10"/>
  <c r="E8" i="38"/>
  <c r="E25" i="38" s="1"/>
  <c r="E8" i="28"/>
  <c r="E25" i="28" s="1"/>
  <c r="F25" i="10"/>
  <c r="F20" i="10"/>
  <c r="F34" i="10" s="1"/>
  <c r="H26" i="28"/>
  <c r="H56" i="28"/>
  <c r="H45" i="28"/>
  <c r="H34" i="28"/>
  <c r="I46" i="30"/>
  <c r="I36" i="30"/>
  <c r="I38" i="30"/>
  <c r="I48" i="30"/>
  <c r="G46" i="38"/>
  <c r="G35" i="38"/>
  <c r="G57" i="38"/>
  <c r="F39" i="30"/>
  <c r="D47" i="38"/>
  <c r="D36" i="38"/>
  <c r="D58" i="38"/>
  <c r="I46" i="27"/>
  <c r="E61" i="30"/>
  <c r="C7" i="10"/>
  <c r="C7" i="38"/>
  <c r="C24" i="38" s="1"/>
  <c r="C7" i="28"/>
  <c r="C24" i="28" s="1"/>
  <c r="H38" i="10"/>
  <c r="C6" i="10"/>
  <c r="C23" i="10" s="1"/>
  <c r="I23" i="10" s="1"/>
  <c r="C6" i="38"/>
  <c r="C23" i="38" s="1"/>
  <c r="C6" i="28"/>
  <c r="C23" i="28" s="1"/>
  <c r="H26" i="38"/>
  <c r="H45" i="38"/>
  <c r="H34" i="38"/>
  <c r="H56" i="38"/>
  <c r="I57" i="30"/>
  <c r="I60" i="30"/>
  <c r="I37" i="27"/>
  <c r="H50" i="27"/>
  <c r="F61" i="30"/>
  <c r="C8" i="10"/>
  <c r="C25" i="10" s="1"/>
  <c r="I25" i="10" s="1"/>
  <c r="C8" i="38"/>
  <c r="C25" i="38" s="1"/>
  <c r="C8" i="28"/>
  <c r="C25" i="28" s="1"/>
  <c r="H36" i="28"/>
  <c r="H47" i="28"/>
  <c r="H58" i="28"/>
  <c r="E7" i="10"/>
  <c r="E24" i="10" s="1"/>
  <c r="E7" i="38"/>
  <c r="E24" i="38" s="1"/>
  <c r="E26" i="38" s="1"/>
  <c r="E7" i="28"/>
  <c r="E24" i="28" s="1"/>
  <c r="E26" i="28" s="1"/>
  <c r="F45" i="28"/>
  <c r="F56" i="28"/>
  <c r="F34" i="28"/>
  <c r="I58" i="30"/>
  <c r="I59" i="27"/>
  <c r="H39" i="27"/>
  <c r="H50" i="30"/>
  <c r="H59" i="28"/>
  <c r="H37" i="28"/>
  <c r="H48" i="28"/>
  <c r="D50" i="30"/>
  <c r="I44" i="30"/>
  <c r="F74" i="28"/>
  <c r="I35" i="27"/>
  <c r="F7" i="10"/>
  <c r="F24" i="10" s="1"/>
  <c r="F7" i="38"/>
  <c r="F24" i="38" s="1"/>
  <c r="F7" i="28"/>
  <c r="F24" i="28" s="1"/>
  <c r="F45" i="38"/>
  <c r="F26" i="38"/>
  <c r="F34" i="38"/>
  <c r="F56" i="38"/>
  <c r="I35" i="30"/>
  <c r="E50" i="27"/>
  <c r="H61" i="27"/>
  <c r="H39" i="30"/>
  <c r="F50" i="30"/>
  <c r="H48" i="38"/>
  <c r="H37" i="38"/>
  <c r="H59" i="38"/>
  <c r="F74" i="38"/>
  <c r="I26" i="30"/>
  <c r="F156" i="35"/>
  <c r="M160" i="35" s="1"/>
  <c r="F81" i="34"/>
  <c r="N88" i="34" s="1"/>
  <c r="N194" i="34" s="1"/>
  <c r="F22" i="23"/>
  <c r="I42" i="23" s="1"/>
  <c r="F119" i="34"/>
  <c r="L124" i="34" s="1"/>
  <c r="L192" i="34" s="1"/>
  <c r="F100" i="34"/>
  <c r="M109" i="34" s="1"/>
  <c r="F138" i="34"/>
  <c r="M142" i="34" s="1"/>
  <c r="M191" i="34" s="1"/>
  <c r="F157" i="34"/>
  <c r="P161" i="34" s="1"/>
  <c r="F175" i="35"/>
  <c r="Q181" i="35" s="1"/>
  <c r="F80" i="35"/>
  <c r="N88" i="35" s="1"/>
  <c r="F99" i="35"/>
  <c r="L107" i="35" s="1"/>
  <c r="F61" i="35"/>
  <c r="P65" i="35" s="1"/>
  <c r="F42" i="35"/>
  <c r="M51" i="35" s="1"/>
  <c r="F62" i="34"/>
  <c r="F176" i="34"/>
  <c r="F137" i="35"/>
  <c r="F118" i="35"/>
  <c r="N56" i="36"/>
  <c r="O56" i="36"/>
  <c r="P113" i="36"/>
  <c r="L74" i="36"/>
  <c r="M56" i="36"/>
  <c r="Q43" i="36"/>
  <c r="P102" i="36"/>
  <c r="C129" i="36"/>
  <c r="P103" i="36"/>
  <c r="M92" i="36"/>
  <c r="P114" i="36"/>
  <c r="P53" i="36"/>
  <c r="L76" i="36"/>
  <c r="N47" i="36"/>
  <c r="M85" i="36"/>
  <c r="L93" i="36"/>
  <c r="C126" i="36"/>
  <c r="O66" i="36"/>
  <c r="N67" i="36"/>
  <c r="O57" i="36"/>
  <c r="M75" i="36"/>
  <c r="P44" i="36"/>
  <c r="P52" i="36"/>
  <c r="P112" i="36"/>
  <c r="C123" i="36"/>
  <c r="L95" i="36"/>
  <c r="M66" i="36"/>
  <c r="L66" i="36"/>
  <c r="P92" i="36"/>
  <c r="M67" i="36"/>
  <c r="L67" i="36"/>
  <c r="D124" i="36" s="1"/>
  <c r="M86" i="36"/>
  <c r="L77" i="36"/>
  <c r="D125" i="36" s="1"/>
  <c r="L65" i="36"/>
  <c r="C125" i="36"/>
  <c r="N75" i="36"/>
  <c r="M77" i="36"/>
  <c r="L96" i="36"/>
  <c r="L86" i="36"/>
  <c r="M47" i="36"/>
  <c r="P54" i="36"/>
  <c r="P43" i="36"/>
  <c r="C122" i="36"/>
  <c r="Q114" i="36"/>
  <c r="N65" i="36"/>
  <c r="M87" i="36"/>
  <c r="Q42" i="36"/>
  <c r="L56" i="36"/>
  <c r="N66" i="36"/>
  <c r="L94" i="36"/>
  <c r="Q44" i="36"/>
  <c r="Q92" i="36"/>
  <c r="Q102" i="36"/>
  <c r="C127" i="36"/>
  <c r="M102" i="36"/>
  <c r="D128" i="36" s="1"/>
  <c r="L75" i="36"/>
  <c r="N57" i="36"/>
  <c r="L57" i="36"/>
  <c r="D123" i="36" s="1"/>
  <c r="L47" i="36"/>
  <c r="N77" i="36"/>
  <c r="N92" i="36"/>
  <c r="O47" i="36"/>
  <c r="P42" i="36"/>
  <c r="C124" i="36"/>
  <c r="M76" i="36"/>
  <c r="L83" i="36"/>
  <c r="O67" i="36"/>
  <c r="L97" i="36"/>
  <c r="D127" i="36" s="1"/>
  <c r="N102" i="36"/>
  <c r="L84" i="36"/>
  <c r="L87" i="36"/>
  <c r="D126" i="36" s="1"/>
  <c r="Q112" i="36"/>
  <c r="C128" i="36"/>
  <c r="Q113" i="36"/>
  <c r="N76" i="36"/>
  <c r="M57" i="36"/>
  <c r="L85" i="36"/>
  <c r="M65" i="36"/>
  <c r="Q103" i="36"/>
  <c r="N112" i="36"/>
  <c r="D129" i="36" s="1"/>
  <c r="F43" i="34"/>
  <c r="L106" i="35"/>
  <c r="M106" i="35"/>
  <c r="N106" i="35"/>
  <c r="H95" i="32"/>
  <c r="F97" i="32"/>
  <c r="H93" i="32"/>
  <c r="C97" i="32"/>
  <c r="H96" i="32"/>
  <c r="E97" i="32"/>
  <c r="H94" i="32"/>
  <c r="F96" i="32"/>
  <c r="D97" i="32"/>
  <c r="G94" i="32"/>
  <c r="E93" i="32"/>
  <c r="D96" i="32"/>
  <c r="F117" i="15"/>
  <c r="G95" i="32"/>
  <c r="C94" i="32"/>
  <c r="F92" i="32"/>
  <c r="F60" i="15"/>
  <c r="C96" i="32"/>
  <c r="E95" i="32"/>
  <c r="F94" i="32"/>
  <c r="H92" i="32"/>
  <c r="G97" i="32"/>
  <c r="D92" i="32"/>
  <c r="E96" i="32"/>
  <c r="C95" i="32"/>
  <c r="H85" i="13"/>
  <c r="G92" i="32"/>
  <c r="D95" i="32"/>
  <c r="E92" i="32"/>
  <c r="C93" i="32"/>
  <c r="G93" i="32"/>
  <c r="E49" i="17"/>
  <c r="E60" i="17" s="1"/>
  <c r="E45" i="29"/>
  <c r="I34" i="29"/>
  <c r="E39" i="29"/>
  <c r="D47" i="29"/>
  <c r="I36" i="29"/>
  <c r="D46" i="17"/>
  <c r="F49" i="17"/>
  <c r="F60" i="17" s="1"/>
  <c r="D49" i="17"/>
  <c r="D60" i="17" s="1"/>
  <c r="G45" i="17"/>
  <c r="F45" i="17"/>
  <c r="H48" i="17"/>
  <c r="H59" i="17" s="1"/>
  <c r="D46" i="29"/>
  <c r="I35" i="29"/>
  <c r="D39" i="29"/>
  <c r="H45" i="29"/>
  <c r="H39" i="29"/>
  <c r="E48" i="17"/>
  <c r="E59" i="17" s="1"/>
  <c r="H45" i="17"/>
  <c r="D49" i="29"/>
  <c r="I38" i="29"/>
  <c r="D47" i="17"/>
  <c r="G45" i="29"/>
  <c r="G39" i="29"/>
  <c r="H46" i="17"/>
  <c r="F48" i="17"/>
  <c r="F59" i="17" s="1"/>
  <c r="E45" i="17"/>
  <c r="D48" i="17"/>
  <c r="D59" i="17" s="1"/>
  <c r="G49" i="17"/>
  <c r="G60" i="17" s="1"/>
  <c r="G46" i="17"/>
  <c r="H10" i="19"/>
  <c r="H19" i="19" s="1"/>
  <c r="E47" i="17"/>
  <c r="H47" i="17"/>
  <c r="D48" i="29"/>
  <c r="I37" i="29"/>
  <c r="F46" i="17"/>
  <c r="F45" i="29"/>
  <c r="F39" i="29"/>
  <c r="G47" i="17"/>
  <c r="G97" i="33"/>
  <c r="F96" i="33"/>
  <c r="E97" i="33"/>
  <c r="D97" i="33"/>
  <c r="H93" i="33"/>
  <c r="H95" i="33"/>
  <c r="D95" i="33"/>
  <c r="D96" i="33"/>
  <c r="G94" i="33"/>
  <c r="E96" i="33"/>
  <c r="F97" i="33"/>
  <c r="F94" i="33"/>
  <c r="G93" i="33"/>
  <c r="G95" i="33"/>
  <c r="C97" i="33"/>
  <c r="H94" i="33"/>
  <c r="C95" i="33"/>
  <c r="F92" i="33"/>
  <c r="H96" i="33"/>
  <c r="E95" i="33"/>
  <c r="E93" i="33"/>
  <c r="D92" i="33"/>
  <c r="C93" i="33"/>
  <c r="C96" i="33"/>
  <c r="G92" i="33"/>
  <c r="C94" i="33"/>
  <c r="H92" i="33"/>
  <c r="E92" i="33"/>
  <c r="F93" i="33"/>
  <c r="C93" i="31"/>
  <c r="H93" i="31"/>
  <c r="G95" i="31"/>
  <c r="F96" i="31"/>
  <c r="F94" i="31"/>
  <c r="F97" i="31"/>
  <c r="D96" i="31"/>
  <c r="H94" i="31"/>
  <c r="E97" i="31"/>
  <c r="H96" i="31"/>
  <c r="G94" i="31"/>
  <c r="D97" i="31"/>
  <c r="E95" i="31"/>
  <c r="G93" i="31"/>
  <c r="H95" i="31"/>
  <c r="G97" i="31"/>
  <c r="C97" i="31"/>
  <c r="E93" i="31"/>
  <c r="D95" i="31"/>
  <c r="E96" i="31"/>
  <c r="E92" i="31"/>
  <c r="G92" i="31"/>
  <c r="H92" i="31"/>
  <c r="D92" i="31"/>
  <c r="F93" i="31"/>
  <c r="F92" i="31"/>
  <c r="C95" i="31"/>
  <c r="C96" i="31"/>
  <c r="C94" i="31"/>
  <c r="O5" i="3"/>
  <c r="H61" i="13"/>
  <c r="I57" i="13"/>
  <c r="I60" i="13"/>
  <c r="I58" i="13"/>
  <c r="F61" i="13"/>
  <c r="I37" i="17"/>
  <c r="I56" i="13"/>
  <c r="H82" i="13"/>
  <c r="H102" i="13" s="1"/>
  <c r="G61" i="13"/>
  <c r="E61" i="13"/>
  <c r="G39" i="17"/>
  <c r="H39" i="17"/>
  <c r="D86" i="13"/>
  <c r="D106" i="13" s="1"/>
  <c r="C83" i="13"/>
  <c r="C103" i="13" s="1"/>
  <c r="I38" i="17"/>
  <c r="F15" i="20"/>
  <c r="N15" i="20" s="1"/>
  <c r="N25" i="20" s="1"/>
  <c r="C84" i="13"/>
  <c r="C104" i="13" s="1"/>
  <c r="D87" i="13"/>
  <c r="D107" i="13" s="1"/>
  <c r="E85" i="13"/>
  <c r="E105" i="13" s="1"/>
  <c r="I49" i="13"/>
  <c r="H50" i="13"/>
  <c r="C85" i="13"/>
  <c r="C105" i="13" s="1"/>
  <c r="F83" i="13"/>
  <c r="D85" i="13"/>
  <c r="D105" i="13" s="1"/>
  <c r="D72" i="13"/>
  <c r="H83" i="13"/>
  <c r="H103" i="13" s="1"/>
  <c r="G83" i="13"/>
  <c r="G103" i="13" s="1"/>
  <c r="D15" i="20"/>
  <c r="L15" i="20" s="1"/>
  <c r="L25" i="20" s="1"/>
  <c r="H84" i="13"/>
  <c r="H104" i="13" s="1"/>
  <c r="I71" i="13"/>
  <c r="F84" i="13"/>
  <c r="G87" i="13"/>
  <c r="I67" i="13"/>
  <c r="E87" i="13"/>
  <c r="E107" i="13" s="1"/>
  <c r="G84" i="13"/>
  <c r="G104" i="13" s="1"/>
  <c r="F72" i="13"/>
  <c r="H17" i="20"/>
  <c r="P17" i="20" s="1"/>
  <c r="P27" i="20" s="1"/>
  <c r="F86" i="13"/>
  <c r="F106" i="13" s="1"/>
  <c r="I47" i="13"/>
  <c r="I45" i="13"/>
  <c r="I46" i="13"/>
  <c r="H86" i="13"/>
  <c r="C50" i="13"/>
  <c r="I68" i="13"/>
  <c r="F87" i="13"/>
  <c r="F107" i="13" s="1"/>
  <c r="D50" i="13"/>
  <c r="E83" i="13"/>
  <c r="G85" i="13"/>
  <c r="E82" i="13"/>
  <c r="E102" i="13" s="1"/>
  <c r="I44" i="13"/>
  <c r="C87" i="13"/>
  <c r="C107" i="13" s="1"/>
  <c r="E15" i="20"/>
  <c r="M15" i="20" s="1"/>
  <c r="M25" i="20" s="1"/>
  <c r="E16" i="19"/>
  <c r="D82" i="13"/>
  <c r="D102" i="13" s="1"/>
  <c r="I69" i="13"/>
  <c r="E72" i="13"/>
  <c r="H72" i="13"/>
  <c r="E25" i="16"/>
  <c r="L75" i="16" s="1"/>
  <c r="E16" i="20"/>
  <c r="M16" i="20" s="1"/>
  <c r="M26" i="20" s="1"/>
  <c r="E17" i="19"/>
  <c r="G72" i="13"/>
  <c r="F17" i="20"/>
  <c r="N17" i="20" s="1"/>
  <c r="N27" i="20" s="1"/>
  <c r="F16" i="20"/>
  <c r="N16" i="20" s="1"/>
  <c r="N26" i="20" s="1"/>
  <c r="I70" i="13"/>
  <c r="F138" i="22"/>
  <c r="L145" i="22" s="1"/>
  <c r="F62" i="22"/>
  <c r="L166" i="22"/>
  <c r="N164" i="22"/>
  <c r="L162" i="22"/>
  <c r="N166" i="22"/>
  <c r="M166" i="22"/>
  <c r="L164" i="22"/>
  <c r="O165" i="22"/>
  <c r="Q163" i="22"/>
  <c r="N165" i="22"/>
  <c r="P163" i="22"/>
  <c r="L165" i="22"/>
  <c r="M161" i="22"/>
  <c r="M165" i="22"/>
  <c r="M164" i="22"/>
  <c r="O166" i="22"/>
  <c r="L163" i="22"/>
  <c r="F43" i="22"/>
  <c r="I53" i="22"/>
  <c r="I186" i="22"/>
  <c r="I129" i="22"/>
  <c r="L127" i="22" s="1"/>
  <c r="F176" i="22"/>
  <c r="N180" i="22" s="1"/>
  <c r="Q162" i="22"/>
  <c r="N161" i="22"/>
  <c r="P162" i="22"/>
  <c r="P161" i="22"/>
  <c r="Q161" i="22"/>
  <c r="D199" i="22" s="1"/>
  <c r="I91" i="22"/>
  <c r="I110" i="22"/>
  <c r="I72" i="22"/>
  <c r="H86" i="11"/>
  <c r="H37" i="12"/>
  <c r="F118" i="15"/>
  <c r="F157" i="15"/>
  <c r="F176" i="15"/>
  <c r="O117" i="16"/>
  <c r="N117" i="16"/>
  <c r="N115" i="16"/>
  <c r="O116" i="16"/>
  <c r="N116" i="16"/>
  <c r="M82" i="16"/>
  <c r="L73" i="16"/>
  <c r="N72" i="16"/>
  <c r="M72" i="16"/>
  <c r="Q53" i="16"/>
  <c r="N55" i="16"/>
  <c r="M55" i="16"/>
  <c r="Q54" i="16"/>
  <c r="Q52" i="16"/>
  <c r="N52" i="16"/>
  <c r="M52" i="16"/>
  <c r="F148" i="15"/>
  <c r="O142" i="15"/>
  <c r="O191" i="15" s="1"/>
  <c r="F6" i="37" s="1"/>
  <c r="F15" i="37" s="1"/>
  <c r="I127" i="15"/>
  <c r="L142" i="15"/>
  <c r="L191" i="15" s="1"/>
  <c r="C148" i="15"/>
  <c r="I142" i="15"/>
  <c r="I148" i="15" s="1"/>
  <c r="I124" i="15"/>
  <c r="C129" i="15"/>
  <c r="I125" i="15"/>
  <c r="E148" i="15"/>
  <c r="F138" i="15"/>
  <c r="D148" i="15"/>
  <c r="F100" i="15"/>
  <c r="M106" i="15"/>
  <c r="M193" i="15" s="1"/>
  <c r="D8" i="37" s="1"/>
  <c r="D17" i="37" s="1"/>
  <c r="F81" i="15"/>
  <c r="E70" i="15"/>
  <c r="E89" i="15"/>
  <c r="C70" i="15"/>
  <c r="C72" i="15" s="1"/>
  <c r="C108" i="15"/>
  <c r="C89" i="15"/>
  <c r="D109" i="15"/>
  <c r="D90" i="15"/>
  <c r="D91" i="15" s="1"/>
  <c r="I88" i="15"/>
  <c r="I107" i="15"/>
  <c r="F61" i="15"/>
  <c r="H52" i="15"/>
  <c r="H53" i="15" s="1"/>
  <c r="H71" i="15"/>
  <c r="F52" i="15"/>
  <c r="F53" i="15" s="1"/>
  <c r="F71" i="15"/>
  <c r="D52" i="15"/>
  <c r="D53" i="15" s="1"/>
  <c r="D71" i="15"/>
  <c r="G91" i="15"/>
  <c r="E52" i="15"/>
  <c r="E53" i="15" s="1"/>
  <c r="E71" i="15"/>
  <c r="F59" i="15"/>
  <c r="G72" i="15"/>
  <c r="I50" i="15"/>
  <c r="P50" i="15"/>
  <c r="P194" i="15" s="1"/>
  <c r="G9" i="37" s="1"/>
  <c r="G18" i="37" s="1"/>
  <c r="I51" i="15"/>
  <c r="P51" i="15"/>
  <c r="P195" i="15" s="1"/>
  <c r="G10" i="37" s="1"/>
  <c r="G19" i="37" s="1"/>
  <c r="I49" i="15"/>
  <c r="G48" i="15"/>
  <c r="G52" i="15"/>
  <c r="P52" i="15" s="1"/>
  <c r="P196" i="15" s="1"/>
  <c r="G11" i="37" s="1"/>
  <c r="G20" i="37" s="1"/>
  <c r="O8" i="3"/>
  <c r="O6" i="3"/>
  <c r="O4" i="3"/>
  <c r="O2" i="3"/>
  <c r="O7" i="3"/>
  <c r="O3" i="3"/>
  <c r="N9" i="3"/>
  <c r="H35" i="15"/>
  <c r="I59" i="13"/>
  <c r="E86" i="13"/>
  <c r="E106" i="13" s="1"/>
  <c r="I66" i="13"/>
  <c r="C72" i="13"/>
  <c r="D61" i="13"/>
  <c r="E50" i="13"/>
  <c r="C61" i="13"/>
  <c r="G82" i="13"/>
  <c r="G50" i="13"/>
  <c r="F50" i="13"/>
  <c r="F82" i="13"/>
  <c r="D84" i="13"/>
  <c r="I55" i="13"/>
  <c r="I48" i="13"/>
  <c r="C86" i="13"/>
  <c r="G21" i="10"/>
  <c r="G57" i="10" s="1"/>
  <c r="C58" i="10"/>
  <c r="E25" i="10"/>
  <c r="E39" i="10" s="1"/>
  <c r="E17" i="10"/>
  <c r="G55" i="4"/>
  <c r="F39" i="10"/>
  <c r="F50" i="10"/>
  <c r="I15" i="10"/>
  <c r="I12" i="10"/>
  <c r="C47" i="10"/>
  <c r="H17" i="10"/>
  <c r="G17" i="10"/>
  <c r="D17" i="10"/>
  <c r="F46" i="10"/>
  <c r="C74" i="17"/>
  <c r="C95" i="17" s="1"/>
  <c r="C77" i="17"/>
  <c r="C98" i="17" s="1"/>
  <c r="E73" i="17"/>
  <c r="E94" i="17" s="1"/>
  <c r="G33" i="4"/>
  <c r="F73" i="17"/>
  <c r="E45" i="10"/>
  <c r="D59" i="10"/>
  <c r="F35" i="10"/>
  <c r="E56" i="10"/>
  <c r="H56" i="11"/>
  <c r="H83" i="11" s="1"/>
  <c r="F59" i="11"/>
  <c r="D59" i="11"/>
  <c r="D86" i="11" s="1"/>
  <c r="D106" i="11" s="1"/>
  <c r="E60" i="11"/>
  <c r="E56" i="11"/>
  <c r="E58" i="11"/>
  <c r="E85" i="11" s="1"/>
  <c r="E105" i="11" s="1"/>
  <c r="C60" i="11"/>
  <c r="C87" i="11" s="1"/>
  <c r="C107" i="11" s="1"/>
  <c r="G60" i="11"/>
  <c r="F57" i="11"/>
  <c r="F84" i="11" s="1"/>
  <c r="F60" i="11"/>
  <c r="H55" i="11"/>
  <c r="H82" i="11" s="1"/>
  <c r="H102" i="11" s="1"/>
  <c r="G57" i="11"/>
  <c r="C58" i="11"/>
  <c r="C85" i="11" s="1"/>
  <c r="C105" i="11" s="1"/>
  <c r="E59" i="11"/>
  <c r="D57" i="11"/>
  <c r="C57" i="11"/>
  <c r="C84" i="11" s="1"/>
  <c r="C104" i="11" s="1"/>
  <c r="H58" i="11"/>
  <c r="H85" i="11" s="1"/>
  <c r="D58" i="11"/>
  <c r="D85" i="11" s="1"/>
  <c r="D105" i="11" s="1"/>
  <c r="C57" i="12"/>
  <c r="C84" i="12" s="1"/>
  <c r="H55" i="12"/>
  <c r="H82" i="12" s="1"/>
  <c r="H102" i="12" s="1"/>
  <c r="G60" i="12"/>
  <c r="F59" i="12"/>
  <c r="H57" i="12"/>
  <c r="G55" i="12"/>
  <c r="G82" i="12" s="1"/>
  <c r="G102" i="12" s="1"/>
  <c r="D58" i="12"/>
  <c r="D85" i="12" s="1"/>
  <c r="D105" i="12" s="1"/>
  <c r="F56" i="12"/>
  <c r="G55" i="11"/>
  <c r="G82" i="11" s="1"/>
  <c r="D60" i="12"/>
  <c r="H83" i="12"/>
  <c r="H103" i="12" s="1"/>
  <c r="D59" i="12"/>
  <c r="D86" i="12" s="1"/>
  <c r="D106" i="12" s="1"/>
  <c r="C58" i="12"/>
  <c r="C85" i="12" s="1"/>
  <c r="C105" i="12" s="1"/>
  <c r="H59" i="12"/>
  <c r="H86" i="12" s="1"/>
  <c r="F57" i="12"/>
  <c r="F84" i="12" s="1"/>
  <c r="G57" i="12"/>
  <c r="E59" i="12"/>
  <c r="H58" i="12"/>
  <c r="H85" i="12" s="1"/>
  <c r="E58" i="12"/>
  <c r="E85" i="12" s="1"/>
  <c r="E105" i="12" s="1"/>
  <c r="G26" i="4"/>
  <c r="H17" i="4"/>
  <c r="I22" i="4"/>
  <c r="I16" i="4"/>
  <c r="F45" i="10"/>
  <c r="C17" i="4"/>
  <c r="I11" i="4"/>
  <c r="E49" i="12"/>
  <c r="E71" i="12"/>
  <c r="G57" i="4"/>
  <c r="G35" i="4"/>
  <c r="G46" i="4"/>
  <c r="G58" i="4"/>
  <c r="G36" i="4"/>
  <c r="G47" i="4"/>
  <c r="I13" i="10"/>
  <c r="D22" i="10"/>
  <c r="F61" i="10"/>
  <c r="D35" i="15"/>
  <c r="G68" i="12"/>
  <c r="G46" i="12"/>
  <c r="G17" i="4"/>
  <c r="I25" i="12"/>
  <c r="AB7" i="1"/>
  <c r="T4" i="1"/>
  <c r="X4" i="1" s="1"/>
  <c r="F28" i="11"/>
  <c r="I33" i="11"/>
  <c r="H28" i="11"/>
  <c r="F45" i="4"/>
  <c r="F34" i="4"/>
  <c r="F56" i="4"/>
  <c r="E35" i="15"/>
  <c r="G56" i="10"/>
  <c r="I31" i="15"/>
  <c r="G23" i="10"/>
  <c r="C71" i="12"/>
  <c r="G45" i="10"/>
  <c r="G28" i="12"/>
  <c r="I27" i="12"/>
  <c r="T9" i="1"/>
  <c r="Q36" i="1"/>
  <c r="AB9" i="1" s="1"/>
  <c r="AB3" i="1"/>
  <c r="I26" i="11"/>
  <c r="F35" i="15"/>
  <c r="I13" i="4"/>
  <c r="H57" i="4"/>
  <c r="H61" i="4" s="1"/>
  <c r="H46" i="4"/>
  <c r="H50" i="4" s="1"/>
  <c r="H35" i="4"/>
  <c r="D68" i="11"/>
  <c r="D46" i="11"/>
  <c r="H28" i="12"/>
  <c r="H26" i="4"/>
  <c r="V9" i="1"/>
  <c r="W16" i="1"/>
  <c r="W22" i="1" s="1"/>
  <c r="T22" i="1"/>
  <c r="C60" i="12"/>
  <c r="C45" i="4"/>
  <c r="F71" i="12"/>
  <c r="F60" i="12"/>
  <c r="F49" i="12"/>
  <c r="X11" i="1"/>
  <c r="E70" i="11"/>
  <c r="E48" i="11"/>
  <c r="I34" i="15"/>
  <c r="I32" i="15"/>
  <c r="F17" i="4"/>
  <c r="F20" i="4"/>
  <c r="H46" i="12"/>
  <c r="H68" i="12"/>
  <c r="H72" i="12" s="1"/>
  <c r="F70" i="11"/>
  <c r="F48" i="11"/>
  <c r="I24" i="11"/>
  <c r="D20" i="10"/>
  <c r="X3" i="1"/>
  <c r="E67" i="12"/>
  <c r="E45" i="12"/>
  <c r="F67" i="11"/>
  <c r="F45" i="11"/>
  <c r="I33" i="15"/>
  <c r="I36" i="12"/>
  <c r="F56" i="11"/>
  <c r="C34" i="4"/>
  <c r="F60" i="4"/>
  <c r="F49" i="4"/>
  <c r="F38" i="4"/>
  <c r="G35" i="15"/>
  <c r="E49" i="4"/>
  <c r="E60" i="4"/>
  <c r="E38" i="4"/>
  <c r="E48" i="4"/>
  <c r="E59" i="4"/>
  <c r="E37" i="4"/>
  <c r="I27" i="11"/>
  <c r="I25" i="11"/>
  <c r="I30" i="15"/>
  <c r="I14" i="4"/>
  <c r="AC17" i="1"/>
  <c r="Q45" i="1"/>
  <c r="D28" i="11"/>
  <c r="I22" i="12"/>
  <c r="C28" i="12"/>
  <c r="I23" i="11"/>
  <c r="F28" i="12"/>
  <c r="G49" i="12"/>
  <c r="G71" i="12"/>
  <c r="AC13" i="1"/>
  <c r="AE12" i="1"/>
  <c r="E56" i="12"/>
  <c r="E60" i="12"/>
  <c r="H47" i="10"/>
  <c r="E46" i="10"/>
  <c r="I21" i="4"/>
  <c r="D71" i="12"/>
  <c r="D49" i="12"/>
  <c r="I11" i="10"/>
  <c r="C17" i="10"/>
  <c r="F17" i="10"/>
  <c r="F59" i="4"/>
  <c r="F48" i="4"/>
  <c r="F37" i="4"/>
  <c r="E17" i="4"/>
  <c r="E20" i="4"/>
  <c r="G60" i="4"/>
  <c r="G38" i="4"/>
  <c r="G49" i="4"/>
  <c r="E28" i="12"/>
  <c r="C58" i="4"/>
  <c r="I23" i="4"/>
  <c r="C47" i="4"/>
  <c r="C36" i="4"/>
  <c r="H58" i="10"/>
  <c r="E57" i="10"/>
  <c r="G28" i="11"/>
  <c r="D17" i="4"/>
  <c r="D20" i="4"/>
  <c r="X12" i="1"/>
  <c r="E67" i="11"/>
  <c r="E45" i="11"/>
  <c r="C35" i="15"/>
  <c r="I29" i="15"/>
  <c r="I12" i="4"/>
  <c r="F70" i="12"/>
  <c r="F48" i="12"/>
  <c r="E28" i="11"/>
  <c r="I24" i="12"/>
  <c r="E70" i="12"/>
  <c r="E48" i="12"/>
  <c r="G22" i="10"/>
  <c r="G36" i="10" s="1"/>
  <c r="C57" i="10"/>
  <c r="F49" i="11"/>
  <c r="F71" i="11"/>
  <c r="E71" i="11"/>
  <c r="E49" i="11"/>
  <c r="D49" i="4"/>
  <c r="D38" i="4"/>
  <c r="D60" i="4"/>
  <c r="C28" i="11"/>
  <c r="I22" i="11"/>
  <c r="I15" i="4"/>
  <c r="C24" i="4"/>
  <c r="C26" i="4" s="1"/>
  <c r="I23" i="12"/>
  <c r="F67" i="12"/>
  <c r="F45" i="12"/>
  <c r="I25" i="4"/>
  <c r="G45" i="4"/>
  <c r="G56" i="4"/>
  <c r="G34" i="4"/>
  <c r="D28" i="12"/>
  <c r="G68" i="11"/>
  <c r="G46" i="11"/>
  <c r="E56" i="4"/>
  <c r="E34" i="4"/>
  <c r="E45" i="4"/>
  <c r="I16" i="10"/>
  <c r="C24" i="10"/>
  <c r="I26" i="12"/>
  <c r="X7" i="1"/>
  <c r="D46" i="4"/>
  <c r="D35" i="4"/>
  <c r="D57" i="4"/>
  <c r="G71" i="11"/>
  <c r="G49" i="11"/>
  <c r="E61" i="10"/>
  <c r="H59" i="10"/>
  <c r="H48" i="10"/>
  <c r="E50" i="10"/>
  <c r="F74" i="10"/>
  <c r="H26" i="10"/>
  <c r="C61" i="10"/>
  <c r="C50" i="10"/>
  <c r="H34" i="10"/>
  <c r="H56" i="10"/>
  <c r="E75" i="10"/>
  <c r="E96" i="10" s="1"/>
  <c r="G37" i="10"/>
  <c r="G48" i="10"/>
  <c r="G59" i="10"/>
  <c r="G46" i="10"/>
  <c r="D49" i="10"/>
  <c r="D60" i="10"/>
  <c r="F43" i="15"/>
  <c r="D38" i="10"/>
  <c r="Q161" i="35" l="1"/>
  <c r="P160" i="35"/>
  <c r="H76" i="10"/>
  <c r="N90" i="34"/>
  <c r="G75" i="29"/>
  <c r="G96" i="29" s="1"/>
  <c r="D75" i="4"/>
  <c r="G74" i="4"/>
  <c r="D78" i="4"/>
  <c r="G75" i="4"/>
  <c r="N107" i="35"/>
  <c r="N89" i="34"/>
  <c r="E77" i="4"/>
  <c r="E98" i="4" s="1"/>
  <c r="F74" i="4"/>
  <c r="G73" i="4"/>
  <c r="G94" i="4" s="1"/>
  <c r="P161" i="35"/>
  <c r="F77" i="4"/>
  <c r="H75" i="4"/>
  <c r="C76" i="4"/>
  <c r="C74" i="4"/>
  <c r="C74" i="27"/>
  <c r="H77" i="29"/>
  <c r="E78" i="17"/>
  <c r="E99" i="17" s="1"/>
  <c r="E77" i="17"/>
  <c r="E98" i="17" s="1"/>
  <c r="E78" i="29"/>
  <c r="E99" i="29" s="1"/>
  <c r="E78" i="4"/>
  <c r="E74" i="4"/>
  <c r="G78" i="4"/>
  <c r="G76" i="4"/>
  <c r="C74" i="30"/>
  <c r="F78" i="4"/>
  <c r="F77" i="29"/>
  <c r="F98" i="29" s="1"/>
  <c r="F75" i="29"/>
  <c r="G78" i="29"/>
  <c r="G76" i="29"/>
  <c r="E77" i="29"/>
  <c r="E98" i="29" s="1"/>
  <c r="H76" i="29"/>
  <c r="D78" i="17"/>
  <c r="D99" i="17" s="1"/>
  <c r="D77" i="17"/>
  <c r="D98" i="17" s="1"/>
  <c r="F77" i="17"/>
  <c r="F98" i="17" s="1"/>
  <c r="H77" i="17"/>
  <c r="G78" i="17"/>
  <c r="F78" i="17"/>
  <c r="F99" i="17" s="1"/>
  <c r="D73" i="17"/>
  <c r="D94" i="17" s="1"/>
  <c r="E58" i="17"/>
  <c r="E76" i="17" s="1"/>
  <c r="E97" i="17" s="1"/>
  <c r="F56" i="17"/>
  <c r="F74" i="17" s="1"/>
  <c r="D58" i="17"/>
  <c r="D76" i="17" s="1"/>
  <c r="D97" i="17" s="1"/>
  <c r="G56" i="17"/>
  <c r="H58" i="17"/>
  <c r="H76" i="17" s="1"/>
  <c r="D57" i="17"/>
  <c r="H56" i="17"/>
  <c r="H74" i="17" s="1"/>
  <c r="H95" i="17" s="1"/>
  <c r="G57" i="17"/>
  <c r="G75" i="17" s="1"/>
  <c r="G96" i="17" s="1"/>
  <c r="G58" i="17"/>
  <c r="G76" i="17" s="1"/>
  <c r="E56" i="17"/>
  <c r="E74" i="17" s="1"/>
  <c r="H57" i="17"/>
  <c r="H75" i="17" s="1"/>
  <c r="H96" i="17" s="1"/>
  <c r="F57" i="17"/>
  <c r="F75" i="17" s="1"/>
  <c r="H73" i="28"/>
  <c r="H94" i="28" s="1"/>
  <c r="F73" i="28"/>
  <c r="H95" i="27"/>
  <c r="M89" i="34"/>
  <c r="M90" i="34"/>
  <c r="H75" i="28"/>
  <c r="H62" i="28"/>
  <c r="C6" i="19"/>
  <c r="C15" i="19" s="1"/>
  <c r="C6" i="37"/>
  <c r="C15" i="37" s="1"/>
  <c r="G74" i="28"/>
  <c r="G95" i="28" s="1"/>
  <c r="H95" i="30"/>
  <c r="H76" i="28"/>
  <c r="L105" i="35"/>
  <c r="D195" i="35" s="1"/>
  <c r="N160" i="35"/>
  <c r="M107" i="35"/>
  <c r="Q160" i="35"/>
  <c r="D198" i="35" s="1"/>
  <c r="N108" i="35"/>
  <c r="P66" i="35"/>
  <c r="D50" i="10"/>
  <c r="D61" i="10"/>
  <c r="D39" i="10"/>
  <c r="E26" i="10"/>
  <c r="E60" i="10"/>
  <c r="E49" i="10"/>
  <c r="E51" i="10" s="1"/>
  <c r="E38" i="10"/>
  <c r="F60" i="10"/>
  <c r="F62" i="10" s="1"/>
  <c r="F38" i="10"/>
  <c r="F40" i="10" s="1"/>
  <c r="G39" i="10"/>
  <c r="I39" i="10" s="1"/>
  <c r="G50" i="10"/>
  <c r="G61" i="10"/>
  <c r="I34" i="28"/>
  <c r="D72" i="28"/>
  <c r="C39" i="10"/>
  <c r="F56" i="10"/>
  <c r="H74" i="28"/>
  <c r="G50" i="38"/>
  <c r="G51" i="38" s="1"/>
  <c r="G39" i="38"/>
  <c r="G40" i="38" s="1"/>
  <c r="G61" i="38"/>
  <c r="G62" i="38" s="1"/>
  <c r="H76" i="38"/>
  <c r="G72" i="28"/>
  <c r="I56" i="28"/>
  <c r="C46" i="28"/>
  <c r="C57" i="28"/>
  <c r="C35" i="28"/>
  <c r="C26" i="28"/>
  <c r="I21" i="28"/>
  <c r="D48" i="38"/>
  <c r="D37" i="38"/>
  <c r="D59" i="38"/>
  <c r="E72" i="28"/>
  <c r="F38" i="28"/>
  <c r="F60" i="28"/>
  <c r="F49" i="28"/>
  <c r="C50" i="28"/>
  <c r="I25" i="28"/>
  <c r="C61" i="28"/>
  <c r="C39" i="28"/>
  <c r="C59" i="28"/>
  <c r="C37" i="28"/>
  <c r="I23" i="28"/>
  <c r="C48" i="28"/>
  <c r="C26" i="38"/>
  <c r="C46" i="38"/>
  <c r="I21" i="38"/>
  <c r="C35" i="38"/>
  <c r="C57" i="38"/>
  <c r="H75" i="38"/>
  <c r="F49" i="38"/>
  <c r="F38" i="38"/>
  <c r="F60" i="38"/>
  <c r="I25" i="38"/>
  <c r="C50" i="38"/>
  <c r="C39" i="38"/>
  <c r="C61" i="38"/>
  <c r="C48" i="38"/>
  <c r="I23" i="38"/>
  <c r="C37" i="38"/>
  <c r="C59" i="38"/>
  <c r="G73" i="38"/>
  <c r="I45" i="28"/>
  <c r="D49" i="28"/>
  <c r="D60" i="28"/>
  <c r="D38" i="28"/>
  <c r="E50" i="38"/>
  <c r="E39" i="38"/>
  <c r="E61" i="38"/>
  <c r="G26" i="38"/>
  <c r="I26" i="38"/>
  <c r="G75" i="38"/>
  <c r="E72" i="38"/>
  <c r="F26" i="28"/>
  <c r="I24" i="28"/>
  <c r="C49" i="28"/>
  <c r="C60" i="28"/>
  <c r="C38" i="28"/>
  <c r="I34" i="38"/>
  <c r="D72" i="38"/>
  <c r="I22" i="28"/>
  <c r="C47" i="28"/>
  <c r="I47" i="28" s="1"/>
  <c r="C58" i="28"/>
  <c r="I58" i="28" s="1"/>
  <c r="C36" i="28"/>
  <c r="G75" i="28"/>
  <c r="G74" i="38"/>
  <c r="D74" i="28"/>
  <c r="G35" i="10"/>
  <c r="I24" i="38"/>
  <c r="C49" i="38"/>
  <c r="C38" i="38"/>
  <c r="C60" i="38"/>
  <c r="D26" i="38"/>
  <c r="I22" i="38"/>
  <c r="C47" i="38"/>
  <c r="I47" i="38" s="1"/>
  <c r="C36" i="38"/>
  <c r="I36" i="38" s="1"/>
  <c r="C58" i="38"/>
  <c r="C50" i="30"/>
  <c r="I45" i="30"/>
  <c r="I50" i="30" s="1"/>
  <c r="F72" i="28"/>
  <c r="E50" i="28"/>
  <c r="E39" i="28"/>
  <c r="E61" i="28"/>
  <c r="I26" i="28"/>
  <c r="D49" i="38"/>
  <c r="D38" i="38"/>
  <c r="D60" i="38"/>
  <c r="E49" i="28"/>
  <c r="E60" i="28"/>
  <c r="E38" i="28"/>
  <c r="H73" i="38"/>
  <c r="D61" i="28"/>
  <c r="D39" i="28"/>
  <c r="D50" i="28"/>
  <c r="G73" i="28"/>
  <c r="I45" i="38"/>
  <c r="C50" i="27"/>
  <c r="I45" i="27"/>
  <c r="I50" i="27" s="1"/>
  <c r="C39" i="30"/>
  <c r="I34" i="30"/>
  <c r="I39" i="30" s="1"/>
  <c r="C59" i="10"/>
  <c r="I59" i="10" s="1"/>
  <c r="C37" i="10"/>
  <c r="G72" i="38"/>
  <c r="I56" i="38"/>
  <c r="C48" i="10"/>
  <c r="E49" i="38"/>
  <c r="E38" i="38"/>
  <c r="E60" i="38"/>
  <c r="D50" i="38"/>
  <c r="D39" i="38"/>
  <c r="D61" i="38"/>
  <c r="F73" i="38"/>
  <c r="E75" i="38"/>
  <c r="C61" i="30"/>
  <c r="I56" i="30"/>
  <c r="I61" i="30" s="1"/>
  <c r="F39" i="28"/>
  <c r="F50" i="28"/>
  <c r="F61" i="28"/>
  <c r="H72" i="28"/>
  <c r="H40" i="28"/>
  <c r="F50" i="38"/>
  <c r="F39" i="38"/>
  <c r="F61" i="38"/>
  <c r="H62" i="38"/>
  <c r="D37" i="10"/>
  <c r="F72" i="38"/>
  <c r="H40" i="38"/>
  <c r="H72" i="38"/>
  <c r="D74" i="38"/>
  <c r="H51" i="28"/>
  <c r="H74" i="38"/>
  <c r="C39" i="27"/>
  <c r="I34" i="27"/>
  <c r="I39" i="27" s="1"/>
  <c r="E75" i="28"/>
  <c r="H51" i="38"/>
  <c r="G39" i="28"/>
  <c r="G40" i="28" s="1"/>
  <c r="G50" i="28"/>
  <c r="G51" i="28" s="1"/>
  <c r="G61" i="28"/>
  <c r="G62" i="28" s="1"/>
  <c r="I56" i="27"/>
  <c r="I61" i="27" s="1"/>
  <c r="C61" i="27"/>
  <c r="D59" i="28"/>
  <c r="D37" i="28"/>
  <c r="D48" i="28"/>
  <c r="M88" i="34"/>
  <c r="L88" i="34"/>
  <c r="L125" i="34"/>
  <c r="L90" i="34"/>
  <c r="L107" i="34"/>
  <c r="M108" i="34"/>
  <c r="L89" i="34"/>
  <c r="H95" i="4"/>
  <c r="O89" i="35"/>
  <c r="N87" i="35"/>
  <c r="N193" i="35" s="1"/>
  <c r="M123" i="36"/>
  <c r="N142" i="34"/>
  <c r="L106" i="34"/>
  <c r="P180" i="35"/>
  <c r="M107" i="34"/>
  <c r="Q179" i="35"/>
  <c r="D199" i="35" s="1"/>
  <c r="M87" i="35"/>
  <c r="G96" i="30"/>
  <c r="M89" i="35"/>
  <c r="N179" i="35"/>
  <c r="L109" i="34"/>
  <c r="H23" i="23"/>
  <c r="M40" i="23" s="1"/>
  <c r="G23" i="23"/>
  <c r="K40" i="23" s="1"/>
  <c r="M88" i="35"/>
  <c r="P179" i="35"/>
  <c r="G22" i="23"/>
  <c r="K42" i="23" s="1"/>
  <c r="H22" i="23"/>
  <c r="M42" i="23" s="1"/>
  <c r="L89" i="35"/>
  <c r="N89" i="35"/>
  <c r="Q180" i="35"/>
  <c r="L87" i="35"/>
  <c r="D194" i="35" s="1"/>
  <c r="L88" i="35"/>
  <c r="P181" i="35"/>
  <c r="Q142" i="34"/>
  <c r="P142" i="34"/>
  <c r="L108" i="34"/>
  <c r="N161" i="34"/>
  <c r="Q161" i="34"/>
  <c r="L127" i="34"/>
  <c r="P162" i="34"/>
  <c r="L126" i="34"/>
  <c r="Q162" i="34"/>
  <c r="L128" i="34"/>
  <c r="Q124" i="36"/>
  <c r="N123" i="36"/>
  <c r="L126" i="36"/>
  <c r="L125" i="36"/>
  <c r="P123" i="36"/>
  <c r="Q125" i="36"/>
  <c r="O128" i="36"/>
  <c r="M108" i="35"/>
  <c r="O88" i="35"/>
  <c r="L108" i="35"/>
  <c r="P47" i="35"/>
  <c r="L69" i="35"/>
  <c r="D193" i="35" s="1"/>
  <c r="L51" i="35"/>
  <c r="D192" i="35" s="1"/>
  <c r="M70" i="35"/>
  <c r="P67" i="35"/>
  <c r="O70" i="35"/>
  <c r="N70" i="35"/>
  <c r="M69" i="35"/>
  <c r="L70" i="35"/>
  <c r="N69" i="35"/>
  <c r="O69" i="35"/>
  <c r="O194" i="35" s="1"/>
  <c r="O51" i="35"/>
  <c r="C202" i="35"/>
  <c r="F24" i="23" s="1"/>
  <c r="I41" i="23" s="1"/>
  <c r="P48" i="35"/>
  <c r="P46" i="35"/>
  <c r="Q47" i="35"/>
  <c r="Q48" i="35"/>
  <c r="Q192" i="35" s="1"/>
  <c r="N51" i="35"/>
  <c r="Q46" i="35"/>
  <c r="N128" i="36"/>
  <c r="O127" i="36"/>
  <c r="P181" i="34"/>
  <c r="P180" i="34"/>
  <c r="Q180" i="34"/>
  <c r="Q181" i="34"/>
  <c r="P182" i="34"/>
  <c r="Q182" i="34"/>
  <c r="Q193" i="34" s="1"/>
  <c r="N71" i="34"/>
  <c r="N70" i="34"/>
  <c r="O70" i="34"/>
  <c r="O195" i="34" s="1"/>
  <c r="M70" i="34"/>
  <c r="L70" i="34"/>
  <c r="O71" i="34"/>
  <c r="L71" i="34"/>
  <c r="M71" i="34"/>
  <c r="N127" i="36"/>
  <c r="L127" i="35"/>
  <c r="M125" i="35"/>
  <c r="M127" i="35"/>
  <c r="L123" i="35"/>
  <c r="L125" i="35"/>
  <c r="L126" i="35"/>
  <c r="L124" i="35"/>
  <c r="M126" i="35"/>
  <c r="F99" i="30"/>
  <c r="F98" i="32"/>
  <c r="L127" i="36"/>
  <c r="P125" i="36"/>
  <c r="L56" i="16"/>
  <c r="C199" i="34"/>
  <c r="F26" i="23" s="1"/>
  <c r="I37" i="23" s="1"/>
  <c r="N52" i="34"/>
  <c r="M52" i="34"/>
  <c r="P49" i="34"/>
  <c r="O52" i="34"/>
  <c r="P48" i="34"/>
  <c r="P47" i="34"/>
  <c r="L52" i="34"/>
  <c r="N126" i="36"/>
  <c r="D122" i="36"/>
  <c r="L128" i="36"/>
  <c r="L144" i="35"/>
  <c r="L142" i="35"/>
  <c r="D197" i="35" s="1"/>
  <c r="P141" i="35"/>
  <c r="N141" i="35"/>
  <c r="Q141" i="35"/>
  <c r="L146" i="35"/>
  <c r="M141" i="35"/>
  <c r="M190" i="35" s="1"/>
  <c r="L145" i="35"/>
  <c r="L143" i="35"/>
  <c r="Q123" i="36"/>
  <c r="C130" i="36"/>
  <c r="F25" i="23" s="1"/>
  <c r="I39" i="23" s="1"/>
  <c r="M128" i="36"/>
  <c r="M126" i="36"/>
  <c r="L124" i="36"/>
  <c r="P124" i="36"/>
  <c r="M127" i="36"/>
  <c r="I94" i="32"/>
  <c r="D98" i="32"/>
  <c r="I95" i="32"/>
  <c r="C98" i="32"/>
  <c r="I97" i="32"/>
  <c r="H98" i="32"/>
  <c r="I96" i="32"/>
  <c r="F50" i="17"/>
  <c r="I93" i="32"/>
  <c r="H98" i="31"/>
  <c r="F119" i="15"/>
  <c r="I92" i="32"/>
  <c r="G98" i="32"/>
  <c r="I59" i="17"/>
  <c r="E97" i="4"/>
  <c r="H50" i="17"/>
  <c r="I60" i="17"/>
  <c r="D98" i="4"/>
  <c r="D98" i="27"/>
  <c r="D98" i="30"/>
  <c r="E50" i="17"/>
  <c r="H18" i="20"/>
  <c r="P18" i="20" s="1"/>
  <c r="P28" i="20" s="1"/>
  <c r="E98" i="32"/>
  <c r="G96" i="27"/>
  <c r="H96" i="30"/>
  <c r="I48" i="17"/>
  <c r="H98" i="33"/>
  <c r="H96" i="27"/>
  <c r="E98" i="30"/>
  <c r="I94" i="33"/>
  <c r="D97" i="4"/>
  <c r="G50" i="17"/>
  <c r="G95" i="30"/>
  <c r="D97" i="27"/>
  <c r="G95" i="27"/>
  <c r="C96" i="30"/>
  <c r="D58" i="29"/>
  <c r="I58" i="29" s="1"/>
  <c r="I47" i="29"/>
  <c r="C96" i="27"/>
  <c r="E39" i="17"/>
  <c r="E98" i="31"/>
  <c r="C97" i="27"/>
  <c r="I39" i="29"/>
  <c r="D59" i="29"/>
  <c r="I59" i="29" s="1"/>
  <c r="I48" i="29"/>
  <c r="C97" i="30"/>
  <c r="E56" i="29"/>
  <c r="E74" i="29" s="1"/>
  <c r="I45" i="29"/>
  <c r="E50" i="29"/>
  <c r="I46" i="17"/>
  <c r="G56" i="29"/>
  <c r="G61" i="29" s="1"/>
  <c r="G50" i="29"/>
  <c r="G94" i="27"/>
  <c r="H56" i="29"/>
  <c r="H61" i="29" s="1"/>
  <c r="H50" i="29"/>
  <c r="G94" i="30"/>
  <c r="F99" i="27"/>
  <c r="C99" i="27"/>
  <c r="I96" i="31"/>
  <c r="F56" i="29"/>
  <c r="F61" i="29" s="1"/>
  <c r="F50" i="29"/>
  <c r="C99" i="30"/>
  <c r="I47" i="17"/>
  <c r="I95" i="31"/>
  <c r="D57" i="29"/>
  <c r="D75" i="29" s="1"/>
  <c r="I46" i="29"/>
  <c r="D50" i="29"/>
  <c r="F39" i="17"/>
  <c r="G9" i="19"/>
  <c r="G18" i="19" s="1"/>
  <c r="D8" i="19"/>
  <c r="D17" i="19" s="1"/>
  <c r="F6" i="19"/>
  <c r="F15" i="19" s="1"/>
  <c r="I49" i="17"/>
  <c r="D60" i="29"/>
  <c r="I60" i="29" s="1"/>
  <c r="I49" i="29"/>
  <c r="H94" i="30"/>
  <c r="G98" i="33"/>
  <c r="I96" i="33"/>
  <c r="D98" i="33"/>
  <c r="I92" i="33"/>
  <c r="F98" i="33"/>
  <c r="C98" i="33"/>
  <c r="I93" i="33"/>
  <c r="I95" i="33"/>
  <c r="E98" i="33"/>
  <c r="I97" i="33"/>
  <c r="G98" i="31"/>
  <c r="D98" i="31"/>
  <c r="I92" i="31"/>
  <c r="I94" i="31"/>
  <c r="I97" i="31"/>
  <c r="F98" i="31"/>
  <c r="C98" i="31"/>
  <c r="I93" i="31"/>
  <c r="P112" i="16"/>
  <c r="P114" i="16"/>
  <c r="Q112" i="16"/>
  <c r="P53" i="16"/>
  <c r="F25" i="20"/>
  <c r="Q114" i="16"/>
  <c r="C74" i="10"/>
  <c r="C95" i="10" s="1"/>
  <c r="N75" i="16"/>
  <c r="M56" i="16"/>
  <c r="M77" i="16"/>
  <c r="N56" i="16"/>
  <c r="D88" i="13"/>
  <c r="I85" i="13"/>
  <c r="N112" i="16"/>
  <c r="D129" i="16" s="1"/>
  <c r="N77" i="16"/>
  <c r="L76" i="16"/>
  <c r="M86" i="16"/>
  <c r="O57" i="16"/>
  <c r="H88" i="13"/>
  <c r="L74" i="16"/>
  <c r="N57" i="16"/>
  <c r="L86" i="16"/>
  <c r="I83" i="13"/>
  <c r="O56" i="16"/>
  <c r="L83" i="16"/>
  <c r="P52" i="16"/>
  <c r="N76" i="16"/>
  <c r="L85" i="16"/>
  <c r="P54" i="16"/>
  <c r="M76" i="16"/>
  <c r="L87" i="16"/>
  <c r="D126" i="16" s="1"/>
  <c r="Q113" i="16"/>
  <c r="I72" i="13"/>
  <c r="L147" i="22"/>
  <c r="L144" i="22"/>
  <c r="M142" i="22"/>
  <c r="C128" i="16"/>
  <c r="C129" i="16"/>
  <c r="C122" i="16"/>
  <c r="C123" i="16"/>
  <c r="C124" i="16"/>
  <c r="C125" i="16"/>
  <c r="C126" i="16"/>
  <c r="L47" i="16"/>
  <c r="D122" i="16" s="1"/>
  <c r="C127" i="16"/>
  <c r="E25" i="20"/>
  <c r="C203" i="22"/>
  <c r="D24" i="23" s="1"/>
  <c r="D25" i="20"/>
  <c r="F27" i="20"/>
  <c r="H27" i="20"/>
  <c r="E88" i="13"/>
  <c r="I82" i="13"/>
  <c r="I87" i="13"/>
  <c r="C88" i="13"/>
  <c r="I50" i="13"/>
  <c r="C39" i="17"/>
  <c r="E26" i="20"/>
  <c r="F72" i="10"/>
  <c r="G11" i="19"/>
  <c r="G20" i="19" s="1"/>
  <c r="O66" i="16"/>
  <c r="O47" i="16"/>
  <c r="N66" i="16"/>
  <c r="N47" i="16"/>
  <c r="M66" i="16"/>
  <c r="M47" i="16"/>
  <c r="L66" i="16"/>
  <c r="Q44" i="16"/>
  <c r="Q42" i="16"/>
  <c r="P44" i="16"/>
  <c r="P42" i="16"/>
  <c r="O67" i="16"/>
  <c r="N67" i="16"/>
  <c r="N65" i="16"/>
  <c r="M67" i="16"/>
  <c r="M65" i="16"/>
  <c r="L67" i="16"/>
  <c r="D124" i="16" s="1"/>
  <c r="L65" i="16"/>
  <c r="Q43" i="16"/>
  <c r="L57" i="16"/>
  <c r="D123" i="16" s="1"/>
  <c r="P43" i="16"/>
  <c r="L94" i="16"/>
  <c r="N102" i="16"/>
  <c r="L97" i="16"/>
  <c r="D127" i="16" s="1"/>
  <c r="P102" i="16"/>
  <c r="L95" i="16"/>
  <c r="L96" i="16"/>
  <c r="L93" i="16"/>
  <c r="Q103" i="16"/>
  <c r="M92" i="16"/>
  <c r="Q102" i="16"/>
  <c r="Q92" i="16"/>
  <c r="P92" i="16"/>
  <c r="N92" i="16"/>
  <c r="P103" i="16"/>
  <c r="M102" i="16"/>
  <c r="D128" i="16" s="1"/>
  <c r="P48" i="22"/>
  <c r="L84" i="16"/>
  <c r="H74" i="10"/>
  <c r="H95" i="10" s="1"/>
  <c r="M57" i="16"/>
  <c r="L77" i="16"/>
  <c r="D125" i="16" s="1"/>
  <c r="M85" i="16"/>
  <c r="F26" i="20"/>
  <c r="M75" i="16"/>
  <c r="M87" i="16"/>
  <c r="P113" i="16"/>
  <c r="G10" i="19"/>
  <c r="G19" i="19" s="1"/>
  <c r="L146" i="22"/>
  <c r="L52" i="22"/>
  <c r="D193" i="22" s="1"/>
  <c r="Q142" i="22"/>
  <c r="P142" i="22"/>
  <c r="L143" i="22"/>
  <c r="D198" i="22" s="1"/>
  <c r="N142" i="22"/>
  <c r="O52" i="22"/>
  <c r="L183" i="22"/>
  <c r="O184" i="22"/>
  <c r="N183" i="22"/>
  <c r="N184" i="22"/>
  <c r="M183" i="22"/>
  <c r="L185" i="22"/>
  <c r="L181" i="22"/>
  <c r="L182" i="22"/>
  <c r="L184" i="22"/>
  <c r="M180" i="22"/>
  <c r="M184" i="22"/>
  <c r="M185" i="22"/>
  <c r="N185" i="22"/>
  <c r="O185" i="22"/>
  <c r="Q180" i="22"/>
  <c r="D200" i="22" s="1"/>
  <c r="L126" i="22"/>
  <c r="L128" i="22"/>
  <c r="L125" i="22"/>
  <c r="P124" i="22"/>
  <c r="N126" i="22"/>
  <c r="Q123" i="22"/>
  <c r="O128" i="22"/>
  <c r="M126" i="22"/>
  <c r="P123" i="22"/>
  <c r="N128" i="22"/>
  <c r="Q125" i="22"/>
  <c r="M128" i="22"/>
  <c r="P125" i="22"/>
  <c r="Q124" i="22"/>
  <c r="O127" i="22"/>
  <c r="M127" i="22"/>
  <c r="N127" i="22"/>
  <c r="M123" i="22"/>
  <c r="N123" i="22"/>
  <c r="M107" i="22"/>
  <c r="L105" i="22"/>
  <c r="N107" i="22"/>
  <c r="Q104" i="22"/>
  <c r="P105" i="22"/>
  <c r="Q106" i="22"/>
  <c r="O109" i="22"/>
  <c r="N109" i="22"/>
  <c r="Q105" i="22"/>
  <c r="N108" i="22"/>
  <c r="M104" i="22"/>
  <c r="O108" i="22"/>
  <c r="P106" i="22"/>
  <c r="N104" i="22"/>
  <c r="P104" i="22"/>
  <c r="M90" i="22"/>
  <c r="Q85" i="22"/>
  <c r="P85" i="22"/>
  <c r="L87" i="22"/>
  <c r="Q87" i="22"/>
  <c r="Q86" i="22"/>
  <c r="O89" i="22"/>
  <c r="P86" i="22"/>
  <c r="L86" i="22"/>
  <c r="P87" i="22"/>
  <c r="M85" i="22"/>
  <c r="N85" i="22"/>
  <c r="O90" i="22"/>
  <c r="O71" i="22"/>
  <c r="Q68" i="22"/>
  <c r="L67" i="22"/>
  <c r="M69" i="22"/>
  <c r="P68" i="22"/>
  <c r="L69" i="22"/>
  <c r="Q66" i="22"/>
  <c r="P66" i="22"/>
  <c r="L68" i="22"/>
  <c r="Q67" i="22"/>
  <c r="N69" i="22"/>
  <c r="P67" i="22"/>
  <c r="M66" i="22"/>
  <c r="N66" i="22"/>
  <c r="N71" i="22"/>
  <c r="O51" i="22"/>
  <c r="Q49" i="22"/>
  <c r="Q48" i="22"/>
  <c r="L50" i="22"/>
  <c r="N51" i="22"/>
  <c r="L48" i="22"/>
  <c r="Q47" i="22"/>
  <c r="N50" i="22"/>
  <c r="M50" i="22"/>
  <c r="M51" i="22"/>
  <c r="N47" i="22"/>
  <c r="L51" i="22"/>
  <c r="L49" i="22"/>
  <c r="M47" i="22"/>
  <c r="N52" i="22"/>
  <c r="P49" i="22"/>
  <c r="P47" i="22"/>
  <c r="M52" i="22"/>
  <c r="L124" i="22"/>
  <c r="D197" i="22" s="1"/>
  <c r="P180" i="22"/>
  <c r="P182" i="22"/>
  <c r="L108" i="22"/>
  <c r="Q182" i="22"/>
  <c r="Q181" i="22"/>
  <c r="L109" i="22"/>
  <c r="M70" i="22"/>
  <c r="M109" i="22"/>
  <c r="L107" i="22"/>
  <c r="P181" i="22"/>
  <c r="M108" i="22"/>
  <c r="M71" i="22"/>
  <c r="O70" i="22"/>
  <c r="L89" i="22"/>
  <c r="L70" i="22"/>
  <c r="D194" i="22" s="1"/>
  <c r="N88" i="22"/>
  <c r="L71" i="22"/>
  <c r="N90" i="22"/>
  <c r="N89" i="22"/>
  <c r="L88" i="22"/>
  <c r="D195" i="22" s="1"/>
  <c r="M88" i="22"/>
  <c r="L90" i="22"/>
  <c r="N70" i="22"/>
  <c r="M89" i="22"/>
  <c r="M142" i="15"/>
  <c r="M191" i="15" s="1"/>
  <c r="Q182" i="15"/>
  <c r="Q193" i="15" s="1"/>
  <c r="Q180" i="15"/>
  <c r="P182" i="15"/>
  <c r="P180" i="15"/>
  <c r="Q181" i="15"/>
  <c r="P181" i="15"/>
  <c r="Q161" i="15"/>
  <c r="P161" i="15"/>
  <c r="N161" i="15"/>
  <c r="Q162" i="15"/>
  <c r="P162" i="15"/>
  <c r="I129" i="15"/>
  <c r="P142" i="15"/>
  <c r="Q142" i="15"/>
  <c r="N142" i="15"/>
  <c r="I90" i="15"/>
  <c r="I70" i="15"/>
  <c r="I108" i="15"/>
  <c r="C110" i="15"/>
  <c r="C91" i="15"/>
  <c r="E91" i="15"/>
  <c r="F62" i="15"/>
  <c r="D110" i="15"/>
  <c r="E72" i="15"/>
  <c r="I109" i="15"/>
  <c r="I89" i="15"/>
  <c r="Q52" i="15"/>
  <c r="I71" i="15"/>
  <c r="F72" i="15"/>
  <c r="D72" i="15"/>
  <c r="Q71" i="15"/>
  <c r="H72" i="15"/>
  <c r="I52" i="15"/>
  <c r="I48" i="15"/>
  <c r="G53" i="15"/>
  <c r="I61" i="13"/>
  <c r="I86" i="13"/>
  <c r="C106" i="13"/>
  <c r="G88" i="13"/>
  <c r="G102" i="13"/>
  <c r="G7" i="14" s="1"/>
  <c r="I84" i="13"/>
  <c r="F88" i="13"/>
  <c r="G87" i="11"/>
  <c r="D84" i="11"/>
  <c r="F77" i="10"/>
  <c r="F98" i="10" s="1"/>
  <c r="F73" i="10"/>
  <c r="F26" i="10"/>
  <c r="D77" i="10"/>
  <c r="D98" i="10" s="1"/>
  <c r="F49" i="10"/>
  <c r="F51" i="10" s="1"/>
  <c r="E72" i="10"/>
  <c r="E93" i="10" s="1"/>
  <c r="E73" i="10"/>
  <c r="C46" i="10"/>
  <c r="I46" i="10" s="1"/>
  <c r="G72" i="10"/>
  <c r="G93" i="10" s="1"/>
  <c r="I17" i="10"/>
  <c r="C61" i="17"/>
  <c r="I45" i="17"/>
  <c r="C50" i="17"/>
  <c r="D39" i="17"/>
  <c r="I55" i="17"/>
  <c r="D50" i="17"/>
  <c r="I44" i="17"/>
  <c r="H75" i="10"/>
  <c r="G47" i="10"/>
  <c r="I57" i="10"/>
  <c r="G26" i="10"/>
  <c r="D26" i="10"/>
  <c r="H61" i="12"/>
  <c r="G84" i="11"/>
  <c r="G104" i="11" s="1"/>
  <c r="G84" i="12"/>
  <c r="G104" i="12" s="1"/>
  <c r="E86" i="11"/>
  <c r="E106" i="11" s="1"/>
  <c r="F83" i="12"/>
  <c r="H8" i="14"/>
  <c r="D11" i="14"/>
  <c r="E10" i="14"/>
  <c r="H84" i="12"/>
  <c r="H104" i="12" s="1"/>
  <c r="D10" i="14"/>
  <c r="F86" i="12"/>
  <c r="F106" i="12" s="1"/>
  <c r="C87" i="12"/>
  <c r="C107" i="12" s="1"/>
  <c r="F86" i="11"/>
  <c r="F106" i="11" s="1"/>
  <c r="C10" i="14"/>
  <c r="F87" i="11"/>
  <c r="F107" i="11" s="1"/>
  <c r="G87" i="12"/>
  <c r="E87" i="11"/>
  <c r="E107" i="11" s="1"/>
  <c r="E86" i="12"/>
  <c r="E106" i="12" s="1"/>
  <c r="E83" i="12"/>
  <c r="D87" i="12"/>
  <c r="D107" i="12" s="1"/>
  <c r="I34" i="4"/>
  <c r="C99" i="4"/>
  <c r="I49" i="4"/>
  <c r="I47" i="4"/>
  <c r="C96" i="4"/>
  <c r="I56" i="4"/>
  <c r="I60" i="4"/>
  <c r="G61" i="4"/>
  <c r="H94" i="4"/>
  <c r="C60" i="10"/>
  <c r="C38" i="10"/>
  <c r="C49" i="10"/>
  <c r="E83" i="11"/>
  <c r="E87" i="12"/>
  <c r="E107" i="12" s="1"/>
  <c r="G67" i="12"/>
  <c r="G45" i="12"/>
  <c r="G37" i="12"/>
  <c r="G56" i="12"/>
  <c r="D37" i="12"/>
  <c r="D66" i="12"/>
  <c r="D44" i="12"/>
  <c r="D55" i="12"/>
  <c r="G67" i="11"/>
  <c r="G45" i="11"/>
  <c r="G56" i="11"/>
  <c r="G37" i="11"/>
  <c r="D44" i="11"/>
  <c r="D66" i="11"/>
  <c r="D37" i="11"/>
  <c r="D55" i="11"/>
  <c r="F44" i="4"/>
  <c r="F50" i="4" s="1"/>
  <c r="F26" i="4"/>
  <c r="F33" i="4"/>
  <c r="F55" i="4"/>
  <c r="F61" i="4" s="1"/>
  <c r="I60" i="12"/>
  <c r="G58" i="10"/>
  <c r="F37" i="12"/>
  <c r="F66" i="12"/>
  <c r="F72" i="12" s="1"/>
  <c r="F44" i="12"/>
  <c r="F55" i="12"/>
  <c r="F61" i="12" s="1"/>
  <c r="F83" i="11"/>
  <c r="I21" i="10"/>
  <c r="C26" i="10"/>
  <c r="I58" i="4"/>
  <c r="G69" i="11"/>
  <c r="I69" i="11" s="1"/>
  <c r="G47" i="11"/>
  <c r="I34" i="11"/>
  <c r="G58" i="11"/>
  <c r="I58" i="11" s="1"/>
  <c r="F37" i="11"/>
  <c r="F44" i="11"/>
  <c r="F66" i="11"/>
  <c r="F72" i="11" s="1"/>
  <c r="F55" i="11"/>
  <c r="F61" i="11" s="1"/>
  <c r="I28" i="11"/>
  <c r="I71" i="12"/>
  <c r="I57" i="4"/>
  <c r="G50" i="4"/>
  <c r="C37" i="11"/>
  <c r="I31" i="11"/>
  <c r="AE13" i="1"/>
  <c r="AC14" i="1"/>
  <c r="C45" i="11"/>
  <c r="C67" i="11"/>
  <c r="I32" i="11"/>
  <c r="I36" i="4"/>
  <c r="H68" i="11"/>
  <c r="H72" i="11" s="1"/>
  <c r="H46" i="11"/>
  <c r="I46" i="11" s="1"/>
  <c r="H37" i="11"/>
  <c r="H57" i="11"/>
  <c r="I22" i="10"/>
  <c r="G39" i="4"/>
  <c r="C70" i="11"/>
  <c r="I70" i="11" s="1"/>
  <c r="C48" i="11"/>
  <c r="C59" i="11"/>
  <c r="I59" i="11" s="1"/>
  <c r="I35" i="11"/>
  <c r="I49" i="12"/>
  <c r="I35" i="4"/>
  <c r="E37" i="12"/>
  <c r="E66" i="12"/>
  <c r="E72" i="12" s="1"/>
  <c r="E44" i="12"/>
  <c r="E55" i="12"/>
  <c r="E61" i="12" s="1"/>
  <c r="AE17" i="1"/>
  <c r="AC18" i="1"/>
  <c r="F87" i="12"/>
  <c r="F107" i="12" s="1"/>
  <c r="X9" i="1"/>
  <c r="I24" i="10"/>
  <c r="I46" i="4"/>
  <c r="I38" i="4"/>
  <c r="I33" i="12"/>
  <c r="D68" i="12"/>
  <c r="I68" i="12" s="1"/>
  <c r="D46" i="12"/>
  <c r="I46" i="12" s="1"/>
  <c r="D57" i="12"/>
  <c r="I28" i="12"/>
  <c r="H39" i="4"/>
  <c r="I17" i="4"/>
  <c r="I35" i="15"/>
  <c r="D55" i="4"/>
  <c r="I20" i="4"/>
  <c r="D44" i="4"/>
  <c r="D26" i="4"/>
  <c r="D33" i="4"/>
  <c r="C37" i="12"/>
  <c r="I31" i="12"/>
  <c r="D60" i="11"/>
  <c r="I60" i="11" s="1"/>
  <c r="D71" i="11"/>
  <c r="I71" i="11" s="1"/>
  <c r="I36" i="11"/>
  <c r="D49" i="11"/>
  <c r="D34" i="10"/>
  <c r="I34" i="10" s="1"/>
  <c r="I20" i="10"/>
  <c r="D56" i="10"/>
  <c r="I56" i="10" s="1"/>
  <c r="D45" i="10"/>
  <c r="I45" i="10" s="1"/>
  <c r="G47" i="12"/>
  <c r="I47" i="12" s="1"/>
  <c r="G69" i="12"/>
  <c r="I69" i="12" s="1"/>
  <c r="G58" i="12"/>
  <c r="I34" i="12"/>
  <c r="C67" i="12"/>
  <c r="I32" i="12"/>
  <c r="C56" i="12"/>
  <c r="E66" i="11"/>
  <c r="E72" i="11" s="1"/>
  <c r="E44" i="11"/>
  <c r="E37" i="11"/>
  <c r="E55" i="11"/>
  <c r="E61" i="11" s="1"/>
  <c r="H50" i="12"/>
  <c r="I45" i="4"/>
  <c r="I35" i="12"/>
  <c r="C70" i="12"/>
  <c r="I70" i="12" s="1"/>
  <c r="C48" i="12"/>
  <c r="I48" i="12" s="1"/>
  <c r="C59" i="12"/>
  <c r="C59" i="4"/>
  <c r="C48" i="4"/>
  <c r="I48" i="4" s="1"/>
  <c r="I24" i="4"/>
  <c r="C37" i="4"/>
  <c r="E44" i="4"/>
  <c r="E50" i="4" s="1"/>
  <c r="E55" i="4"/>
  <c r="E61" i="4" s="1"/>
  <c r="E33" i="4"/>
  <c r="E26" i="4"/>
  <c r="C35" i="10"/>
  <c r="I35" i="10" s="1"/>
  <c r="D47" i="10"/>
  <c r="D36" i="10"/>
  <c r="D58" i="10"/>
  <c r="E62" i="10"/>
  <c r="E77" i="10"/>
  <c r="E98" i="10" s="1"/>
  <c r="H51" i="10"/>
  <c r="H62" i="10"/>
  <c r="I48" i="10"/>
  <c r="G75" i="10"/>
  <c r="H72" i="10"/>
  <c r="H93" i="10" s="1"/>
  <c r="C77" i="10"/>
  <c r="H40" i="10"/>
  <c r="H7" i="14"/>
  <c r="C104" i="12"/>
  <c r="H103" i="11"/>
  <c r="G102" i="11"/>
  <c r="G73" i="10"/>
  <c r="D76" i="10"/>
  <c r="E61" i="17" l="1"/>
  <c r="N194" i="35"/>
  <c r="N195" i="34"/>
  <c r="I37" i="10"/>
  <c r="G40" i="10"/>
  <c r="C62" i="10"/>
  <c r="E8" i="20"/>
  <c r="E40" i="38"/>
  <c r="D75" i="10"/>
  <c r="D96" i="10" s="1"/>
  <c r="E62" i="38"/>
  <c r="F62" i="28"/>
  <c r="G51" i="10"/>
  <c r="E51" i="38"/>
  <c r="E62" i="28"/>
  <c r="D73" i="4"/>
  <c r="E73" i="4"/>
  <c r="G61" i="17"/>
  <c r="D40" i="38"/>
  <c r="C39" i="4"/>
  <c r="C77" i="4"/>
  <c r="I56" i="17"/>
  <c r="F73" i="4"/>
  <c r="D76" i="38"/>
  <c r="D97" i="38" s="1"/>
  <c r="D8" i="20"/>
  <c r="L8" i="20" s="1"/>
  <c r="C6" i="20"/>
  <c r="E7" i="20"/>
  <c r="H5" i="20"/>
  <c r="D7" i="20"/>
  <c r="H4" i="20"/>
  <c r="C9" i="20"/>
  <c r="G4" i="20"/>
  <c r="E79" i="29"/>
  <c r="D77" i="29"/>
  <c r="D98" i="29" s="1"/>
  <c r="G74" i="29"/>
  <c r="G95" i="29" s="1"/>
  <c r="I75" i="29"/>
  <c r="F74" i="29"/>
  <c r="H74" i="29"/>
  <c r="H95" i="29" s="1"/>
  <c r="D76" i="29"/>
  <c r="D97" i="29" s="1"/>
  <c r="D78" i="29"/>
  <c r="D99" i="29" s="1"/>
  <c r="G74" i="17"/>
  <c r="G95" i="17" s="1"/>
  <c r="I57" i="17"/>
  <c r="F61" i="17"/>
  <c r="D61" i="17"/>
  <c r="H61" i="17"/>
  <c r="D75" i="17"/>
  <c r="I58" i="17"/>
  <c r="F62" i="38"/>
  <c r="E51" i="28"/>
  <c r="I61" i="10"/>
  <c r="F51" i="28"/>
  <c r="I50" i="10"/>
  <c r="D51" i="28"/>
  <c r="D51" i="38"/>
  <c r="D62" i="28"/>
  <c r="D62" i="38"/>
  <c r="E76" i="10"/>
  <c r="E97" i="10" s="1"/>
  <c r="I60" i="28"/>
  <c r="G77" i="38"/>
  <c r="G78" i="38" s="1"/>
  <c r="E40" i="10"/>
  <c r="F40" i="38"/>
  <c r="I59" i="28"/>
  <c r="P191" i="35"/>
  <c r="F51" i="38"/>
  <c r="C75" i="10"/>
  <c r="C96" i="10" s="1"/>
  <c r="I38" i="10"/>
  <c r="N191" i="34"/>
  <c r="F76" i="28"/>
  <c r="F97" i="28" s="1"/>
  <c r="D77" i="38"/>
  <c r="D98" i="38" s="1"/>
  <c r="D76" i="28"/>
  <c r="D97" i="28" s="1"/>
  <c r="M194" i="34"/>
  <c r="P193" i="34"/>
  <c r="N190" i="35"/>
  <c r="F77" i="38"/>
  <c r="E77" i="38"/>
  <c r="G94" i="38"/>
  <c r="C77" i="28"/>
  <c r="I39" i="28"/>
  <c r="D75" i="38"/>
  <c r="F77" i="28"/>
  <c r="I38" i="28"/>
  <c r="C76" i="28"/>
  <c r="I59" i="38"/>
  <c r="I61" i="28"/>
  <c r="G77" i="10"/>
  <c r="I77" i="10" s="1"/>
  <c r="D75" i="28"/>
  <c r="H95" i="38"/>
  <c r="G94" i="28"/>
  <c r="I37" i="38"/>
  <c r="C75" i="38"/>
  <c r="C62" i="38"/>
  <c r="I57" i="38"/>
  <c r="H95" i="28"/>
  <c r="E77" i="28"/>
  <c r="G95" i="38"/>
  <c r="I49" i="28"/>
  <c r="I35" i="38"/>
  <c r="C40" i="38"/>
  <c r="C73" i="38"/>
  <c r="I50" i="28"/>
  <c r="I35" i="28"/>
  <c r="C73" i="28"/>
  <c r="C40" i="28"/>
  <c r="C74" i="38"/>
  <c r="I58" i="38"/>
  <c r="E96" i="38"/>
  <c r="D77" i="28"/>
  <c r="I48" i="38"/>
  <c r="I57" i="28"/>
  <c r="C62" i="28"/>
  <c r="H93" i="38"/>
  <c r="H78" i="38"/>
  <c r="G93" i="38"/>
  <c r="I36" i="28"/>
  <c r="C74" i="28"/>
  <c r="I61" i="38"/>
  <c r="C51" i="38"/>
  <c r="I46" i="38"/>
  <c r="C51" i="28"/>
  <c r="I46" i="28"/>
  <c r="H94" i="38"/>
  <c r="F40" i="28"/>
  <c r="C76" i="38"/>
  <c r="I60" i="38"/>
  <c r="I39" i="38"/>
  <c r="C77" i="38"/>
  <c r="E76" i="28"/>
  <c r="I38" i="38"/>
  <c r="E93" i="38"/>
  <c r="I50" i="38"/>
  <c r="E40" i="28"/>
  <c r="D93" i="28"/>
  <c r="I72" i="28"/>
  <c r="E96" i="28"/>
  <c r="I49" i="38"/>
  <c r="I48" i="28"/>
  <c r="E93" i="28"/>
  <c r="I37" i="28"/>
  <c r="C75" i="28"/>
  <c r="G77" i="28"/>
  <c r="G78" i="28" s="1"/>
  <c r="H78" i="28"/>
  <c r="H93" i="28"/>
  <c r="E76" i="38"/>
  <c r="D93" i="38"/>
  <c r="I72" i="38"/>
  <c r="F76" i="38"/>
  <c r="G93" i="28"/>
  <c r="D40" i="28"/>
  <c r="N196" i="34"/>
  <c r="L193" i="34"/>
  <c r="M195" i="34"/>
  <c r="Q190" i="35"/>
  <c r="O195" i="35"/>
  <c r="L194" i="34"/>
  <c r="M194" i="35"/>
  <c r="M196" i="34"/>
  <c r="H25" i="23"/>
  <c r="M39" i="23" s="1"/>
  <c r="G25" i="23"/>
  <c r="K39" i="23" s="1"/>
  <c r="Q191" i="35"/>
  <c r="M193" i="35"/>
  <c r="Q192" i="34"/>
  <c r="Q191" i="34"/>
  <c r="L196" i="34"/>
  <c r="P191" i="34"/>
  <c r="L195" i="34"/>
  <c r="O196" i="34"/>
  <c r="P192" i="34"/>
  <c r="M195" i="35"/>
  <c r="L193" i="35"/>
  <c r="P192" i="35"/>
  <c r="L195" i="35"/>
  <c r="N195" i="35"/>
  <c r="L192" i="35"/>
  <c r="L194" i="35"/>
  <c r="P190" i="35"/>
  <c r="F14" i="20"/>
  <c r="N14" i="20" s="1"/>
  <c r="N24" i="20" s="1"/>
  <c r="H28" i="20"/>
  <c r="D196" i="35"/>
  <c r="L191" i="35"/>
  <c r="C199" i="15"/>
  <c r="I39" i="17"/>
  <c r="I98" i="32"/>
  <c r="H79" i="30"/>
  <c r="I76" i="30"/>
  <c r="H79" i="27"/>
  <c r="I75" i="30"/>
  <c r="C14" i="20"/>
  <c r="C24" i="20" s="1"/>
  <c r="I75" i="27"/>
  <c r="D97" i="30"/>
  <c r="G17" i="20"/>
  <c r="O17" i="20" s="1"/>
  <c r="O27" i="20" s="1"/>
  <c r="C51" i="20"/>
  <c r="E24" i="23" s="1"/>
  <c r="C92" i="37"/>
  <c r="C62" i="19"/>
  <c r="D99" i="27"/>
  <c r="E99" i="27"/>
  <c r="I73" i="27"/>
  <c r="D94" i="27"/>
  <c r="D79" i="27"/>
  <c r="I50" i="29"/>
  <c r="F79" i="27"/>
  <c r="I73" i="30"/>
  <c r="D94" i="30"/>
  <c r="D79" i="30"/>
  <c r="I56" i="29"/>
  <c r="E61" i="29"/>
  <c r="E98" i="27"/>
  <c r="F98" i="30"/>
  <c r="F79" i="30"/>
  <c r="E99" i="30"/>
  <c r="D99" i="30"/>
  <c r="F98" i="27"/>
  <c r="I57" i="29"/>
  <c r="D61" i="29"/>
  <c r="I98" i="33"/>
  <c r="E97" i="30"/>
  <c r="E97" i="27"/>
  <c r="G79" i="27"/>
  <c r="I76" i="27"/>
  <c r="D16" i="20"/>
  <c r="D26" i="20" s="1"/>
  <c r="G79" i="30"/>
  <c r="I74" i="27"/>
  <c r="C95" i="27"/>
  <c r="C79" i="27"/>
  <c r="I78" i="30"/>
  <c r="I78" i="27"/>
  <c r="I77" i="30"/>
  <c r="C98" i="30"/>
  <c r="I74" i="30"/>
  <c r="C95" i="30"/>
  <c r="C79" i="30"/>
  <c r="I77" i="27"/>
  <c r="C98" i="27"/>
  <c r="E79" i="30"/>
  <c r="E94" i="30"/>
  <c r="E94" i="27"/>
  <c r="E79" i="27"/>
  <c r="I98" i="31"/>
  <c r="N126" i="16"/>
  <c r="N127" i="16"/>
  <c r="Q125" i="16"/>
  <c r="O127" i="16"/>
  <c r="C83" i="11"/>
  <c r="L124" i="16"/>
  <c r="N128" i="16"/>
  <c r="F76" i="10"/>
  <c r="F97" i="10" s="1"/>
  <c r="M128" i="16"/>
  <c r="N123" i="16"/>
  <c r="M123" i="16"/>
  <c r="L126" i="16"/>
  <c r="L127" i="16"/>
  <c r="M127" i="16"/>
  <c r="P125" i="16"/>
  <c r="C130" i="16"/>
  <c r="D25" i="23" s="1"/>
  <c r="D82" i="11"/>
  <c r="P124" i="16"/>
  <c r="Q123" i="16"/>
  <c r="L125" i="16"/>
  <c r="Q124" i="16"/>
  <c r="G19" i="20"/>
  <c r="O19" i="20" s="1"/>
  <c r="O29" i="20" s="1"/>
  <c r="G18" i="20"/>
  <c r="P123" i="16"/>
  <c r="M126" i="16"/>
  <c r="I88" i="13"/>
  <c r="G93" i="13" s="1"/>
  <c r="L128" i="16"/>
  <c r="O128" i="16"/>
  <c r="N196" i="22"/>
  <c r="O196" i="22"/>
  <c r="Q191" i="22"/>
  <c r="M191" i="22"/>
  <c r="L192" i="22"/>
  <c r="O195" i="22"/>
  <c r="N191" i="22"/>
  <c r="P192" i="22"/>
  <c r="Q192" i="22"/>
  <c r="Q193" i="22"/>
  <c r="L193" i="22"/>
  <c r="M194" i="22"/>
  <c r="N194" i="22"/>
  <c r="P193" i="22"/>
  <c r="P191" i="22"/>
  <c r="L194" i="22"/>
  <c r="N195" i="22"/>
  <c r="L196" i="22"/>
  <c r="M195" i="22"/>
  <c r="L195" i="22"/>
  <c r="M196" i="22"/>
  <c r="Q192" i="15"/>
  <c r="Q191" i="15"/>
  <c r="Q196" i="15"/>
  <c r="H11" i="37" s="1"/>
  <c r="H20" i="37" s="1"/>
  <c r="N191" i="15"/>
  <c r="I91" i="15"/>
  <c r="L128" i="15"/>
  <c r="L126" i="15"/>
  <c r="L127" i="15"/>
  <c r="L124" i="15"/>
  <c r="L192" i="15" s="1"/>
  <c r="L125" i="15"/>
  <c r="I72" i="15"/>
  <c r="L70" i="15" s="1"/>
  <c r="I110" i="15"/>
  <c r="L88" i="15"/>
  <c r="L90" i="15"/>
  <c r="M90" i="15"/>
  <c r="N90" i="15"/>
  <c r="M89" i="15"/>
  <c r="L89" i="15"/>
  <c r="M88" i="15"/>
  <c r="N89" i="15"/>
  <c r="N88" i="15"/>
  <c r="N194" i="15" s="1"/>
  <c r="I53" i="15"/>
  <c r="M52" i="15" s="1"/>
  <c r="M70" i="15"/>
  <c r="O71" i="15"/>
  <c r="L71" i="15"/>
  <c r="N70" i="15"/>
  <c r="N71" i="15"/>
  <c r="G50" i="12"/>
  <c r="C73" i="10"/>
  <c r="C94" i="10" s="1"/>
  <c r="G74" i="10"/>
  <c r="G95" i="10" s="1"/>
  <c r="I47" i="10"/>
  <c r="I58" i="10"/>
  <c r="I50" i="17"/>
  <c r="C40" i="10"/>
  <c r="I26" i="10"/>
  <c r="C76" i="10"/>
  <c r="C97" i="10" s="1"/>
  <c r="I60" i="10"/>
  <c r="D51" i="10"/>
  <c r="D40" i="10"/>
  <c r="C51" i="10"/>
  <c r="E11" i="14"/>
  <c r="H9" i="14"/>
  <c r="H88" i="12"/>
  <c r="G61" i="11"/>
  <c r="D12" i="14"/>
  <c r="I68" i="11"/>
  <c r="I87" i="12"/>
  <c r="C50" i="4"/>
  <c r="C95" i="4"/>
  <c r="I74" i="4"/>
  <c r="F99" i="4"/>
  <c r="I26" i="4"/>
  <c r="F98" i="4"/>
  <c r="C86" i="12"/>
  <c r="I59" i="12"/>
  <c r="I33" i="4"/>
  <c r="D39" i="4"/>
  <c r="F50" i="11"/>
  <c r="F82" i="11"/>
  <c r="F88" i="11" s="1"/>
  <c r="E39" i="4"/>
  <c r="C9" i="14"/>
  <c r="D61" i="4"/>
  <c r="I55" i="4"/>
  <c r="G95" i="4"/>
  <c r="G79" i="4"/>
  <c r="G72" i="11"/>
  <c r="E50" i="12"/>
  <c r="E82" i="12"/>
  <c r="G85" i="12"/>
  <c r="I85" i="12" s="1"/>
  <c r="I58" i="12"/>
  <c r="E50" i="11"/>
  <c r="E82" i="11"/>
  <c r="I37" i="12"/>
  <c r="F12" i="14"/>
  <c r="I57" i="11"/>
  <c r="H61" i="11"/>
  <c r="C50" i="11"/>
  <c r="I45" i="11"/>
  <c r="F39" i="4"/>
  <c r="I44" i="12"/>
  <c r="D50" i="12"/>
  <c r="D82" i="12"/>
  <c r="E99" i="4"/>
  <c r="F11" i="14"/>
  <c r="I37" i="4"/>
  <c r="C79" i="4"/>
  <c r="C61" i="12"/>
  <c r="I56" i="12"/>
  <c r="D84" i="12"/>
  <c r="I84" i="12" s="1"/>
  <c r="I57" i="12"/>
  <c r="AE14" i="1"/>
  <c r="AC15" i="1"/>
  <c r="I66" i="12"/>
  <c r="D72" i="12"/>
  <c r="D99" i="4"/>
  <c r="I78" i="4"/>
  <c r="D62" i="10"/>
  <c r="I75" i="4"/>
  <c r="I47" i="11"/>
  <c r="G85" i="11"/>
  <c r="I85" i="11" s="1"/>
  <c r="I49" i="11"/>
  <c r="D87" i="11"/>
  <c r="D61" i="12"/>
  <c r="I55" i="12"/>
  <c r="C83" i="12"/>
  <c r="I45" i="12"/>
  <c r="C50" i="12"/>
  <c r="H84" i="11"/>
  <c r="H50" i="11"/>
  <c r="I49" i="10"/>
  <c r="M8" i="20"/>
  <c r="AC19" i="1"/>
  <c r="AE19" i="1" s="1"/>
  <c r="AE18" i="1"/>
  <c r="I48" i="11"/>
  <c r="C86" i="11"/>
  <c r="F82" i="12"/>
  <c r="F88" i="12" s="1"/>
  <c r="F50" i="12"/>
  <c r="D61" i="11"/>
  <c r="I55" i="11"/>
  <c r="E12" i="14"/>
  <c r="D72" i="10"/>
  <c r="D93" i="10" s="1"/>
  <c r="I44" i="4"/>
  <c r="I50" i="4" s="1"/>
  <c r="D50" i="4"/>
  <c r="G62" i="10"/>
  <c r="C72" i="11"/>
  <c r="I67" i="11"/>
  <c r="D74" i="10"/>
  <c r="I36" i="10"/>
  <c r="I59" i="4"/>
  <c r="C61" i="4"/>
  <c r="I67" i="12"/>
  <c r="C72" i="12"/>
  <c r="I37" i="11"/>
  <c r="C12" i="14"/>
  <c r="C97" i="4"/>
  <c r="I76" i="4"/>
  <c r="D72" i="11"/>
  <c r="I66" i="11"/>
  <c r="G96" i="4"/>
  <c r="D50" i="11"/>
  <c r="I44" i="11"/>
  <c r="G83" i="12"/>
  <c r="G61" i="12"/>
  <c r="H79" i="4"/>
  <c r="H96" i="4"/>
  <c r="C61" i="11"/>
  <c r="I56" i="11"/>
  <c r="G83" i="11"/>
  <c r="G50" i="11"/>
  <c r="G72" i="12"/>
  <c r="H78" i="10"/>
  <c r="E78" i="10"/>
  <c r="C98" i="10"/>
  <c r="D97" i="10"/>
  <c r="G94" i="10"/>
  <c r="E78" i="38" l="1"/>
  <c r="C60" i="20"/>
  <c r="F111" i="20" s="1"/>
  <c r="E41" i="23"/>
  <c r="G41" i="23"/>
  <c r="D78" i="38"/>
  <c r="I51" i="38"/>
  <c r="P5" i="20"/>
  <c r="I61" i="17"/>
  <c r="K9" i="20"/>
  <c r="C5" i="20"/>
  <c r="P4" i="20"/>
  <c r="H6" i="20"/>
  <c r="E9" i="20"/>
  <c r="L7" i="20"/>
  <c r="D9" i="20"/>
  <c r="G6" i="20"/>
  <c r="M7" i="20"/>
  <c r="G5" i="20"/>
  <c r="O4" i="20"/>
  <c r="K6" i="20"/>
  <c r="F8" i="20"/>
  <c r="C7" i="20"/>
  <c r="F9" i="20"/>
  <c r="H79" i="29"/>
  <c r="F79" i="29"/>
  <c r="I76" i="29"/>
  <c r="D79" i="29"/>
  <c r="G79" i="29"/>
  <c r="I77" i="29"/>
  <c r="I74" i="29"/>
  <c r="I78" i="29"/>
  <c r="H7" i="37"/>
  <c r="H16" i="37" s="1"/>
  <c r="I51" i="28"/>
  <c r="I62" i="28"/>
  <c r="I40" i="38"/>
  <c r="I40" i="10"/>
  <c r="I62" i="38"/>
  <c r="E9" i="37"/>
  <c r="E18" i="37" s="1"/>
  <c r="C53" i="20"/>
  <c r="C62" i="20" s="1"/>
  <c r="H111" i="20" s="1"/>
  <c r="D26" i="23"/>
  <c r="C63" i="19"/>
  <c r="I40" i="28"/>
  <c r="H6" i="37"/>
  <c r="H15" i="37" s="1"/>
  <c r="I75" i="10"/>
  <c r="D78" i="28"/>
  <c r="E97" i="28"/>
  <c r="C97" i="38"/>
  <c r="I76" i="38"/>
  <c r="F98" i="28"/>
  <c r="I75" i="38"/>
  <c r="C96" i="38"/>
  <c r="F97" i="38"/>
  <c r="F78" i="38"/>
  <c r="F78" i="28"/>
  <c r="D98" i="28"/>
  <c r="C94" i="38"/>
  <c r="C78" i="38"/>
  <c r="I73" i="38"/>
  <c r="D96" i="38"/>
  <c r="C98" i="28"/>
  <c r="I77" i="28"/>
  <c r="C95" i="28"/>
  <c r="I74" i="28"/>
  <c r="I75" i="28"/>
  <c r="C96" i="28"/>
  <c r="E98" i="28"/>
  <c r="C95" i="38"/>
  <c r="I74" i="38"/>
  <c r="E78" i="28"/>
  <c r="I77" i="38"/>
  <c r="C98" i="38"/>
  <c r="E98" i="38"/>
  <c r="I76" i="28"/>
  <c r="C97" i="28"/>
  <c r="D96" i="28"/>
  <c r="E97" i="38"/>
  <c r="C94" i="28"/>
  <c r="C78" i="28"/>
  <c r="I73" i="28"/>
  <c r="F98" i="38"/>
  <c r="C93" i="37"/>
  <c r="F24" i="20"/>
  <c r="G27" i="20"/>
  <c r="K14" i="20"/>
  <c r="K24" i="20" s="1"/>
  <c r="L16" i="20"/>
  <c r="L26" i="20" s="1"/>
  <c r="I61" i="29"/>
  <c r="I79" i="30"/>
  <c r="F18" i="23" s="1"/>
  <c r="H34" i="23" s="1"/>
  <c r="I79" i="27"/>
  <c r="E18" i="23" s="1"/>
  <c r="F34" i="23" s="1"/>
  <c r="C52" i="20"/>
  <c r="E25" i="23" s="1"/>
  <c r="C91" i="37"/>
  <c r="C61" i="19"/>
  <c r="F78" i="10"/>
  <c r="I62" i="10"/>
  <c r="F93" i="13"/>
  <c r="G95" i="13"/>
  <c r="I51" i="10"/>
  <c r="C96" i="13"/>
  <c r="C93" i="13"/>
  <c r="G29" i="20"/>
  <c r="G97" i="13"/>
  <c r="E96" i="13"/>
  <c r="F97" i="13"/>
  <c r="O18" i="20"/>
  <c r="O28" i="20" s="1"/>
  <c r="G28" i="20"/>
  <c r="C95" i="13"/>
  <c r="E92" i="13"/>
  <c r="C97" i="13"/>
  <c r="H93" i="13"/>
  <c r="H96" i="13"/>
  <c r="H7" i="19"/>
  <c r="D97" i="13"/>
  <c r="G92" i="13"/>
  <c r="D92" i="13"/>
  <c r="F94" i="13"/>
  <c r="F92" i="13"/>
  <c r="H92" i="13"/>
  <c r="G94" i="13"/>
  <c r="H94" i="13"/>
  <c r="H95" i="13"/>
  <c r="E95" i="13"/>
  <c r="E97" i="13"/>
  <c r="D96" i="13"/>
  <c r="F96" i="13"/>
  <c r="D95" i="13"/>
  <c r="C94" i="13"/>
  <c r="H11" i="19"/>
  <c r="H20" i="19" s="1"/>
  <c r="H6" i="19"/>
  <c r="H15" i="19" s="1"/>
  <c r="E93" i="13"/>
  <c r="E9" i="19"/>
  <c r="E18" i="19" s="1"/>
  <c r="N195" i="15"/>
  <c r="M71" i="15"/>
  <c r="O70" i="15"/>
  <c r="O195" i="15" s="1"/>
  <c r="F10" i="19" s="1"/>
  <c r="F19" i="19" s="1"/>
  <c r="L108" i="15"/>
  <c r="L195" i="15" s="1"/>
  <c r="L109" i="15"/>
  <c r="M108" i="15"/>
  <c r="M195" i="15" s="1"/>
  <c r="D10" i="19" s="1"/>
  <c r="D19" i="19" s="1"/>
  <c r="L107" i="15"/>
  <c r="L194" i="15" s="1"/>
  <c r="M109" i="15"/>
  <c r="L106" i="15"/>
  <c r="L193" i="15" s="1"/>
  <c r="C8" i="19" s="1"/>
  <c r="C17" i="19" s="1"/>
  <c r="M107" i="15"/>
  <c r="M194" i="15" s="1"/>
  <c r="O52" i="15"/>
  <c r="O196" i="15" s="1"/>
  <c r="F11" i="19" s="1"/>
  <c r="F20" i="19" s="1"/>
  <c r="P47" i="15"/>
  <c r="P191" i="15" s="1"/>
  <c r="G6" i="37" s="1"/>
  <c r="G15" i="37" s="1"/>
  <c r="L52" i="15"/>
  <c r="N52" i="15"/>
  <c r="N196" i="15" s="1"/>
  <c r="P48" i="15"/>
  <c r="P192" i="15" s="1"/>
  <c r="P49" i="15"/>
  <c r="P193" i="15" s="1"/>
  <c r="I50" i="12"/>
  <c r="G78" i="10"/>
  <c r="I74" i="10"/>
  <c r="I73" i="10"/>
  <c r="C78" i="10"/>
  <c r="I76" i="10"/>
  <c r="I39" i="4"/>
  <c r="I72" i="11"/>
  <c r="I61" i="4"/>
  <c r="E102" i="12"/>
  <c r="E88" i="12"/>
  <c r="I61" i="11"/>
  <c r="H104" i="11"/>
  <c r="H8" i="37" s="1"/>
  <c r="H17" i="37" s="1"/>
  <c r="H88" i="11"/>
  <c r="I84" i="11"/>
  <c r="I61" i="12"/>
  <c r="I82" i="12"/>
  <c r="D102" i="12"/>
  <c r="D88" i="12"/>
  <c r="I72" i="10"/>
  <c r="G103" i="12"/>
  <c r="G8" i="14" s="1"/>
  <c r="G88" i="12"/>
  <c r="I50" i="11"/>
  <c r="G103" i="11"/>
  <c r="G88" i="11"/>
  <c r="D102" i="11"/>
  <c r="D88" i="11"/>
  <c r="I82" i="11"/>
  <c r="G9" i="14"/>
  <c r="I72" i="12"/>
  <c r="F79" i="4"/>
  <c r="C103" i="12"/>
  <c r="I83" i="12"/>
  <c r="C88" i="12"/>
  <c r="E94" i="4"/>
  <c r="E79" i="4"/>
  <c r="D107" i="11"/>
  <c r="I87" i="11"/>
  <c r="AE15" i="1"/>
  <c r="AC16" i="1"/>
  <c r="AE16" i="1" s="1"/>
  <c r="C98" i="4"/>
  <c r="I77" i="4"/>
  <c r="E102" i="11"/>
  <c r="E88" i="11"/>
  <c r="I86" i="12"/>
  <c r="C106" i="12"/>
  <c r="C11" i="14" s="1"/>
  <c r="I73" i="4"/>
  <c r="C106" i="11"/>
  <c r="I86" i="11"/>
  <c r="D79" i="4"/>
  <c r="D94" i="4"/>
  <c r="C103" i="11"/>
  <c r="C88" i="11"/>
  <c r="I83" i="11"/>
  <c r="D78" i="10"/>
  <c r="E39" i="23" l="1"/>
  <c r="G39" i="23"/>
  <c r="E26" i="23"/>
  <c r="G18" i="23"/>
  <c r="J34" i="23" s="1"/>
  <c r="H18" i="23"/>
  <c r="L34" i="23" s="1"/>
  <c r="K5" i="20"/>
  <c r="N9" i="20"/>
  <c r="O6" i="20"/>
  <c r="L9" i="20"/>
  <c r="E4" i="20"/>
  <c r="K7" i="20"/>
  <c r="D4" i="20"/>
  <c r="N8" i="20"/>
  <c r="P6" i="20"/>
  <c r="M9" i="20"/>
  <c r="C8" i="20"/>
  <c r="O5" i="20"/>
  <c r="I79" i="29"/>
  <c r="D86" i="29" s="1"/>
  <c r="D10" i="37"/>
  <c r="D19" i="37" s="1"/>
  <c r="E11" i="37"/>
  <c r="E20" i="37" s="1"/>
  <c r="C9" i="37"/>
  <c r="C18" i="37" s="1"/>
  <c r="G7" i="37"/>
  <c r="G16" i="37" s="1"/>
  <c r="D9" i="37"/>
  <c r="D18" i="37" s="1"/>
  <c r="G8" i="37"/>
  <c r="G17" i="37" s="1"/>
  <c r="C8" i="37"/>
  <c r="C17" i="37" s="1"/>
  <c r="I78" i="28"/>
  <c r="E21" i="23" s="1"/>
  <c r="F11" i="37"/>
  <c r="F20" i="37" s="1"/>
  <c r="C10" i="37"/>
  <c r="C19" i="37" s="1"/>
  <c r="F10" i="37"/>
  <c r="F19" i="37" s="1"/>
  <c r="I78" i="38"/>
  <c r="F83" i="38" s="1"/>
  <c r="E10" i="37"/>
  <c r="E19" i="37" s="1"/>
  <c r="C61" i="20"/>
  <c r="G111" i="20" s="1"/>
  <c r="H21" i="37"/>
  <c r="K79" i="30"/>
  <c r="G86" i="30"/>
  <c r="D86" i="30"/>
  <c r="H87" i="30"/>
  <c r="D87" i="30"/>
  <c r="C86" i="30"/>
  <c r="C88" i="30"/>
  <c r="H86" i="30"/>
  <c r="C85" i="30"/>
  <c r="G83" i="30"/>
  <c r="G84" i="30"/>
  <c r="G85" i="30"/>
  <c r="F88" i="30"/>
  <c r="H84" i="30"/>
  <c r="E87" i="30"/>
  <c r="H85" i="30"/>
  <c r="F84" i="30"/>
  <c r="H83" i="30"/>
  <c r="E88" i="30"/>
  <c r="G88" i="30"/>
  <c r="F85" i="30"/>
  <c r="C87" i="30"/>
  <c r="D83" i="30"/>
  <c r="D88" i="30"/>
  <c r="E83" i="30"/>
  <c r="E86" i="30"/>
  <c r="E84" i="30"/>
  <c r="C84" i="30"/>
  <c r="F87" i="30"/>
  <c r="F83" i="30"/>
  <c r="K79" i="27"/>
  <c r="H83" i="27"/>
  <c r="H84" i="27"/>
  <c r="G85" i="27"/>
  <c r="C85" i="27"/>
  <c r="G84" i="27"/>
  <c r="C88" i="27"/>
  <c r="G83" i="27"/>
  <c r="D86" i="27"/>
  <c r="H85" i="27"/>
  <c r="C86" i="27"/>
  <c r="D87" i="27"/>
  <c r="F88" i="27"/>
  <c r="H87" i="27"/>
  <c r="E84" i="27"/>
  <c r="E88" i="27"/>
  <c r="G86" i="27"/>
  <c r="F87" i="27"/>
  <c r="G88" i="27"/>
  <c r="D83" i="27"/>
  <c r="E87" i="27"/>
  <c r="E86" i="27"/>
  <c r="C84" i="27"/>
  <c r="E83" i="27"/>
  <c r="F84" i="27"/>
  <c r="C87" i="27"/>
  <c r="D88" i="27"/>
  <c r="F83" i="27"/>
  <c r="F85" i="27"/>
  <c r="H86" i="27"/>
  <c r="C9" i="19"/>
  <c r="C18" i="19" s="1"/>
  <c r="C10" i="19"/>
  <c r="C19" i="19" s="1"/>
  <c r="G8" i="19"/>
  <c r="G17" i="19" s="1"/>
  <c r="C98" i="13"/>
  <c r="I93" i="13"/>
  <c r="D98" i="13"/>
  <c r="H98" i="13"/>
  <c r="I97" i="13"/>
  <c r="G98" i="13"/>
  <c r="G7" i="19"/>
  <c r="G16" i="19" s="1"/>
  <c r="I92" i="13"/>
  <c r="I96" i="13"/>
  <c r="E98" i="13"/>
  <c r="F98" i="13"/>
  <c r="I95" i="13"/>
  <c r="D9" i="19"/>
  <c r="D18" i="19" s="1"/>
  <c r="G6" i="19"/>
  <c r="G15" i="19" s="1"/>
  <c r="F21" i="19"/>
  <c r="H15" i="20"/>
  <c r="H35" i="20" s="1"/>
  <c r="H16" i="19"/>
  <c r="F19" i="20"/>
  <c r="N19" i="20" s="1"/>
  <c r="N39" i="20" s="1"/>
  <c r="E17" i="20"/>
  <c r="H19" i="20"/>
  <c r="D18" i="20"/>
  <c r="F18" i="20"/>
  <c r="F38" i="20" s="1"/>
  <c r="H14" i="20"/>
  <c r="I94" i="13"/>
  <c r="H8" i="19"/>
  <c r="H17" i="19" s="1"/>
  <c r="E11" i="19"/>
  <c r="E10" i="19"/>
  <c r="C16" i="20"/>
  <c r="M196" i="15"/>
  <c r="D11" i="19" s="1"/>
  <c r="D20" i="19" s="1"/>
  <c r="L196" i="15"/>
  <c r="C11" i="37" s="1"/>
  <c r="C20" i="37" s="1"/>
  <c r="I78" i="10"/>
  <c r="D21" i="23" s="1"/>
  <c r="C8" i="14"/>
  <c r="C7" i="37" s="1"/>
  <c r="C16" i="37" s="1"/>
  <c r="D7" i="14"/>
  <c r="D6" i="37" s="1"/>
  <c r="D15" i="37" s="1"/>
  <c r="E7" i="14"/>
  <c r="I88" i="12"/>
  <c r="C14" i="14" s="1"/>
  <c r="D23" i="23" s="1"/>
  <c r="I88" i="11"/>
  <c r="D22" i="23" s="1"/>
  <c r="I79" i="4"/>
  <c r="H84" i="29" l="1"/>
  <c r="H84" i="28"/>
  <c r="F87" i="29"/>
  <c r="C87" i="29"/>
  <c r="G84" i="29"/>
  <c r="I18" i="37"/>
  <c r="F87" i="28"/>
  <c r="E38" i="23"/>
  <c r="G38" i="23"/>
  <c r="E37" i="23"/>
  <c r="G37" i="23"/>
  <c r="F84" i="38"/>
  <c r="Q6" i="20"/>
  <c r="D85" i="38"/>
  <c r="E83" i="38"/>
  <c r="D28" i="20"/>
  <c r="D38" i="20"/>
  <c r="F87" i="38"/>
  <c r="F86" i="38"/>
  <c r="G85" i="28"/>
  <c r="O10" i="20"/>
  <c r="K16" i="20"/>
  <c r="K36" i="20" s="1"/>
  <c r="C36" i="20"/>
  <c r="C87" i="38"/>
  <c r="E82" i="28"/>
  <c r="G87" i="38"/>
  <c r="H83" i="38"/>
  <c r="G85" i="38"/>
  <c r="H82" i="28"/>
  <c r="P10" i="20"/>
  <c r="M17" i="20"/>
  <c r="M37" i="20" s="1"/>
  <c r="E37" i="20"/>
  <c r="G82" i="38"/>
  <c r="D86" i="28"/>
  <c r="N10" i="20"/>
  <c r="E82" i="38"/>
  <c r="E85" i="38"/>
  <c r="G84" i="28"/>
  <c r="F39" i="20"/>
  <c r="P14" i="20"/>
  <c r="P34" i="20" s="1"/>
  <c r="H34" i="20"/>
  <c r="G84" i="38"/>
  <c r="Q7" i="20"/>
  <c r="M4" i="20"/>
  <c r="Q9" i="20"/>
  <c r="D18" i="23"/>
  <c r="D34" i="23" s="1"/>
  <c r="K79" i="4"/>
  <c r="L4" i="20"/>
  <c r="K8" i="20"/>
  <c r="Q5" i="20"/>
  <c r="F85" i="29"/>
  <c r="G88" i="29"/>
  <c r="H86" i="29"/>
  <c r="E86" i="29"/>
  <c r="G87" i="29"/>
  <c r="D85" i="29"/>
  <c r="E87" i="29"/>
  <c r="K69" i="29"/>
  <c r="E84" i="29"/>
  <c r="F83" i="29"/>
  <c r="D84" i="29"/>
  <c r="D88" i="29"/>
  <c r="F88" i="29"/>
  <c r="C86" i="29"/>
  <c r="H88" i="29"/>
  <c r="H87" i="29"/>
  <c r="G86" i="29"/>
  <c r="E83" i="29"/>
  <c r="F86" i="29"/>
  <c r="H83" i="29"/>
  <c r="E85" i="29"/>
  <c r="C85" i="29"/>
  <c r="G83" i="29"/>
  <c r="F19" i="23"/>
  <c r="H35" i="23" s="1"/>
  <c r="C84" i="29"/>
  <c r="D87" i="29"/>
  <c r="D83" i="29"/>
  <c r="G85" i="29"/>
  <c r="C83" i="29"/>
  <c r="H85" i="29"/>
  <c r="E88" i="29"/>
  <c r="C88" i="29"/>
  <c r="F84" i="29"/>
  <c r="C83" i="28"/>
  <c r="H85" i="28"/>
  <c r="D87" i="28"/>
  <c r="E83" i="28"/>
  <c r="G87" i="28"/>
  <c r="D85" i="28"/>
  <c r="C87" i="28"/>
  <c r="E85" i="28"/>
  <c r="C85" i="38"/>
  <c r="D86" i="38"/>
  <c r="H82" i="38"/>
  <c r="C86" i="38"/>
  <c r="F21" i="23"/>
  <c r="I38" i="23" s="1"/>
  <c r="E87" i="38"/>
  <c r="H86" i="38"/>
  <c r="E86" i="28"/>
  <c r="G83" i="28"/>
  <c r="H86" i="28"/>
  <c r="C83" i="38"/>
  <c r="D87" i="38"/>
  <c r="C86" i="28"/>
  <c r="D82" i="28"/>
  <c r="F83" i="28"/>
  <c r="D82" i="38"/>
  <c r="E86" i="38"/>
  <c r="E88" i="38" s="1"/>
  <c r="H84" i="38"/>
  <c r="E87" i="28"/>
  <c r="F82" i="28"/>
  <c r="H83" i="28"/>
  <c r="C84" i="38"/>
  <c r="H85" i="38"/>
  <c r="C85" i="28"/>
  <c r="G82" i="28"/>
  <c r="F84" i="28"/>
  <c r="G83" i="38"/>
  <c r="F82" i="38"/>
  <c r="C84" i="28"/>
  <c r="F86" i="28"/>
  <c r="D11" i="37"/>
  <c r="D20" i="37" s="1"/>
  <c r="D21" i="37" s="1"/>
  <c r="E6" i="37"/>
  <c r="E15" i="37" s="1"/>
  <c r="E21" i="37" s="1"/>
  <c r="H21" i="23"/>
  <c r="M38" i="23" s="1"/>
  <c r="G21" i="23"/>
  <c r="K38" i="23" s="1"/>
  <c r="G21" i="37"/>
  <c r="I86" i="30"/>
  <c r="H89" i="30"/>
  <c r="I17" i="37"/>
  <c r="I19" i="37"/>
  <c r="I16" i="37"/>
  <c r="C21" i="37"/>
  <c r="F89" i="30"/>
  <c r="D89" i="27"/>
  <c r="I83" i="27"/>
  <c r="G89" i="27"/>
  <c r="C89" i="30"/>
  <c r="I84" i="30"/>
  <c r="I88" i="27"/>
  <c r="I18" i="19"/>
  <c r="I85" i="27"/>
  <c r="E89" i="30"/>
  <c r="F89" i="27"/>
  <c r="D89" i="30"/>
  <c r="I83" i="30"/>
  <c r="C58" i="19"/>
  <c r="C88" i="37"/>
  <c r="I23" i="37"/>
  <c r="I87" i="27"/>
  <c r="H89" i="27"/>
  <c r="I87" i="30"/>
  <c r="G89" i="30"/>
  <c r="C49" i="20"/>
  <c r="E22" i="23" s="1"/>
  <c r="C89" i="37"/>
  <c r="C59" i="19"/>
  <c r="I85" i="30"/>
  <c r="C50" i="20"/>
  <c r="E23" i="23" s="1"/>
  <c r="C90" i="37"/>
  <c r="C60" i="19"/>
  <c r="E89" i="27"/>
  <c r="C17" i="20"/>
  <c r="F21" i="37"/>
  <c r="C89" i="27"/>
  <c r="I84" i="27"/>
  <c r="I86" i="27"/>
  <c r="I88" i="30"/>
  <c r="I17" i="19"/>
  <c r="C18" i="20"/>
  <c r="C38" i="20" s="1"/>
  <c r="G16" i="20"/>
  <c r="H21" i="19"/>
  <c r="G15" i="20"/>
  <c r="E82" i="10"/>
  <c r="I23" i="19"/>
  <c r="C48" i="20"/>
  <c r="H16" i="20"/>
  <c r="G21" i="19"/>
  <c r="G14" i="20"/>
  <c r="G34" i="20" s="1"/>
  <c r="H24" i="20"/>
  <c r="F29" i="20"/>
  <c r="I98" i="13"/>
  <c r="D17" i="20"/>
  <c r="D37" i="20" s="1"/>
  <c r="D6" i="19"/>
  <c r="D15" i="19" s="1"/>
  <c r="P19" i="20"/>
  <c r="P29" i="20" s="1"/>
  <c r="H29" i="20"/>
  <c r="L18" i="20"/>
  <c r="F28" i="20"/>
  <c r="N18" i="20"/>
  <c r="C7" i="19"/>
  <c r="C16" i="19" s="1"/>
  <c r="C11" i="19"/>
  <c r="C20" i="19" s="1"/>
  <c r="P15" i="20"/>
  <c r="P35" i="20" s="1"/>
  <c r="H25" i="20"/>
  <c r="E6" i="19"/>
  <c r="E15" i="19" s="1"/>
  <c r="E19" i="20"/>
  <c r="E20" i="19"/>
  <c r="E18" i="20"/>
  <c r="E38" i="20" s="1"/>
  <c r="E19" i="19"/>
  <c r="I19" i="19" s="1"/>
  <c r="D19" i="20"/>
  <c r="E27" i="20"/>
  <c r="C26" i="20"/>
  <c r="N29" i="20"/>
  <c r="C87" i="10"/>
  <c r="H86" i="10"/>
  <c r="H83" i="10"/>
  <c r="F87" i="10"/>
  <c r="G85" i="10"/>
  <c r="G82" i="10"/>
  <c r="G84" i="10"/>
  <c r="E85" i="10"/>
  <c r="E83" i="10"/>
  <c r="D86" i="10"/>
  <c r="C85" i="10"/>
  <c r="F83" i="10"/>
  <c r="C83" i="10"/>
  <c r="C84" i="10"/>
  <c r="F86" i="10"/>
  <c r="E87" i="10"/>
  <c r="E86" i="10"/>
  <c r="C86" i="10"/>
  <c r="D82" i="10"/>
  <c r="H82" i="10"/>
  <c r="D87" i="10"/>
  <c r="G83" i="10"/>
  <c r="H84" i="10"/>
  <c r="H85" i="10"/>
  <c r="D85" i="10"/>
  <c r="F82" i="10"/>
  <c r="F84" i="10"/>
  <c r="G87" i="10"/>
  <c r="C87" i="4"/>
  <c r="H86" i="4"/>
  <c r="H83" i="4"/>
  <c r="D86" i="4"/>
  <c r="E87" i="4"/>
  <c r="E84" i="4"/>
  <c r="F84" i="4"/>
  <c r="G83" i="4"/>
  <c r="C88" i="4"/>
  <c r="D87" i="4"/>
  <c r="G85" i="4"/>
  <c r="H85" i="4"/>
  <c r="G84" i="4"/>
  <c r="C85" i="4"/>
  <c r="E88" i="4"/>
  <c r="D88" i="4"/>
  <c r="H87" i="4"/>
  <c r="F85" i="4"/>
  <c r="E86" i="4"/>
  <c r="G86" i="4"/>
  <c r="F83" i="4"/>
  <c r="F87" i="4"/>
  <c r="C84" i="4"/>
  <c r="F88" i="4"/>
  <c r="H84" i="4"/>
  <c r="G88" i="4"/>
  <c r="C86" i="4"/>
  <c r="E83" i="4"/>
  <c r="D83" i="4"/>
  <c r="E97" i="11"/>
  <c r="F92" i="11"/>
  <c r="D95" i="11"/>
  <c r="H94" i="11"/>
  <c r="E93" i="11"/>
  <c r="F94" i="11"/>
  <c r="H93" i="11"/>
  <c r="D92" i="11"/>
  <c r="G93" i="11"/>
  <c r="F96" i="11"/>
  <c r="G94" i="11"/>
  <c r="C95" i="11"/>
  <c r="E96" i="11"/>
  <c r="D96" i="11"/>
  <c r="H95" i="11"/>
  <c r="F93" i="11"/>
  <c r="G92" i="11"/>
  <c r="G97" i="11"/>
  <c r="C97" i="11"/>
  <c r="D97" i="11"/>
  <c r="E95" i="11"/>
  <c r="F97" i="11"/>
  <c r="H96" i="11"/>
  <c r="C94" i="11"/>
  <c r="H92" i="11"/>
  <c r="E92" i="11"/>
  <c r="C96" i="11"/>
  <c r="G95" i="11"/>
  <c r="C93" i="11"/>
  <c r="E97" i="12"/>
  <c r="C97" i="12"/>
  <c r="E93" i="12"/>
  <c r="G93" i="12"/>
  <c r="C93" i="12"/>
  <c r="G94" i="12"/>
  <c r="H92" i="12"/>
  <c r="F94" i="12"/>
  <c r="E92" i="12"/>
  <c r="H96" i="12"/>
  <c r="G97" i="12"/>
  <c r="C95" i="12"/>
  <c r="C94" i="12"/>
  <c r="H93" i="12"/>
  <c r="E96" i="12"/>
  <c r="D96" i="12"/>
  <c r="G92" i="12"/>
  <c r="F93" i="12"/>
  <c r="G95" i="12"/>
  <c r="F92" i="12"/>
  <c r="E95" i="12"/>
  <c r="D92" i="12"/>
  <c r="F97" i="12"/>
  <c r="F96" i="12"/>
  <c r="H95" i="12"/>
  <c r="D97" i="12"/>
  <c r="C96" i="12"/>
  <c r="D95" i="12"/>
  <c r="H94" i="12"/>
  <c r="D88" i="28" l="1"/>
  <c r="G88" i="28"/>
  <c r="I86" i="29"/>
  <c r="E40" i="23"/>
  <c r="G40" i="23"/>
  <c r="E42" i="23"/>
  <c r="G42" i="23"/>
  <c r="F20" i="23"/>
  <c r="I36" i="23" s="1"/>
  <c r="G20" i="23"/>
  <c r="K36" i="23" s="1"/>
  <c r="H20" i="23"/>
  <c r="M36" i="23" s="1"/>
  <c r="F17" i="23"/>
  <c r="M27" i="20"/>
  <c r="P24" i="20"/>
  <c r="I87" i="28"/>
  <c r="I83" i="29"/>
  <c r="I86" i="28"/>
  <c r="I87" i="38"/>
  <c r="I88" i="29"/>
  <c r="G89" i="29"/>
  <c r="K26" i="20"/>
  <c r="K17" i="20"/>
  <c r="K27" i="20" s="1"/>
  <c r="C37" i="20"/>
  <c r="I85" i="28"/>
  <c r="M19" i="20"/>
  <c r="M39" i="20" s="1"/>
  <c r="E39" i="20"/>
  <c r="O16" i="20"/>
  <c r="O36" i="20" s="1"/>
  <c r="G36" i="20"/>
  <c r="G25" i="20"/>
  <c r="G35" i="20"/>
  <c r="E89" i="29"/>
  <c r="M10" i="20"/>
  <c r="I87" i="29"/>
  <c r="I84" i="29"/>
  <c r="F89" i="29"/>
  <c r="F88" i="38"/>
  <c r="D88" i="38"/>
  <c r="I86" i="38"/>
  <c r="D89" i="29"/>
  <c r="D29" i="20"/>
  <c r="D39" i="20"/>
  <c r="P16" i="20"/>
  <c r="P26" i="20" s="1"/>
  <c r="H36" i="20"/>
  <c r="G88" i="38"/>
  <c r="I82" i="38"/>
  <c r="I85" i="29"/>
  <c r="Q8" i="20"/>
  <c r="K10" i="20"/>
  <c r="Q4" i="20"/>
  <c r="L10" i="20"/>
  <c r="C89" i="29"/>
  <c r="H89" i="29"/>
  <c r="G19" i="23"/>
  <c r="J35" i="23" s="1"/>
  <c r="I85" i="38"/>
  <c r="I83" i="38"/>
  <c r="H88" i="28"/>
  <c r="I82" i="28"/>
  <c r="I83" i="28"/>
  <c r="C88" i="38"/>
  <c r="E88" i="28"/>
  <c r="I15" i="37"/>
  <c r="I84" i="38"/>
  <c r="I84" i="28"/>
  <c r="F88" i="28"/>
  <c r="C88" i="28"/>
  <c r="L28" i="20"/>
  <c r="L38" i="20"/>
  <c r="H88" i="38"/>
  <c r="N28" i="20"/>
  <c r="N30" i="20" s="1"/>
  <c r="N38" i="20"/>
  <c r="C58" i="20"/>
  <c r="D111" i="20" s="1"/>
  <c r="C94" i="37"/>
  <c r="C27" i="20"/>
  <c r="C59" i="20"/>
  <c r="E111" i="20" s="1"/>
  <c r="I20" i="37"/>
  <c r="I89" i="27"/>
  <c r="C64" i="19"/>
  <c r="I89" i="30"/>
  <c r="D20" i="23"/>
  <c r="E20" i="23"/>
  <c r="O15" i="20"/>
  <c r="O35" i="20" s="1"/>
  <c r="G26" i="20"/>
  <c r="E28" i="20"/>
  <c r="N20" i="20"/>
  <c r="N40" i="20" s="1"/>
  <c r="K18" i="20"/>
  <c r="K38" i="20" s="1"/>
  <c r="C28" i="20"/>
  <c r="I20" i="19"/>
  <c r="H26" i="20"/>
  <c r="C57" i="20"/>
  <c r="M18" i="20"/>
  <c r="M38" i="20" s="1"/>
  <c r="L19" i="20"/>
  <c r="P20" i="20"/>
  <c r="P40" i="20" s="1"/>
  <c r="E21" i="19"/>
  <c r="C15" i="20"/>
  <c r="O14" i="20"/>
  <c r="O34" i="20" s="1"/>
  <c r="G24" i="20"/>
  <c r="P25" i="20"/>
  <c r="E14" i="20"/>
  <c r="E34" i="20" s="1"/>
  <c r="E29" i="20"/>
  <c r="C19" i="20"/>
  <c r="C39" i="20" s="1"/>
  <c r="D14" i="20"/>
  <c r="D34" i="20" s="1"/>
  <c r="D21" i="19"/>
  <c r="I15" i="19"/>
  <c r="I16" i="19"/>
  <c r="C21" i="19"/>
  <c r="L17" i="20"/>
  <c r="L37" i="20" s="1"/>
  <c r="D27" i="20"/>
  <c r="I85" i="10"/>
  <c r="I82" i="10"/>
  <c r="I84" i="10"/>
  <c r="C88" i="10"/>
  <c r="I87" i="10"/>
  <c r="G88" i="10"/>
  <c r="I86" i="10"/>
  <c r="F88" i="10"/>
  <c r="E88" i="10"/>
  <c r="H88" i="10"/>
  <c r="D88" i="10"/>
  <c r="I83" i="10"/>
  <c r="H98" i="12"/>
  <c r="I94" i="11"/>
  <c r="H98" i="11"/>
  <c r="H89" i="4"/>
  <c r="I87" i="4"/>
  <c r="I86" i="4"/>
  <c r="F98" i="12"/>
  <c r="G98" i="12"/>
  <c r="I96" i="12"/>
  <c r="I92" i="11"/>
  <c r="D98" i="11"/>
  <c r="C98" i="12"/>
  <c r="I93" i="12"/>
  <c r="C89" i="4"/>
  <c r="I84" i="4"/>
  <c r="I97" i="12"/>
  <c r="F89" i="4"/>
  <c r="I88" i="4"/>
  <c r="I97" i="11"/>
  <c r="I94" i="12"/>
  <c r="G89" i="4"/>
  <c r="I95" i="12"/>
  <c r="I93" i="11"/>
  <c r="C98" i="11"/>
  <c r="G98" i="11"/>
  <c r="I92" i="12"/>
  <c r="D98" i="12"/>
  <c r="I96" i="11"/>
  <c r="I83" i="4"/>
  <c r="D89" i="4"/>
  <c r="E98" i="12"/>
  <c r="E98" i="11"/>
  <c r="F98" i="11"/>
  <c r="E89" i="4"/>
  <c r="I95" i="11"/>
  <c r="I85" i="4"/>
  <c r="I89" i="29" l="1"/>
  <c r="Q16" i="20"/>
  <c r="Q36" i="20" s="1"/>
  <c r="M18" i="23"/>
  <c r="M19" i="23" s="1"/>
  <c r="H33" i="23"/>
  <c r="E36" i="23"/>
  <c r="G36" i="23"/>
  <c r="F28" i="23"/>
  <c r="H19" i="23"/>
  <c r="L35" i="23" s="1"/>
  <c r="P36" i="20"/>
  <c r="O26" i="20"/>
  <c r="Q26" i="20" s="1"/>
  <c r="M29" i="20"/>
  <c r="I21" i="37"/>
  <c r="K21" i="37" s="1"/>
  <c r="I88" i="38"/>
  <c r="K15" i="20"/>
  <c r="K35" i="20" s="1"/>
  <c r="C35" i="20"/>
  <c r="K37" i="20"/>
  <c r="Q10" i="20"/>
  <c r="W10" i="20" s="1"/>
  <c r="P30" i="20"/>
  <c r="G17" i="23"/>
  <c r="J33" i="23" s="1"/>
  <c r="I88" i="28"/>
  <c r="L29" i="20"/>
  <c r="L39" i="20"/>
  <c r="O25" i="20"/>
  <c r="K28" i="20"/>
  <c r="Q18" i="20"/>
  <c r="Q38" i="20" s="1"/>
  <c r="C111" i="20"/>
  <c r="C63" i="20"/>
  <c r="D57" i="20" s="1"/>
  <c r="M28" i="20"/>
  <c r="C25" i="20"/>
  <c r="O24" i="20"/>
  <c r="I21" i="19"/>
  <c r="K21" i="19" s="1"/>
  <c r="O20" i="20"/>
  <c r="O40" i="20" s="1"/>
  <c r="D24" i="20"/>
  <c r="L14" i="20"/>
  <c r="L34" i="20" s="1"/>
  <c r="Q17" i="20"/>
  <c r="Q37" i="20" s="1"/>
  <c r="L27" i="20"/>
  <c r="Q27" i="20" s="1"/>
  <c r="C29" i="20"/>
  <c r="K19" i="20"/>
  <c r="K39" i="20" s="1"/>
  <c r="M14" i="20"/>
  <c r="M34" i="20" s="1"/>
  <c r="E24" i="20"/>
  <c r="I88" i="10"/>
  <c r="I98" i="12"/>
  <c r="I98" i="11"/>
  <c r="I89" i="4"/>
  <c r="H17" i="23" l="1"/>
  <c r="L33" i="23" s="1"/>
  <c r="Q15" i="20"/>
  <c r="Q35" i="20" s="1"/>
  <c r="K25" i="20"/>
  <c r="V10" i="20"/>
  <c r="AB4" i="20"/>
  <c r="X10" i="20"/>
  <c r="AB8" i="20"/>
  <c r="C46" i="20"/>
  <c r="C110" i="20" s="1"/>
  <c r="AB10" i="20"/>
  <c r="S10" i="20"/>
  <c r="W8" i="20"/>
  <c r="X8" i="20"/>
  <c r="V6" i="20"/>
  <c r="Z4" i="20"/>
  <c r="AA4" i="20"/>
  <c r="AA5" i="20"/>
  <c r="V9" i="20"/>
  <c r="W7" i="20"/>
  <c r="Z6" i="20"/>
  <c r="Z5" i="20"/>
  <c r="W9" i="20"/>
  <c r="AA6" i="20"/>
  <c r="Y9" i="20"/>
  <c r="V7" i="20"/>
  <c r="V5" i="20"/>
  <c r="X9" i="20"/>
  <c r="Y8" i="20"/>
  <c r="Y10" i="20"/>
  <c r="AB9" i="20"/>
  <c r="Z10" i="20"/>
  <c r="V8" i="20"/>
  <c r="AB6" i="20"/>
  <c r="X4" i="20"/>
  <c r="AB5" i="20"/>
  <c r="AA10" i="20"/>
  <c r="AB7" i="20"/>
  <c r="W4" i="20"/>
  <c r="G28" i="23"/>
  <c r="N18" i="23"/>
  <c r="N19" i="23" s="1"/>
  <c r="O30" i="20"/>
  <c r="Q25" i="20"/>
  <c r="Q28" i="20"/>
  <c r="D63" i="20"/>
  <c r="D66" i="20"/>
  <c r="D60" i="20"/>
  <c r="D62" i="20"/>
  <c r="D61" i="20"/>
  <c r="D58" i="20"/>
  <c r="D59" i="20"/>
  <c r="Q19" i="20"/>
  <c r="Q39" i="20" s="1"/>
  <c r="K20" i="20"/>
  <c r="K40" i="20" s="1"/>
  <c r="K29" i="20"/>
  <c r="M20" i="20"/>
  <c r="M40" i="20" s="1"/>
  <c r="M24" i="20"/>
  <c r="M30" i="20" s="1"/>
  <c r="L20" i="20"/>
  <c r="L40" i="20" s="1"/>
  <c r="L24" i="20"/>
  <c r="Q14" i="20"/>
  <c r="Q34" i="20" s="1"/>
  <c r="H28" i="23" l="1"/>
  <c r="O18" i="23"/>
  <c r="O19" i="23" s="1"/>
  <c r="Q20" i="20"/>
  <c r="Q40" i="20" s="1"/>
  <c r="L30" i="20"/>
  <c r="Q24" i="20"/>
  <c r="Q29" i="20"/>
  <c r="K30" i="20"/>
  <c r="C47" i="20" l="1"/>
  <c r="Q30" i="20"/>
  <c r="D51" i="20" l="1"/>
  <c r="D53" i="20"/>
  <c r="D52" i="20"/>
  <c r="D50" i="20"/>
  <c r="D49" i="20"/>
  <c r="D48" i="20"/>
  <c r="I73" i="17" l="1"/>
  <c r="I74" i="17"/>
  <c r="I75" i="17"/>
  <c r="I76" i="17"/>
  <c r="I77" i="17"/>
  <c r="I78" i="17"/>
  <c r="C79" i="17"/>
  <c r="D79" i="17"/>
  <c r="E79" i="17"/>
  <c r="F79" i="17"/>
  <c r="G79" i="17"/>
  <c r="H79" i="17"/>
  <c r="I79" i="17" l="1"/>
  <c r="K79" i="17" l="1"/>
  <c r="G87" i="17"/>
  <c r="G88" i="17"/>
  <c r="E88" i="17"/>
  <c r="D19" i="23"/>
  <c r="D35" i="23" s="1"/>
  <c r="F87" i="17"/>
  <c r="E87" i="17"/>
  <c r="D87" i="17"/>
  <c r="H88" i="17"/>
  <c r="F88" i="17"/>
  <c r="D88" i="17"/>
  <c r="H83" i="17"/>
  <c r="H87" i="17"/>
  <c r="G83" i="17"/>
  <c r="F86" i="17"/>
  <c r="D83" i="17"/>
  <c r="E83" i="17"/>
  <c r="F83" i="17"/>
  <c r="C86" i="17"/>
  <c r="E85" i="17"/>
  <c r="C84" i="17"/>
  <c r="D84" i="17"/>
  <c r="C83" i="17"/>
  <c r="C85" i="17"/>
  <c r="C87" i="17"/>
  <c r="C88" i="17"/>
  <c r="H86" i="17"/>
  <c r="F84" i="17"/>
  <c r="F85" i="17"/>
  <c r="E86" i="17"/>
  <c r="H85" i="17"/>
  <c r="H84" i="17"/>
  <c r="D86" i="17"/>
  <c r="G86" i="17"/>
  <c r="E84" i="17"/>
  <c r="G84" i="17"/>
  <c r="G85" i="17"/>
  <c r="D85" i="17"/>
  <c r="D89" i="17" l="1"/>
  <c r="I87" i="17"/>
  <c r="I85" i="17"/>
  <c r="H89" i="17"/>
  <c r="I83" i="17"/>
  <c r="C89" i="17"/>
  <c r="I84" i="17"/>
  <c r="G89" i="17"/>
  <c r="I86" i="17"/>
  <c r="I88" i="17"/>
  <c r="F89" i="17"/>
  <c r="E89" i="17"/>
  <c r="D17" i="23"/>
  <c r="D33" i="23" s="1"/>
  <c r="E19" i="23"/>
  <c r="F35" i="23" s="1"/>
  <c r="E17" i="23" l="1"/>
  <c r="D28" i="23"/>
  <c r="I89" i="17"/>
  <c r="E28" i="23" l="1"/>
  <c r="F33" i="23"/>
  <c r="L18" i="23"/>
  <c r="L19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tc={B50AD932-712A-44C1-9194-92FD18C9B96C}</author>
    <author>tc={7EB08322-FBDA-4BAB-A4E2-AB93C364036D}</author>
    <author>tc={0658B589-A0C6-4D3C-976C-1FCBBB76CF68}</author>
    <author>tc={625A8220-915E-4DAF-9279-0AB1DA0761E3}</author>
    <author>tc={134A15DD-64B1-4359-862E-40467A87470A}</author>
    <author>tc={DC139194-A8EC-47E8-9302-7A57433E0AB9}</author>
    <author>tc={A09B7028-1149-43F9-9C75-6DD6FF710B8D}</author>
  </authors>
  <commentList>
    <comment ref="B7" authorId="0" shapeId="0" xr:uid="{B50AD932-712A-44C1-9194-92FD18C9B9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Utilizado como referência para definição dos parâmetros</t>
      </text>
    </comment>
    <comment ref="K7" authorId="1" shapeId="0" xr:uid="{7EB08322-FBDA-4BAB-A4E2-AB93C36403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EMISSÕES VEICULARES NO ESTADO DE SÃO PAULO 2020 APÊNDICE X – FE de CO2 combustíveis 201 APÊNDICE Y - Fator de emissão de CO2 para combustíveis </t>
      </text>
    </comment>
    <comment ref="G19" authorId="2" shapeId="0" xr:uid="{0658B589-A0C6-4D3C-976C-1FCBBB76CF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https://nepis.epa.gov/Exe/ZyPDF.cgi?Dockey=P1001ZA0.pdf
Responder:
    EPA - A Comprehensive Analysis of Biodiesel Impacts on Exhaust Emissions</t>
      </text>
    </comment>
    <comment ref="J27" authorId="3" shapeId="0" xr:uid="{625A8220-915E-4DAF-9279-0AB1DA0761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Utilizado como referência para os parêmetros</t>
      </text>
    </comment>
    <comment ref="F63" authorId="4" shapeId="0" xr:uid="{134A15DD-64B1-4359-862E-40467A8747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https://petrobras.com.br/data/files/02/83/FA/2C/5A39C710E2EF93B7B8E99EA8/Manual_Combustiveis_Maritimos_2021.pdf</t>
      </text>
    </comment>
    <comment ref="B65" authorId="5" shapeId="0" xr:uid="{DC139194-A8EC-47E8-9302-7A57433E0AB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Brynolf, S., Fridell, E., &amp; Andersson, K. (2014). Environmental asssessment of marine fuels: liquiefied natural gas, liquefied biogas, methanol and bio-methanol. Journal of cleaner production, 86-95. 
</t>
      </text>
    </comment>
    <comment ref="K83" authorId="6" shapeId="0" xr:uid="{A09B7028-1149-43F9-9C75-6DD6FF710B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https://nepis.epa.gov/Exe/ZyPDF.cgi?Dockey=P1001ZA0.pdf
Responder:
    Average Biodiesel
Responder:
    EPA - A Comprehensive Analysis of Biodiesel Impacts on Exhaust Emissions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tc={F12B2E6B-071A-4BC4-A482-2F18097306A4}</author>
    <author>tc={B157AD7A-FB1D-4DB0-ACB6-A2F9F493142C}</author>
    <author>tc={5FF4D814-F1CE-4DFA-88B1-2C5A344A476B}</author>
    <author>tc={D49B6929-0E86-41E9-9151-074F0205B4AD}</author>
    <author>tc={9586C03C-61D0-4D24-BF2B-2CBB0F21A379}</author>
    <author>tc={4D583026-10E4-4DD7-81BE-1E58D27EF4DB}</author>
    <author>tc={C23B101E-66B1-4116-A370-176C5DE2590C}</author>
  </authors>
  <commentList>
    <comment ref="B21" authorId="0" shapeId="0" xr:uid="{F12B2E6B-071A-4BC4-A482-2F18097306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Utilizado como referência para definição dos parâmetros</t>
      </text>
    </comment>
    <comment ref="K21" authorId="1" shapeId="0" xr:uid="{B157AD7A-FB1D-4DB0-ACB6-A2F9F49314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EMISSÕES VEICULARES NO ESTADO DE SÃO PAULO 2020 APÊNDICE X – FE de CO2 combustíveis 201 APÊNDICE Y - Fator de emissão de CO2 para combustíveis </t>
      </text>
    </comment>
    <comment ref="G37" authorId="2" shapeId="0" xr:uid="{5FF4D814-F1CE-4DFA-88B1-2C5A344A47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https://nepis.epa.gov/Exe/ZyPDF.cgi?Dockey=P1001ZA0.pdf
Responder:
    EPA - A Comprehensive Analysis of Biodiesel Impacts on Exhaust Emissions</t>
      </text>
    </comment>
    <comment ref="J45" authorId="3" shapeId="0" xr:uid="{D49B6929-0E86-41E9-9151-074F0205B4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Utilizado como referência para os parêmetros</t>
      </text>
    </comment>
    <comment ref="M81" authorId="4" shapeId="0" xr:uid="{9586C03C-61D0-4D24-BF2B-2CBB0F21A3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https://petrobras.com.br/data/files/02/83/FA/2C/5A39C710E2EF93B7B8E99EA8/Manual_Combustiveis_Maritimos_2021.pdf</t>
      </text>
    </comment>
    <comment ref="B83" authorId="5" shapeId="0" xr:uid="{4D583026-10E4-4DD7-81BE-1E58D27EF4D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Brynolf, S., Fridell, E., &amp; Andersson, K. (2014). Environmental asssessment of marine fuels: liquiefied natural gas, liquefied biogas, methanol and bio-methanol. Journal of cleaner production, 86-95. 
</t>
      </text>
    </comment>
    <comment ref="K101" authorId="6" shapeId="0" xr:uid="{C23B101E-66B1-4116-A370-176C5DE259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https://nepis.epa.gov/Exe/ZyPDF.cgi?Dockey=P1001ZA0.pdf
Responder:
    Average Biodiesel
Responder:
    EPA - A Comprehensive Analysis of Biodiesel Impacts on Exhaust Emissions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tc={51D27260-64A7-4FDA-8822-6B00461546CE}</author>
  </authors>
  <commentList>
    <comment ref="C9" authorId="0" shapeId="0" xr:uid="{51D27260-64A7-4FDA-8822-6B00461546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https://www.dieselduck.info/machine/08%20programs/2010%20Oil%20industry%20conversions.pdf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tc={D25EE95E-814A-46AF-B05E-6487923FDA9E}</author>
    <author>tc={A5DD7355-224D-4422-956C-DDF7FCCE7EC0}</author>
  </authors>
  <commentList>
    <comment ref="C9" authorId="0" shapeId="0" xr:uid="{D25EE95E-814A-46AF-B05E-6487923FDA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https://www.dieselduck.info/machine/08%20programs/2010%20Oil%20industry%20conversions.pdf</t>
      </text>
    </comment>
    <comment ref="B14" authorId="1" shapeId="0" xr:uid="{A5DD7355-224D-4422-956C-DDF7FCCE7E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Conversão utilizando Calorific Values -&gt; x IFO/Biodiesel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tc={6EDCFB9D-E3C7-400C-91AD-ECAFA3FE5D1C}</author>
  </authors>
  <commentList>
    <comment ref="D8" authorId="0" shapeId="0" xr:uid="{6EDCFB9D-E3C7-400C-91AD-ECAFA3FE5D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 mov na Origem e 1 mov no Destino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tc={1748E4D1-1FDB-496E-BF81-676B97E6FF8E}</author>
    <author>tc={185DF2F8-B610-4138-862E-889876ADC6B8}</author>
  </authors>
  <commentList>
    <comment ref="C5" authorId="0" shapeId="0" xr:uid="{1748E4D1-1FDB-496E-BF81-676B97E6FF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considerando o ajuste de Calorific Values
Responder:
    e Densidades</t>
      </text>
    </comment>
    <comment ref="D8" authorId="1" shapeId="0" xr:uid="{185DF2F8-B610-4138-862E-889876ADC6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 mov na Origem e 1 mov no Destino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tc={3C35CEB5-9570-4364-AEC7-A8E34EF173A5}</author>
    <author>tc={3F11B4E6-8C3D-4B7A-8A61-9428641BC355}</author>
  </authors>
  <commentList>
    <comment ref="C7" authorId="0" shapeId="0" xr:uid="{3C35CEB5-9570-4364-AEC7-A8E34EF173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PORTTECHNOLOGY, 2023</t>
      </text>
    </comment>
    <comment ref="D8" authorId="1" shapeId="0" xr:uid="{3F11B4E6-8C3D-4B7A-8A61-9428641BC3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mov na Origem e 2 mov no Destino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tc={635BECD4-D125-4FAB-A6D9-E4AD776EDAE6}</author>
    <author>tc={5C475172-0362-4E05-9C1F-262DC61D9684}</author>
  </authors>
  <commentList>
    <comment ref="C7" authorId="0" shapeId="0" xr:uid="{635BECD4-D125-4FAB-A6D9-E4AD776EDA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considerando o ajuste de Calorific Values
</t>
      </text>
    </comment>
    <comment ref="D8" authorId="1" shapeId="0" xr:uid="{5C475172-0362-4E05-9C1F-262DC61D96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mov na Origem e 2 mov no Destino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tc={1EA467C3-3945-453A-AFB3-A02151927886}</author>
    <author>tc={41E453E0-EDFC-4872-AF8B-B2033081A204}</author>
  </authors>
  <commentList>
    <comment ref="C5" authorId="0" shapeId="0" xr:uid="{1EA467C3-3945-453A-AFB3-A021519278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SUSTAINABLEWORLDPORTS, 2023</t>
      </text>
    </comment>
    <comment ref="D8" authorId="1" shapeId="0" xr:uid="{41E453E0-EDFC-4872-AF8B-B2033081A2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 mov na Origem e 1 mov no Destino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tc={88DE5772-CBBE-43DA-99A6-1BC7A818CC34}</author>
    <author>tc={A664A682-546C-483F-BAEB-FA9D8F00159C}</author>
  </authors>
  <commentList>
    <comment ref="C5" authorId="0" shapeId="0" xr:uid="{88DE5772-CBBE-43DA-99A6-1BC7A818CC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considerando o ajuste de Calorific Values
Responder:
    E densidades</t>
      </text>
    </comment>
    <comment ref="D8" authorId="1" shapeId="0" xr:uid="{A664A682-546C-483F-BAEB-FA9D8F0015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 mov na Origem e1 mov no Destino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tc={7BBE247A-FA59-4210-9F89-16DDBEC89FC2}</author>
  </authors>
  <commentList>
    <comment ref="F6" authorId="0" shapeId="0" xr:uid="{7BBE247A-FA59-4210-9F89-16DDBEC89F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considerando o ajuste de Calorific Values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tc={C48E1488-3C81-45FD-96D8-12AAD71A01AE}</author>
  </authors>
  <commentList>
    <comment ref="F6" authorId="0" shapeId="0" xr:uid="{C48E1488-3C81-45FD-96D8-12AAD71A01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considerando o ajuste de Calorific Values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tc={10C44A6B-B5F5-45E0-BC57-B5F15C73AFCC}</author>
  </authors>
  <commentList>
    <comment ref="F6" authorId="0" shapeId="0" xr:uid="{10C44A6B-B5F5-45E0-BC57-B5F15C73AF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considerando o ajuste de Calorific Values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tc={EE255A9E-3627-4F8C-BC5B-A305B11BFF8A}</author>
  </authors>
  <commentList>
    <comment ref="D5" authorId="0" shapeId="0" xr:uid="{EE255A9E-3627-4F8C-BC5B-A305B11BFF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considerando o ajuste de Calorific Values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tc={41138F48-90EC-483A-A7CB-37CC47FE47D9}</author>
  </authors>
  <commentList>
    <comment ref="D5" authorId="0" shapeId="0" xr:uid="{41138F48-90EC-483A-A7CB-37CC47FE47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considerando o ajuste de Calorific Values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tc={29E2DBD2-9920-44F5-B93F-F7127C1A1131}</author>
  </authors>
  <commentList>
    <comment ref="D5" authorId="0" shapeId="0" xr:uid="{29E2DBD2-9920-44F5-B93F-F7127C1A11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considerando o ajuste de Calorific Values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tc={5B476440-ABF7-41A8-BD05-107151982F09}</author>
  </authors>
  <commentList>
    <comment ref="D9" authorId="0" shapeId="0" xr:uid="{5B476440-ABF7-41A8-BD05-107151982F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considerando o ajuste de Calorific Values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EB41D4-93AF-4EB0-B698-66C5BA7A95FB}" keepAlive="1" name="Consulta - Table001 (Page 1)" description="Conexão com a consulta 'Table001 (Page 1)' na pasta de trabalho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<sst xmlns="http://schemas.openxmlformats.org/spreadsheetml/2006/main" count="8183" uniqueCount="592">
  <si>
    <t>cpType</t>
  </si>
  <si>
    <t>(All)</t>
  </si>
  <si>
    <t>cpContainerType</t>
  </si>
  <si>
    <t>22G1</t>
  </si>
  <si>
    <t>BRMAO</t>
  </si>
  <si>
    <t>BRPEC</t>
  </si>
  <si>
    <t>BRSUA</t>
  </si>
  <si>
    <t>BRSSA</t>
  </si>
  <si>
    <t>BRIGI</t>
  </si>
  <si>
    <t>BRSSZ</t>
  </si>
  <si>
    <t>Total</t>
  </si>
  <si>
    <t>cpService</t>
  </si>
  <si>
    <t>KAB01</t>
  </si>
  <si>
    <t>Sum of maxWeek</t>
  </si>
  <si>
    <t>Column Labels</t>
  </si>
  <si>
    <t>Row Labels</t>
  </si>
  <si>
    <t>Grand Total</t>
  </si>
  <si>
    <t>45G1</t>
  </si>
  <si>
    <t>Port</t>
  </si>
  <si>
    <t>Sailing</t>
  </si>
  <si>
    <t>Capacity</t>
  </si>
  <si>
    <t>Utilization</t>
  </si>
  <si>
    <t>BRSUA - NB</t>
  </si>
  <si>
    <t>BRPEC - NB</t>
  </si>
  <si>
    <t>BRPEC - SB</t>
  </si>
  <si>
    <t>BRSUA - SB</t>
  </si>
  <si>
    <t>45R1</t>
  </si>
  <si>
    <t>Loading FULL</t>
  </si>
  <si>
    <t>Discharge FULL</t>
  </si>
  <si>
    <t>Loading EMPTIES</t>
  </si>
  <si>
    <t>Discharge EMPTIES</t>
  </si>
  <si>
    <t>Total Moves</t>
  </si>
  <si>
    <t>BRMCP</t>
  </si>
  <si>
    <t>IMB</t>
  </si>
  <si>
    <t>Porto Embarque</t>
  </si>
  <si>
    <t>Manaus</t>
  </si>
  <si>
    <t>Cidade</t>
  </si>
  <si>
    <t>Código do Porto</t>
  </si>
  <si>
    <t>Fortaleza</t>
  </si>
  <si>
    <t>Pecém</t>
  </si>
  <si>
    <t>Recife</t>
  </si>
  <si>
    <t>Suape</t>
  </si>
  <si>
    <t>Salvador</t>
  </si>
  <si>
    <t>Rio de Janeiro</t>
  </si>
  <si>
    <t>Itaguaí</t>
  </si>
  <si>
    <t>São Paulo</t>
  </si>
  <si>
    <t>Santos</t>
  </si>
  <si>
    <t>Total Origem</t>
  </si>
  <si>
    <t>Total Destino</t>
  </si>
  <si>
    <t>Contêineres</t>
  </si>
  <si>
    <t>TEU</t>
  </si>
  <si>
    <t>Item</t>
  </si>
  <si>
    <t>Hour</t>
  </si>
  <si>
    <t>Days</t>
  </si>
  <si>
    <t>Item %</t>
  </si>
  <si>
    <t>% Total</t>
  </si>
  <si>
    <t>Ship Data</t>
  </si>
  <si>
    <t>Proforma Costs (BRL)</t>
  </si>
  <si>
    <t>%</t>
  </si>
  <si>
    <t>Port Time</t>
  </si>
  <si>
    <t>Ship</t>
  </si>
  <si>
    <t>SHIP13</t>
  </si>
  <si>
    <t>Pilotage</t>
  </si>
  <si>
    <t>Pilot IN (hr)</t>
  </si>
  <si>
    <t>Nominal Teus</t>
  </si>
  <si>
    <t>Tugboat</t>
  </si>
  <si>
    <t>Chanell IN (hr)</t>
  </si>
  <si>
    <t>Operational Teus</t>
  </si>
  <si>
    <t>Container Terminal</t>
  </si>
  <si>
    <t>Berthing &amp; Clearance (hr)</t>
  </si>
  <si>
    <t>Lenght (m)</t>
  </si>
  <si>
    <t xml:space="preserve">VLSFO 0.5%S </t>
  </si>
  <si>
    <t>Operation (hr)</t>
  </si>
  <si>
    <t>Projected Speed (kn)</t>
  </si>
  <si>
    <t>MGO</t>
  </si>
  <si>
    <t>Clearance &amp; Unberthing  (hr)</t>
  </si>
  <si>
    <t>MGO Voyage (t/day)</t>
  </si>
  <si>
    <t>Vessel</t>
  </si>
  <si>
    <t>Chanell OUT (hr)</t>
  </si>
  <si>
    <t>MGO Port (t/day)</t>
  </si>
  <si>
    <t>Total (BRL)</t>
  </si>
  <si>
    <t>Pilot OUT</t>
  </si>
  <si>
    <t>Number of Ships</t>
  </si>
  <si>
    <t>Slot Cost (BRL/Teu)</t>
  </si>
  <si>
    <t>Voyage Time</t>
  </si>
  <si>
    <t>Daily cost (BRL/day)</t>
  </si>
  <si>
    <t>Total Time</t>
  </si>
  <si>
    <t>Bunker Price</t>
  </si>
  <si>
    <t>Transit Time (Days)</t>
  </si>
  <si>
    <t>VLSFO 0.5%S BRL/t</t>
  </si>
  <si>
    <t>Sea Distance (nm)</t>
  </si>
  <si>
    <t>MGO BRL/t</t>
  </si>
  <si>
    <t>Average Speed (kn)</t>
  </si>
  <si>
    <t>Slack (hr)</t>
  </si>
  <si>
    <t>Slack %</t>
  </si>
  <si>
    <t>Navigation</t>
  </si>
  <si>
    <t>Costs</t>
  </si>
  <si>
    <t>Pilot Station</t>
  </si>
  <si>
    <t>Direction</t>
  </si>
  <si>
    <t>Rotation</t>
  </si>
  <si>
    <t>Terminal</t>
  </si>
  <si>
    <t>Voyage Day</t>
  </si>
  <si>
    <t>Week Day</t>
  </si>
  <si>
    <t>Arrival</t>
  </si>
  <si>
    <t>Channell IN (hr)</t>
  </si>
  <si>
    <t>Berth Arrival</t>
  </si>
  <si>
    <t>Start Operation</t>
  </si>
  <si>
    <t>STS Number</t>
  </si>
  <si>
    <t>STS Given</t>
  </si>
  <si>
    <t>STS (mvs/hr)</t>
  </si>
  <si>
    <t>Operation Time (hr)</t>
  </si>
  <si>
    <t>Finish Operation</t>
  </si>
  <si>
    <t>Sailing Berth</t>
  </si>
  <si>
    <t>Channel OUT (hr)</t>
  </si>
  <si>
    <t>Pilot OUT (hr)</t>
  </si>
  <si>
    <t>Sailing (hr)</t>
  </si>
  <si>
    <t xml:space="preserve">Pilot Stations Distance (mn) </t>
  </si>
  <si>
    <t>Speed (kn)</t>
  </si>
  <si>
    <t>Current (kn)</t>
  </si>
  <si>
    <t>Real Speed (kn)</t>
  </si>
  <si>
    <t>Hours</t>
  </si>
  <si>
    <t>Sailing Slack (hr)</t>
  </si>
  <si>
    <t>Bunker Consumption t/h</t>
  </si>
  <si>
    <t>VLSFO Consumption (t)</t>
  </si>
  <si>
    <t>VLSFO Cost (BRL)</t>
  </si>
  <si>
    <t>Pilotage IN Cost (BRL)</t>
  </si>
  <si>
    <t>Tugboat IN Cost (BRL)</t>
  </si>
  <si>
    <t>Berth Cost (BRL)</t>
  </si>
  <si>
    <t>Mooring Cost (BRL)</t>
  </si>
  <si>
    <t>Unmooring Cost (BRL)</t>
  </si>
  <si>
    <t>Pilotage OUT Cost (BRL)</t>
  </si>
  <si>
    <t>Tugboat OUT Cost (BRL)</t>
  </si>
  <si>
    <t>ZP16</t>
  </si>
  <si>
    <t>N</t>
  </si>
  <si>
    <t>B</t>
  </si>
  <si>
    <t>ZP1601</t>
  </si>
  <si>
    <t>BRSSZTB01</t>
  </si>
  <si>
    <t>BRSSZTCO</t>
  </si>
  <si>
    <t>ZP15A</t>
  </si>
  <si>
    <t>ZP15A03</t>
  </si>
  <si>
    <t>BRIGITB01</t>
  </si>
  <si>
    <t>BRIGITCO</t>
  </si>
  <si>
    <t>ZP12</t>
  </si>
  <si>
    <t>ZP1202</t>
  </si>
  <si>
    <t>BRSSATB01</t>
  </si>
  <si>
    <t>BRSSATCO</t>
  </si>
  <si>
    <t>ZP9</t>
  </si>
  <si>
    <t>ZP901</t>
  </si>
  <si>
    <t>BRSUATB02</t>
  </si>
  <si>
    <t>BRSUATCO</t>
  </si>
  <si>
    <t>ZP5</t>
  </si>
  <si>
    <t>ZP501</t>
  </si>
  <si>
    <t>BRPECTB01</t>
  </si>
  <si>
    <t>BRPECAPM</t>
  </si>
  <si>
    <t>ZP1</t>
  </si>
  <si>
    <t>ZP101</t>
  </si>
  <si>
    <t>ZP2</t>
  </si>
  <si>
    <t>S</t>
  </si>
  <si>
    <t>D</t>
  </si>
  <si>
    <t>ZP201</t>
  </si>
  <si>
    <t>BRMAOTB01</t>
  </si>
  <si>
    <t>BRMAOCHI</t>
  </si>
  <si>
    <t>BRPECTB02</t>
  </si>
  <si>
    <t>Transit Time(days)</t>
  </si>
  <si>
    <t>cabService</t>
  </si>
  <si>
    <t>cabShipCode</t>
  </si>
  <si>
    <t>cabVoyage</t>
  </si>
  <si>
    <t>cabDirection</t>
  </si>
  <si>
    <t>cabRotation</t>
  </si>
  <si>
    <t>cabPort</t>
  </si>
  <si>
    <t>cabPilotage</t>
  </si>
  <si>
    <t>cabTugboat</t>
  </si>
  <si>
    <t>cabTerminalCode</t>
  </si>
  <si>
    <t>cabWeek</t>
  </si>
  <si>
    <t>cabBooking</t>
  </si>
  <si>
    <t>cabDeadline</t>
  </si>
  <si>
    <t>cabEta</t>
  </si>
  <si>
    <t>cabEtb</t>
  </si>
  <si>
    <t>cabEts</t>
  </si>
  <si>
    <t>cabNextPort</t>
  </si>
  <si>
    <t>cabNextTerminal</t>
  </si>
  <si>
    <t>SHIP14</t>
  </si>
  <si>
    <t>SHIP15</t>
  </si>
  <si>
    <t>SHIP16</t>
  </si>
  <si>
    <t>Distâncias (km)</t>
  </si>
  <si>
    <t>Belém</t>
  </si>
  <si>
    <t>Manaus (via Belém)</t>
  </si>
  <si>
    <t>km Rodoviário Direto</t>
  </si>
  <si>
    <t>Transporte Semanal</t>
  </si>
  <si>
    <t>Total Origem (km)</t>
  </si>
  <si>
    <t>Total Destino (km)</t>
  </si>
  <si>
    <t>Caminhões Pesados com motores do ciclo Diesel</t>
  </si>
  <si>
    <t>CO</t>
  </si>
  <si>
    <t>HC</t>
  </si>
  <si>
    <r>
      <t>CH</t>
    </r>
    <r>
      <rPr>
        <b/>
        <vertAlign val="subscript"/>
        <sz val="10"/>
        <color rgb="FFFFFFFF"/>
        <rFont val="Calibri"/>
        <family val="2"/>
      </rPr>
      <t>4</t>
    </r>
  </si>
  <si>
    <t>NOx</t>
  </si>
  <si>
    <t>MP</t>
  </si>
  <si>
    <r>
      <t>N</t>
    </r>
    <r>
      <rPr>
        <b/>
        <vertAlign val="subscript"/>
        <sz val="10"/>
        <color rgb="FFFFFFFF"/>
        <rFont val="Calibri"/>
        <family val="2"/>
      </rPr>
      <t>2</t>
    </r>
    <r>
      <rPr>
        <b/>
        <sz val="10"/>
        <color rgb="FFFFFFFF"/>
        <rFont val="Calibri"/>
        <family val="2"/>
      </rPr>
      <t>O</t>
    </r>
  </si>
  <si>
    <t>Autonomia</t>
  </si>
  <si>
    <t>Ano</t>
  </si>
  <si>
    <t>Fase Proconve</t>
  </si>
  <si>
    <t>(g/km)</t>
  </si>
  <si>
    <t>(km/l)</t>
  </si>
  <si>
    <t>até 1999</t>
  </si>
  <si>
    <t>P2/P3/P4</t>
  </si>
  <si>
    <t>2000-2001</t>
  </si>
  <si>
    <t>P3/P4</t>
  </si>
  <si>
    <t>2002-2003</t>
  </si>
  <si>
    <t>P4</t>
  </si>
  <si>
    <t>2004-2005</t>
  </si>
  <si>
    <t>P4/P5</t>
  </si>
  <si>
    <t>P5</t>
  </si>
  <si>
    <t>P7</t>
  </si>
  <si>
    <t>2013</t>
  </si>
  <si>
    <t>HFO</t>
  </si>
  <si>
    <t>MDO</t>
  </si>
  <si>
    <t>LNG</t>
  </si>
  <si>
    <t>NMVOC</t>
  </si>
  <si>
    <t>PM</t>
  </si>
  <si>
    <t>BC</t>
  </si>
  <si>
    <t>Poluente</t>
  </si>
  <si>
    <t>Tipo Combustível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</si>
  <si>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</si>
  <si>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b/>
        <vertAlign val="subscript"/>
        <sz val="11"/>
        <color theme="1"/>
        <rFont val="Calibri"/>
        <family val="2"/>
        <scheme val="minor"/>
      </rPr>
      <t>4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</si>
  <si>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</si>
  <si>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NO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</si>
  <si>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SO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</si>
  <si>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PM</t>
    </r>
    <r>
      <rPr>
        <b/>
        <vertAlign val="subscript"/>
        <sz val="11"/>
        <color theme="1"/>
        <rFont val="Calibri"/>
        <family val="2"/>
        <scheme val="minor"/>
      </rPr>
      <t>2.5</t>
    </r>
  </si>
  <si>
    <r>
      <t>CO</t>
    </r>
    <r>
      <rPr>
        <b/>
        <vertAlign val="subscript"/>
        <sz val="11"/>
        <color theme="0"/>
        <rFont val="Calibri"/>
        <family val="2"/>
        <scheme val="minor"/>
      </rPr>
      <t>2</t>
    </r>
  </si>
  <si>
    <r>
      <t>CH</t>
    </r>
    <r>
      <rPr>
        <b/>
        <vertAlign val="subscript"/>
        <sz val="11"/>
        <color theme="0"/>
        <rFont val="Calibri"/>
        <family val="2"/>
        <scheme val="minor"/>
      </rPr>
      <t>4</t>
    </r>
  </si>
  <si>
    <r>
      <t>N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O</t>
    </r>
  </si>
  <si>
    <r>
      <t>NO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</si>
  <si>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t>SO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</si>
  <si>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t>PM</t>
    </r>
    <r>
      <rPr>
        <b/>
        <vertAlign val="subscript"/>
        <sz val="11"/>
        <color theme="0"/>
        <rFont val="Calibri"/>
        <family val="2"/>
        <scheme val="minor"/>
      </rPr>
      <t>2.5</t>
    </r>
  </si>
  <si>
    <t>Poluente (kg /t combustível)</t>
  </si>
  <si>
    <t>GWP (AR5)</t>
  </si>
  <si>
    <t>GEE</t>
  </si>
  <si>
    <r>
      <t xml:space="preserve"> kg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/km</t>
    </r>
  </si>
  <si>
    <r>
      <t>Fator de emissão de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modal Rodoviário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</si>
  <si>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 (kg)</t>
    </r>
  </si>
  <si>
    <r>
      <t>Total Origem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 (kg)</t>
    </r>
  </si>
  <si>
    <r>
      <t>Total Destino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(kg)</t>
    </r>
  </si>
  <si>
    <r>
      <t>Fator de emissão de CH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 xml:space="preserve"> modal Rodoviário</t>
    </r>
  </si>
  <si>
    <r>
      <t>Total Origem CH</t>
    </r>
    <r>
      <rPr>
        <b/>
        <vertAlign val="subscript"/>
        <sz val="12"/>
        <color theme="0"/>
        <rFont val="Calibri"/>
        <family val="2"/>
        <scheme val="minor"/>
      </rPr>
      <t>4</t>
    </r>
    <r>
      <rPr>
        <b/>
        <sz val="12"/>
        <color theme="0"/>
        <rFont val="Calibri"/>
        <family val="2"/>
        <scheme val="minor"/>
      </rPr>
      <t xml:space="preserve"> (kg)</t>
    </r>
  </si>
  <si>
    <r>
      <t>Total Destino CH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 xml:space="preserve"> (kg)</t>
    </r>
  </si>
  <si>
    <r>
      <t>Fator de emissão de 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 modal Rodoviário</t>
    </r>
  </si>
  <si>
    <r>
      <t>Total Origem N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O (kg)</t>
    </r>
  </si>
  <si>
    <r>
      <t>Total Destino 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 (kg)</t>
    </r>
  </si>
  <si>
    <r>
      <t>Fator de emissão de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modal Hidroviário</t>
    </r>
  </si>
  <si>
    <r>
      <t>Fator de emissão de CH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 xml:space="preserve"> modal Hidroviário</t>
    </r>
  </si>
  <si>
    <r>
      <t>Fator de emissão de 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 modal Hidroviário</t>
    </r>
  </si>
  <si>
    <r>
      <t>Dióxido de Carbono (CO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</si>
  <si>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Metano (CH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>)</t>
    </r>
  </si>
  <si>
    <r>
      <t>Óxido Nitroso (N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O) </t>
    </r>
  </si>
  <si>
    <r>
      <t xml:space="preserve"> Emissão de N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O (kg)</t>
    </r>
  </si>
  <si>
    <r>
      <t xml:space="preserve"> Emissão de CH</t>
    </r>
    <r>
      <rPr>
        <b/>
        <vertAlign val="subscript"/>
        <sz val="12"/>
        <color theme="0"/>
        <rFont val="Calibri"/>
        <family val="2"/>
        <scheme val="minor"/>
      </rPr>
      <t>4</t>
    </r>
    <r>
      <rPr>
        <b/>
        <sz val="12"/>
        <color theme="0"/>
        <rFont val="Calibri"/>
        <family val="2"/>
        <scheme val="minor"/>
      </rPr>
      <t xml:space="preserve"> (kg)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</si>
  <si>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(kg)</t>
    </r>
  </si>
  <si>
    <r>
      <t>Total Origem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(kg)</t>
    </r>
  </si>
  <si>
    <r>
      <t>Total Destino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e (kg)</t>
    </r>
  </si>
  <si>
    <t>-</t>
  </si>
  <si>
    <r>
      <t>Total Origem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(%)</t>
    </r>
  </si>
  <si>
    <r>
      <t>Total Destino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e (%)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</si>
  <si>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(%)</t>
    </r>
  </si>
  <si>
    <t>Distância para Terminal de Contêineres (km)</t>
  </si>
  <si>
    <t>Distância para Depot (km)</t>
  </si>
  <si>
    <t>Distância para Terminal de Transportadora (km)</t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</si>
  <si>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(kg/contêiner)</t>
    </r>
  </si>
  <si>
    <r>
      <t>Fator de emissão de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modal Rodoviário Cabotagem</t>
    </r>
  </si>
  <si>
    <r>
      <t>Fator de emissão de CH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 xml:space="preserve"> modal Rodoviário Cabotagem</t>
    </r>
  </si>
  <si>
    <r>
      <t>Fator de emissão de 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 modal Rodoviário Cabotagem</t>
    </r>
  </si>
  <si>
    <t>Distância Rodoviária Total da Cabotagem (km)</t>
  </si>
  <si>
    <r>
      <t>Fator de emissão de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Depot</t>
    </r>
  </si>
  <si>
    <r>
      <t>Fator de emissão de CH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 xml:space="preserve"> Depot</t>
    </r>
  </si>
  <si>
    <r>
      <t>Fator de emissão de 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 Depot</t>
    </r>
  </si>
  <si>
    <t>Movimentação Depot</t>
  </si>
  <si>
    <t>km/l</t>
  </si>
  <si>
    <t>Consumo</t>
  </si>
  <si>
    <t>l/contêiner</t>
  </si>
  <si>
    <t>kg/km</t>
  </si>
  <si>
    <t>g/km</t>
  </si>
  <si>
    <t>kg/l</t>
  </si>
  <si>
    <r>
      <t xml:space="preserve"> g CH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>/km</t>
    </r>
  </si>
  <si>
    <r>
      <t xml:space="preserve"> g 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O/km</t>
    </r>
  </si>
  <si>
    <t>g/contêiner</t>
  </si>
  <si>
    <t>kg/contêiner</t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</si>
  <si>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(%) - Depot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</si>
  <si>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(kg) - Depot</t>
    </r>
  </si>
  <si>
    <r>
      <t xml:space="preserve"> Emissão de CH</t>
    </r>
    <r>
      <rPr>
        <b/>
        <vertAlign val="subscript"/>
        <sz val="12"/>
        <color theme="0"/>
        <rFont val="Calibri"/>
        <family val="2"/>
        <scheme val="minor"/>
      </rPr>
      <t>4</t>
    </r>
    <r>
      <rPr>
        <b/>
        <sz val="12"/>
        <color theme="0"/>
        <rFont val="Calibri"/>
        <family val="2"/>
        <scheme val="minor"/>
      </rPr>
      <t xml:space="preserve"> (kg) - Rodoviário Cabotagem</t>
    </r>
  </si>
  <si>
    <r>
      <t xml:space="preserve"> Emissão de N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O (kg) - Rodoviário Cabotagem</t>
    </r>
  </si>
  <si>
    <r>
      <t>Fator de emissão de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Terminal de Contêineres - RTG</t>
    </r>
  </si>
  <si>
    <r>
      <t>Fator de emissão de CH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 xml:space="preserve"> Terminal de Contêineres - RTG</t>
    </r>
  </si>
  <si>
    <r>
      <t>Fator de emissão de 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 Terminal de Contêineres - RTG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</si>
  <si>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(kg) - Terminal de Contêineres - RTG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</si>
  <si>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(%) - Terminal de Contêineres - RTG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</si>
  <si>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(kg/contêiner) - Terminal de Contêineres - RTG</t>
    </r>
  </si>
  <si>
    <t>Movimentação Terminal de Contêiner - RTG</t>
  </si>
  <si>
    <r>
      <t>Fator de emissão de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Terminal de Contêineres - TT</t>
    </r>
  </si>
  <si>
    <r>
      <t>Fator de emissão de CH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sz val="12"/>
        <color theme="1"/>
        <rFont val="Calibri"/>
        <family val="2"/>
        <scheme val="minor"/>
      </rPr>
      <t xml:space="preserve"> Terminal de Contêineres - TT</t>
    </r>
  </si>
  <si>
    <r>
      <t>Fator de emissão de 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 Terminal de Contêineres - TT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</si>
  <si>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(kg) - Terminal de Contêineres - TT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</si>
  <si>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(%) - Terminal de Contêineres - TT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</si>
  <si>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(kg/contêiner) - Terminal de Contêineres - TT</t>
    </r>
  </si>
  <si>
    <t>Porto</t>
  </si>
  <si>
    <t>Navegação</t>
  </si>
  <si>
    <t>VLSFO (t)</t>
  </si>
  <si>
    <t>Diesel</t>
  </si>
  <si>
    <t>VLSFO</t>
  </si>
  <si>
    <t>Poluente (kg)</t>
  </si>
  <si>
    <t>CO2e (kg/contêiner)</t>
  </si>
  <si>
    <t>CO2e (kg)</t>
  </si>
  <si>
    <r>
      <t>CO</t>
    </r>
    <r>
      <rPr>
        <b/>
        <vertAlign val="subscript"/>
        <sz val="12"/>
        <color theme="0"/>
        <rFont val="Calibri"/>
        <family val="2"/>
        <scheme val="minor"/>
      </rPr>
      <t>2</t>
    </r>
  </si>
  <si>
    <r>
      <t>CH</t>
    </r>
    <r>
      <rPr>
        <b/>
        <vertAlign val="subscript"/>
        <sz val="12"/>
        <color theme="0"/>
        <rFont val="Calibri"/>
        <family val="2"/>
        <scheme val="minor"/>
      </rPr>
      <t>4</t>
    </r>
  </si>
  <si>
    <r>
      <t>N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O</t>
    </r>
  </si>
  <si>
    <t>Quantidade</t>
  </si>
  <si>
    <t>Manobras</t>
  </si>
  <si>
    <t>Consumo (l/h)</t>
  </si>
  <si>
    <t>Tempo Operação (h)</t>
  </si>
  <si>
    <t>Consumo (t)</t>
  </si>
  <si>
    <t>Distância Rodoviária considerando 10 km de/para Terminal de Balsas em Manaus</t>
  </si>
  <si>
    <t>Distância Rodoviária a partir do Google Maps</t>
  </si>
  <si>
    <t>Distâncias para o transporte de contêineres por par de portos</t>
  </si>
  <si>
    <t>Cálculo das Emissões</t>
  </si>
  <si>
    <t>Emissões Veiculares no Estado de São Paulo 2021 da CETESB</t>
  </si>
  <si>
    <r>
      <t>Fatores para cálculo de CO</t>
    </r>
    <r>
      <rPr>
        <b/>
        <vertAlign val="subscript"/>
        <sz val="14"/>
        <color theme="0"/>
        <rFont val="Calibri"/>
        <family val="2"/>
        <scheme val="minor"/>
      </rPr>
      <t>2</t>
    </r>
    <r>
      <rPr>
        <b/>
        <sz val="14"/>
        <color theme="0"/>
        <rFont val="Calibri"/>
        <family val="2"/>
        <scheme val="minor"/>
      </rPr>
      <t>e</t>
    </r>
  </si>
  <si>
    <r>
      <t>Dióxido de Carbono (CO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)</t>
    </r>
  </si>
  <si>
    <r>
      <t>Metano (CH</t>
    </r>
    <r>
      <rPr>
        <b/>
        <vertAlign val="subscript"/>
        <sz val="10"/>
        <color theme="1"/>
        <rFont val="Calibri"/>
        <family val="2"/>
        <scheme val="minor"/>
      </rPr>
      <t>4</t>
    </r>
    <r>
      <rPr>
        <b/>
        <sz val="10"/>
        <color theme="1"/>
        <rFont val="Calibri"/>
        <family val="2"/>
        <scheme val="minor"/>
      </rPr>
      <t>)</t>
    </r>
  </si>
  <si>
    <r>
      <t>Óxido Nitroso (N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 xml:space="preserve">O) </t>
    </r>
  </si>
  <si>
    <t>Transporte por Balsas Manaus - Belém (fonte - J.F de Oliveira Navegação Ltda)</t>
  </si>
  <si>
    <t>Comboio</t>
  </si>
  <si>
    <t>1 Empurrador com 2 balsas</t>
  </si>
  <si>
    <t>Combustível</t>
  </si>
  <si>
    <t>IFO</t>
  </si>
  <si>
    <t>Consumo (t/h)</t>
  </si>
  <si>
    <t>Conversão l para t</t>
  </si>
  <si>
    <t>l/h</t>
  </si>
  <si>
    <t>l/t</t>
  </si>
  <si>
    <t>t/h</t>
  </si>
  <si>
    <t>Carretas</t>
  </si>
  <si>
    <t>Dados Operacionais</t>
  </si>
  <si>
    <t>Viagem Manaus - Belém</t>
  </si>
  <si>
    <t>Viagem Belém - Manaus</t>
  </si>
  <si>
    <t>dia</t>
  </si>
  <si>
    <t>dias</t>
  </si>
  <si>
    <t>Consumo IFO por Carreta</t>
  </si>
  <si>
    <t>Óleos Marítimos</t>
  </si>
  <si>
    <t>Tipo</t>
  </si>
  <si>
    <t>Poluente (kg /t combustível) - base 2018</t>
  </si>
  <si>
    <t>km Rodoviário Cabotagem Semanal</t>
  </si>
  <si>
    <t>Origem / Destino</t>
  </si>
  <si>
    <t>Diesel S10</t>
  </si>
  <si>
    <t>Produtividade</t>
  </si>
  <si>
    <t>contêiner/h</t>
  </si>
  <si>
    <t>Consumo padrão</t>
  </si>
  <si>
    <t>Estimativa do fatores de emissão por contêiner</t>
  </si>
  <si>
    <r>
      <t>CH</t>
    </r>
    <r>
      <rPr>
        <b/>
        <vertAlign val="subscript"/>
        <sz val="12"/>
        <color theme="1"/>
        <rFont val="Calibri"/>
        <family val="2"/>
        <scheme val="minor"/>
      </rPr>
      <t>4</t>
    </r>
  </si>
  <si>
    <r>
      <t>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</t>
    </r>
  </si>
  <si>
    <r>
      <t>CO</t>
    </r>
    <r>
      <rPr>
        <b/>
        <vertAlign val="subscript"/>
        <sz val="12"/>
        <color theme="1"/>
        <rFont val="Calibri"/>
        <family val="2"/>
        <scheme val="minor"/>
      </rPr>
      <t>2</t>
    </r>
  </si>
  <si>
    <t>Estimativa do fatores de emissão por litro</t>
  </si>
  <si>
    <t>t/carreta</t>
  </si>
  <si>
    <t>Movimentação Terminal de Contêiner - TT</t>
  </si>
  <si>
    <t>Somatória de RTG e TT</t>
  </si>
  <si>
    <t>Porto Origem</t>
  </si>
  <si>
    <t>Porto Destino</t>
  </si>
  <si>
    <t>MDO (t)</t>
  </si>
  <si>
    <t>Consumo durante viagem</t>
  </si>
  <si>
    <t>Contêineres a Bordo</t>
  </si>
  <si>
    <t>São considerados os contêineres a bordo do navio no trecho considerado</t>
  </si>
  <si>
    <t>Parâmetros de dias e consumos utilizados são derivados do Proforma desenvolvido no Relatório 1</t>
  </si>
  <si>
    <t>Emissão nos Depots por Contêiner</t>
  </si>
  <si>
    <t>Emissão no Transporte Rodoviário de Cabotagem por Contêiner</t>
  </si>
  <si>
    <t>Emissão no Transporte Rodoviário Direto por Contêiner</t>
  </si>
  <si>
    <t>Lancha</t>
  </si>
  <si>
    <t>Rebocador</t>
  </si>
  <si>
    <t>São considerados os contêineres a bordo do navio e os embarcados e descarregados no Porto</t>
  </si>
  <si>
    <t>Considera-se as operações iguais para todos os Portos</t>
  </si>
  <si>
    <t>Contêineres no Porto</t>
  </si>
  <si>
    <t>Somatória de Rodoviário Cabotagem + Depot + Terminal de Contêiner + Transporte de Cabotagem + Porto</t>
  </si>
  <si>
    <t>Movimentos</t>
  </si>
  <si>
    <t>mov/contêiner</t>
  </si>
  <si>
    <t>Dias Navegação</t>
  </si>
  <si>
    <t>Dias Porto</t>
  </si>
  <si>
    <t>Porto - Sentido</t>
  </si>
  <si>
    <t>BRSUA -SB</t>
  </si>
  <si>
    <r>
      <t>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e na Cabotagem por Contêiner (kg/contêiner) </t>
    </r>
  </si>
  <si>
    <r>
      <t>Diferença de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e entre Cabotagem e Rodoviário Direto por Contêiner (kg/contêiner) </t>
    </r>
  </si>
  <si>
    <r>
      <t>Diferença de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e entre Cabotagem e Rodoviário Direto (kg) </t>
    </r>
  </si>
  <si>
    <r>
      <t>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</t>
    </r>
  </si>
  <si>
    <t>Rodoviário Direto</t>
  </si>
  <si>
    <t>Cabotagem</t>
  </si>
  <si>
    <t>Rodoviário</t>
  </si>
  <si>
    <t>Depot</t>
  </si>
  <si>
    <t>Terminal de Contêineres</t>
  </si>
  <si>
    <t>Viagem</t>
  </si>
  <si>
    <r>
      <t>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(kg)</t>
    </r>
  </si>
  <si>
    <r>
      <t xml:space="preserve"> kg CO</t>
    </r>
    <r>
      <rPr>
        <b/>
        <vertAlign val="subscript"/>
        <sz val="12"/>
        <color theme="1"/>
        <rFont val="Calibri"/>
        <family val="2"/>
        <scheme val="minor"/>
      </rPr>
      <t>2</t>
    </r>
  </si>
  <si>
    <r>
      <t>kg CH</t>
    </r>
    <r>
      <rPr>
        <b/>
        <vertAlign val="subscript"/>
        <sz val="12"/>
        <color theme="1"/>
        <rFont val="Calibri"/>
        <family val="2"/>
        <scheme val="minor"/>
      </rPr>
      <t>4</t>
    </r>
  </si>
  <si>
    <r>
      <t xml:space="preserve"> kg 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</t>
    </r>
  </si>
  <si>
    <r>
      <t>kg N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O</t>
    </r>
  </si>
  <si>
    <t>Praticagem e Rebocador</t>
  </si>
  <si>
    <t>Consumo Combustíveis no Porto</t>
  </si>
  <si>
    <t>Combustíveis nos Portos</t>
  </si>
  <si>
    <t>Modal</t>
  </si>
  <si>
    <t>Estimativa do fatores de emissão</t>
  </si>
  <si>
    <t>Biodiesel</t>
  </si>
  <si>
    <t>Gás Comprimido</t>
  </si>
  <si>
    <t>CNG - GNV</t>
  </si>
  <si>
    <t>Base</t>
  </si>
  <si>
    <t>GNV</t>
  </si>
  <si>
    <t>VLSFO + MDO</t>
  </si>
  <si>
    <t>Porto Chibatão</t>
  </si>
  <si>
    <t>http://www.grupochibatao.com.br/institucional/porto-chibatao/</t>
  </si>
  <si>
    <t>Cais Flutuante com ponte</t>
  </si>
  <si>
    <t>Superterminais</t>
  </si>
  <si>
    <t>https://superterminais.com.br/</t>
  </si>
  <si>
    <t>BRVLC</t>
  </si>
  <si>
    <t>Tecon Vila do Conde</t>
  </si>
  <si>
    <t>https://www.santosbrasil.com.br/v2021/conteineres</t>
  </si>
  <si>
    <t>Cais Público offshore com ponte</t>
  </si>
  <si>
    <t>Guindaste sobre Rodas (MHC)</t>
  </si>
  <si>
    <t>BRIQI</t>
  </si>
  <si>
    <t>Empresa Maranhense de Administração Portuária (EMAP)</t>
  </si>
  <si>
    <t>https://www.portodoitaqui.com/</t>
  </si>
  <si>
    <t>Cais Público</t>
  </si>
  <si>
    <t>APM Terminals Pecém</t>
  </si>
  <si>
    <t>https://www.apmterminals.com/pt/pecem</t>
  </si>
  <si>
    <t>Cais Offshore com ponte</t>
  </si>
  <si>
    <t>Portainer</t>
  </si>
  <si>
    <t>Tecon Suape</t>
  </si>
  <si>
    <t>https://www.teconsuape.com/</t>
  </si>
  <si>
    <t>Padrão</t>
  </si>
  <si>
    <t>Contígua ao cais</t>
  </si>
  <si>
    <t>Tecon Salvador</t>
  </si>
  <si>
    <t>https://www.wilsonsons.com.br/pt-br/teconsalvador/</t>
  </si>
  <si>
    <t>BRVIX</t>
  </si>
  <si>
    <t>Terminal Portuário de Vila Velha (TVV)</t>
  </si>
  <si>
    <t>https://www.loginlogistica.com.br/terminal-portuario</t>
  </si>
  <si>
    <t>Sepetiba Tecon</t>
  </si>
  <si>
    <t>https://www.csn.com.br/quem-somos/grupo-csn/sepetiba-tecon/</t>
  </si>
  <si>
    <t>BRRIO</t>
  </si>
  <si>
    <t>ICTSI RIO 1</t>
  </si>
  <si>
    <t>https://www.ictsirio.com/</t>
  </si>
  <si>
    <t>MultiRio</t>
  </si>
  <si>
    <t>https://www.multiterminais.com.br/multirio</t>
  </si>
  <si>
    <t>Tecon Santos</t>
  </si>
  <si>
    <t>Brasil Terminal Portuário (BTP)</t>
  </si>
  <si>
    <t>https://www.btp.com.br/</t>
  </si>
  <si>
    <t>DP World Santos</t>
  </si>
  <si>
    <t>https://www.dpworld.com/pt-br/santos</t>
  </si>
  <si>
    <t>BRPNG</t>
  </si>
  <si>
    <t>Terminal de Contêineres de Paranaguá (TCP)</t>
  </si>
  <si>
    <t>https://www.tcp.com.br/</t>
  </si>
  <si>
    <t>BRIOA</t>
  </si>
  <si>
    <t>Porto Itapoá</t>
  </si>
  <si>
    <t>https://www.portoitapoa.com/</t>
  </si>
  <si>
    <t>BRNVT</t>
  </si>
  <si>
    <t>Portonave</t>
  </si>
  <si>
    <t>https://www.portonave.com.br/pt/</t>
  </si>
  <si>
    <t>BRITJ</t>
  </si>
  <si>
    <t>APM Terminals Itajaí</t>
  </si>
  <si>
    <t>https://www.apmterminals.com/pt/itajai</t>
  </si>
  <si>
    <t>BRIBI</t>
  </si>
  <si>
    <t>Tecon Imbituba</t>
  </si>
  <si>
    <t>Offshore</t>
  </si>
  <si>
    <t>BRRIG</t>
  </si>
  <si>
    <t>Tecon Rio Grande</t>
  </si>
  <si>
    <t>https://www.wilsonsons.com.br/pt-br/teconriogrande/</t>
  </si>
  <si>
    <t>Nome do Terminal</t>
  </si>
  <si>
    <t>URL</t>
  </si>
  <si>
    <t>Layout</t>
  </si>
  <si>
    <t>Equipamento Cais</t>
  </si>
  <si>
    <t>Área de Armazenagem</t>
  </si>
  <si>
    <t>Separada do cais</t>
  </si>
  <si>
    <r>
      <t>Emissões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dos Navios em Viagem (kg/contêiner)</t>
    </r>
  </si>
  <si>
    <t>Portos</t>
  </si>
  <si>
    <r>
      <t>Emissões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dos Navios nos Portos (kg/contêiner)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</si>
  <si>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na Cabotagem (kg/contêiner)</t>
    </r>
  </si>
  <si>
    <r>
      <t xml:space="preserve"> Emissão semanal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(kg) na Cabotagem</t>
    </r>
  </si>
  <si>
    <t>Fato Gerador das Emissões</t>
  </si>
  <si>
    <t>Terminal de Contêiner</t>
  </si>
  <si>
    <t>Navio no Porto</t>
  </si>
  <si>
    <t>Navio em Viagem</t>
  </si>
  <si>
    <t>Metanol</t>
  </si>
  <si>
    <t>Cálculo das Emissões - GNV</t>
  </si>
  <si>
    <t>Cálculo das Emissões - Diesel</t>
  </si>
  <si>
    <r>
      <t>Emissões semanais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(kg)</t>
    </r>
  </si>
  <si>
    <t>Dif Cabotagem x Rodoviário Direto</t>
  </si>
  <si>
    <t>https://www.epa.gov/system/files/documents/2022-04/ghg_emission_factors_hub.pdf</t>
  </si>
  <si>
    <t>EPA - GHG Emission Factors Hub</t>
  </si>
  <si>
    <t>1 Gallon</t>
  </si>
  <si>
    <t>Cálculo das Emissões - Biodiesel</t>
  </si>
  <si>
    <t>g/mile</t>
  </si>
  <si>
    <t>kg/gallon</t>
  </si>
  <si>
    <t>1 mile</t>
  </si>
  <si>
    <t>km</t>
  </si>
  <si>
    <t>kJ/g</t>
  </si>
  <si>
    <t xml:space="preserve">Calorific Values </t>
  </si>
  <si>
    <t>Consumo Biodiesel por Carreta</t>
  </si>
  <si>
    <t>Density</t>
  </si>
  <si>
    <t>kg/t</t>
  </si>
  <si>
    <t>(kg/t)</t>
  </si>
  <si>
    <t>g/gallon</t>
  </si>
  <si>
    <t>l</t>
  </si>
  <si>
    <t>kg / t Biodiesel</t>
  </si>
  <si>
    <t>g/l</t>
  </si>
  <si>
    <t>Óleo Diesel - Caminhões Pesados</t>
  </si>
  <si>
    <t>Óleo Diesel - Equipamentos de Movimentação de Contêineres</t>
  </si>
  <si>
    <t>(g/l)</t>
  </si>
  <si>
    <t>Biodiesel(t)</t>
  </si>
  <si>
    <t>Biodiesel (t)</t>
  </si>
  <si>
    <t>MEPC.281(70)</t>
  </si>
  <si>
    <t>Fourth IMO GHG Study 2020 - Table 27 – Emissions factors used in this study for top-down estimation (unit: kg pollutant/tonne fuel)</t>
  </si>
  <si>
    <t>LNG(t)</t>
  </si>
  <si>
    <t>LNG (t)</t>
  </si>
  <si>
    <t>Methanol</t>
  </si>
  <si>
    <t>Methanol (t)</t>
  </si>
  <si>
    <t>Consumo (l)</t>
  </si>
  <si>
    <t>Fator kg/l</t>
  </si>
  <si>
    <t>Density (kg/l)</t>
  </si>
  <si>
    <t>Feeder</t>
  </si>
  <si>
    <t>Mercado</t>
  </si>
  <si>
    <t>% Cabotagem</t>
  </si>
  <si>
    <t>% Feeder</t>
  </si>
  <si>
    <t>% PIB</t>
  </si>
  <si>
    <t>% Ano a Ano</t>
  </si>
  <si>
    <t>% Variação Anual</t>
  </si>
  <si>
    <t>Modal Rodoviário</t>
  </si>
  <si>
    <t>Modal Hidroviário</t>
  </si>
  <si>
    <t>Emissão no Transporte Hidroviário por Contêiner</t>
  </si>
  <si>
    <t>% Redução da Emissão de CO2e da Cabotagem em relação ao Rodoviário Direto por contêiner</t>
  </si>
  <si>
    <r>
      <t>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no Transporte Hidroviário por Contêiner - Cenário Base (kg/contêiner)</t>
    </r>
  </si>
  <si>
    <r>
      <t>Emissão Semanal Total do Transporte Hidroviário no Cenário Base (kg CO</t>
    </r>
    <r>
      <rPr>
        <vertAlign val="subscript"/>
        <sz val="10"/>
        <color theme="0"/>
        <rFont val="Calibri"/>
        <family val="2"/>
        <scheme val="minor"/>
      </rPr>
      <t>2</t>
    </r>
    <r>
      <rPr>
        <sz val="10"/>
        <color theme="0"/>
        <rFont val="Calibri"/>
        <family val="2"/>
        <scheme val="minor"/>
      </rPr>
      <t>e)</t>
    </r>
  </si>
  <si>
    <r>
      <t>Emissão Semanal Total do Transporte Rodoviário no Cenário Base (kg CO</t>
    </r>
    <r>
      <rPr>
        <vertAlign val="subscript"/>
        <sz val="10"/>
        <color theme="0"/>
        <rFont val="Calibri"/>
        <family val="2"/>
        <scheme val="minor"/>
      </rPr>
      <t>2</t>
    </r>
    <r>
      <rPr>
        <sz val="10"/>
        <color theme="0"/>
        <rFont val="Calibri"/>
        <family val="2"/>
        <scheme val="minor"/>
      </rPr>
      <t>e)</t>
    </r>
  </si>
  <si>
    <r>
      <t>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no Transporte Rodoviário Direto por Contêiner - Cenário Base (kg/contêiner)</t>
    </r>
  </si>
  <si>
    <r>
      <t>Participação das Cidades na Emissão Semanal do Transporte Rodoviário Direto no Cenário Base (kg CO</t>
    </r>
    <r>
      <rPr>
        <vertAlign val="subscript"/>
        <sz val="10"/>
        <color theme="0"/>
        <rFont val="Calibri"/>
        <family val="2"/>
        <scheme val="minor"/>
      </rPr>
      <t>2</t>
    </r>
    <r>
      <rPr>
        <sz val="10"/>
        <color theme="0"/>
        <rFont val="Calibri"/>
        <family val="2"/>
        <scheme val="minor"/>
      </rPr>
      <t>e)</t>
    </r>
  </si>
  <si>
    <r>
      <t>Emissão Total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e no Modal Rodoviário Direto por Contêiner (kg/contêiner) </t>
    </r>
  </si>
  <si>
    <t>Cálculo das Emissões - IFO</t>
  </si>
  <si>
    <t>kg / t IFO</t>
  </si>
  <si>
    <r>
      <t>Participação das Cidades na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do Modal Rodoviário no Cenário Base (%)</t>
    </r>
  </si>
  <si>
    <t>Código Porto</t>
  </si>
  <si>
    <t>Guindaste fixos no Cais Flutuante</t>
  </si>
  <si>
    <r>
      <t>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no Transporte Rodoviário de Cabotagem por Contêiner no Cenário Base (kg/contêiner)</t>
    </r>
  </si>
  <si>
    <t>Gás</t>
  </si>
  <si>
    <r>
      <t>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nos Depots por Contêiner no Cenário Base (kg/contêiner)</t>
    </r>
  </si>
  <si>
    <r>
      <t>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por RTG nos Terminais de Contêineres no Cenário Base (kg/contêiner)</t>
    </r>
  </si>
  <si>
    <t>Emissão de CO2e por TT nos Terminais de Contêineres no Cenário Base (kg/contêiner)</t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</si>
  <si>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 nos Terminais de Contêineres por Contêiner (kg/contêiner)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</si>
  <si>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 nos Terminais de Contêineres por Contêiner no Cenário Base (kg/contêiner)</t>
    </r>
  </si>
  <si>
    <r>
      <t>Emissões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dos Navios em Viagem no Cenário Base (kg/contêiner)</t>
    </r>
  </si>
  <si>
    <t>Estadia</t>
  </si>
  <si>
    <t>Dia</t>
  </si>
  <si>
    <t>(kg/contêiner)</t>
  </si>
  <si>
    <r>
      <t>Emissões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por Contêiner dos Navios nos Portos no Cenário Base (kg/contêiner)</t>
    </r>
  </si>
  <si>
    <r>
      <t>Emissões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das Praticagens e Rebocadores por Porto</t>
    </r>
  </si>
  <si>
    <t>kg</t>
  </si>
  <si>
    <r>
      <t>Emissões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 por Contêiner nos Portos pelas Praticagens e Rebocadores (kg/contêiner)</t>
    </r>
  </si>
  <si>
    <r>
      <t xml:space="preserve">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por Contêiner na Cabotagem no Cenário Base (kg/contêiner)</t>
    </r>
  </si>
  <si>
    <r>
      <t xml:space="preserve"> Emissão semanal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na Cabotagem no Cenário Base (kg)</t>
    </r>
  </si>
  <si>
    <r>
      <t>Emissão Semanal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do Modal Rodoviário Direto no Cenário Base (kg)</t>
    </r>
  </si>
  <si>
    <r>
      <t>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e da Cabotagem no Cenário Base (kg) </t>
    </r>
  </si>
  <si>
    <r>
      <t>% Redução da Emissão de 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e da Cabotagem em relação ao Modal Rodoviário</t>
    </r>
  </si>
  <si>
    <t>HVO</t>
  </si>
  <si>
    <t>VLSFO + HVO</t>
  </si>
  <si>
    <t>Cálculo das Emissões - HVO</t>
  </si>
  <si>
    <t>Cálculo das Emissões - Modais Rodoviário e Hidroviário - HVO</t>
  </si>
  <si>
    <t>Cenário 1</t>
  </si>
  <si>
    <t>Cenário 2</t>
  </si>
  <si>
    <t>Cenário 3</t>
  </si>
  <si>
    <t>Cenário 4</t>
  </si>
  <si>
    <t>Rodoviário Cabotagem</t>
  </si>
  <si>
    <t>Base Rodoviário</t>
  </si>
  <si>
    <t>Base Cabotagem</t>
  </si>
  <si>
    <t>Cenário 1 Rodoviário</t>
  </si>
  <si>
    <t>Cenário 1 Cabotagem</t>
  </si>
  <si>
    <t>Cenário 2 Rodoviário</t>
  </si>
  <si>
    <t>Cenário 2 Cabotagem</t>
  </si>
  <si>
    <t>Cenário 3 Rodoviário</t>
  </si>
  <si>
    <t>Cenário 3 Cabotagem</t>
  </si>
  <si>
    <t>Cenário 4 Rodoviário</t>
  </si>
  <si>
    <t>Cenário 4 Cabotagem</t>
  </si>
  <si>
    <t>Resumo do Parâmetros</t>
  </si>
  <si>
    <t>Unidade</t>
  </si>
  <si>
    <t>kg/t combustível</t>
  </si>
  <si>
    <t>Fonte</t>
  </si>
  <si>
    <t>EPA 2023</t>
  </si>
  <si>
    <t>BRYNOF, FREDELL &amp; ANDERSSON 2023</t>
  </si>
  <si>
    <r>
      <t>Parâmetros utilizados para cálculo das Emissões de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e</t>
    </r>
  </si>
  <si>
    <t>Biodiesel - HVO</t>
  </si>
  <si>
    <t>OLIVEIRA e DA SILVA, 2023</t>
  </si>
  <si>
    <t>MEPC76/5, 2023</t>
  </si>
  <si>
    <t>MEPC.281(70), 2023</t>
  </si>
  <si>
    <t>Valores Caloríficos</t>
  </si>
  <si>
    <t>Consumo Combustíveis em 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</si>
</sst>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General_)"/>
    <numFmt numFmtId="165" formatCode="_-* #,##0_-;\-* #,##0_-;_-* &quot;-&quot;??_-;_-@_-"/>
    <numFmt numFmtId="166" formatCode="_(* #,##0.0_);_(* \(#,##0.0\);_(* &quot;-&quot;??_);_(@_)"/>
    <numFmt numFmtId="167" formatCode="0.0%"/>
    <numFmt numFmtId="168" formatCode="#,##0.0"/>
    <numFmt numFmtId="169" formatCode="h:mm;@"/>
    <numFmt numFmtId="170" formatCode="_-&quot;R$&quot;* #,##0.00_-;\-&quot;R$&quot;* #,##0.00_-;_-&quot;R$&quot;* &quot;-&quot;??_-;_-@_-"/>
    <numFmt numFmtId="171" formatCode="0.0"/>
    <numFmt numFmtId="172" formatCode="_-* #,##0.0_-;\-* #,##0.0_-;_-* &quot;-&quot;?_-;_-@_-"/>
    <numFmt numFmtId="173" formatCode="0.0000"/>
    <numFmt numFmtId="174" formatCode="[$$-409]#,##0.00_ ;\-[$$-409]#,##0.00\ "/>
    <numFmt numFmtId="175" formatCode="0.000"/>
    <numFmt numFmtId="176" formatCode="#,##0.00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0"/>
      <name val="Garamond"/>
      <family val="1"/>
    </font>
    <font>
      <b/>
      <sz val="12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b/>
      <vertAlign val="subscript"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10"/>
      <color indexed="8"/>
      <name val="Calibri"/>
      <family val="2"/>
    </font>
    <font>
      <sz val="10"/>
      <color indexed="8"/>
      <name val="Arial"/>
      <family val="2"/>
    </font>
    <font>
      <b/>
      <vertAlign val="subscript"/>
      <sz val="11"/>
      <color theme="1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b/>
      <vertAlign val="subscript"/>
      <sz val="12"/>
      <color theme="0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vertAlign val="subscript"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vertAlign val="sub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64" fontId="7" fillId="0" borderId="0"/>
    <xf numFmtId="0" fontId="8" fillId="0" borderId="0"/>
    <xf numFmtId="9" fontId="6" fillId="0" borderId="0" applyFont="0" applyFill="0" applyBorder="0" applyAlignment="0" applyProtection="0"/>
    <xf numFmtId="0" fontId="17" fillId="0" borderId="0"/>
    <xf numFmtId="0" fontId="33" fillId="0" borderId="0" applyNumberFormat="0" applyFill="0" applyBorder="0" applyAlignment="0" applyProtection="0"/>
  </cellStyleXfs>
  <cellXfs count="29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3" fontId="4" fillId="3" borderId="1" xfId="0" applyNumberFormat="1" applyFont="1" applyFill="1" applyBorder="1"/>
    <xf numFmtId="3" fontId="4" fillId="0" borderId="1" xfId="0" applyNumberFormat="1" applyFont="1" applyBorder="1"/>
    <xf numFmtId="3" fontId="4" fillId="4" borderId="1" xfId="0" applyNumberFormat="1" applyFont="1" applyFill="1" applyBorder="1"/>
    <xf numFmtId="0" fontId="3" fillId="0" borderId="0" xfId="0" applyFont="1"/>
    <xf numFmtId="0" fontId="4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9" fontId="4" fillId="0" borderId="1" xfId="3" applyFont="1" applyBorder="1"/>
    <xf numFmtId="0" fontId="5" fillId="5" borderId="2" xfId="4" applyFont="1" applyFill="1" applyBorder="1" applyAlignment="1">
      <alignment horizontal="center" vertical="center" wrapText="1"/>
    </xf>
    <xf numFmtId="164" fontId="5" fillId="5" borderId="1" xfId="5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5" borderId="1" xfId="6" applyFont="1" applyFill="1" applyBorder="1" applyAlignment="1">
      <alignment horizontal="center"/>
    </xf>
    <xf numFmtId="0" fontId="5" fillId="5" borderId="1" xfId="4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9" fillId="6" borderId="1" xfId="6" applyFont="1" applyFill="1" applyBorder="1" applyAlignment="1">
      <alignment horizontal="left"/>
    </xf>
    <xf numFmtId="166" fontId="9" fillId="6" borderId="1" xfId="6" applyNumberFormat="1" applyFont="1" applyFill="1" applyBorder="1" applyAlignment="1">
      <alignment horizontal="right"/>
    </xf>
    <xf numFmtId="9" fontId="9" fillId="6" borderId="1" xfId="3" applyFont="1" applyFill="1" applyBorder="1" applyAlignment="1">
      <alignment horizontal="right"/>
    </xf>
    <xf numFmtId="167" fontId="9" fillId="6" borderId="1" xfId="7" applyNumberFormat="1" applyFont="1" applyFill="1" applyBorder="1" applyAlignment="1" applyProtection="1">
      <alignment horizontal="right"/>
    </xf>
    <xf numFmtId="4" fontId="4" fillId="0" borderId="1" xfId="0" applyNumberFormat="1" applyFont="1" applyBorder="1"/>
    <xf numFmtId="167" fontId="4" fillId="0" borderId="1" xfId="3" applyNumberFormat="1" applyFont="1" applyBorder="1"/>
    <xf numFmtId="0" fontId="9" fillId="0" borderId="1" xfId="6" applyFont="1" applyBorder="1" applyAlignment="1">
      <alignment horizontal="left"/>
    </xf>
    <xf numFmtId="166" fontId="9" fillId="7" borderId="1" xfId="6" applyNumberFormat="1" applyFont="1" applyFill="1" applyBorder="1" applyAlignment="1">
      <alignment horizontal="right"/>
    </xf>
    <xf numFmtId="43" fontId="9" fillId="7" borderId="1" xfId="6" applyNumberFormat="1" applyFont="1" applyFill="1" applyBorder="1" applyAlignment="1">
      <alignment horizontal="right"/>
    </xf>
    <xf numFmtId="167" fontId="9" fillId="7" borderId="1" xfId="6" applyNumberFormat="1" applyFont="1" applyFill="1" applyBorder="1" applyAlignment="1">
      <alignment horizontal="right"/>
    </xf>
    <xf numFmtId="2" fontId="4" fillId="0" borderId="1" xfId="0" applyNumberFormat="1" applyFont="1" applyBorder="1"/>
    <xf numFmtId="0" fontId="5" fillId="5" borderId="3" xfId="0" applyFont="1" applyFill="1" applyBorder="1" applyAlignment="1">
      <alignment horizontal="center"/>
    </xf>
    <xf numFmtId="4" fontId="5" fillId="5" borderId="1" xfId="0" applyNumberFormat="1" applyFont="1" applyFill="1" applyBorder="1"/>
    <xf numFmtId="9" fontId="5" fillId="5" borderId="1" xfId="3" applyFont="1" applyFill="1" applyBorder="1"/>
    <xf numFmtId="0" fontId="9" fillId="8" borderId="1" xfId="6" applyFont="1" applyFill="1" applyBorder="1" applyAlignment="1">
      <alignment horizontal="left"/>
    </xf>
    <xf numFmtId="166" fontId="9" fillId="8" borderId="1" xfId="6" applyNumberFormat="1" applyFont="1" applyFill="1" applyBorder="1" applyAlignment="1">
      <alignment horizontal="right"/>
    </xf>
    <xf numFmtId="43" fontId="9" fillId="8" borderId="1" xfId="6" applyNumberFormat="1" applyFont="1" applyFill="1" applyBorder="1" applyAlignment="1">
      <alignment horizontal="right"/>
    </xf>
    <xf numFmtId="9" fontId="9" fillId="8" borderId="1" xfId="3" applyFont="1" applyFill="1" applyBorder="1" applyAlignment="1">
      <alignment horizontal="right"/>
    </xf>
    <xf numFmtId="167" fontId="9" fillId="8" borderId="1" xfId="3" applyNumberFormat="1" applyFont="1" applyFill="1" applyBorder="1" applyAlignment="1">
      <alignment horizontal="right"/>
    </xf>
    <xf numFmtId="0" fontId="5" fillId="5" borderId="1" xfId="6" applyFont="1" applyFill="1" applyBorder="1" applyAlignment="1">
      <alignment horizontal="left"/>
    </xf>
    <xf numFmtId="166" fontId="5" fillId="5" borderId="1" xfId="6" applyNumberFormat="1" applyFont="1" applyFill="1" applyBorder="1" applyAlignment="1">
      <alignment horizontal="right"/>
    </xf>
    <xf numFmtId="0" fontId="5" fillId="5" borderId="1" xfId="4" applyFont="1" applyFill="1" applyBorder="1" applyAlignment="1">
      <alignment horizontal="right"/>
    </xf>
    <xf numFmtId="167" fontId="5" fillId="5" borderId="1" xfId="4" applyNumberFormat="1" applyFont="1" applyFill="1" applyBorder="1" applyAlignment="1">
      <alignment horizontal="right"/>
    </xf>
    <xf numFmtId="43" fontId="4" fillId="0" borderId="1" xfId="0" applyNumberFormat="1" applyFont="1" applyBorder="1"/>
    <xf numFmtId="0" fontId="9" fillId="0" borderId="1" xfId="4" applyFont="1" applyBorder="1"/>
    <xf numFmtId="168" fontId="4" fillId="0" borderId="1" xfId="0" applyNumberFormat="1" applyFont="1" applyBorder="1"/>
    <xf numFmtId="169" fontId="4" fillId="0" borderId="0" xfId="0" applyNumberFormat="1" applyFont="1"/>
    <xf numFmtId="170" fontId="4" fillId="0" borderId="0" xfId="0" applyNumberFormat="1" applyFont="1"/>
    <xf numFmtId="2" fontId="4" fillId="0" borderId="0" xfId="0" applyNumberFormat="1" applyFont="1"/>
    <xf numFmtId="171" fontId="4" fillId="0" borderId="1" xfId="0" applyNumberFormat="1" applyFont="1" applyBorder="1"/>
    <xf numFmtId="169" fontId="4" fillId="0" borderId="0" xfId="1" applyNumberFormat="1" applyFont="1"/>
    <xf numFmtId="0" fontId="9" fillId="0" borderId="0" xfId="4" applyFont="1"/>
    <xf numFmtId="44" fontId="4" fillId="0" borderId="0" xfId="2" applyFont="1" applyBorder="1"/>
    <xf numFmtId="172" fontId="4" fillId="0" borderId="0" xfId="0" applyNumberFormat="1" applyFont="1"/>
    <xf numFmtId="0" fontId="9" fillId="0" borderId="1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 wrapText="1"/>
    </xf>
    <xf numFmtId="164" fontId="9" fillId="0" borderId="1" xfId="5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" fontId="4" fillId="11" borderId="1" xfId="0" applyNumberFormat="1" applyFont="1" applyFill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12" borderId="1" xfId="0" applyNumberFormat="1" applyFont="1" applyFill="1" applyBorder="1" applyAlignment="1">
      <alignment horizontal="center"/>
    </xf>
    <xf numFmtId="1" fontId="4" fillId="11" borderId="1" xfId="0" applyNumberFormat="1" applyFont="1" applyFill="1" applyBorder="1" applyAlignment="1">
      <alignment horizontal="center"/>
    </xf>
    <xf numFmtId="171" fontId="4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71" fontId="4" fillId="13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173" fontId="4" fillId="0" borderId="1" xfId="0" applyNumberFormat="1" applyFont="1" applyBorder="1" applyAlignment="1">
      <alignment horizontal="center"/>
    </xf>
    <xf numFmtId="174" fontId="4" fillId="0" borderId="1" xfId="2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9" fontId="4" fillId="11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169" fontId="4" fillId="3" borderId="1" xfId="0" applyNumberFormat="1" applyFont="1" applyFill="1" applyBorder="1" applyAlignment="1">
      <alignment horizontal="center"/>
    </xf>
    <xf numFmtId="0" fontId="4" fillId="0" borderId="2" xfId="0" applyFont="1" applyBorder="1"/>
    <xf numFmtId="44" fontId="4" fillId="0" borderId="1" xfId="2" applyFont="1" applyBorder="1" applyAlignment="1">
      <alignment horizontal="center"/>
    </xf>
    <xf numFmtId="22" fontId="4" fillId="0" borderId="0" xfId="0" applyNumberFormat="1" applyFont="1"/>
    <xf numFmtId="0" fontId="4" fillId="0" borderId="6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/>
    <xf numFmtId="171" fontId="4" fillId="0" borderId="0" xfId="0" applyNumberFormat="1" applyFont="1"/>
    <xf numFmtId="0" fontId="5" fillId="5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171" fontId="4" fillId="14" borderId="1" xfId="0" applyNumberFormat="1" applyFont="1" applyFill="1" applyBorder="1" applyAlignment="1">
      <alignment horizontal="center"/>
    </xf>
    <xf numFmtId="171" fontId="4" fillId="11" borderId="1" xfId="0" applyNumberFormat="1" applyFont="1" applyFill="1" applyBorder="1" applyAlignment="1">
      <alignment horizontal="center"/>
    </xf>
    <xf numFmtId="22" fontId="4" fillId="0" borderId="1" xfId="0" applyNumberFormat="1" applyFont="1" applyBorder="1" applyAlignment="1">
      <alignment horizontal="center"/>
    </xf>
    <xf numFmtId="171" fontId="4" fillId="3" borderId="1" xfId="0" applyNumberFormat="1" applyFont="1" applyFill="1" applyBorder="1" applyAlignment="1">
      <alignment horizontal="center"/>
    </xf>
    <xf numFmtId="171" fontId="4" fillId="3" borderId="1" xfId="0" applyNumberFormat="1" applyFont="1" applyFill="1" applyBorder="1"/>
    <xf numFmtId="171" fontId="4" fillId="11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22" fontId="4" fillId="3" borderId="1" xfId="0" applyNumberFormat="1" applyFont="1" applyFill="1" applyBorder="1" applyAlignment="1">
      <alignment horizontal="center"/>
    </xf>
    <xf numFmtId="3" fontId="3" fillId="0" borderId="1" xfId="0" applyNumberFormat="1" applyFont="1" applyBorder="1"/>
    <xf numFmtId="3" fontId="3" fillId="12" borderId="1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11" borderId="1" xfId="0" applyNumberFormat="1" applyFont="1" applyFill="1" applyBorder="1" applyAlignment="1">
      <alignment horizontal="center"/>
    </xf>
    <xf numFmtId="3" fontId="4" fillId="12" borderId="1" xfId="0" applyNumberFormat="1" applyFont="1" applyFill="1" applyBorder="1" applyAlignment="1">
      <alignment horizontal="center"/>
    </xf>
    <xf numFmtId="3" fontId="4" fillId="11" borderId="1" xfId="0" applyNumberFormat="1" applyFont="1" applyFill="1" applyBorder="1" applyAlignment="1">
      <alignment horizontal="center"/>
    </xf>
    <xf numFmtId="3" fontId="0" fillId="0" borderId="0" xfId="0" applyNumberFormat="1"/>
    <xf numFmtId="0" fontId="11" fillId="15" borderId="10" xfId="0" applyFont="1" applyFill="1" applyBorder="1" applyAlignment="1">
      <alignment horizontal="center" vertical="center" wrapText="1"/>
    </xf>
    <xf numFmtId="0" fontId="11" fillId="15" borderId="1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175" fontId="14" fillId="16" borderId="1" xfId="0" applyNumberFormat="1" applyFont="1" applyFill="1" applyBorder="1" applyAlignment="1">
      <alignment horizontal="center" vertical="center"/>
    </xf>
    <xf numFmtId="2" fontId="14" fillId="16" borderId="1" xfId="0" applyNumberFormat="1" applyFont="1" applyFill="1" applyBorder="1" applyAlignment="1">
      <alignment horizontal="center" vertical="center"/>
    </xf>
    <xf numFmtId="171" fontId="14" fillId="16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175" fontId="14" fillId="17" borderId="1" xfId="0" applyNumberFormat="1" applyFont="1" applyFill="1" applyBorder="1" applyAlignment="1">
      <alignment horizontal="center" vertical="center"/>
    </xf>
    <xf numFmtId="2" fontId="14" fillId="17" borderId="1" xfId="0" applyNumberFormat="1" applyFont="1" applyFill="1" applyBorder="1" applyAlignment="1">
      <alignment horizontal="center" vertical="center"/>
    </xf>
    <xf numFmtId="171" fontId="14" fillId="17" borderId="1" xfId="0" applyNumberFormat="1" applyFont="1" applyFill="1" applyBorder="1" applyAlignment="1">
      <alignment horizontal="center" vertical="center"/>
    </xf>
    <xf numFmtId="175" fontId="13" fillId="16" borderId="1" xfId="0" applyNumberFormat="1" applyFont="1" applyFill="1" applyBorder="1" applyAlignment="1">
      <alignment horizontal="center" vertical="center"/>
    </xf>
    <xf numFmtId="2" fontId="13" fillId="16" borderId="1" xfId="0" applyNumberFormat="1" applyFont="1" applyFill="1" applyBorder="1" applyAlignment="1">
      <alignment horizontal="center" vertical="center"/>
    </xf>
    <xf numFmtId="171" fontId="13" fillId="16" borderId="1" xfId="0" applyNumberFormat="1" applyFont="1" applyFill="1" applyBorder="1" applyAlignment="1">
      <alignment horizontal="center" vertical="center"/>
    </xf>
    <xf numFmtId="175" fontId="13" fillId="17" borderId="1" xfId="0" applyNumberFormat="1" applyFont="1" applyFill="1" applyBorder="1" applyAlignment="1">
      <alignment horizontal="center" vertical="center"/>
    </xf>
    <xf numFmtId="2" fontId="13" fillId="17" borderId="1" xfId="0" applyNumberFormat="1" applyFont="1" applyFill="1" applyBorder="1" applyAlignment="1">
      <alignment horizontal="center" vertical="center"/>
    </xf>
    <xf numFmtId="171" fontId="13" fillId="17" borderId="1" xfId="0" applyNumberFormat="1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175" fontId="15" fillId="18" borderId="1" xfId="0" applyNumberFormat="1" applyFont="1" applyFill="1" applyBorder="1" applyAlignment="1">
      <alignment horizontal="center" vertical="center"/>
    </xf>
    <xf numFmtId="2" fontId="15" fillId="18" borderId="1" xfId="0" applyNumberFormat="1" applyFont="1" applyFill="1" applyBorder="1" applyAlignment="1">
      <alignment horizontal="center" vertical="center"/>
    </xf>
    <xf numFmtId="171" fontId="15" fillId="18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175" fontId="14" fillId="8" borderId="1" xfId="8" applyNumberFormat="1" applyFont="1" applyFill="1" applyBorder="1" applyAlignment="1">
      <alignment horizontal="center" wrapText="1"/>
    </xf>
    <xf numFmtId="2" fontId="14" fillId="8" borderId="1" xfId="0" applyNumberFormat="1" applyFont="1" applyFill="1" applyBorder="1" applyAlignment="1">
      <alignment horizontal="center" vertical="center"/>
    </xf>
    <xf numFmtId="171" fontId="14" fillId="19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75" fontId="14" fillId="6" borderId="1" xfId="0" applyNumberFormat="1" applyFont="1" applyFill="1" applyBorder="1" applyAlignment="1">
      <alignment horizontal="center" vertical="center"/>
    </xf>
    <xf numFmtId="2" fontId="14" fillId="6" borderId="1" xfId="0" applyNumberFormat="1" applyFont="1" applyFill="1" applyBorder="1" applyAlignment="1">
      <alignment horizontal="center" vertical="center"/>
    </xf>
    <xf numFmtId="171" fontId="14" fillId="6" borderId="1" xfId="0" applyNumberFormat="1" applyFont="1" applyFill="1" applyBorder="1" applyAlignment="1">
      <alignment horizontal="center" vertical="center"/>
    </xf>
    <xf numFmtId="175" fontId="14" fillId="6" borderId="1" xfId="8" applyNumberFormat="1" applyFont="1" applyFill="1" applyBorder="1" applyAlignment="1">
      <alignment horizontal="center" wrapText="1"/>
    </xf>
    <xf numFmtId="0" fontId="3" fillId="3" borderId="1" xfId="0" applyFont="1" applyFill="1" applyBorder="1"/>
    <xf numFmtId="4" fontId="3" fillId="3" borderId="1" xfId="0" applyNumberFormat="1" applyFont="1" applyFill="1" applyBorder="1"/>
    <xf numFmtId="2" fontId="3" fillId="0" borderId="1" xfId="0" applyNumberFormat="1" applyFont="1" applyBorder="1"/>
    <xf numFmtId="2" fontId="3" fillId="3" borderId="1" xfId="0" applyNumberFormat="1" applyFont="1" applyFill="1" applyBorder="1"/>
    <xf numFmtId="175" fontId="3" fillId="3" borderId="1" xfId="0" applyNumberFormat="1" applyFont="1" applyFill="1" applyBorder="1"/>
    <xf numFmtId="0" fontId="2" fillId="5" borderId="2" xfId="0" applyFont="1" applyFill="1" applyBorder="1" applyAlignment="1">
      <alignment horizontal="center" vertical="center"/>
    </xf>
    <xf numFmtId="4" fontId="3" fillId="11" borderId="1" xfId="0" applyNumberFormat="1" applyFont="1" applyFill="1" applyBorder="1" applyAlignment="1">
      <alignment horizontal="center"/>
    </xf>
    <xf numFmtId="2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20" borderId="1" xfId="0" applyFont="1" applyFill="1" applyBorder="1"/>
    <xf numFmtId="3" fontId="4" fillId="20" borderId="1" xfId="0" applyNumberFormat="1" applyFont="1" applyFill="1" applyBorder="1"/>
    <xf numFmtId="4" fontId="4" fillId="20" borderId="1" xfId="0" applyNumberFormat="1" applyFont="1" applyFill="1" applyBorder="1"/>
    <xf numFmtId="2" fontId="4" fillId="20" borderId="1" xfId="0" applyNumberFormat="1" applyFont="1" applyFill="1" applyBorder="1"/>
    <xf numFmtId="3" fontId="4" fillId="11" borderId="1" xfId="0" applyNumberFormat="1" applyFont="1" applyFill="1" applyBorder="1"/>
    <xf numFmtId="176" fontId="4" fillId="4" borderId="1" xfId="0" applyNumberFormat="1" applyFont="1" applyFill="1" applyBorder="1"/>
    <xf numFmtId="167" fontId="4" fillId="4" borderId="1" xfId="3" applyNumberFormat="1" applyFont="1" applyFill="1" applyBorder="1"/>
    <xf numFmtId="10" fontId="4" fillId="4" borderId="1" xfId="3" applyNumberFormat="1" applyFont="1" applyFill="1" applyBorder="1"/>
    <xf numFmtId="0" fontId="4" fillId="20" borderId="1" xfId="0" applyFont="1" applyFill="1" applyBorder="1" applyAlignment="1">
      <alignment horizontal="center"/>
    </xf>
    <xf numFmtId="168" fontId="4" fillId="0" borderId="1" xfId="3" applyNumberFormat="1" applyFont="1" applyBorder="1"/>
    <xf numFmtId="3" fontId="4" fillId="0" borderId="1" xfId="3" applyNumberFormat="1" applyFont="1" applyBorder="1"/>
    <xf numFmtId="3" fontId="3" fillId="0" borderId="0" xfId="0" applyNumberFormat="1" applyFont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2" fillId="0" borderId="0" xfId="0" applyFont="1"/>
    <xf numFmtId="173" fontId="4" fillId="20" borderId="1" xfId="0" applyNumberFormat="1" applyFont="1" applyFill="1" applyBorder="1"/>
    <xf numFmtId="168" fontId="4" fillId="3" borderId="1" xfId="0" applyNumberFormat="1" applyFont="1" applyFill="1" applyBorder="1"/>
    <xf numFmtId="4" fontId="4" fillId="3" borderId="1" xfId="0" applyNumberFormat="1" applyFont="1" applyFill="1" applyBorder="1"/>
    <xf numFmtId="4" fontId="4" fillId="4" borderId="1" xfId="0" applyNumberFormat="1" applyFont="1" applyFill="1" applyBorder="1"/>
    <xf numFmtId="176" fontId="4" fillId="3" borderId="1" xfId="0" applyNumberFormat="1" applyFont="1" applyFill="1" applyBorder="1"/>
    <xf numFmtId="176" fontId="4" fillId="0" borderId="1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left"/>
    </xf>
    <xf numFmtId="0" fontId="3" fillId="20" borderId="1" xfId="0" applyFont="1" applyFill="1" applyBorder="1" applyAlignment="1">
      <alignment horizontal="center"/>
    </xf>
    <xf numFmtId="175" fontId="4" fillId="20" borderId="1" xfId="0" applyNumberFormat="1" applyFont="1" applyFill="1" applyBorder="1"/>
    <xf numFmtId="0" fontId="24" fillId="0" borderId="0" xfId="0" applyFont="1"/>
    <xf numFmtId="0" fontId="29" fillId="0" borderId="1" xfId="0" applyFont="1" applyBorder="1"/>
    <xf numFmtId="0" fontId="29" fillId="6" borderId="1" xfId="0" applyFont="1" applyFill="1" applyBorder="1"/>
    <xf numFmtId="0" fontId="31" fillId="0" borderId="0" xfId="0" applyFont="1"/>
    <xf numFmtId="3" fontId="4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4" fontId="4" fillId="11" borderId="1" xfId="0" applyNumberFormat="1" applyFont="1" applyFill="1" applyBorder="1"/>
    <xf numFmtId="0" fontId="32" fillId="0" borderId="0" xfId="0" applyFont="1" applyAlignment="1">
      <alignment vertical="center"/>
    </xf>
    <xf numFmtId="2" fontId="3" fillId="0" borderId="1" xfId="0" applyNumberFormat="1" applyFont="1" applyBorder="1" applyAlignment="1">
      <alignment horizontal="center"/>
    </xf>
    <xf numFmtId="176" fontId="4" fillId="0" borderId="0" xfId="0" applyNumberFormat="1" applyFont="1" applyAlignment="1">
      <alignment horizontal="center"/>
    </xf>
    <xf numFmtId="2" fontId="22" fillId="0" borderId="0" xfId="0" applyNumberFormat="1" applyFont="1"/>
    <xf numFmtId="0" fontId="4" fillId="11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/>
    <xf numFmtId="3" fontId="22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167" fontId="4" fillId="3" borderId="1" xfId="3" applyNumberFormat="1" applyFont="1" applyFill="1" applyBorder="1"/>
    <xf numFmtId="3" fontId="4" fillId="0" borderId="0" xfId="3" applyNumberFormat="1" applyFont="1" applyBorder="1"/>
    <xf numFmtId="168" fontId="4" fillId="0" borderId="0" xfId="3" applyNumberFormat="1" applyFont="1" applyBorder="1"/>
    <xf numFmtId="0" fontId="0" fillId="11" borderId="0" xfId="0" applyFill="1"/>
    <xf numFmtId="0" fontId="4" fillId="21" borderId="0" xfId="0" applyFont="1" applyFill="1" applyAlignment="1">
      <alignment horizontal="center"/>
    </xf>
    <xf numFmtId="3" fontId="4" fillId="21" borderId="0" xfId="0" applyNumberFormat="1" applyFont="1" applyFill="1"/>
    <xf numFmtId="4" fontId="4" fillId="4" borderId="15" xfId="0" applyNumberFormat="1" applyFont="1" applyFill="1" applyBorder="1"/>
    <xf numFmtId="167" fontId="4" fillId="22" borderId="1" xfId="3" applyNumberFormat="1" applyFont="1" applyFill="1" applyBorder="1"/>
    <xf numFmtId="0" fontId="5" fillId="5" borderId="1" xfId="0" applyFont="1" applyFill="1" applyBorder="1"/>
    <xf numFmtId="0" fontId="4" fillId="0" borderId="1" xfId="0" applyFont="1" applyBorder="1" applyAlignment="1">
      <alignment horizontal="right"/>
    </xf>
    <xf numFmtId="9" fontId="4" fillId="0" borderId="1" xfId="0" applyNumberFormat="1" applyFont="1" applyBorder="1"/>
    <xf numFmtId="0" fontId="4" fillId="6" borderId="1" xfId="0" applyFont="1" applyFill="1" applyBorder="1" applyAlignment="1">
      <alignment horizontal="left"/>
    </xf>
    <xf numFmtId="9" fontId="4" fillId="6" borderId="1" xfId="3" applyFont="1" applyFill="1" applyBorder="1"/>
    <xf numFmtId="0" fontId="26" fillId="11" borderId="0" xfId="0" applyFont="1" applyFill="1" applyAlignment="1">
      <alignment horizontal="center"/>
    </xf>
    <xf numFmtId="0" fontId="3" fillId="11" borderId="0" xfId="0" applyFont="1" applyFill="1"/>
    <xf numFmtId="0" fontId="11" fillId="15" borderId="1" xfId="0" applyFont="1" applyFill="1" applyBorder="1" applyAlignment="1">
      <alignment horizontal="center" vertical="center" wrapText="1"/>
    </xf>
    <xf numFmtId="176" fontId="3" fillId="11" borderId="1" xfId="0" applyNumberFormat="1" applyFont="1" applyFill="1" applyBorder="1" applyAlignment="1">
      <alignment horizontal="center"/>
    </xf>
    <xf numFmtId="0" fontId="31" fillId="11" borderId="0" xfId="0" applyFont="1" applyFill="1" applyAlignment="1">
      <alignment horizontal="left"/>
    </xf>
    <xf numFmtId="0" fontId="4" fillId="23" borderId="1" xfId="0" applyFont="1" applyFill="1" applyBorder="1" applyAlignment="1">
      <alignment horizontal="center"/>
    </xf>
    <xf numFmtId="0" fontId="33" fillId="0" borderId="1" xfId="9" applyBorder="1"/>
    <xf numFmtId="0" fontId="33" fillId="20" borderId="1" xfId="9" applyFill="1" applyBorder="1"/>
    <xf numFmtId="171" fontId="3" fillId="0" borderId="1" xfId="0" applyNumberFormat="1" applyFont="1" applyBorder="1" applyAlignment="1">
      <alignment horizontal="center"/>
    </xf>
    <xf numFmtId="167" fontId="4" fillId="0" borderId="1" xfId="3" applyNumberFormat="1" applyFont="1" applyBorder="1" applyAlignment="1">
      <alignment horizontal="center"/>
    </xf>
    <xf numFmtId="0" fontId="33" fillId="0" borderId="0" xfId="9"/>
    <xf numFmtId="168" fontId="4" fillId="4" borderId="1" xfId="0" applyNumberFormat="1" applyFont="1" applyFill="1" applyBorder="1"/>
    <xf numFmtId="3" fontId="4" fillId="6" borderId="1" xfId="0" applyNumberFormat="1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75" fontId="3" fillId="0" borderId="1" xfId="0" applyNumberFormat="1" applyFont="1" applyBorder="1" applyAlignment="1">
      <alignment horizontal="center"/>
    </xf>
    <xf numFmtId="0" fontId="35" fillId="15" borderId="1" xfId="0" applyFont="1" applyFill="1" applyBorder="1" applyAlignment="1">
      <alignment horizontal="center" vertical="center" wrapText="1"/>
    </xf>
    <xf numFmtId="175" fontId="4" fillId="0" borderId="1" xfId="0" applyNumberFormat="1" applyFont="1" applyBorder="1" applyAlignment="1">
      <alignment horizontal="center"/>
    </xf>
    <xf numFmtId="168" fontId="3" fillId="0" borderId="1" xfId="0" applyNumberFormat="1" applyFont="1" applyBorder="1"/>
    <xf numFmtId="9" fontId="3" fillId="0" borderId="1" xfId="3" applyFont="1" applyBorder="1"/>
    <xf numFmtId="168" fontId="3" fillId="0" borderId="0" xfId="0" applyNumberFormat="1" applyFont="1"/>
    <xf numFmtId="0" fontId="15" fillId="24" borderId="1" xfId="0" applyFont="1" applyFill="1" applyBorder="1" applyAlignment="1">
      <alignment horizontal="center" vertical="center"/>
    </xf>
    <xf numFmtId="175" fontId="15" fillId="24" borderId="1" xfId="0" applyNumberFormat="1" applyFont="1" applyFill="1" applyBorder="1" applyAlignment="1">
      <alignment horizontal="center" vertical="center"/>
    </xf>
    <xf numFmtId="2" fontId="15" fillId="24" borderId="1" xfId="0" applyNumberFormat="1" applyFont="1" applyFill="1" applyBorder="1" applyAlignment="1">
      <alignment horizontal="center" vertical="center"/>
    </xf>
    <xf numFmtId="171" fontId="15" fillId="24" borderId="1" xfId="0" applyNumberFormat="1" applyFont="1" applyFill="1" applyBorder="1" applyAlignment="1">
      <alignment horizontal="center" vertical="center"/>
    </xf>
    <xf numFmtId="3" fontId="4" fillId="4" borderId="15" xfId="0" applyNumberFormat="1" applyFont="1" applyFill="1" applyBorder="1"/>
    <xf numFmtId="167" fontId="22" fillId="0" borderId="0" xfId="3" applyNumberFormat="1" applyFont="1"/>
    <xf numFmtId="167" fontId="22" fillId="0" borderId="0" xfId="0" applyNumberFormat="1" applyFont="1"/>
    <xf numFmtId="0" fontId="5" fillId="2" borderId="1" xfId="0" applyFont="1" applyFill="1" applyBorder="1" applyAlignment="1">
      <alignment horizontal="center" wrapText="1"/>
    </xf>
    <xf numFmtId="3" fontId="4" fillId="0" borderId="0" xfId="0" applyNumberFormat="1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6" fillId="5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6" fillId="5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 wrapText="1"/>
    </xf>
    <xf numFmtId="0" fontId="10" fillId="15" borderId="9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7" fillId="5" borderId="0" xfId="0" applyFont="1" applyFill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0" fontId="4" fillId="20" borderId="4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25" fillId="5" borderId="0" xfId="0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9" borderId="3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167" fontId="3" fillId="0" borderId="0" xfId="3" applyNumberFormat="1" applyFont="1"/>
  </cellXfs>
  <cellStyles count="10">
    <cellStyle name="Hiperlink" xfId="9" builtinId="8"/>
    <cellStyle name="Moeda" xfId="2" builtinId="4"/>
    <cellStyle name="Normal" xfId="0" builtinId="0"/>
    <cellStyle name="Normal 2_Cópia de samba in Pecem" xfId="6" xr:uid="{6757BBE6-C688-4B23-A12C-4AF7AD0DB49F}"/>
    <cellStyle name="Normal 3" xfId="4" xr:uid="{62B6F15C-6D18-4078-B716-0949DD131643}"/>
    <cellStyle name="Normal_ECSA PROPOSED PROFORMAS2(VER 5)" xfId="5" xr:uid="{85E91020-B513-419A-8E2B-E5C70553A411}"/>
    <cellStyle name="Normal_S" xfId="8" xr:uid="{BD805FDB-B1E1-42F1-94B4-43FB32601F8D}"/>
    <cellStyle name="Porcentagem" xfId="3" builtinId="5"/>
    <cellStyle name="Porcentagem 2" xfId="7" xr:uid="{93CDEFBC-A6D5-48DB-88B7-26A4611A405A}"/>
    <cellStyle name="Vírgula" xfId="1" builtinId="3"/>
  </cellStyles>
  <dxfs count="73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colors>
    <mruColors>
      <color rgb="FF66FFFF"/>
      <color rgb="FFFF66CC"/>
      <color rgb="FF00E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50" Type="http://schemas.openxmlformats.org/officeDocument/2006/relationships/connections" Target="connections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Movimentação de Contêineres na Cabotagem 2011 a 2022 (TEU)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'ABAC 2022'!$B$4</c:f>
              <c:strCache>
                <c:ptCount val="1"/>
                <c:pt idx="0">
                  <c:v>Cabotagem</c:v>
                </c:pt>
              </c:strCache>
            </c:strRef>
          </c:tx>
          <c:spPr>
            <a:solidFill>
              <a:srgbClr val="00E2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'ABAC 2022'!$C$3:$N$3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'ABAC 2022'!$C$4:$N$4</c:f>
              <c:numCache>
                <c:formatCode>#,##0.0</c:formatCode>
                <c:ptCount val="12"/>
                <c:pt idx="0">
                  <c:v>285.39999999999998</c:v>
                </c:pt>
                <c:pt idx="1">
                  <c:v>282.7</c:v>
                </c:pt>
                <c:pt idx="2">
                  <c:v>402.3</c:v>
                </c:pt>
                <c:pt idx="3">
                  <c:v>442.6</c:v>
                </c:pt>
                <c:pt idx="4">
                  <c:v>448</c:v>
                </c:pt>
                <c:pt idx="5">
                  <c:v>448.2</c:v>
                </c:pt>
                <c:pt idx="6">
                  <c:v>507.1</c:v>
                </c:pt>
                <c:pt idx="7">
                  <c:v>591.9</c:v>
                </c:pt>
                <c:pt idx="8">
                  <c:v>667.8</c:v>
                </c:pt>
                <c:pt idx="9">
                  <c:v>659.6</c:v>
                </c:pt>
                <c:pt idx="10">
                  <c:v>695</c:v>
                </c:pt>
                <c:pt idx="11">
                  <c:v>698.7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E-4B7F-9315-C82D22A4D695}"/>
            </c:ext>
          </c:extLst>
        </c:ser>
        <c:ser>
          <c:idx val="1"/>
          <c:order val="1"/>
          <c:tx>
            <c:strRef>
              <c:f>'ABAC 2022'!$B$5</c:f>
              <c:strCache>
                <c:ptCount val="1"/>
                <c:pt idx="0">
                  <c:v>Feeder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'ABAC 2022'!$C$3:$N$3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'ABAC 2022'!$C$5:$N$5</c:f>
              <c:numCache>
                <c:formatCode>#,##0.0</c:formatCode>
                <c:ptCount val="12"/>
                <c:pt idx="0">
                  <c:v>138.4</c:v>
                </c:pt>
                <c:pt idx="1">
                  <c:v>262.89999999999998</c:v>
                </c:pt>
                <c:pt idx="2">
                  <c:v>293.60000000000002</c:v>
                </c:pt>
                <c:pt idx="3">
                  <c:v>327.7</c:v>
                </c:pt>
                <c:pt idx="4">
                  <c:v>416.9</c:v>
                </c:pt>
                <c:pt idx="5">
                  <c:v>417.2</c:v>
                </c:pt>
                <c:pt idx="6">
                  <c:v>454.3</c:v>
                </c:pt>
                <c:pt idx="7">
                  <c:v>482.8</c:v>
                </c:pt>
                <c:pt idx="8">
                  <c:v>452</c:v>
                </c:pt>
                <c:pt idx="9">
                  <c:v>413.3</c:v>
                </c:pt>
                <c:pt idx="10">
                  <c:v>527.20000000000005</c:v>
                </c:pt>
                <c:pt idx="11">
                  <c:v>552.6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E-4B7F-9315-C82D22A4D6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5211535"/>
        <c:axId val="185210703"/>
      </c:barChart>
      <c:lineChart>
        <c:grouping val="standard"/>
        <c:varyColors val="0"/>
        <c:ser>
          <c:idx val="2"/>
          <c:order val="2"/>
          <c:tx>
            <c:strRef>
              <c:f>'ABAC 2022'!$B$6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'ABAC 2022'!$C$3:$N$3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cat>
          <c:val>
            <c:numRef>
              <c:f>'ABAC 2022'!$C$6:$N$6</c:f>
              <c:numCache>
                <c:formatCode>#,##0.0</c:formatCode>
                <c:ptCount val="12"/>
                <c:pt idx="0">
                  <c:v>423.79999999999995</c:v>
                </c:pt>
                <c:pt idx="1">
                  <c:v>545.59999999999991</c:v>
                </c:pt>
                <c:pt idx="2">
                  <c:v>695.90000000000009</c:v>
                </c:pt>
                <c:pt idx="3">
                  <c:v>770.3</c:v>
                </c:pt>
                <c:pt idx="4">
                  <c:v>864.9</c:v>
                </c:pt>
                <c:pt idx="5">
                  <c:v>865.4</c:v>
                </c:pt>
                <c:pt idx="6">
                  <c:v>961.40000000000009</c:v>
                </c:pt>
                <c:pt idx="7">
                  <c:v>1074.7</c:v>
                </c:pt>
                <c:pt idx="8">
                  <c:v>1119.8</c:v>
                </c:pt>
                <c:pt idx="9">
                  <c:v>1072.9000000000001</c:v>
                </c:pt>
                <c:pt idx="10">
                  <c:v>1222.2</c:v>
                </c:pt>
                <c:pt idx="11">
                  <c:v>1251.3000000000002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5E-4B7F-9315-C82D22A4D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211535"/>
        <c:axId val="185210703"/>
      </c:lineChart>
      <c:catAx>
        <c:axId val="18521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210703"/>
        <c:crosses val="autoZero"/>
        <c:auto val="1"/>
        <c:lblAlgn val="ctr"/>
        <c:lblOffset val="100"/>
        <c:noMultiLvlLbl val="0"/>
      </c:catAx>
      <c:valAx>
        <c:axId val="18521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21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Variação Anual do Transporte de Contêineres na Cabotagem e PIB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'ABAC 2022'!$B$9</c:f>
              <c:strCache>
                <c:ptCount val="1"/>
                <c:pt idx="0">
                  <c:v>% Cabotagem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'ABAC 2022'!$C$8:$M$8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'ABAC 2022'!$C$9:$M$9</c:f>
              <c:numCache>
                <c:formatCode>0%</c:formatCode>
                <c:ptCount val="11"/>
                <c:pt idx="0">
                  <c:v>-9.4604064470917848E-3</c:v>
                </c:pt>
                <c:pt idx="1">
                  <c:v>0.42306331800495234</c:v>
                </c:pt>
                <c:pt idx="2">
                  <c:v>0.10017399950285855</c:v>
                </c:pt>
                <c:pt idx="3">
                  <c:v>1.2200632625395391E-2</c:v>
                </c:pt>
                <c:pt idx="4">
                  <c:v>4.4642857142851433E-4</c:v>
                </c:pt>
                <c:pt idx="5">
                  <c:v>0.13141454707719769</c:v>
                </c:pt>
                <c:pt idx="6">
                  <c:v>0.16722539932952074</c:v>
                </c:pt>
                <c:pt idx="7">
                  <c:v>0.12823112012164217</c:v>
                </c:pt>
                <c:pt idx="8">
                  <c:v>-1.2279125486672537E-2</c:v>
                </c:pt>
                <c:pt idx="9">
                  <c:v>5.3668890236507005E-2</c:v>
                </c:pt>
                <c:pt idx="10">
                  <c:v>5.3237410071942382E-3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7-4822-B5F0-09708F1477F5}"/>
            </c:ext>
          </c:extLst>
        </c:ser>
        <c:ser>
          <c:idx val="1"/>
          <c:order val="1"/>
          <c:tx>
            <c:strRef>
              <c:f>'ABAC 2022'!$B$10</c:f>
              <c:strCache>
                <c:ptCount val="1"/>
                <c:pt idx="0">
                  <c:v>% Feeder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'ABAC 2022'!$C$8:$M$8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'ABAC 2022'!$C$10:$M$10</c:f>
              <c:numCache>
                <c:formatCode>0%</c:formatCode>
                <c:ptCount val="11"/>
                <c:pt idx="0">
                  <c:v>0.89956647398843903</c:v>
                </c:pt>
                <c:pt idx="1">
                  <c:v>0.11677443895017126</c:v>
                </c:pt>
                <c:pt idx="2">
                  <c:v>0.11614441416893717</c:v>
                </c:pt>
                <c:pt idx="3">
                  <c:v>0.2722001830942935</c:v>
                </c:pt>
                <c:pt idx="4">
                  <c:v>7.1959702566570805E-4</c:v>
                </c:pt>
                <c:pt idx="5">
                  <c:v>8.8926174496644306E-2</c:v>
                </c:pt>
                <c:pt idx="6">
                  <c:v>6.2733876293198376E-2</c:v>
                </c:pt>
                <c:pt idx="7">
                  <c:v>-6.3794531897265916E-2</c:v>
                </c:pt>
                <c:pt idx="8">
                  <c:v>-8.56194690265486E-2</c:v>
                </c:pt>
                <c:pt idx="9">
                  <c:v>0.27558674086619894</c:v>
                </c:pt>
                <c:pt idx="10">
                  <c:v>4.8179059180576633E-2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C7-4822-B5F0-09708F1477F5}"/>
            </c:ext>
          </c:extLst>
        </c:ser>
        <c:ser>
          <c:idx val="3"/>
          <c:order val="2"/>
          <c:tx>
            <c:strRef>
              <c:f>'ABAC 2022'!$B$12</c:f>
              <c:strCache>
                <c:ptCount val="1"/>
                <c:pt idx="0">
                  <c:v>% PIB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'ABAC 2022'!$C$8:$M$8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'ABAC 2022'!$C$12:$M$12</c:f>
              <c:numCache>
                <c:formatCode>0%</c:formatCode>
                <c:ptCount val="11"/>
                <c:pt idx="0">
                  <c:v>1.9E-2</c:v>
                </c:pt>
                <c:pt idx="1">
                  <c:v>0.03</c:v>
                </c:pt>
                <c:pt idx="2">
                  <c:v>5.0000000000000001E-3</c:v>
                </c:pt>
                <c:pt idx="3">
                  <c:v>-3.5000000000000003E-2</c:v>
                </c:pt>
                <c:pt idx="4">
                  <c:v>-3.3000000000000002E-2</c:v>
                </c:pt>
                <c:pt idx="5">
                  <c:v>1.2999999999999999E-2</c:v>
                </c:pt>
                <c:pt idx="6">
                  <c:v>1.7999999999999999E-2</c:v>
                </c:pt>
                <c:pt idx="7">
                  <c:v>1.2E-2</c:v>
                </c:pt>
                <c:pt idx="8">
                  <c:v>-3.9E-2</c:v>
                </c:pt>
                <c:pt idx="9">
                  <c:v>4.5999999999999999E-2</c:v>
                </c:pt>
                <c:pt idx="10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C7-4822-B5F0-09708F14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467087"/>
        <c:axId val="753462927"/>
      </c:lineChart>
      <c:catAx>
        <c:axId val="75346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3462927"/>
        <c:crosses val="autoZero"/>
        <c:auto val="1"/>
        <c:lblAlgn val="ctr"/>
        <c:lblOffset val="100"/>
        <c:noMultiLvlLbl val="0"/>
      </c:catAx>
      <c:valAx>
        <c:axId val="7534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346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1800"/>
              <a:t>KAB01 - Ship Capacity</a:t>
            </a:r>
            <a:r>
              <a:rPr lang="en-US" sz="1800" baseline="0"/>
              <a:t> and </a:t>
            </a:r>
            <a:r>
              <a:rPr lang="en-US" sz="1800"/>
              <a:t>Utilization (Teu)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'Movimentacao de Conteineres'!$AC$11</c:f>
              <c:strCache>
                <c:ptCount val="1"/>
                <c:pt idx="0">
                  <c:v>Sailing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'Movimentacao de Conteineres'!$AB$12:$AB$19</c:f>
              <c:strCache>
                <c:ptCount val="8"/>
                <c:pt idx="0">
                  <c:v>BRSSZ</c:v>
                </c:pt>
                <c:pt idx="1">
                  <c:v>BRIGI</c:v>
                </c:pt>
                <c:pt idx="2">
                  <c:v>BRSSA</c:v>
                </c:pt>
                <c:pt idx="3">
                  <c:v>BRSUA - NB</c:v>
                </c:pt>
                <c:pt idx="4">
                  <c:v>BRPEC - NB</c:v>
                </c:pt>
                <c:pt idx="5">
                  <c:v>BRMAO</c:v>
                </c:pt>
                <c:pt idx="6">
                  <c:v>BRPEC - SB</c:v>
                </c:pt>
                <c:pt idx="7">
                  <c:v>BRSUA - SB</c:v>
                </c:pt>
              </c:strCache>
            </c:strRef>
          </c:cat>
          <c:val>
            <c:numRef>
              <c:f>'Movimentacao de Conteineres'!$AC$12:$AC$19</c:f>
              <c:numCache>
                <c:formatCode>#,##0</c:formatCode>
                <c:ptCount val="8"/>
                <c:pt idx="0">
                  <c:v>1466</c:v>
                </c:pt>
                <c:pt idx="1">
                  <c:v>2072</c:v>
                </c:pt>
                <c:pt idx="2">
                  <c:v>1978</c:v>
                </c:pt>
                <c:pt idx="3">
                  <c:v>1864</c:v>
                </c:pt>
                <c:pt idx="4">
                  <c:v>1713</c:v>
                </c:pt>
                <c:pt idx="5">
                  <c:v>2225</c:v>
                </c:pt>
                <c:pt idx="6">
                  <c:v>2134</c:v>
                </c:pt>
                <c:pt idx="7">
                  <c:v>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F-47B1-AAA2-A95566CBD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452665152"/>
        <c:axId val="452665984"/>
      </c:barChart>
      <c:lineChart>
        <c:grouping val="standard"/>
        <c:varyColors val="0"/>
        <c:ser>
          <c:idx val="1"/>
          <c:order val="1"/>
          <c:tx>
            <c:strRef>
              <c:f>'Movimentacao de Conteineres'!$AD$11</c:f>
              <c:strCache>
                <c:ptCount val="1"/>
                <c:pt idx="0">
                  <c:v>Capacity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'Movimentacao de Conteineres'!$AB$12:$AB$19</c:f>
              <c:strCache>
                <c:ptCount val="8"/>
                <c:pt idx="0">
                  <c:v>BRSSZ</c:v>
                </c:pt>
                <c:pt idx="1">
                  <c:v>BRIGI</c:v>
                </c:pt>
                <c:pt idx="2">
                  <c:v>BRSSA</c:v>
                </c:pt>
                <c:pt idx="3">
                  <c:v>BRSUA - NB</c:v>
                </c:pt>
                <c:pt idx="4">
                  <c:v>BRPEC - NB</c:v>
                </c:pt>
                <c:pt idx="5">
                  <c:v>BRMAO</c:v>
                </c:pt>
                <c:pt idx="6">
                  <c:v>BRPEC - SB</c:v>
                </c:pt>
                <c:pt idx="7">
                  <c:v>BRSUA - SB</c:v>
                </c:pt>
              </c:strCache>
            </c:strRef>
          </c:cat>
          <c:val>
            <c:numRef>
              <c:f>'Movimentacao de Conteineres'!$AD$12:$AD$19</c:f>
              <c:numCache>
                <c:formatCode>General</c:formatCode>
                <c:ptCount val="8"/>
                <c:pt idx="0">
                  <c:v>2240</c:v>
                </c:pt>
                <c:pt idx="1">
                  <c:v>2240</c:v>
                </c:pt>
                <c:pt idx="2">
                  <c:v>2240</c:v>
                </c:pt>
                <c:pt idx="3">
                  <c:v>2240</c:v>
                </c:pt>
                <c:pt idx="4">
                  <c:v>2240</c:v>
                </c:pt>
                <c:pt idx="5">
                  <c:v>2240</c:v>
                </c:pt>
                <c:pt idx="6">
                  <c:v>2240</c:v>
                </c:pt>
                <c:pt idx="7">
                  <c:v>2240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F-47B1-AAA2-A95566CBD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665152"/>
        <c:axId val="452665984"/>
      </c:lineChart>
      <c:lineChart>
        <c:grouping val="standard"/>
        <c:varyColors val="0"/>
        <c:ser>
          <c:idx val="2"/>
          <c:order val="2"/>
          <c:tx>
            <c:strRef>
              <c:f>'Movimentacao de Conteineres'!$AE$11</c:f>
              <c:strCache>
                <c:ptCount val="1"/>
                <c:pt idx="0">
                  <c:v>Utilization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'Movimentacao de Conteineres'!$AB$12:$AB$19</c:f>
              <c:strCache>
                <c:ptCount val="8"/>
                <c:pt idx="0">
                  <c:v>BRSSZ</c:v>
                </c:pt>
                <c:pt idx="1">
                  <c:v>BRIGI</c:v>
                </c:pt>
                <c:pt idx="2">
                  <c:v>BRSSA</c:v>
                </c:pt>
                <c:pt idx="3">
                  <c:v>BRSUA - NB</c:v>
                </c:pt>
                <c:pt idx="4">
                  <c:v>BRPEC - NB</c:v>
                </c:pt>
                <c:pt idx="5">
                  <c:v>BRMAO</c:v>
                </c:pt>
                <c:pt idx="6">
                  <c:v>BRPEC - SB</c:v>
                </c:pt>
                <c:pt idx="7">
                  <c:v>BRSUA - SB</c:v>
                </c:pt>
              </c:strCache>
            </c:strRef>
          </c:cat>
          <c:val>
            <c:numRef>
              <c:f>'Movimentacao de Conteineres'!$AE$12:$AE$19</c:f>
              <c:numCache>
                <c:formatCode>0%</c:formatCode>
                <c:ptCount val="8"/>
                <c:pt idx="0">
                  <c:v>0.65446428571428572</c:v>
                </c:pt>
                <c:pt idx="1">
                  <c:v>0.92500000000000004</c:v>
                </c:pt>
                <c:pt idx="2">
                  <c:v>0.88303571428571426</c:v>
                </c:pt>
                <c:pt idx="3">
                  <c:v>0.83214285714285718</c:v>
                </c:pt>
                <c:pt idx="4">
                  <c:v>0.76473214285714286</c:v>
                </c:pt>
                <c:pt idx="5">
                  <c:v>0.9933035714285714</c:v>
                </c:pt>
                <c:pt idx="6">
                  <c:v>0.95267857142857137</c:v>
                </c:pt>
                <c:pt idx="7">
                  <c:v>0.85892857142857137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3F-47B1-AAA2-A95566CBD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663072"/>
        <c:axId val="452667648"/>
      </c:lineChart>
      <c:catAx>
        <c:axId val="45266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65984"/>
        <c:crosses val="autoZero"/>
        <c:auto val="1"/>
        <c:lblAlgn val="ctr"/>
        <c:lblOffset val="100"/>
        <c:noMultiLvlLbl val="0"/>
      </c:catAx>
      <c:valAx>
        <c:axId val="45266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65152"/>
        <c:crosses val="autoZero"/>
        <c:crossBetween val="between"/>
      </c:valAx>
      <c:valAx>
        <c:axId val="45266764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63072"/>
        <c:crosses val="max"/>
        <c:crossBetween val="between"/>
      </c:valAx>
      <c:catAx>
        <c:axId val="452663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2667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Modal Rodoviário e Cabotagem - Emissões semanais CO</a:t>
            </a:r>
            <a:r>
              <a:rPr lang="pt-BR" baseline="-25000"/>
              <a:t>2</a:t>
            </a:r>
            <a:r>
              <a:rPr lang="pt-BR"/>
              <a:t>e por Cenário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Cenarios!$C$34</c:f>
              <c:strCache>
                <c:ptCount val="1"/>
                <c:pt idx="0">
                  <c:v>Modal Rodoviário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351-4438-B647-49943FAB5D8E}"/>
              </c:ext>
            </c:extLst>
          </c:dPt>
          <c:cat>
            <c:strRef>
              <c:f>Cenarios!$D$32:$M$32</c:f>
              <c:strCache>
                <c:ptCount val="10"/>
                <c:pt idx="0">
                  <c:v>Base Rodoviário</c:v>
                </c:pt>
                <c:pt idx="1">
                  <c:v>Base Cabotagem</c:v>
                </c:pt>
                <c:pt idx="2">
                  <c:v>Cenário 1 Rodoviário</c:v>
                </c:pt>
                <c:pt idx="3">
                  <c:v>Cenário 1 Cabotagem</c:v>
                </c:pt>
                <c:pt idx="4">
                  <c:v>Cenário 2 Rodoviário</c:v>
                </c:pt>
                <c:pt idx="5">
                  <c:v>Cenário 2 Cabotagem</c:v>
                </c:pt>
                <c:pt idx="6">
                  <c:v>Cenário 3 Rodoviário</c:v>
                </c:pt>
                <c:pt idx="7">
                  <c:v>Cenário 3 Cabotagem</c:v>
                </c:pt>
                <c:pt idx="8">
                  <c:v>Cenário 4 Rodoviário</c:v>
                </c:pt>
                <c:pt idx="9">
                  <c:v>Cenário 4 Cabotagem</c:v>
                </c:pt>
              </c:strCache>
            </c:strRef>
          </c:cat>
          <c:val>
            <c:numRef>
              <c:f>Cenarios!$D$34:$M$34</c:f>
              <c:numCache>
                <c:formatCode>#,##0</c:formatCode>
                <c:ptCount val="10"/>
                <c:pt idx="0">
                  <c:v>6025805.9477100018</c:v>
                </c:pt>
                <c:pt idx="2">
                  <c:v>5392304.9977050005</c:v>
                </c:pt>
                <c:pt idx="4">
                  <c:v>5778454.7198753674</c:v>
                </c:pt>
                <c:pt idx="6">
                  <c:v>5392304.9977050005</c:v>
                </c:pt>
                <c:pt idx="8">
                  <c:v>5392304.9977050005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1-4438-B647-49943FAB5D8E}"/>
            </c:ext>
          </c:extLst>
        </c:ser>
        <c:ser>
          <c:idx val="1"/>
          <c:order val="1"/>
          <c:tx>
            <c:strRef>
              <c:f>Cenarios!$C$35</c:f>
              <c:strCache>
                <c:ptCount val="1"/>
                <c:pt idx="0">
                  <c:v>Modal Hidroviário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Cenarios!$D$32:$M$32</c:f>
              <c:strCache>
                <c:ptCount val="10"/>
                <c:pt idx="0">
                  <c:v>Base Rodoviário</c:v>
                </c:pt>
                <c:pt idx="1">
                  <c:v>Base Cabotagem</c:v>
                </c:pt>
                <c:pt idx="2">
                  <c:v>Cenário 1 Rodoviário</c:v>
                </c:pt>
                <c:pt idx="3">
                  <c:v>Cenário 1 Cabotagem</c:v>
                </c:pt>
                <c:pt idx="4">
                  <c:v>Cenário 2 Rodoviário</c:v>
                </c:pt>
                <c:pt idx="5">
                  <c:v>Cenário 2 Cabotagem</c:v>
                </c:pt>
                <c:pt idx="6">
                  <c:v>Cenário 3 Rodoviário</c:v>
                </c:pt>
                <c:pt idx="7">
                  <c:v>Cenário 3 Cabotagem</c:v>
                </c:pt>
                <c:pt idx="8">
                  <c:v>Cenário 4 Rodoviário</c:v>
                </c:pt>
                <c:pt idx="9">
                  <c:v>Cenário 4 Cabotagem</c:v>
                </c:pt>
              </c:strCache>
            </c:strRef>
          </c:cat>
          <c:val>
            <c:numRef>
              <c:f>Cenarios!$D$35:$M$35</c:f>
              <c:numCache>
                <c:formatCode>#,##0</c:formatCode>
                <c:ptCount val="10"/>
                <c:pt idx="0">
                  <c:v>1589164.5629428306</c:v>
                </c:pt>
                <c:pt idx="2">
                  <c:v>1589164.5629428306</c:v>
                </c:pt>
                <c:pt idx="4">
                  <c:v>1406680.2687220601</c:v>
                </c:pt>
                <c:pt idx="6">
                  <c:v>1406680.2687220601</c:v>
                </c:pt>
                <c:pt idx="8">
                  <c:v>1406680.2687220601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51-4438-B647-49943FAB5D8E}"/>
            </c:ext>
          </c:extLst>
        </c:ser>
        <c:ser>
          <c:idx val="2"/>
          <c:order val="2"/>
          <c:tx>
            <c:strRef>
              <c:f>Cenarios!$C$37</c:f>
              <c:strCache>
                <c:ptCount val="1"/>
                <c:pt idx="0">
                  <c:v>Consumo Combustíveis em Viagem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Cenarios!$D$32:$M$32</c:f>
              <c:strCache>
                <c:ptCount val="10"/>
                <c:pt idx="0">
                  <c:v>Base Rodoviário</c:v>
                </c:pt>
                <c:pt idx="1">
                  <c:v>Base Cabotagem</c:v>
                </c:pt>
                <c:pt idx="2">
                  <c:v>Cenário 1 Rodoviário</c:v>
                </c:pt>
                <c:pt idx="3">
                  <c:v>Cenário 1 Cabotagem</c:v>
                </c:pt>
                <c:pt idx="4">
                  <c:v>Cenário 2 Rodoviário</c:v>
                </c:pt>
                <c:pt idx="5">
                  <c:v>Cenário 2 Cabotagem</c:v>
                </c:pt>
                <c:pt idx="6">
                  <c:v>Cenário 3 Rodoviário</c:v>
                </c:pt>
                <c:pt idx="7">
                  <c:v>Cenário 3 Cabotagem</c:v>
                </c:pt>
                <c:pt idx="8">
                  <c:v>Cenário 4 Rodoviário</c:v>
                </c:pt>
                <c:pt idx="9">
                  <c:v>Cenário 4 Cabotagem</c:v>
                </c:pt>
              </c:strCache>
            </c:strRef>
          </c:cat>
          <c:val>
            <c:numRef>
              <c:f>Cenarios!$D$37:$M$37</c:f>
              <c:numCache>
                <c:formatCode>#,##0</c:formatCode>
                <c:ptCount val="10"/>
                <c:pt idx="1">
                  <c:v>3406078.9364925469</c:v>
                </c:pt>
                <c:pt idx="3">
                  <c:v>3406078.9364925469</c:v>
                </c:pt>
                <c:pt idx="5">
                  <c:v>3399504.4111645524</c:v>
                </c:pt>
                <c:pt idx="7">
                  <c:v>2910193.2712097047</c:v>
                </c:pt>
                <c:pt idx="9">
                  <c:v>3102127.4422921734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51-4438-B647-49943FAB5D8E}"/>
            </c:ext>
          </c:extLst>
        </c:ser>
        <c:ser>
          <c:idx val="3"/>
          <c:order val="3"/>
          <c:tx>
            <c:strRef>
              <c:f>Cenarios!$C$38</c:f>
              <c:strCache>
                <c:ptCount val="1"/>
                <c:pt idx="0">
                  <c:v>Rodoviário Cabotagem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Cenarios!$D$32:$M$32</c:f>
              <c:strCache>
                <c:ptCount val="10"/>
                <c:pt idx="0">
                  <c:v>Base Rodoviário</c:v>
                </c:pt>
                <c:pt idx="1">
                  <c:v>Base Cabotagem</c:v>
                </c:pt>
                <c:pt idx="2">
                  <c:v>Cenário 1 Rodoviário</c:v>
                </c:pt>
                <c:pt idx="3">
                  <c:v>Cenário 1 Cabotagem</c:v>
                </c:pt>
                <c:pt idx="4">
                  <c:v>Cenário 2 Rodoviário</c:v>
                </c:pt>
                <c:pt idx="5">
                  <c:v>Cenário 2 Cabotagem</c:v>
                </c:pt>
                <c:pt idx="6">
                  <c:v>Cenário 3 Rodoviário</c:v>
                </c:pt>
                <c:pt idx="7">
                  <c:v>Cenário 3 Cabotagem</c:v>
                </c:pt>
                <c:pt idx="8">
                  <c:v>Cenário 4 Rodoviário</c:v>
                </c:pt>
                <c:pt idx="9">
                  <c:v>Cenário 4 Cabotagem</c:v>
                </c:pt>
              </c:strCache>
            </c:strRef>
          </c:cat>
          <c:val>
            <c:numRef>
              <c:f>Cenarios!$D$38:$M$38</c:f>
              <c:numCache>
                <c:formatCode>#,##0</c:formatCode>
                <c:ptCount val="10"/>
                <c:pt idx="1">
                  <c:v>480999.83294400014</c:v>
                </c:pt>
                <c:pt idx="3">
                  <c:v>480999.83294400014</c:v>
                </c:pt>
                <c:pt idx="5">
                  <c:v>515444.83409552422</c:v>
                </c:pt>
                <c:pt idx="7">
                  <c:v>480999.83294400014</c:v>
                </c:pt>
                <c:pt idx="9">
                  <c:v>480999.83294400014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51-4438-B647-49943FAB5D8E}"/>
            </c:ext>
          </c:extLst>
        </c:ser>
        <c:ser>
          <c:idx val="4"/>
          <c:order val="4"/>
          <c:tx>
            <c:strRef>
              <c:f>Cenarios!$C$39</c:f>
              <c:strCache>
                <c:ptCount val="1"/>
                <c:pt idx="0">
                  <c:v>Praticagem e Rebocador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Cenarios!$D$32:$M$32</c:f>
              <c:strCache>
                <c:ptCount val="10"/>
                <c:pt idx="0">
                  <c:v>Base Rodoviário</c:v>
                </c:pt>
                <c:pt idx="1">
                  <c:v>Base Cabotagem</c:v>
                </c:pt>
                <c:pt idx="2">
                  <c:v>Cenário 1 Rodoviário</c:v>
                </c:pt>
                <c:pt idx="3">
                  <c:v>Cenário 1 Cabotagem</c:v>
                </c:pt>
                <c:pt idx="4">
                  <c:v>Cenário 2 Rodoviário</c:v>
                </c:pt>
                <c:pt idx="5">
                  <c:v>Cenário 2 Cabotagem</c:v>
                </c:pt>
                <c:pt idx="6">
                  <c:v>Cenário 3 Rodoviário</c:v>
                </c:pt>
                <c:pt idx="7">
                  <c:v>Cenário 3 Cabotagem</c:v>
                </c:pt>
                <c:pt idx="8">
                  <c:v>Cenário 4 Rodoviário</c:v>
                </c:pt>
                <c:pt idx="9">
                  <c:v>Cenário 4 Cabotagem</c:v>
                </c:pt>
              </c:strCache>
            </c:strRef>
          </c:cat>
          <c:val>
            <c:numRef>
              <c:f>Cenarios!$D$39:$M$39</c:f>
              <c:numCache>
                <c:formatCode>#,##0</c:formatCode>
                <c:ptCount val="10"/>
                <c:pt idx="1">
                  <c:v>68351.891840000011</c:v>
                </c:pt>
                <c:pt idx="3">
                  <c:v>68351.891840000011</c:v>
                </c:pt>
                <c:pt idx="5">
                  <c:v>66199.312501268127</c:v>
                </c:pt>
                <c:pt idx="7">
                  <c:v>66199.312501268127</c:v>
                </c:pt>
                <c:pt idx="9">
                  <c:v>66199.312501268127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51-4438-B647-49943FAB5D8E}"/>
            </c:ext>
          </c:extLst>
        </c:ser>
        <c:ser>
          <c:idx val="5"/>
          <c:order val="5"/>
          <c:tx>
            <c:strRef>
              <c:f>Cenarios!$C$40</c:f>
              <c:strCache>
                <c:ptCount val="1"/>
                <c:pt idx="0">
                  <c:v>Terminal de Contêineres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Cenarios!$D$32:$M$32</c:f>
              <c:strCache>
                <c:ptCount val="10"/>
                <c:pt idx="0">
                  <c:v>Base Rodoviário</c:v>
                </c:pt>
                <c:pt idx="1">
                  <c:v>Base Cabotagem</c:v>
                </c:pt>
                <c:pt idx="2">
                  <c:v>Cenário 1 Rodoviário</c:v>
                </c:pt>
                <c:pt idx="3">
                  <c:v>Cenário 1 Cabotagem</c:v>
                </c:pt>
                <c:pt idx="4">
                  <c:v>Cenário 2 Rodoviário</c:v>
                </c:pt>
                <c:pt idx="5">
                  <c:v>Cenário 2 Cabotagem</c:v>
                </c:pt>
                <c:pt idx="6">
                  <c:v>Cenário 3 Rodoviário</c:v>
                </c:pt>
                <c:pt idx="7">
                  <c:v>Cenário 3 Cabotagem</c:v>
                </c:pt>
                <c:pt idx="8">
                  <c:v>Cenário 4 Rodoviário</c:v>
                </c:pt>
                <c:pt idx="9">
                  <c:v>Cenário 4 Cabotagem</c:v>
                </c:pt>
              </c:strCache>
            </c:strRef>
          </c:cat>
          <c:val>
            <c:numRef>
              <c:f>Cenarios!$D$40:$M$40</c:f>
              <c:numCache>
                <c:formatCode>#,##0</c:formatCode>
                <c:ptCount val="10"/>
                <c:pt idx="1">
                  <c:v>67902.953775416652</c:v>
                </c:pt>
                <c:pt idx="3">
                  <c:v>67902.953775416652</c:v>
                </c:pt>
                <c:pt idx="5">
                  <c:v>64740.214955715361</c:v>
                </c:pt>
                <c:pt idx="7">
                  <c:v>64740.214955715361</c:v>
                </c:pt>
                <c:pt idx="9">
                  <c:v>64740.214955715361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51-4438-B647-49943FAB5D8E}"/>
            </c:ext>
          </c:extLst>
        </c:ser>
        <c:ser>
          <c:idx val="6"/>
          <c:order val="6"/>
          <c:tx>
            <c:strRef>
              <c:f>Cenarios!$C$41</c:f>
              <c:strCache>
                <c:ptCount val="1"/>
                <c:pt idx="0">
                  <c:v>Consumo Combustíveis no Porto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Cenarios!$D$32:$M$32</c:f>
              <c:strCache>
                <c:ptCount val="10"/>
                <c:pt idx="0">
                  <c:v>Base Rodoviário</c:v>
                </c:pt>
                <c:pt idx="1">
                  <c:v>Base Cabotagem</c:v>
                </c:pt>
                <c:pt idx="2">
                  <c:v>Cenário 1 Rodoviário</c:v>
                </c:pt>
                <c:pt idx="3">
                  <c:v>Cenário 1 Cabotagem</c:v>
                </c:pt>
                <c:pt idx="4">
                  <c:v>Cenário 2 Rodoviário</c:v>
                </c:pt>
                <c:pt idx="5">
                  <c:v>Cenário 2 Cabotagem</c:v>
                </c:pt>
                <c:pt idx="6">
                  <c:v>Cenário 3 Rodoviário</c:v>
                </c:pt>
                <c:pt idx="7">
                  <c:v>Cenário 3 Cabotagem</c:v>
                </c:pt>
                <c:pt idx="8">
                  <c:v>Cenário 4 Rodoviário</c:v>
                </c:pt>
                <c:pt idx="9">
                  <c:v>Cenário 4 Cabotagem</c:v>
                </c:pt>
              </c:strCache>
            </c:strRef>
          </c:cat>
          <c:val>
            <c:numRef>
              <c:f>Cenarios!$D$41:$M$41</c:f>
              <c:numCache>
                <c:formatCode>#,##0</c:formatCode>
                <c:ptCount val="10"/>
                <c:pt idx="1">
                  <c:v>60674.461203703708</c:v>
                </c:pt>
                <c:pt idx="3">
                  <c:v>60674.461203703708</c:v>
                </c:pt>
                <c:pt idx="5">
                  <c:v>56954.520583766229</c:v>
                </c:pt>
                <c:pt idx="7">
                  <c:v>51591.872035223765</c:v>
                </c:pt>
                <c:pt idx="9">
                  <c:v>54994.47875953844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51-4438-B647-49943FAB5D8E}"/>
            </c:ext>
          </c:extLst>
        </c:ser>
        <c:ser>
          <c:idx val="7"/>
          <c:order val="7"/>
          <c:tx>
            <c:strRef>
              <c:f>Cenarios!$C$42</c:f>
              <c:strCache>
                <c:ptCount val="1"/>
                <c:pt idx="0">
                  <c:v>Depot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Cenarios!$D$32:$M$32</c:f>
              <c:strCache>
                <c:ptCount val="10"/>
                <c:pt idx="0">
                  <c:v>Base Rodoviário</c:v>
                </c:pt>
                <c:pt idx="1">
                  <c:v>Base Cabotagem</c:v>
                </c:pt>
                <c:pt idx="2">
                  <c:v>Cenário 1 Rodoviário</c:v>
                </c:pt>
                <c:pt idx="3">
                  <c:v>Cenário 1 Cabotagem</c:v>
                </c:pt>
                <c:pt idx="4">
                  <c:v>Cenário 2 Rodoviário</c:v>
                </c:pt>
                <c:pt idx="5">
                  <c:v>Cenário 2 Cabotagem</c:v>
                </c:pt>
                <c:pt idx="6">
                  <c:v>Cenário 3 Rodoviário</c:v>
                </c:pt>
                <c:pt idx="7">
                  <c:v>Cenário 3 Cabotagem</c:v>
                </c:pt>
                <c:pt idx="8">
                  <c:v>Cenário 4 Rodoviário</c:v>
                </c:pt>
                <c:pt idx="9">
                  <c:v>Cenário 4 Cabotagem</c:v>
                </c:pt>
              </c:strCache>
            </c:strRef>
          </c:cat>
          <c:val>
            <c:numRef>
              <c:f>Cenarios!$D$42:$M$42</c:f>
              <c:numCache>
                <c:formatCode>#,##0</c:formatCode>
                <c:ptCount val="10"/>
                <c:pt idx="1">
                  <c:v>19272.361525662251</c:v>
                </c:pt>
                <c:pt idx="3">
                  <c:v>19272.361525662251</c:v>
                </c:pt>
                <c:pt idx="5">
                  <c:v>18374.706231518074</c:v>
                </c:pt>
                <c:pt idx="7">
                  <c:v>18374.706231518074</c:v>
                </c:pt>
                <c:pt idx="9">
                  <c:v>18374.706231518074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51-4438-B647-49943FAB5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38318847"/>
        <c:axId val="38315935"/>
      </c:barChart>
      <c:catAx>
        <c:axId val="383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15935"/>
        <c:crosses val="autoZero"/>
        <c:auto val="1"/>
        <c:lblAlgn val="ctr"/>
        <c:lblOffset val="100"/>
        <c:noMultiLvlLbl val="0"/>
      </c:catAx>
      <c:valAx>
        <c:axId val="3831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kg CO</a:t>
                </a:r>
                <a:r>
                  <a:rPr lang="en-US" sz="1200" baseline="-25000"/>
                  <a:t>2</a:t>
                </a:r>
                <a:r>
                  <a:rPr lang="en-US" sz="1200"/>
                  <a:t>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1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0251362810417926E-3"/>
          <c:y val="0.8298927356068696"/>
          <c:w val="0.97352665051483933"/>
          <c:h val="0.15325806473011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Participação das Fontes de Emissão de CO</a:t>
            </a:r>
            <a:r>
              <a:rPr lang="pt-BR" baseline="-25000"/>
              <a:t>2</a:t>
            </a:r>
            <a:r>
              <a:rPr lang="pt-BR"/>
              <a:t>e na Cabotagem (kg,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AD2-47D2-9E83-E3C8712EFE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D2-47D2-9E83-E3C8712EFE5A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D2-47D2-9E83-E3C8712EFE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AD2-47D2-9E83-E3C8712EFE5A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D2-47D2-9E83-E3C8712EFE5A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AD2-47D2-9E83-E3C8712EFE5A}"/>
              </c:ext>
            </c:extLst>
          </c:dPt>
          <c:dLbls>
            <c:dLbl>
              <c:idx val="0"/>
              <c:layout>
                <c:manualLayout>
                  <c:x val="6.8704439837013589E-2"/>
                  <c:y val="-8.531214952894338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04742445680215"/>
                      <c:h val="5.8486660309554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AD2-47D2-9E83-E3C8712EFE5A}"/>
                </c:ext>
              </c:extLst>
            </c:dLbl>
            <c:dLbl>
              <c:idx val="1"/>
              <c:layout>
                <c:manualLayout>
                  <c:x val="4.5802959891342303E-2"/>
                  <c:y val="-3.412553157400993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D2-47D2-9E83-E3C8712EFE5A}"/>
                </c:ext>
              </c:extLst>
            </c:dLbl>
            <c:dLbl>
              <c:idx val="2"/>
              <c:layout>
                <c:manualLayout>
                  <c:x val="7.3284735826147834E-2"/>
                  <c:y val="3.199268585063429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D2-47D2-9E83-E3C8712EFE5A}"/>
                </c:ext>
              </c:extLst>
            </c:dLbl>
            <c:dLbl>
              <c:idx val="3"/>
              <c:layout>
                <c:manualLayout>
                  <c:x val="5.8889519860297272E-2"/>
                  <c:y val="8.531382893502478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D2-47D2-9E83-E3C8712EFE5A}"/>
                </c:ext>
              </c:extLst>
            </c:dLbl>
            <c:dLbl>
              <c:idx val="4"/>
              <c:layout>
                <c:manualLayout>
                  <c:x val="4.7111615888237895E-2"/>
                  <c:y val="0.1727605035934251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D2-47D2-9E83-E3C8712EFE5A}"/>
                </c:ext>
              </c:extLst>
            </c:dLbl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'Resumo Cenario Base'!$B$57:$B$62</c:f>
              <c:strCache>
                <c:ptCount val="6"/>
                <c:pt idx="0">
                  <c:v>Rodoviário</c:v>
                </c:pt>
                <c:pt idx="1">
                  <c:v>Depot</c:v>
                </c:pt>
                <c:pt idx="2">
                  <c:v>Terminal de Contêineres</c:v>
                </c:pt>
                <c:pt idx="3">
                  <c:v>Combustíveis nos Portos</c:v>
                </c:pt>
                <c:pt idx="4">
                  <c:v>Praticagem e Rebocador</c:v>
                </c:pt>
                <c:pt idx="5">
                  <c:v>Viagem</c:v>
                </c:pt>
              </c:strCache>
            </c:strRef>
          </c:cat>
          <c:val>
            <c:numRef>
              <c:f>'Resumo Cenario Base'!$C$57:$C$62</c:f>
              <c:numCache>
                <c:formatCode>#,##0</c:formatCode>
                <c:ptCount val="6"/>
                <c:pt idx="0">
                  <c:v>537508.84926484223</c:v>
                </c:pt>
                <c:pt idx="1">
                  <c:v>19272.361525662251</c:v>
                </c:pt>
                <c:pt idx="2">
                  <c:v>67902.953775416652</c:v>
                </c:pt>
                <c:pt idx="3">
                  <c:v>60674.461203703708</c:v>
                </c:pt>
                <c:pt idx="4">
                  <c:v>68351.891840000011</c:v>
                </c:pt>
                <c:pt idx="5">
                  <c:v>3406078.9364925469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2-47D2-9E83-E3C8712EF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 Rodoviário Direto Cenário Base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048-4E2D-A338-7CACFF69356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048-4E2D-A338-7CACFF693562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48-4E2D-A338-7CACFF6935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48-4E2D-A338-7CACFF693562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48-4E2D-A338-7CACFF693562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48-4E2D-A338-7CACFF693562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48-4E2D-A338-7CACFF693562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48-4E2D-A338-7CACFF6935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Direto Base'!$B$73:$B$78</c:f>
              <c:strCache>
                <c:ptCount val="6"/>
                <c:pt idx="0">
                  <c:v>Manaus (via Belém)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Direto Base'!$I$73:$I$78</c:f>
              <c:numCache>
                <c:formatCode>#,##0</c:formatCode>
                <c:ptCount val="6"/>
                <c:pt idx="0">
                  <c:v>2318994.5030994741</c:v>
                </c:pt>
                <c:pt idx="1">
                  <c:v>633633.36445263168</c:v>
                </c:pt>
                <c:pt idx="2">
                  <c:v>656946.52449578978</c:v>
                </c:pt>
                <c:pt idx="3">
                  <c:v>138411.74953473685</c:v>
                </c:pt>
                <c:pt idx="4">
                  <c:v>623354.85187421064</c:v>
                </c:pt>
                <c:pt idx="5">
                  <c:v>1654464.9542531583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8-4E2D-A338-7CACFF69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 Rodoviário Direto Cenário Base - Emissão de CO2e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'Rodo Direto Base'!$B$79</c:f>
              <c:strCache>
                <c:ptCount val="1"/>
                <c:pt idx="0">
                  <c:v>Total Destino CO2e (kg)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A94-4E2E-83A0-35F0CAB6BC2D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A94-4E2E-83A0-35F0CAB6BC2D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A94-4E2E-83A0-35F0CAB6BC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37-4937-B89E-5AC335D54DF5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A94-4E2E-83A0-35F0CAB6BC2D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A94-4E2E-83A0-35F0CAB6BC2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Direto Base'!$C$72:$H$72</c:f>
              <c:strCache>
                <c:ptCount val="6"/>
                <c:pt idx="0">
                  <c:v>Manaus (via Belém)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Direto Base'!$C$79:$H$79</c:f>
              <c:numCache>
                <c:formatCode>#,##0</c:formatCode>
                <c:ptCount val="6"/>
                <c:pt idx="0">
                  <c:v>1538621.7991600004</c:v>
                </c:pt>
                <c:pt idx="1">
                  <c:v>927087.93089947384</c:v>
                </c:pt>
                <c:pt idx="2">
                  <c:v>961384.71226052649</c:v>
                </c:pt>
                <c:pt idx="3">
                  <c:v>199848.27588052634</c:v>
                </c:pt>
                <c:pt idx="4">
                  <c:v>604137.16798105277</c:v>
                </c:pt>
                <c:pt idx="5">
                  <c:v>1794726.0615284212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A94-4E2E-83A0-35F0CAB6B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 Rodoviário Direto Cenário 1 -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F8-4D91-A415-4398EB7F5E9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F8-4D91-A415-4398EB7F5E96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F8-4D91-A415-4398EB7F5E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F8-4D91-A415-4398EB7F5E96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F8-4D91-A415-4398EB7F5E96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EF8-4D91-A415-4398EB7F5E96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F8-4D91-A415-4398EB7F5E96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F8-4D91-A415-4398EB7F5E9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Direto C1'!$B$73:$B$78</c:f>
              <c:strCache>
                <c:ptCount val="6"/>
                <c:pt idx="0">
                  <c:v>Manaus (via Belém)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Direto C1'!$I$73:$I$78</c:f>
              <c:numCache>
                <c:formatCode>#,##0</c:formatCode>
                <c:ptCount val="6"/>
                <c:pt idx="0">
                  <c:v>2075195.5435050004</c:v>
                </c:pt>
                <c:pt idx="1">
                  <c:v>567018.65070000011</c:v>
                </c:pt>
                <c:pt idx="2">
                  <c:v>587880.86739000003</c:v>
                </c:pt>
                <c:pt idx="3">
                  <c:v>123860.33922000001</c:v>
                </c:pt>
                <c:pt idx="4">
                  <c:v>557820.731745</c:v>
                </c:pt>
                <c:pt idx="5">
                  <c:v>1480528.8651450002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F8-4D91-A415-4398EB7F5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 Rodoviário Direto Cenário 1 - Emissão de CO2e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'Rodo Direto C1'!$B$79</c:f>
              <c:strCache>
                <c:ptCount val="1"/>
                <c:pt idx="0">
                  <c:v>Total Destino CO2e (kg)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77-49B2-83CA-A9A2A523D54A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77-49B2-83CA-A9A2A523D54A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77-49B2-83CA-A9A2A523D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77-49B2-83CA-A9A2A523D54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77-49B2-83CA-A9A2A523D54A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77-49B2-83CA-A9A2A523D54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Direto C1'!$C$72:$H$72</c:f>
              <c:strCache>
                <c:ptCount val="6"/>
                <c:pt idx="0">
                  <c:v>Manaus (via Belém)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Direto C1'!$C$79:$H$79</c:f>
              <c:numCache>
                <c:formatCode>#,##0</c:formatCode>
                <c:ptCount val="6"/>
                <c:pt idx="0">
                  <c:v>1376864.4541799999</c:v>
                </c:pt>
                <c:pt idx="1">
                  <c:v>829621.95040500001</c:v>
                </c:pt>
                <c:pt idx="2">
                  <c:v>860313.06577500002</c:v>
                </c:pt>
                <c:pt idx="3">
                  <c:v>178837.96228500002</c:v>
                </c:pt>
                <c:pt idx="4">
                  <c:v>540623.42838000006</c:v>
                </c:pt>
                <c:pt idx="5">
                  <c:v>1606044.1366800002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77-49B2-83CA-A9A2A523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 Rodoviário Direto Cenário 2 -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90-46CC-9B9B-6ED7F76153FD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90-46CC-9B9B-6ED7F76153FD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90-46CC-9B9B-6ED7F76153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90-46CC-9B9B-6ED7F76153FD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90-46CC-9B9B-6ED7F76153FD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90-46CC-9B9B-6ED7F76153FD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90-46CC-9B9B-6ED7F76153FD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90-46CC-9B9B-6ED7F76153F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Direto C2'!$B$73:$B$78</c:f>
              <c:strCache>
                <c:ptCount val="6"/>
                <c:pt idx="0">
                  <c:v>Manaus (via Belém)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Direto C2'!$I$73:$I$78</c:f>
              <c:numCache>
                <c:formatCode>#,##0</c:formatCode>
                <c:ptCount val="6"/>
                <c:pt idx="0">
                  <c:v>2223802.8984143925</c:v>
                </c:pt>
                <c:pt idx="1">
                  <c:v>607623.56724800845</c:v>
                </c:pt>
                <c:pt idx="2">
                  <c:v>629979.75343382347</c:v>
                </c:pt>
                <c:pt idx="3">
                  <c:v>132730.13341711729</c:v>
                </c:pt>
                <c:pt idx="4">
                  <c:v>597766.97378358629</c:v>
                </c:pt>
                <c:pt idx="5">
                  <c:v>1586551.3935784386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90-46CC-9B9B-6ED7F7615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 Rodoviário Direto Cenário 2 - Emissão de CO2e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'Rodo Direto C2'!$B$79</c:f>
              <c:strCache>
                <c:ptCount val="1"/>
                <c:pt idx="0">
                  <c:v>Total Destino CO2e (kg)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89-4EE0-9939-48E6A5B9C94C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89-4EE0-9939-48E6A5B9C94C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89-4EE0-9939-48E6A5B9C9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89-4EE0-9939-48E6A5B9C94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89-4EE0-9939-48E6A5B9C94C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89-4EE0-9939-48E6A5B9C94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Direto C2'!$C$72:$H$72</c:f>
              <c:strCache>
                <c:ptCount val="6"/>
                <c:pt idx="0">
                  <c:v>Manaus (via Belém)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Direto C2'!$C$79:$H$79</c:f>
              <c:numCache>
                <c:formatCode>#,##0</c:formatCode>
                <c:ptCount val="6"/>
                <c:pt idx="0">
                  <c:v>1475463.4441618621</c:v>
                </c:pt>
                <c:pt idx="1">
                  <c:v>889032.21851699939</c:v>
                </c:pt>
                <c:pt idx="2">
                  <c:v>921921.16314151464</c:v>
                </c:pt>
                <c:pt idx="3">
                  <c:v>191644.77300495349</c:v>
                </c:pt>
                <c:pt idx="4">
                  <c:v>579338.14996132348</c:v>
                </c:pt>
                <c:pt idx="5">
                  <c:v>1721054.9710887135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89-4EE0-9939-48E6A5B9C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Transporte Rodoviário de Cabotagem Cenário Base - Emissão de CO</a:t>
            </a:r>
            <a:r>
              <a:rPr lang="pt-BR" sz="1400" baseline="-25000"/>
              <a:t>2</a:t>
            </a:r>
            <a:r>
              <a:rPr lang="pt-BR" sz="1400"/>
              <a:t>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5E-4B9D-9E4A-7515D89507B8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5E-4B9D-9E4A-7515D89507B8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5E-4B9D-9E4A-7515D89507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5E-4B9D-9E4A-7515D89507B8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5E-4B9D-9E4A-7515D89507B8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5E-4B9D-9E4A-7515D89507B8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5E-4B9D-9E4A-7515D89507B8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5E-4B9D-9E4A-7515D89507B8}"/>
                </c:ext>
              </c:extLst>
            </c:dLbl>
            <c:dLbl>
              <c:idx val="4"/>
              <c:layout>
                <c:manualLayout>
                  <c:x val="-1.7425684429773648E-2"/>
                  <c:y val="-3.297495357541969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5E-4B9D-9E4A-7515D89507B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Cabotagem Base'!$B$72:$B$77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Cabotagem Base'!$I$72:$I$77</c:f>
              <c:numCache>
                <c:formatCode>#,##0</c:formatCode>
                <c:ptCount val="6"/>
                <c:pt idx="0">
                  <c:v>179007.30745305266</c:v>
                </c:pt>
                <c:pt idx="1">
                  <c:v>62473.365000000005</c:v>
                </c:pt>
                <c:pt idx="2">
                  <c:v>53662.355418842111</c:v>
                </c:pt>
                <c:pt idx="3">
                  <c:v>5087.4508906315805</c:v>
                </c:pt>
                <c:pt idx="4">
                  <c:v>68036.782556842125</c:v>
                </c:pt>
                <c:pt idx="5">
                  <c:v>169241.58794547373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55E-4B9D-9E4A-7515D8950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Transporte Rodoviário de Cabotagem Cenário Base - Emissão de CO</a:t>
            </a:r>
            <a:r>
              <a:rPr lang="pt-BR" sz="1400" baseline="-25000"/>
              <a:t>2</a:t>
            </a:r>
            <a:r>
              <a:rPr lang="pt-BR" sz="1400"/>
              <a:t>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'Rodo Cabotagem Base'!$C$78:$H$78</c:f>
              <c:strCache>
                <c:ptCount val="6"/>
                <c:pt idx="0">
                  <c:v>113.263</c:v>
                </c:pt>
                <c:pt idx="1">
                  <c:v>95.584</c:v>
                </c:pt>
                <c:pt idx="2">
                  <c:v>103.685</c:v>
                </c:pt>
                <c:pt idx="3">
                  <c:v>25.000</c:v>
                </c:pt>
                <c:pt idx="4">
                  <c:v>45.678</c:v>
                </c:pt>
                <c:pt idx="5">
                  <c:v>154.299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BB-4229-BB84-83F167C3D8A7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BB-4229-BB84-83F167C3D8A7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8BB-4229-BB84-83F167C3D8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8D-4735-843A-BD1466E79647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8BB-4229-BB84-83F167C3D8A7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8BB-4229-BB84-83F167C3D8A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Cabotagem Base'!$C$71:$H$71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Cabotagem Base'!$C$78:$H$78</c:f>
              <c:numCache>
                <c:formatCode>#,##0</c:formatCode>
                <c:ptCount val="6"/>
                <c:pt idx="0">
                  <c:v>113263.40699410527</c:v>
                </c:pt>
                <c:pt idx="1">
                  <c:v>95583.517767368437</c:v>
                </c:pt>
                <c:pt idx="2">
                  <c:v>103684.59610368423</c:v>
                </c:pt>
                <c:pt idx="3">
                  <c:v>25000.013966421058</c:v>
                </c:pt>
                <c:pt idx="4">
                  <c:v>45678.478576631591</c:v>
                </c:pt>
                <c:pt idx="5">
                  <c:v>154298.83585663163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BB-4229-BB84-83F167C3D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Transporte Rodoviário de Cabotagem Cenário 1 - Emissão de CO</a:t>
            </a:r>
            <a:r>
              <a:rPr lang="pt-BR" sz="1600" baseline="-25000"/>
              <a:t>2</a:t>
            </a:r>
            <a:r>
              <a:rPr lang="pt-BR" sz="1600"/>
              <a:t>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F8-47EF-A2D3-DA5B63E5E94F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F8-47EF-A2D3-DA5B63E5E94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F8-47EF-A2D3-DA5B63E5E9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F8-47EF-A2D3-DA5B63E5E94F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F8-47EF-A2D3-DA5B63E5E94F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BF8-47EF-A2D3-DA5B63E5E94F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F8-47EF-A2D3-DA5B63E5E94F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F8-47EF-A2D3-DA5B63E5E94F}"/>
                </c:ext>
              </c:extLst>
            </c:dLbl>
            <c:dLbl>
              <c:idx val="4"/>
              <c:layout>
                <c:manualLayout>
                  <c:x val="-1.7425684429773648E-2"/>
                  <c:y val="-3.297495357541969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F8-47EF-A2D3-DA5B63E5E9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Cabotagem C1'!$B$72:$B$77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Cabotagem C1'!$I$72:$I$77</c:f>
              <c:numCache>
                <c:formatCode>#,##0</c:formatCode>
                <c:ptCount val="6"/>
                <c:pt idx="0">
                  <c:v>160188.03243600001</c:v>
                </c:pt>
                <c:pt idx="1">
                  <c:v>55905.457500000004</c:v>
                </c:pt>
                <c:pt idx="2">
                  <c:v>48020.76101100001</c:v>
                </c:pt>
                <c:pt idx="3">
                  <c:v>4552.6004490000005</c:v>
                </c:pt>
                <c:pt idx="4">
                  <c:v>60883.985610000011</c:v>
                </c:pt>
                <c:pt idx="5">
                  <c:v>151448.99593800001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F8-47EF-A2D3-DA5B63E5E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Transporte Rodoviário de Cabotagem Cenário 1 - Emissão de CO</a:t>
            </a:r>
            <a:r>
              <a:rPr lang="pt-BR" sz="1600" baseline="-25000"/>
              <a:t>2</a:t>
            </a:r>
            <a:r>
              <a:rPr lang="pt-BR" sz="1600"/>
              <a:t>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'Rodo Cabotagem C1'!$C$78:$H$78</c:f>
              <c:strCache>
                <c:ptCount val="6"/>
                <c:pt idx="0">
                  <c:v>101.356</c:v>
                </c:pt>
                <c:pt idx="1">
                  <c:v>85.535</c:v>
                </c:pt>
                <c:pt idx="2">
                  <c:v>92.784</c:v>
                </c:pt>
                <c:pt idx="3">
                  <c:v>22.372</c:v>
                </c:pt>
                <c:pt idx="4">
                  <c:v>40.876</c:v>
                </c:pt>
                <c:pt idx="5">
                  <c:v>138.077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7D-48B1-9897-EF71DB0763E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7D-48B1-9897-EF71DB0763E6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7D-48B1-9897-EF71DB0763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7D-48B1-9897-EF71DB0763E6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7D-48B1-9897-EF71DB0763E6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7D-48B1-9897-EF71DB0763E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Cabotagem C1'!$C$71:$H$71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Cabotagem C1'!$C$78:$H$78</c:f>
              <c:numCache>
                <c:formatCode>#,##0</c:formatCode>
                <c:ptCount val="6"/>
                <c:pt idx="0">
                  <c:v>101355.87519600001</c:v>
                </c:pt>
                <c:pt idx="1">
                  <c:v>85534.696110000019</c:v>
                </c:pt>
                <c:pt idx="2">
                  <c:v>92784.097365000023</c:v>
                </c:pt>
                <c:pt idx="3">
                  <c:v>22371.729429000003</c:v>
                </c:pt>
                <c:pt idx="4">
                  <c:v>40876.239702000013</c:v>
                </c:pt>
                <c:pt idx="5">
                  <c:v>138077.19514200001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E7D-48B1-9897-EF71DB076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Transporte Rodoviário de Cabotagem Cenário 2 - Emissão de CO</a:t>
            </a:r>
            <a:r>
              <a:rPr lang="pt-BR" sz="1600" baseline="-25000"/>
              <a:t>2</a:t>
            </a:r>
            <a:r>
              <a:rPr lang="pt-BR" sz="1600"/>
              <a:t>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74-4D90-A179-4D021E23F15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74-4D90-A179-4D021E23F153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74-4D90-A179-4D021E23F1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74-4D90-A179-4D021E23F15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74-4D90-A179-4D021E23F153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074-4D90-A179-4D021E23F153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74-4D90-A179-4D021E23F153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74-4D90-A179-4D021E23F153}"/>
                </c:ext>
              </c:extLst>
            </c:dLbl>
            <c:dLbl>
              <c:idx val="4"/>
              <c:layout>
                <c:manualLayout>
                  <c:x val="-1.7425684429773648E-2"/>
                  <c:y val="-3.297495357541969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074-4D90-A179-4D021E23F15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Cabotagem C2'!$B$72:$B$77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Cabotagem C2'!$I$72:$I$77</c:f>
              <c:numCache>
                <c:formatCode>#,##0</c:formatCode>
                <c:ptCount val="6"/>
                <c:pt idx="0">
                  <c:v>171659.29829475714</c:v>
                </c:pt>
                <c:pt idx="1">
                  <c:v>59908.917410116395</c:v>
                </c:pt>
                <c:pt idx="2">
                  <c:v>51459.587919103185</c:v>
                </c:pt>
                <c:pt idx="3">
                  <c:v>4878.6178755517712</c:v>
                </c:pt>
                <c:pt idx="4">
                  <c:v>65243.964160533069</c:v>
                </c:pt>
                <c:pt idx="5">
                  <c:v>162294.4484354626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74-4D90-A179-4D021E23F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Transporte Rodoviário de Cabotagem Cenário 2 - Emissão de CO</a:t>
            </a:r>
            <a:r>
              <a:rPr lang="pt-BR" sz="1600" baseline="-25000"/>
              <a:t>2</a:t>
            </a:r>
            <a:r>
              <a:rPr lang="pt-BR" sz="1600"/>
              <a:t>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'Rodo Cabotagem C2'!$C$78:$H$78</c:f>
              <c:strCache>
                <c:ptCount val="6"/>
                <c:pt idx="0">
                  <c:v>108.614</c:v>
                </c:pt>
                <c:pt idx="1">
                  <c:v>91.660</c:v>
                </c:pt>
                <c:pt idx="2">
                  <c:v>99.428</c:v>
                </c:pt>
                <c:pt idx="3">
                  <c:v>23.974</c:v>
                </c:pt>
                <c:pt idx="4">
                  <c:v>43.803</c:v>
                </c:pt>
                <c:pt idx="5">
                  <c:v>147.965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36-4E1B-A032-242E5CB6F399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36-4E1B-A032-242E5CB6F399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36-4E1B-A032-242E5CB6F3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36-4E1B-A032-242E5CB6F39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36-4E1B-A032-242E5CB6F399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236-4E1B-A032-242E5CB6F39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'Rodo Cabotagem C2'!$C$71:$H$71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'Rodo Cabotagem C2'!$C$78:$H$78</c:f>
              <c:numCache>
                <c:formatCode>#,##0</c:formatCode>
                <c:ptCount val="6"/>
                <c:pt idx="0">
                  <c:v>108614.09650653925</c:v>
                </c:pt>
                <c:pt idx="1">
                  <c:v>91659.942948385564</c:v>
                </c:pt>
                <c:pt idx="2">
                  <c:v>99428.482917110261</c:v>
                </c:pt>
                <c:pt idx="3">
                  <c:v>23973.797024797292</c:v>
                </c:pt>
                <c:pt idx="4">
                  <c:v>43803.438480818062</c:v>
                </c:pt>
                <c:pt idx="5">
                  <c:v>147965.07621787375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36-4E1B-A032-242E5CB6F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Depot Cenário Base e C1 -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45-4F6E-ADEF-7ECD31B21F4F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45-4F6E-ADEF-7ECD31B21F4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45-4F6E-ADEF-7ECD31B21F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45-4F6E-ADEF-7ECD31B21F4F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45-4F6E-ADEF-7ECD31B21F4F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45-4F6E-ADEF-7ECD31B21F4F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45-4F6E-ADEF-7ECD31B21F4F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145-4F6E-ADEF-7ECD31B21F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'Depot Base C1'!$B$82:$B$87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'Depot Base C1'!$I$82:$I$87</c:f>
              <c:numCache>
                <c:formatCode>#,##0</c:formatCode>
                <c:ptCount val="6"/>
                <c:pt idx="0">
                  <c:v>7022.4359354166954</c:v>
                </c:pt>
                <c:pt idx="1">
                  <c:v>2424.3430283264279</c:v>
                </c:pt>
                <c:pt idx="2">
                  <c:v>2441.8262713191666</c:v>
                </c:pt>
                <c:pt idx="3">
                  <c:v>559.46377576763712</c:v>
                </c:pt>
                <c:pt idx="4">
                  <c:v>2022.2284394934384</c:v>
                </c:pt>
                <c:pt idx="5">
                  <c:v>4802.0640753388861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45-4F6E-ADEF-7ECD31B21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Depot Cenário Base e C1- Emissão de CO2e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'Depot Base C1'!$B$81:$G$81</c:f>
              <c:strCache>
                <c:ptCount val="6"/>
                <c:pt idx="0">
                  <c:v> Emissão de CO2e (kg) - Depot</c:v>
                </c:pt>
                <c:pt idx="1">
                  <c:v>Manaus</c:v>
                </c:pt>
                <c:pt idx="2">
                  <c:v>Fortaleza</c:v>
                </c:pt>
                <c:pt idx="3">
                  <c:v>Recife</c:v>
                </c:pt>
                <c:pt idx="4">
                  <c:v>Salvador</c:v>
                </c:pt>
                <c:pt idx="5">
                  <c:v>Rio de Janeiro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B0-4371-97DF-B8B11DCA7B8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B0-4371-97DF-B8B11DCA7B8B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B0-4371-97DF-B8B11DCA7B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B0-4371-97DF-B8B11DCA7B8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B0-4371-97DF-B8B11DCA7B8B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1B0-4371-97DF-B8B11DCA7B8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'Depot Base C1'!$C$91:$H$91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'Depot Base C1'!$C$88:$H$88</c:f>
              <c:numCache>
                <c:formatCode>#,##0</c:formatCode>
                <c:ptCount val="6"/>
                <c:pt idx="0">
                  <c:v>5635.4319913260952</c:v>
                </c:pt>
                <c:pt idx="1">
                  <c:v>3059.5675237292658</c:v>
                </c:pt>
                <c:pt idx="2">
                  <c:v>3193.6057200069285</c:v>
                </c:pt>
                <c:pt idx="3">
                  <c:v>868.33440197268681</c:v>
                </c:pt>
                <c:pt idx="4">
                  <c:v>1608.4583553319565</c:v>
                </c:pt>
                <c:pt idx="5">
                  <c:v>4906.9635332953176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B0-4371-97DF-B8B11DCA7B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Depot Cenário C2 -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F8-4D79-8B07-47B78722778F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F8-4D79-8B07-47B78722778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F8-4D79-8B07-47B7872277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F8-4D79-8B07-47B78722778F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F8-4D79-8B07-47B78722778F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F8-4D79-8B07-47B78722778F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F8-4D79-8B07-47B78722778F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F8-4D79-8B07-47B78722778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'Depot C2'!$B$82:$B$87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'Depot C2'!$I$82:$I$87</c:f>
              <c:numCache>
                <c:formatCode>#,##0</c:formatCode>
                <c:ptCount val="6"/>
                <c:pt idx="0">
                  <c:v>6695.3495642513708</c:v>
                </c:pt>
                <c:pt idx="1">
                  <c:v>2311.4235840071124</c:v>
                </c:pt>
                <c:pt idx="2">
                  <c:v>2328.0925040840862</c:v>
                </c:pt>
                <c:pt idx="3">
                  <c:v>533.40544246317972</c:v>
                </c:pt>
                <c:pt idx="4">
                  <c:v>1928.038422236702</c:v>
                </c:pt>
                <c:pt idx="5">
                  <c:v>4578.3967144756261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BF8-4D79-8B07-47B787227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Depot Cenário C2 - Emissão de CO2e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'Depot C2'!$B$81:$G$81</c:f>
              <c:strCache>
                <c:ptCount val="6"/>
                <c:pt idx="0">
                  <c:v> Emissão de CO2e (kg) - Depot</c:v>
                </c:pt>
                <c:pt idx="1">
                  <c:v>Manaus</c:v>
                </c:pt>
                <c:pt idx="2">
                  <c:v>Fortaleza</c:v>
                </c:pt>
                <c:pt idx="3">
                  <c:v>Recife</c:v>
                </c:pt>
                <c:pt idx="4">
                  <c:v>Salvador</c:v>
                </c:pt>
                <c:pt idx="5">
                  <c:v>Rio de Janeiro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62-4AB5-A7B9-302CFEEA1DFD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62-4AB5-A7B9-302CFEEA1DFD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62-4AB5-A7B9-302CFEEA1D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62-4AB5-A7B9-302CFEEA1DFD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62-4AB5-A7B9-302CFEEA1DFD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E62-4AB5-A7B9-302CFEEA1DF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'Depot C2'!$C$91:$H$91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'Depot C2'!$C$88:$H$88</c:f>
              <c:numCache>
                <c:formatCode>#,##0</c:formatCode>
                <c:ptCount val="6"/>
                <c:pt idx="0">
                  <c:v>5372.9485714780703</c:v>
                </c:pt>
                <c:pt idx="1">
                  <c:v>2917.0610134705139</c:v>
                </c:pt>
                <c:pt idx="2">
                  <c:v>3044.8560673939846</c:v>
                </c:pt>
                <c:pt idx="3">
                  <c:v>827.88969715639348</c:v>
                </c:pt>
                <c:pt idx="4">
                  <c:v>1533.5406470816415</c:v>
                </c:pt>
                <c:pt idx="5">
                  <c:v>4678.4102349374725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E62-4AB5-A7B9-302CFEEA1D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Terminal de Contêineres - RTG Cenário Base e C1 -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3A-44D0-B96D-FEA7696E7BF8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3A-44D0-B96D-FEA7696E7BF8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3A-44D0-B96D-FEA7696E7B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3A-44D0-B96D-FEA7696E7BF8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3A-44D0-B96D-FEA7696E7BF8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3A-44D0-B96D-FEA7696E7BF8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3A-44D0-B96D-FEA7696E7BF8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3A-44D0-B96D-FEA7696E7BF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'RTG Base C1'!$B$82:$B$87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'RTG Base C1'!$I$82:$I$87</c:f>
              <c:numCache>
                <c:formatCode>#,##0</c:formatCode>
                <c:ptCount val="6"/>
                <c:pt idx="0">
                  <c:v>18351.965911222294</c:v>
                </c:pt>
                <c:pt idx="1">
                  <c:v>6335.616447359731</c:v>
                </c:pt>
                <c:pt idx="2">
                  <c:v>6381.3059890474196</c:v>
                </c:pt>
                <c:pt idx="3">
                  <c:v>1462.0653340060915</c:v>
                </c:pt>
                <c:pt idx="4">
                  <c:v>5284.756988542852</c:v>
                </c:pt>
                <c:pt idx="5">
                  <c:v>12549.39411688562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03A-44D0-B96D-FEA7696E7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Terminal de Contêineres - RTG </a:t>
            </a:r>
            <a:r>
              <a:rPr lang="pt-BR" sz="1600" b="1" i="0" u="none" strike="noStrike" baseline="0">
                <a:effectLst/>
              </a:rPr>
              <a:t>Cenário Base e C1 </a:t>
            </a:r>
            <a:r>
              <a:rPr lang="pt-BR" sz="1600"/>
              <a:t>- Emissão de CO2e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'RTG Base C1'!$B$88</c:f>
              <c:strCache>
                <c:ptCount val="1"/>
                <c:pt idx="0">
                  <c:v>Total Destino CO2e (kg)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64B-49FD-BDEE-FB8E743E6F94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64B-49FD-BDEE-FB8E743E6F94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64B-49FD-BDEE-FB8E743E6F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E3-4026-8E6B-1FAD36C02208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64B-49FD-BDEE-FB8E743E6F94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64B-49FD-BDEE-FB8E743E6F9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'RTG Base C1'!$C$81:$H$81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'RTG Base C1'!$C$88:$H$88</c:f>
              <c:numCache>
                <c:formatCode>#,##0</c:formatCode>
                <c:ptCount val="6"/>
                <c:pt idx="0">
                  <c:v>14727.262270665526</c:v>
                </c:pt>
                <c:pt idx="1">
                  <c:v>7995.6697953458142</c:v>
                </c:pt>
                <c:pt idx="2">
                  <c:v>8345.9562816181078</c:v>
                </c:pt>
                <c:pt idx="3">
                  <c:v>2269.2472371552881</c:v>
                </c:pt>
                <c:pt idx="4">
                  <c:v>4203.4378352675139</c:v>
                </c:pt>
                <c:pt idx="5">
                  <c:v>12823.531367011763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64B-49FD-BDEE-FB8E743E6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Terminal de Contêineres - RTG Cenário 2 -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5F-4896-BF69-027E9788E437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5F-4896-BF69-027E9788E437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5F-4896-BF69-027E9788E4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5F-4896-BF69-027E9788E437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5F-4896-BF69-027E9788E437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5F-4896-BF69-027E9788E437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5F-4896-BF69-027E9788E437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5F-4896-BF69-027E9788E43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'RTG C2'!$B$82:$B$87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'RTG C2'!$I$82:$I$87</c:f>
              <c:numCache>
                <c:formatCode>#,##0</c:formatCode>
                <c:ptCount val="6"/>
                <c:pt idx="0">
                  <c:v>17497.180194576915</c:v>
                </c:pt>
                <c:pt idx="1">
                  <c:v>6040.5202995385871</c:v>
                </c:pt>
                <c:pt idx="2">
                  <c:v>6084.0817440064129</c:v>
                </c:pt>
                <c:pt idx="3">
                  <c:v>1393.9662229704429</c:v>
                </c:pt>
                <c:pt idx="4">
                  <c:v>5038.6070767785814</c:v>
                </c:pt>
                <c:pt idx="5">
                  <c:v>11964.876747162971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15F-4896-BF69-027E9788E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Terminal de Contêineres - RTG Cenário 2 - Emissão de CO2e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'RTG C2'!$B$88</c:f>
              <c:strCache>
                <c:ptCount val="1"/>
                <c:pt idx="0">
                  <c:v>Total Destino CO2e (kg)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1B-41DA-B3DD-A92EA4EAC929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1B-41DA-B3DD-A92EA4EAC929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1B-41DA-B3DD-A92EA4EAC9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1B-41DA-B3DD-A92EA4EAC92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1B-41DA-B3DD-A92EA4EAC929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91B-41DA-B3DD-A92EA4EAC92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'RTG C2'!$C$81:$H$81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'RTG C2'!$C$88:$H$88</c:f>
              <c:numCache>
                <c:formatCode>#,##0</c:formatCode>
                <c:ptCount val="6"/>
                <c:pt idx="0">
                  <c:v>14041.305600129359</c:v>
                </c:pt>
                <c:pt idx="1">
                  <c:v>7623.2527818696099</c:v>
                </c:pt>
                <c:pt idx="2">
                  <c:v>7957.223856122946</c:v>
                </c:pt>
                <c:pt idx="3">
                  <c:v>2163.5517419020421</c:v>
                </c:pt>
                <c:pt idx="4">
                  <c:v>4007.6528910400239</c:v>
                </c:pt>
                <c:pt idx="5">
                  <c:v>12226.245413969928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91B-41DA-B3DD-A92EA4EAC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Terminal de Contêineres TT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5A-4C13-8DA4-4C9EADF9174A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5A-4C13-8DA4-4C9EADF9174A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5A-4C13-8DA4-4C9EADF917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5A-4C13-8DA4-4C9EADF9174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5A-4C13-8DA4-4C9EADF9174A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5A-4C13-8DA4-4C9EADF9174A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5A-4C13-8DA4-4C9EADF9174A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5A-4C13-8DA4-4C9EADF9174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'TT Base C1'!$B$82:$B$87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'TT Base C1'!$I$82:$I$87</c:f>
              <c:numCache>
                <c:formatCode>#,##0</c:formatCode>
                <c:ptCount val="6"/>
                <c:pt idx="0">
                  <c:v>6390.4167012291937</c:v>
                </c:pt>
                <c:pt idx="1">
                  <c:v>2206.1521557770493</c:v>
                </c:pt>
                <c:pt idx="2">
                  <c:v>2222.0619069004415</c:v>
                </c:pt>
                <c:pt idx="3">
                  <c:v>509.11203594854987</c:v>
                </c:pt>
                <c:pt idx="4">
                  <c:v>1840.227879939029</c:v>
                </c:pt>
                <c:pt idx="5">
                  <c:v>4369.8783085583864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85A-4C13-8DA4-4C9EADF91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Terminal de Contêineres - TT Cenário Base e C1 -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52-4C63-8993-12BBC7E1FEF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52-4C63-8993-12BBC7E1FEF2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52-4C63-8993-12BBC7E1FE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52-4C63-8993-12BBC7E1FEF2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52-4C63-8993-12BBC7E1FEF2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52-4C63-8993-12BBC7E1FEF2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52-4C63-8993-12BBC7E1FEF2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52-4C63-8993-12BBC7E1FEF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'RTG Base C1'!$B$82:$B$87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'RTG Base C1'!$I$82:$I$87</c:f>
              <c:numCache>
                <c:formatCode>#,##0</c:formatCode>
                <c:ptCount val="6"/>
                <c:pt idx="0">
                  <c:v>18351.965911222294</c:v>
                </c:pt>
                <c:pt idx="1">
                  <c:v>6335.616447359731</c:v>
                </c:pt>
                <c:pt idx="2">
                  <c:v>6381.3059890474196</c:v>
                </c:pt>
                <c:pt idx="3">
                  <c:v>1462.0653340060915</c:v>
                </c:pt>
                <c:pt idx="4">
                  <c:v>5284.756988542852</c:v>
                </c:pt>
                <c:pt idx="5">
                  <c:v>12549.39411688562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52-4C63-8993-12BBC7E1F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Terminal de Contêineres - TT Cenário Base e C1 - Emissão de CO2e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'TT Base C1'!$B$88</c:f>
              <c:strCache>
                <c:ptCount val="1"/>
                <c:pt idx="0">
                  <c:v>Total Destino CO2e (kg)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C5F-4F23-A5E4-7AA1569A6F05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C5F-4F23-A5E4-7AA1569A6F05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C5F-4F23-A5E4-7AA1569A6F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AE-461A-BEAD-D7B98E442B85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C5F-4F23-A5E4-7AA1569A6F05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C5F-4F23-A5E4-7AA1569A6F0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'TT Base C1'!$C$81:$H$81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'TT Base C1'!$C$88:$H$88</c:f>
              <c:numCache>
                <c:formatCode>#,##0</c:formatCode>
                <c:ptCount val="6"/>
                <c:pt idx="0">
                  <c:v>5128.2431121067475</c:v>
                </c:pt>
                <c:pt idx="1">
                  <c:v>2784.2064465936319</c:v>
                </c:pt>
                <c:pt idx="2">
                  <c:v>2906.1812052063055</c:v>
                </c:pt>
                <c:pt idx="3">
                  <c:v>790.18430579514506</c:v>
                </c:pt>
                <c:pt idx="4">
                  <c:v>1463.6971033520808</c:v>
                </c:pt>
                <c:pt idx="5">
                  <c:v>4465.3368152987387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5F-4F23-A5E4-7AA1569A6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Terminal de Contêineres TT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E8-486E-A940-E4C40397CDC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E8-486E-A940-E4C40397CDC2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E8-486E-A940-E4C40397CD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E8-486E-A940-E4C40397CDC2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E8-486E-A940-E4C40397CDC2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E8-486E-A940-E4C40397CDC2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E8-486E-A940-E4C40397CDC2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E8-486E-A940-E4C40397CDC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'TT C2'!$B$82:$B$87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'TT C2'!$I$82:$I$87</c:f>
              <c:numCache>
                <c:formatCode>#,##0</c:formatCode>
                <c:ptCount val="6"/>
                <c:pt idx="0">
                  <c:v>6092.7681034687457</c:v>
                </c:pt>
                <c:pt idx="1">
                  <c:v>2103.3954614464715</c:v>
                </c:pt>
                <c:pt idx="2">
                  <c:v>2118.5641787165182</c:v>
                </c:pt>
                <c:pt idx="3">
                  <c:v>485.39895264149339</c:v>
                </c:pt>
                <c:pt idx="4">
                  <c:v>1754.5149642353981</c:v>
                </c:pt>
                <c:pt idx="5">
                  <c:v>4166.3410101728186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E8-486E-A940-E4C40397C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Terminal de Contêineres - TT Cenário 2 - Emissão de CO2e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E1-4A9C-A97E-0C0B56F72909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E1-4A9C-A97E-0C0B56F72909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E1-4A9C-A97E-0C0B56F729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E1-4A9C-A97E-0C0B56F7290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3E1-4A9C-A97E-0C0B56F72909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3E1-4A9C-A97E-0C0B56F72909}"/>
              </c:ext>
            </c:extLst>
          </c:dPt>
          <c:dLbls>
            <c:dLbl>
              <c:idx val="2"/>
              <c:layout>
                <c:manualLayout>
                  <c:x val="-9.2115961665253498E-3"/>
                  <c:y val="-4.42708392339332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E1-4A9C-A97E-0C0B56F72909}"/>
                </c:ext>
              </c:extLst>
            </c:dLbl>
            <c:dLbl>
              <c:idx val="3"/>
              <c:layout>
                <c:manualLayout>
                  <c:x val="-3.3775852610592946E-2"/>
                  <c:y val="-1.99218776552699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E1-4A9C-A97E-0C0B56F7290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'RTG Base C1'!$B$82:$B$87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'RTG Base C1'!$I$82:$I$87</c:f>
              <c:numCache>
                <c:formatCode>#,##0</c:formatCode>
                <c:ptCount val="6"/>
                <c:pt idx="0">
                  <c:v>18351.965911222294</c:v>
                </c:pt>
                <c:pt idx="1">
                  <c:v>6335.616447359731</c:v>
                </c:pt>
                <c:pt idx="2">
                  <c:v>6381.3059890474196</c:v>
                </c:pt>
                <c:pt idx="3">
                  <c:v>1462.0653340060915</c:v>
                </c:pt>
                <c:pt idx="4">
                  <c:v>5284.756988542852</c:v>
                </c:pt>
                <c:pt idx="5">
                  <c:v>12549.39411688562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E1-4A9C-A97E-0C0B56F72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Terminal de Contêineres - TT Cenário 2 - Emissão de CO2e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'TT C2'!$B$88</c:f>
              <c:strCache>
                <c:ptCount val="1"/>
                <c:pt idx="0">
                  <c:v>Total Destino CO2e (kg)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7B-4975-A4F0-8218DE3706A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7B-4975-A4F0-8218DE3706A2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7B-4975-A4F0-8218DE3706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7B-4975-A4F0-8218DE3706A2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7B-4975-A4F0-8218DE3706A2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7B-4975-A4F0-8218DE3706A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'TT C2'!$C$81:$H$81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'TT C2'!$C$88:$H$88</c:f>
              <c:numCache>
                <c:formatCode>#,##0</c:formatCode>
                <c:ptCount val="6"/>
                <c:pt idx="0">
                  <c:v>4889.3832000450429</c:v>
                </c:pt>
                <c:pt idx="1">
                  <c:v>2654.5255222581673</c:v>
                </c:pt>
                <c:pt idx="2">
                  <c:v>2770.8190213285252</c:v>
                </c:pt>
                <c:pt idx="3">
                  <c:v>753.37962441231775</c:v>
                </c:pt>
                <c:pt idx="4">
                  <c:v>1395.5219888442939</c:v>
                </c:pt>
                <c:pt idx="5">
                  <c:v>4257.353313793099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7B-4975-A4F0-8218DE370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Cabotagem - Emissão Semanal de CO</a:t>
            </a:r>
            <a:r>
              <a:rPr lang="pt-BR" baseline="-25000"/>
              <a:t>2</a:t>
            </a:r>
            <a:r>
              <a:rPr lang="pt-BR"/>
              <a:t>e (kg) por Origem no Cenário 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'Cabotagem Total Base'!$I$14</c:f>
              <c:strCache>
                <c:ptCount val="1"/>
                <c:pt idx="0">
                  <c:v>Total Origem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4FD-4457-BF23-6E1CDE072BC1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4FD-4457-BF23-6E1CDE072BC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4FD-4457-BF23-6E1CDE072B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39-4B55-842D-37536CB401C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4FD-4457-BF23-6E1CDE072BC1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4FD-4457-BF23-6E1CDE072BC1}"/>
              </c:ext>
            </c:extLst>
          </c:dPt>
          <c:dLbls>
            <c:dLbl>
              <c:idx val="1"/>
              <c:layout>
                <c:manualLayout>
                  <c:x val="7.1962045104214417E-2"/>
                  <c:y val="-8.7309706089405137E-3"/>
                </c:manualLayout>
              </c:layout>
              <c:tx>
                <c:rich>
                  <a:bodyPr/>
                  <a:lstStyle/>
                  <a:p>
                    <a:fld id="{B1D0121A-66DD-4C89-9126-1D0163E645C0}" type="CATEGORYNAME">
                      <a:rPr lang="en-US"/>
                      <a:pPr/>
                      <a:t>[NOME DA CATEGORIA]</a:t>
                    </a:fld>
                    <a:r>
                      <a:rPr lang="en-US" baseline="0"/>
                      <a:t>; </a:t>
                    </a:r>
                    <a:fld id="{C29AD973-748B-4761-9314-4EF8C31C4552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>; </a:t>
                    </a:r>
                    <a:fld id="{08E99EDD-6CF9-4C9C-92BC-8B6BCB57D4A3}" type="PERCENTAGE">
                      <a:rPr lang="en-US" baseline="0"/>
                      <a:pPr/>
                      <a:t>[PORCENTAGEM]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67672565028604"/>
                      <c:h val="8.194686207541360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04FD-4457-BF23-6E1CDE072BC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'Cabotagem Total Base'!$B$15:$B$20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'Cabotagem Total Base'!$I$15:$I$20</c:f>
              <c:numCache>
                <c:formatCode>#,##0</c:formatCode>
                <c:ptCount val="6"/>
                <c:pt idx="0">
                  <c:v>1729166.4806519568</c:v>
                </c:pt>
                <c:pt idx="1">
                  <c:v>435706.30246384093</c:v>
                </c:pt>
                <c:pt idx="2">
                  <c:v>494871.97982980625</c:v>
                </c:pt>
                <c:pt idx="3">
                  <c:v>124779.80848381481</c:v>
                </c:pt>
                <c:pt idx="4">
                  <c:v>361631.85001184896</c:v>
                </c:pt>
                <c:pt idx="5">
                  <c:v>1013633.0326609047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4FD-4457-BF23-6E1CDE072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Cabotagem - Emissão Semanal</a:t>
            </a:r>
            <a:r>
              <a:rPr lang="pt-BR" baseline="0"/>
              <a:t> </a:t>
            </a:r>
            <a:r>
              <a:rPr lang="pt-BR"/>
              <a:t>de CO</a:t>
            </a:r>
            <a:r>
              <a:rPr lang="pt-BR" baseline="-25000"/>
              <a:t>2</a:t>
            </a:r>
            <a:r>
              <a:rPr lang="pt-BR"/>
              <a:t>e (kg) por Destino no Cenário 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'Cabotagem Total Base'!$I$14</c:f>
              <c:strCache>
                <c:ptCount val="1"/>
                <c:pt idx="0">
                  <c:v>Total Origem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3F-419C-814B-1029FDB7CB51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3F-419C-814B-1029FDB7CB5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3F-419C-814B-1029FDB7CB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3F-419C-814B-1029FDB7CB51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3F-419C-814B-1029FDB7CB51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3F-419C-814B-1029FDB7CB5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'Cabotagem Total Base'!$B$15:$B$20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'Cabotagem Total Base'!$C$21:$H$21</c:f>
              <c:numCache>
                <c:formatCode>#,##0</c:formatCode>
                <c:ptCount val="6"/>
                <c:pt idx="0">
                  <c:v>1362395.1644172347</c:v>
                </c:pt>
                <c:pt idx="1">
                  <c:v>513447.60489200579</c:v>
                </c:pt>
                <c:pt idx="2">
                  <c:v>492968.89400805195</c:v>
                </c:pt>
                <c:pt idx="3">
                  <c:v>93298.496750058519</c:v>
                </c:pt>
                <c:pt idx="4">
                  <c:v>436859.83842956222</c:v>
                </c:pt>
                <c:pt idx="5">
                  <c:v>1260819.4556052589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3F-419C-814B-1029FDB7C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Fontes de Emissão de CO2e na Cabotagem no Cenário Base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'Cabotagem Total Base'!$C$57</c:f>
              <c:strCache>
                <c:ptCount val="1"/>
                <c:pt idx="0">
                  <c:v>CO2e (kg)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9C-4BD6-BE8B-C8B2BB1380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69C-4BD6-BE8B-C8B2BB1380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69C-4BD6-BE8B-C8B2BB1380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9C-4BD6-BE8B-C8B2BB1380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69C-4BD6-BE8B-C8B2BB13808E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9C-4BD6-BE8B-C8B2BB13808E}"/>
              </c:ext>
            </c:extLst>
          </c:dPt>
          <c:dLbls>
            <c:dLbl>
              <c:idx val="0"/>
              <c:layout>
                <c:manualLayout>
                  <c:x val="-0.11003275885006844"/>
                  <c:y val="-1.9571208862183498E-2"/>
                </c:manualLayout>
              </c:layout>
              <c:tx>
                <c:rich>
                  <a:bodyPr/>
                  <a:lstStyle/>
                  <a:p>
                    <a:fld id="{7A365072-4C2A-459A-A42D-7CBFFAB749C6}" type="CATEGORYNAME">
                      <a:rPr lang="en-US"/>
                      <a:pPr/>
                      <a:t>[NOME DA CATEGORIA]</a:t>
                    </a:fld>
                    <a:r>
                      <a:rPr lang="en-US" baseline="0"/>
                      <a:t> </a:t>
                    </a:r>
                    <a:fld id="{1A9345FA-B408-4422-8790-D4A33123AFA9}" type="PERCENTAGE">
                      <a:rPr lang="en-US" baseline="0"/>
                      <a:pPr/>
                      <a:t>[PORCENTAGEM]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865318708941972"/>
                      <c:h val="7.066161933883612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69C-4BD6-BE8B-C8B2BB13808E}"/>
                </c:ext>
              </c:extLst>
            </c:dLbl>
            <c:dLbl>
              <c:idx val="1"/>
              <c:layout>
                <c:manualLayout>
                  <c:x val="1.86696332082853E-2"/>
                  <c:y val="-0.1196024407441818"/>
                </c:manualLayout>
              </c:layout>
              <c:tx>
                <c:rich>
                  <a:bodyPr/>
                  <a:lstStyle/>
                  <a:p>
                    <a:fld id="{276972E8-3F82-41FD-A4D5-AC502A78A2F2}" type="CATEGORYNAME">
                      <a:rPr lang="en-US"/>
                      <a:pPr/>
                      <a:t>[NOME DA CATEGORIA]</a:t>
                    </a:fld>
                    <a:r>
                      <a:rPr lang="en-US"/>
                      <a:t> </a:t>
                    </a:r>
                    <a:fld id="{0127FDE2-738C-4538-9E61-54B637D912B1}" type="PERCENTAGE">
                      <a:rPr lang="en-US" baseline="0"/>
                      <a:pPr/>
                      <a:t>[PORCENTAGEM]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48469308957629"/>
                      <c:h val="7.066161933883612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69C-4BD6-BE8B-C8B2BB13808E}"/>
                </c:ext>
              </c:extLst>
            </c:dLbl>
            <c:dLbl>
              <c:idx val="2"/>
              <c:layout>
                <c:manualLayout>
                  <c:x val="8.7915128388374619E-2"/>
                  <c:y val="-1.95712944758951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052962088280478"/>
                      <c:h val="0.118903918471089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69C-4BD6-BE8B-C8B2BB13808E}"/>
                </c:ext>
              </c:extLst>
            </c:dLbl>
            <c:dLbl>
              <c:idx val="3"/>
              <c:layout>
                <c:manualLayout>
                  <c:x val="6.4456711497377889E-2"/>
                  <c:y val="6.52376482529837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113276701787145"/>
                      <c:h val="0.118903918471089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69C-4BD6-BE8B-C8B2BB13808E}"/>
                </c:ext>
              </c:extLst>
            </c:dLbl>
            <c:dLbl>
              <c:idx val="4"/>
              <c:layout>
                <c:manualLayout>
                  <c:x val="4.4031035481466245E-2"/>
                  <c:y val="0.1630941206324593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9C-4BD6-BE8B-C8B2BB13808E}"/>
                </c:ext>
              </c:extLst>
            </c:dLbl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'Cabotagem Total Base'!$B$58:$B$63</c:f>
              <c:strCache>
                <c:ptCount val="6"/>
                <c:pt idx="0">
                  <c:v>Rodoviário</c:v>
                </c:pt>
                <c:pt idx="1">
                  <c:v>Depot</c:v>
                </c:pt>
                <c:pt idx="2">
                  <c:v>Terminal de Contêiner</c:v>
                </c:pt>
                <c:pt idx="3">
                  <c:v>Praticagem e Rebocador</c:v>
                </c:pt>
                <c:pt idx="4">
                  <c:v>Navio no Porto</c:v>
                </c:pt>
                <c:pt idx="5">
                  <c:v>Navio em Viagem</c:v>
                </c:pt>
              </c:strCache>
            </c:strRef>
          </c:cat>
          <c:val>
            <c:numRef>
              <c:f>'Cabotagem Total Base'!$C$58:$C$63</c:f>
              <c:numCache>
                <c:formatCode>#,##0</c:formatCode>
                <c:ptCount val="6"/>
                <c:pt idx="0">
                  <c:v>537508.84926484223</c:v>
                </c:pt>
                <c:pt idx="1">
                  <c:v>19272.361525662251</c:v>
                </c:pt>
                <c:pt idx="2">
                  <c:v>67902.953775416652</c:v>
                </c:pt>
                <c:pt idx="3">
                  <c:v>68351.891840000011</c:v>
                </c:pt>
                <c:pt idx="4">
                  <c:v>60674.461203703708</c:v>
                </c:pt>
                <c:pt idx="5">
                  <c:v>3406078.9364925469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C-4BD6-BE8B-C8B2BB138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Cabotagem - Emissão Semanal de CO</a:t>
            </a:r>
            <a:r>
              <a:rPr lang="pt-BR" baseline="-25000"/>
              <a:t>2</a:t>
            </a:r>
            <a:r>
              <a:rPr lang="pt-BR"/>
              <a:t>e (kg)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'Cabotagem Total C1'!$I$14</c:f>
              <c:strCache>
                <c:ptCount val="1"/>
                <c:pt idx="0">
                  <c:v>Total Origem CO2e (kg)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28-44C6-B038-0C4E7E0BBD1D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28-44C6-B038-0C4E7E0BBD1D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28-44C6-B038-0C4E7E0BBD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28-44C6-B038-0C4E7E0BBD1D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28-44C6-B038-0C4E7E0BBD1D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28-44C6-B038-0C4E7E0BBD1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'Cabotagem Total C1'!$B$15:$B$20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'Cabotagem Total C1'!$I$15:$I$20</c:f>
              <c:numCache>
                <c:formatCode>#,##0</c:formatCode>
                <c:ptCount val="6"/>
                <c:pt idx="0">
                  <c:v>1710347.2056349041</c:v>
                </c:pt>
                <c:pt idx="1">
                  <c:v>429138.3949638409</c:v>
                </c:pt>
                <c:pt idx="2">
                  <c:v>489230.38542196405</c:v>
                </c:pt>
                <c:pt idx="3">
                  <c:v>124244.95804218324</c:v>
                </c:pt>
                <c:pt idx="4">
                  <c:v>354479.0530650068</c:v>
                </c:pt>
                <c:pt idx="5">
                  <c:v>995840.440653431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28-44C6-B038-0C4E7E0BB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Cabotagem - Emissão Semanal</a:t>
            </a:r>
            <a:r>
              <a:rPr lang="pt-BR" baseline="0"/>
              <a:t> </a:t>
            </a:r>
            <a:r>
              <a:rPr lang="pt-BR"/>
              <a:t>de CO</a:t>
            </a:r>
            <a:r>
              <a:rPr lang="pt-BR" baseline="-25000"/>
              <a:t>2</a:t>
            </a:r>
            <a:r>
              <a:rPr lang="pt-BR"/>
              <a:t>e (kg) por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'Cabotagem Total C1'!$I$14</c:f>
              <c:strCache>
                <c:ptCount val="1"/>
                <c:pt idx="0">
                  <c:v>Total Origem CO2e (kg)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AC-42C5-B0D5-E0B059B10FA9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AC-42C5-B0D5-E0B059B10FA9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AC-42C5-B0D5-E0B059B10F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AC-42C5-B0D5-E0B059B10FA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AC-42C5-B0D5-E0B059B10FA9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AC-42C5-B0D5-E0B059B10FA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'Cabotagem Total C1'!$B$15:$B$20</c:f>
              <c:strCache>
                <c:ptCount val="6"/>
                <c:pt idx="0">
                  <c:v>Manaus</c:v>
                </c:pt>
                <c:pt idx="1">
                  <c:v>Fortaleza</c:v>
                </c:pt>
                <c:pt idx="2">
                  <c:v>Recife</c:v>
                </c:pt>
                <c:pt idx="3">
                  <c:v>Salvador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'Cabotagem Total C1'!$C$21:$H$21</c:f>
              <c:numCache>
                <c:formatCode>#,##0</c:formatCode>
                <c:ptCount val="6"/>
                <c:pt idx="0">
                  <c:v>1350487.6326191295</c:v>
                </c:pt>
                <c:pt idx="1">
                  <c:v>503398.78323463746</c:v>
                </c:pt>
                <c:pt idx="2">
                  <c:v>482068.39526936773</c:v>
                </c:pt>
                <c:pt idx="3">
                  <c:v>90670.21221263746</c:v>
                </c:pt>
                <c:pt idx="4">
                  <c:v>432057.59955493058</c:v>
                </c:pt>
                <c:pt idx="5">
                  <c:v>1244597.8148906275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AC-42C5-B0D5-E0B059B1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Fontes</a:t>
            </a:r>
            <a:r>
              <a:rPr lang="en-US" sz="2000" baseline="0"/>
              <a:t> de Emissão de </a:t>
            </a:r>
            <a:r>
              <a:rPr lang="en-US" sz="2000"/>
              <a:t>CO</a:t>
            </a:r>
            <a:r>
              <a:rPr lang="en-US" sz="2000" baseline="-25000"/>
              <a:t>2</a:t>
            </a:r>
            <a:r>
              <a:rPr lang="en-US" sz="2000"/>
              <a:t>e na Cabotagem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'Cabotagem Total C1'!$C$87</c:f>
              <c:strCache>
                <c:ptCount val="1"/>
                <c:pt idx="0">
                  <c:v>CO2e (kg)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17-4466-8BBD-AB168ED1B5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17-4466-8BBD-AB168ED1B5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17-4466-8BBD-AB168ED1B5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17-4466-8BBD-AB168ED1B5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17-4466-8BBD-AB168ED1B564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C17-4466-8BBD-AB168ED1B564}"/>
              </c:ext>
            </c:extLst>
          </c:dPt>
          <c:dLbls>
            <c:dLbl>
              <c:idx val="0"/>
              <c:layout>
                <c:manualLayout>
                  <c:x val="-0.11003275885006844"/>
                  <c:y val="-1.9571208862183498E-2"/>
                </c:manualLayout>
              </c:layout>
              <c:tx>
                <c:rich>
                  <a:bodyPr/>
                  <a:lstStyle/>
                  <a:p>
                    <a:fld id="{7A365072-4C2A-459A-A42D-7CBFFAB749C6}" type="CATEGORYNAME">
                      <a:rPr lang="en-US"/>
                      <a:pPr/>
                      <a:t>[NOME DA CATEGORIA]</a:t>
                    </a:fld>
                    <a:r>
                      <a:rPr lang="en-US" baseline="0"/>
                      <a:t> </a:t>
                    </a:r>
                    <a:fld id="{1A9345FA-B408-4422-8790-D4A33123AFA9}" type="PERCENTAGE">
                      <a:rPr lang="en-US" baseline="0"/>
                      <a:pPr/>
                      <a:t>[PORCENTAGEM]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865318708941972"/>
                      <c:h val="7.066161933883612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C17-4466-8BBD-AB168ED1B564}"/>
                </c:ext>
              </c:extLst>
            </c:dLbl>
            <c:dLbl>
              <c:idx val="1"/>
              <c:layout>
                <c:manualLayout>
                  <c:x val="1.86696332082853E-2"/>
                  <c:y val="-0.1196024407441818"/>
                </c:manualLayout>
              </c:layout>
              <c:tx>
                <c:rich>
                  <a:bodyPr/>
                  <a:lstStyle/>
                  <a:p>
                    <a:fld id="{276972E8-3F82-41FD-A4D5-AC502A78A2F2}" type="CATEGORYNAME">
                      <a:rPr lang="en-US"/>
                      <a:pPr/>
                      <a:t>[NOME DA CATEGORIA]</a:t>
                    </a:fld>
                    <a:r>
                      <a:rPr lang="en-US"/>
                      <a:t> </a:t>
                    </a:r>
                    <a:fld id="{0127FDE2-738C-4538-9E61-54B637D912B1}" type="PERCENTAGE">
                      <a:rPr lang="en-US" baseline="0"/>
                      <a:pPr/>
                      <a:t>[PORCENTAGEM]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48469308957629"/>
                      <c:h val="7.066161933883612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C17-4466-8BBD-AB168ED1B564}"/>
                </c:ext>
              </c:extLst>
            </c:dLbl>
            <c:dLbl>
              <c:idx val="2"/>
              <c:layout>
                <c:manualLayout>
                  <c:x val="8.7915128388374619E-2"/>
                  <c:y val="-1.95712944758951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052962088280478"/>
                      <c:h val="0.118903918471089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C17-4466-8BBD-AB168ED1B564}"/>
                </c:ext>
              </c:extLst>
            </c:dLbl>
            <c:dLbl>
              <c:idx val="3"/>
              <c:layout>
                <c:manualLayout>
                  <c:x val="6.4456711497377889E-2"/>
                  <c:y val="6.52376482529837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113276701787145"/>
                      <c:h val="0.118903918471089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C17-4466-8BBD-AB168ED1B564}"/>
                </c:ext>
              </c:extLst>
            </c:dLbl>
            <c:dLbl>
              <c:idx val="4"/>
              <c:layout>
                <c:manualLayout>
                  <c:x val="4.4031035481466245E-2"/>
                  <c:y val="0.1630941206324593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17-4466-8BBD-AB168ED1B564}"/>
                </c:ext>
              </c:extLst>
            </c:dLbl>
            <c:numFmt formatCode="0.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'Cabotagem Total C1'!$B$88:$B$93</c:f>
              <c:strCache>
                <c:ptCount val="6"/>
                <c:pt idx="0">
                  <c:v>Rodoviário</c:v>
                </c:pt>
                <c:pt idx="1">
                  <c:v>Depot</c:v>
                </c:pt>
                <c:pt idx="2">
                  <c:v>Terminal de Contêiner</c:v>
                </c:pt>
                <c:pt idx="3">
                  <c:v>Praticagem e Rebocador</c:v>
                </c:pt>
                <c:pt idx="4">
                  <c:v>Navio no Porto</c:v>
                </c:pt>
                <c:pt idx="5">
                  <c:v>Navio em Viagem</c:v>
                </c:pt>
              </c:strCache>
            </c:strRef>
          </c:cat>
          <c:val>
            <c:numRef>
              <c:f>'Cabotagem Total C1'!$C$88:$C$93</c:f>
              <c:numCache>
                <c:formatCode>#,##0</c:formatCode>
                <c:ptCount val="6"/>
                <c:pt idx="0">
                  <c:v>537508.84926484223</c:v>
                </c:pt>
                <c:pt idx="1">
                  <c:v>19272.361525662251</c:v>
                </c:pt>
                <c:pt idx="2">
                  <c:v>67902.953775416652</c:v>
                </c:pt>
                <c:pt idx="3">
                  <c:v>68351.891840000011</c:v>
                </c:pt>
                <c:pt idx="4">
                  <c:v>60674.461203703708</c:v>
                </c:pt>
                <c:pt idx="5">
                  <c:v>3406078.9364925469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C17-4466-8BBD-AB168ED1B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8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pt-BR" sz="1800" b="1"/>
              <a:t>Composição da Emissão de CO</a:t>
            </a:r>
            <a:r>
              <a:rPr lang="pt-BR" sz="1800" b="1" baseline="-25000"/>
              <a:t>2</a:t>
            </a:r>
            <a:r>
              <a:rPr lang="pt-BR" sz="1800" b="1"/>
              <a:t>e na Cabotagem (kg)</a:t>
            </a:r>
          </a:p>
        </cx:rich>
      </cx:tx>
    </cx:title>
    <cx:plotArea>
      <cx:plotAreaRegion>
        <cx:series layoutId="waterfall" uniqueId="{601A5FCF-4B4A-4813-BB1F-CFBCB9724874}">
          <cx:spPr>
            <a:solidFill>
              <a:srgbClr val="0070C0"/>
            </a:solidFill>
          </cx:spPr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100" b="1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 sz="1100" b="1"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 sz="1100" b="1"/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="1"/>
                </a:pPr>
                <a:r>
                  <a:rPr lang="pt-BR" sz="14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kg  CO</a:t>
                </a:r>
                <a:r>
                  <a:rPr lang="pt-BR" sz="1400" b="1" i="0" u="none" strike="noStrike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2</a:t>
                </a:r>
                <a:r>
                  <a:rPr lang="pt-BR" sz="14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 e</a:t>
                </a: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 sz="1100" b="1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image" Target="../media/image1.png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image" Target="../media/image1.png"/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image" Target="../media/image2.png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image" Target="../media/image2.png"/><Relationship Id="rId1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23</xdr:row>
      <xdr:rowOff>156210</xdr:rowOff>
    </xdr:from>
    <xdr:to>
      <xdr:col>13</xdr:col>
      <xdr:colOff>541020</xdr:colOff>
      <xdr:row>52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E0F15F-BFB2-4674-F908-48CB660DB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146685</xdr:colOff>
      <xdr:row>53</xdr:row>
      <xdr:rowOff>175260</xdr:rowOff>
    </xdr:from>
    <xdr:to>
      <xdr:col>13</xdr:col>
      <xdr:colOff>529591</xdr:colOff>
      <xdr:row>76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E0C4A1-3174-7DB8-7BEB-31864A1A8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30207</xdr:colOff>
      <xdr:row>6</xdr:row>
      <xdr:rowOff>201114</xdr:rowOff>
    </xdr:from>
    <xdr:to>
      <xdr:col>45</xdr:col>
      <xdr:colOff>312965</xdr:colOff>
      <xdr:row>26</xdr:row>
      <xdr:rowOff>132261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583FB-920B-47FA-86DC-00E62A3A6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1703070</xdr:colOff>
      <xdr:row>45</xdr:row>
      <xdr:rowOff>95250</xdr:rowOff>
    </xdr:from>
    <xdr:to>
      <xdr:col>8</xdr:col>
      <xdr:colOff>247650</xdr:colOff>
      <xdr:row>68</xdr:row>
      <xdr:rowOff>64770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16762FA-799F-B7E5-765D-881916309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424543</xdr:colOff>
      <xdr:row>44</xdr:row>
      <xdr:rowOff>119742</xdr:rowOff>
    </xdr:from>
    <xdr:to>
      <xdr:col>14</xdr:col>
      <xdr:colOff>762000</xdr:colOff>
      <xdr:row>66</xdr:row>
      <xdr:rowOff>97971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9C79712-501C-E2BA-D8DF-7F3E226891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7163" y="9096102"/>
              <a:ext cx="9809117" cy="43216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462643</xdr:colOff>
      <xdr:row>68</xdr:row>
      <xdr:rowOff>0</xdr:rowOff>
    </xdr:from>
    <xdr:to>
      <xdr:col>14</xdr:col>
      <xdr:colOff>691242</xdr:colOff>
      <xdr:row>100</xdr:row>
      <xdr:rowOff>32658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F38E7C-2D17-8F33-FC34-2E3C28139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12154</xdr:colOff>
      <xdr:row>101</xdr:row>
      <xdr:rowOff>133798</xdr:rowOff>
    </xdr:from>
    <xdr:to>
      <xdr:col>7</xdr:col>
      <xdr:colOff>888260</xdr:colOff>
      <xdr:row>132</xdr:row>
      <xdr:rowOff>170328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E11EB0-091A-6ED2-E8FF-EE6A3AFEE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228599</xdr:colOff>
      <xdr:row>108</xdr:row>
      <xdr:rowOff>79829</xdr:rowOff>
    </xdr:from>
    <xdr:to>
      <xdr:col>11</xdr:col>
      <xdr:colOff>228599</xdr:colOff>
      <xdr:row>109</xdr:row>
      <xdr:rowOff>20534</xdr:rowOff>
    </xdr:to>
    <xdr:sp macro="" textlink="">
      <xdr:nvSpPr>
        <xdr:cNvPr id="130" name="POWER_USER_SANKEY_CHART_CONNECTED_SUB_SERIE_SHAPE_69_4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690E09E3-D63D-01E0-F339-424E7336B46A}"/>
            </a:ext>
          </a:extLst>
        </xdr:cNvPr>
        <xdr:cNvSpPr/>
      </xdr:nvSpPr>
      <xdr:spPr>
        <a:xfrm>
          <a:off x="12066813" y="20904200"/>
          <a:ext cx="0" cy="125763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109</xdr:row>
      <xdr:rowOff>20534</xdr:rowOff>
    </xdr:from>
    <xdr:to>
      <xdr:col>11</xdr:col>
      <xdr:colOff>228599</xdr:colOff>
      <xdr:row>109</xdr:row>
      <xdr:rowOff>169336</xdr:rowOff>
    </xdr:to>
    <xdr:sp macro="" textlink="">
      <xdr:nvSpPr>
        <xdr:cNvPr id="132" name="POWER_USER_SANKEY_CHART_CONNECTED_SUB_SERIE_SHAPE_69_5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B8DCE07F-8BBB-58D3-EFD3-AA6BBF3A147B}"/>
            </a:ext>
          </a:extLst>
        </xdr:cNvPr>
        <xdr:cNvSpPr/>
      </xdr:nvSpPr>
      <xdr:spPr>
        <a:xfrm>
          <a:off x="12066813" y="21029963"/>
          <a:ext cx="0" cy="148802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109</xdr:row>
      <xdr:rowOff>169337</xdr:rowOff>
    </xdr:from>
    <xdr:to>
      <xdr:col>11</xdr:col>
      <xdr:colOff>228599</xdr:colOff>
      <xdr:row>111</xdr:row>
      <xdr:rowOff>125409</xdr:rowOff>
    </xdr:to>
    <xdr:sp macro="" textlink="">
      <xdr:nvSpPr>
        <xdr:cNvPr id="134" name="POWER_USER_SANKEY_CHART_CONNECTED_SUB_SERIE_SHAPE_69_7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E51328AD-A5BF-3828-CC08-64308D5E188D}"/>
            </a:ext>
          </a:extLst>
        </xdr:cNvPr>
        <xdr:cNvSpPr/>
      </xdr:nvSpPr>
      <xdr:spPr>
        <a:xfrm>
          <a:off x="12066813" y="21178766"/>
          <a:ext cx="0" cy="326186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111</xdr:row>
      <xdr:rowOff>125409</xdr:rowOff>
    </xdr:from>
    <xdr:to>
      <xdr:col>11</xdr:col>
      <xdr:colOff>228599</xdr:colOff>
      <xdr:row>116</xdr:row>
      <xdr:rowOff>71952</xdr:rowOff>
    </xdr:to>
    <xdr:sp macro="" textlink="">
      <xdr:nvSpPr>
        <xdr:cNvPr id="136" name="POWER_USER_SANKEY_CHART_CONNECTED_SUB_SERIE_SHAPE_69_8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95F2A46D-D0D2-B4C3-F699-D18159448AAD}"/>
            </a:ext>
          </a:extLst>
        </xdr:cNvPr>
        <xdr:cNvSpPr/>
      </xdr:nvSpPr>
      <xdr:spPr>
        <a:xfrm>
          <a:off x="12066813" y="21504952"/>
          <a:ext cx="0" cy="871829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117</xdr:row>
      <xdr:rowOff>13894</xdr:rowOff>
    </xdr:from>
    <xdr:to>
      <xdr:col>11</xdr:col>
      <xdr:colOff>228599</xdr:colOff>
      <xdr:row>118</xdr:row>
      <xdr:rowOff>18596</xdr:rowOff>
    </xdr:to>
    <xdr:sp macro="" textlink="">
      <xdr:nvSpPr>
        <xdr:cNvPr id="139" name="POWER_USER_SANKEY_CHART_CONNECTED_SUB_SERIE_SHAPE_70_3" descr="{&quot;Id&quot;:&quot;A57D6635-80C1-467C-90A1-F97B6440377D&quot;,&quot;Value&quot;:9213283.484356001,&quot;Percentage&quot;:0.1058545066573119}">
          <a:extLst>
            <a:ext uri="{FF2B5EF4-FFF2-40B4-BE49-F238E27FC236}">
              <a16:creationId xmlns:a16="http://schemas.microsoft.com/office/drawing/2014/main" id="{22069181-61AD-BAAC-4353-3740BC0D480B}"/>
            </a:ext>
          </a:extLst>
        </xdr:cNvPr>
        <xdr:cNvSpPr/>
      </xdr:nvSpPr>
      <xdr:spPr>
        <a:xfrm>
          <a:off x="12066813" y="22503780"/>
          <a:ext cx="0" cy="189759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118</xdr:row>
      <xdr:rowOff>18596</xdr:rowOff>
    </xdr:from>
    <xdr:to>
      <xdr:col>11</xdr:col>
      <xdr:colOff>228599</xdr:colOff>
      <xdr:row>118</xdr:row>
      <xdr:rowOff>41999</xdr:rowOff>
    </xdr:to>
    <xdr:sp macro="" textlink="">
      <xdr:nvSpPr>
        <xdr:cNvPr id="141" name="POWER_USER_SANKEY_CHART_CONNECTED_SUB_SERIE_SHAPE_70_7" descr="{&quot;Id&quot;:&quot;A57D6635-80C1-467C-90A1-F97B6440377D&quot;,&quot;Value&quot;:9213283.484356001,&quot;Percentage&quot;:0.1058545066573119}">
          <a:extLst>
            <a:ext uri="{FF2B5EF4-FFF2-40B4-BE49-F238E27FC236}">
              <a16:creationId xmlns:a16="http://schemas.microsoft.com/office/drawing/2014/main" id="{2C339FB4-1AE3-837C-2256-555F0698A7C2}"/>
            </a:ext>
          </a:extLst>
        </xdr:cNvPr>
        <xdr:cNvSpPr/>
      </xdr:nvSpPr>
      <xdr:spPr>
        <a:xfrm>
          <a:off x="12066813" y="22693539"/>
          <a:ext cx="0" cy="23403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118</xdr:row>
      <xdr:rowOff>42001</xdr:rowOff>
    </xdr:from>
    <xdr:to>
      <xdr:col>11</xdr:col>
      <xdr:colOff>228599</xdr:colOff>
      <xdr:row>119</xdr:row>
      <xdr:rowOff>47085</xdr:rowOff>
    </xdr:to>
    <xdr:sp macro="" textlink="">
      <xdr:nvSpPr>
        <xdr:cNvPr id="143" name="POWER_USER_SANKEY_CHART_CONNECTED_SUB_SERIE_SHAPE_70_8" descr="{&quot;Id&quot;:&quot;A57D6635-80C1-467C-90A1-F97B6440377D&quot;,&quot;Value&quot;:9213283.484356001,&quot;Percentage&quot;:0.1058545066573119}">
          <a:extLst>
            <a:ext uri="{FF2B5EF4-FFF2-40B4-BE49-F238E27FC236}">
              <a16:creationId xmlns:a16="http://schemas.microsoft.com/office/drawing/2014/main" id="{CEC209FB-AD28-65C4-6E1B-91E0B679AEC8}"/>
            </a:ext>
          </a:extLst>
        </xdr:cNvPr>
        <xdr:cNvSpPr/>
      </xdr:nvSpPr>
      <xdr:spPr>
        <a:xfrm>
          <a:off x="12066813" y="22716944"/>
          <a:ext cx="0" cy="190141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119</xdr:row>
      <xdr:rowOff>174084</xdr:rowOff>
    </xdr:from>
    <xdr:to>
      <xdr:col>11</xdr:col>
      <xdr:colOff>228599</xdr:colOff>
      <xdr:row>121</xdr:row>
      <xdr:rowOff>123403</xdr:rowOff>
    </xdr:to>
    <xdr:sp macro="" textlink="">
      <xdr:nvSpPr>
        <xdr:cNvPr id="146" name="POWER_USER_SANKEY_CHART_CONNECTED_SUB_SERIE_SHAPE_71_3" descr="{&quot;Id&quot;:&quot;941C22D9-12C8-40BD-A59A-67EA8C6C95D2&quot;,&quot;Value&quot;:9607880.1294686,&quot;Percentage&quot;:0.11038815997080746}">
          <a:extLst>
            <a:ext uri="{FF2B5EF4-FFF2-40B4-BE49-F238E27FC236}">
              <a16:creationId xmlns:a16="http://schemas.microsoft.com/office/drawing/2014/main" id="{638B9C2A-7FB2-A40D-606C-0C551B7A89F5}"/>
            </a:ext>
          </a:extLst>
        </xdr:cNvPr>
        <xdr:cNvSpPr/>
      </xdr:nvSpPr>
      <xdr:spPr>
        <a:xfrm>
          <a:off x="12066813" y="23034084"/>
          <a:ext cx="0" cy="319433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121</xdr:row>
      <xdr:rowOff>123403</xdr:rowOff>
    </xdr:from>
    <xdr:to>
      <xdr:col>11</xdr:col>
      <xdr:colOff>228599</xdr:colOff>
      <xdr:row>121</xdr:row>
      <xdr:rowOff>154945</xdr:rowOff>
    </xdr:to>
    <xdr:sp macro="" textlink="">
      <xdr:nvSpPr>
        <xdr:cNvPr id="148" name="POWER_USER_SANKEY_CHART_CONNECTED_SUB_SERIE_SHAPE_71_7" descr="{&quot;Id&quot;:&quot;941C22D9-12C8-40BD-A59A-67EA8C6C95D2&quot;,&quot;Value&quot;:9607880.1294686,&quot;Percentage&quot;:0.11038815997080746}">
          <a:extLst>
            <a:ext uri="{FF2B5EF4-FFF2-40B4-BE49-F238E27FC236}">
              <a16:creationId xmlns:a16="http://schemas.microsoft.com/office/drawing/2014/main" id="{D037E5C9-9C13-954F-3637-1E28165A51DC}"/>
            </a:ext>
          </a:extLst>
        </xdr:cNvPr>
        <xdr:cNvSpPr/>
      </xdr:nvSpPr>
      <xdr:spPr>
        <a:xfrm>
          <a:off x="12066813" y="23353517"/>
          <a:ext cx="0" cy="31542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121</xdr:row>
      <xdr:rowOff>154944</xdr:rowOff>
    </xdr:from>
    <xdr:to>
      <xdr:col>11</xdr:col>
      <xdr:colOff>228599</xdr:colOff>
      <xdr:row>122</xdr:row>
      <xdr:rowOff>39490</xdr:rowOff>
    </xdr:to>
    <xdr:sp macro="" textlink="">
      <xdr:nvSpPr>
        <xdr:cNvPr id="150" name="POWER_USER_SANKEY_CHART_CONNECTED_SUB_SERIE_SHAPE_71_8" descr="{&quot;Id&quot;:&quot;941C22D9-12C8-40BD-A59A-67EA8C6C95D2&quot;,&quot;Value&quot;:9607880.1294686,&quot;Percentage&quot;:0.11038815997080746}">
          <a:extLst>
            <a:ext uri="{FF2B5EF4-FFF2-40B4-BE49-F238E27FC236}">
              <a16:creationId xmlns:a16="http://schemas.microsoft.com/office/drawing/2014/main" id="{86036DA3-5629-1168-77ED-A4EFDAECB09C}"/>
            </a:ext>
          </a:extLst>
        </xdr:cNvPr>
        <xdr:cNvSpPr/>
      </xdr:nvSpPr>
      <xdr:spPr>
        <a:xfrm>
          <a:off x="12066813" y="23385058"/>
          <a:ext cx="0" cy="69603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122</xdr:row>
      <xdr:rowOff>166493</xdr:rowOff>
    </xdr:from>
    <xdr:to>
      <xdr:col>11</xdr:col>
      <xdr:colOff>228599</xdr:colOff>
      <xdr:row>123</xdr:row>
      <xdr:rowOff>65483</xdr:rowOff>
    </xdr:to>
    <xdr:sp macro="" textlink="">
      <xdr:nvSpPr>
        <xdr:cNvPr id="153" name="POWER_USER_SANKEY_CHART_CONNECTED_SUB_SERIE_SHAPE_72_3" descr="{&quot;Id&quot;:&quot;053AADBF-F56B-48DD-B3E7-AB4233A340BF&quot;,&quot;Value&quot;:2039000.8886716,&quot;Percentage&quot;:0.023426765659673998}">
          <a:extLst>
            <a:ext uri="{FF2B5EF4-FFF2-40B4-BE49-F238E27FC236}">
              <a16:creationId xmlns:a16="http://schemas.microsoft.com/office/drawing/2014/main" id="{DD05F9C9-5904-A16B-B754-273A0723217C}"/>
            </a:ext>
          </a:extLst>
        </xdr:cNvPr>
        <xdr:cNvSpPr/>
      </xdr:nvSpPr>
      <xdr:spPr>
        <a:xfrm>
          <a:off x="12066813" y="23581664"/>
          <a:ext cx="0" cy="84048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123</xdr:row>
      <xdr:rowOff>65483</xdr:rowOff>
    </xdr:from>
    <xdr:to>
      <xdr:col>11</xdr:col>
      <xdr:colOff>228599</xdr:colOff>
      <xdr:row>123</xdr:row>
      <xdr:rowOff>70308</xdr:rowOff>
    </xdr:to>
    <xdr:sp macro="" textlink="">
      <xdr:nvSpPr>
        <xdr:cNvPr id="155" name="POWER_USER_SANKEY_CHART_CONNECTED_SUB_SERIE_SHAPE_72_4" descr="{&quot;Id&quot;:&quot;053AADBF-F56B-48DD-B3E7-AB4233A340BF&quot;,&quot;Value&quot;:2039000.8886716,&quot;Percentage&quot;:0.023426765659673998}">
          <a:extLst>
            <a:ext uri="{FF2B5EF4-FFF2-40B4-BE49-F238E27FC236}">
              <a16:creationId xmlns:a16="http://schemas.microsoft.com/office/drawing/2014/main" id="{F8B7F8C8-D5FF-7748-2A22-F3904C133DF4}"/>
            </a:ext>
          </a:extLst>
        </xdr:cNvPr>
        <xdr:cNvSpPr/>
      </xdr:nvSpPr>
      <xdr:spPr>
        <a:xfrm>
          <a:off x="12066813" y="23665712"/>
          <a:ext cx="0" cy="4825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123</xdr:row>
      <xdr:rowOff>70308</xdr:rowOff>
    </xdr:from>
    <xdr:to>
      <xdr:col>11</xdr:col>
      <xdr:colOff>228599</xdr:colOff>
      <xdr:row>123</xdr:row>
      <xdr:rowOff>70692</xdr:rowOff>
    </xdr:to>
    <xdr:sp macro="" textlink="">
      <xdr:nvSpPr>
        <xdr:cNvPr id="157" name="POWER_USER_SANKEY_CHART_CONNECTED_SUB_SERIE_SHAPE_72_5" descr="{&quot;Id&quot;:&quot;053AADBF-F56B-48DD-B3E7-AB4233A340BF&quot;,&quot;Value&quot;:2039000.8886716,&quot;Percentage&quot;:0.023426765659673998}">
          <a:extLst>
            <a:ext uri="{FF2B5EF4-FFF2-40B4-BE49-F238E27FC236}">
              <a16:creationId xmlns:a16="http://schemas.microsoft.com/office/drawing/2014/main" id="{BB30E1BA-89F0-BE11-955A-480F694BBF0A}"/>
            </a:ext>
          </a:extLst>
        </xdr:cNvPr>
        <xdr:cNvSpPr/>
      </xdr:nvSpPr>
      <xdr:spPr>
        <a:xfrm>
          <a:off x="12066813" y="23670537"/>
          <a:ext cx="0" cy="384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124</xdr:row>
      <xdr:rowOff>12633</xdr:rowOff>
    </xdr:from>
    <xdr:to>
      <xdr:col>11</xdr:col>
      <xdr:colOff>228599</xdr:colOff>
      <xdr:row>124</xdr:row>
      <xdr:rowOff>101358</xdr:rowOff>
    </xdr:to>
    <xdr:sp macro="" textlink="">
      <xdr:nvSpPr>
        <xdr:cNvPr id="160" name="POWER_USER_SANKEY_CHART_CONNECTED_SUB_SERIE_SHAPE_73_3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5EAAF3E5-0C19-5634-6337-7397E0AF8F49}"/>
            </a:ext>
          </a:extLst>
        </xdr:cNvPr>
        <xdr:cNvSpPr/>
      </xdr:nvSpPr>
      <xdr:spPr>
        <a:xfrm>
          <a:off x="12066813" y="23797919"/>
          <a:ext cx="0" cy="88725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124</xdr:row>
      <xdr:rowOff>101358</xdr:rowOff>
    </xdr:from>
    <xdr:to>
      <xdr:col>11</xdr:col>
      <xdr:colOff>228599</xdr:colOff>
      <xdr:row>125</xdr:row>
      <xdr:rowOff>56719</xdr:rowOff>
    </xdr:to>
    <xdr:sp macro="" textlink="">
      <xdr:nvSpPr>
        <xdr:cNvPr id="162" name="POWER_USER_SANKEY_CHART_CONNECTED_SUB_SERIE_SHAPE_73_4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D7D86AF9-75B9-4990-C7D4-2C4882FDB76A}"/>
            </a:ext>
          </a:extLst>
        </xdr:cNvPr>
        <xdr:cNvSpPr/>
      </xdr:nvSpPr>
      <xdr:spPr>
        <a:xfrm>
          <a:off x="12066813" y="23886644"/>
          <a:ext cx="0" cy="140418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125</xdr:row>
      <xdr:rowOff>56719</xdr:rowOff>
    </xdr:from>
    <xdr:to>
      <xdr:col>11</xdr:col>
      <xdr:colOff>228599</xdr:colOff>
      <xdr:row>125</xdr:row>
      <xdr:rowOff>181837</xdr:rowOff>
    </xdr:to>
    <xdr:sp macro="" textlink="">
      <xdr:nvSpPr>
        <xdr:cNvPr id="164" name="POWER_USER_SANKEY_CHART_CONNECTED_SUB_SERIE_SHAPE_73_5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C60BF09E-1C14-6954-F729-77933824386B}"/>
            </a:ext>
          </a:extLst>
        </xdr:cNvPr>
        <xdr:cNvSpPr/>
      </xdr:nvSpPr>
      <xdr:spPr>
        <a:xfrm>
          <a:off x="12066813" y="24027062"/>
          <a:ext cx="0" cy="125118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125</xdr:row>
      <xdr:rowOff>181837</xdr:rowOff>
    </xdr:from>
    <xdr:to>
      <xdr:col>11</xdr:col>
      <xdr:colOff>228599</xdr:colOff>
      <xdr:row>126</xdr:row>
      <xdr:rowOff>31564</xdr:rowOff>
    </xdr:to>
    <xdr:sp macro="" textlink="">
      <xdr:nvSpPr>
        <xdr:cNvPr id="166" name="POWER_USER_SANKEY_CHART_CONNECTED_SUB_SERIE_SHAPE_73_6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F38A2070-9C28-10CC-005B-BADE35763415}"/>
            </a:ext>
          </a:extLst>
        </xdr:cNvPr>
        <xdr:cNvSpPr/>
      </xdr:nvSpPr>
      <xdr:spPr>
        <a:xfrm>
          <a:off x="12066813" y="24152180"/>
          <a:ext cx="0" cy="34784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126</xdr:row>
      <xdr:rowOff>158564</xdr:rowOff>
    </xdr:from>
    <xdr:to>
      <xdr:col>11</xdr:col>
      <xdr:colOff>228599</xdr:colOff>
      <xdr:row>128</xdr:row>
      <xdr:rowOff>99115</xdr:rowOff>
    </xdr:to>
    <xdr:sp macro="" textlink="">
      <xdr:nvSpPr>
        <xdr:cNvPr id="169" name="POWER_USER_SANKEY_CHART_CONNECTED_SUB_SERIE_SHAPE_74_3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33210C88-3079-4673-EBBA-0758A00DBAA3}"/>
            </a:ext>
          </a:extLst>
        </xdr:cNvPr>
        <xdr:cNvSpPr/>
      </xdr:nvSpPr>
      <xdr:spPr>
        <a:xfrm>
          <a:off x="12066813" y="24313964"/>
          <a:ext cx="0" cy="310665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128</xdr:row>
      <xdr:rowOff>99115</xdr:rowOff>
    </xdr:from>
    <xdr:to>
      <xdr:col>11</xdr:col>
      <xdr:colOff>228599</xdr:colOff>
      <xdr:row>130</xdr:row>
      <xdr:rowOff>37982</xdr:rowOff>
    </xdr:to>
    <xdr:sp macro="" textlink="">
      <xdr:nvSpPr>
        <xdr:cNvPr id="171" name="POWER_USER_SANKEY_CHART_CONNECTED_SUB_SERIE_SHAPE_74_4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B7446852-E992-E623-7818-73BC166A4DCD}"/>
            </a:ext>
          </a:extLst>
        </xdr:cNvPr>
        <xdr:cNvSpPr/>
      </xdr:nvSpPr>
      <xdr:spPr>
        <a:xfrm>
          <a:off x="12066813" y="24624629"/>
          <a:ext cx="0" cy="308982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130</xdr:row>
      <xdr:rowOff>37982</xdr:rowOff>
    </xdr:from>
    <xdr:to>
      <xdr:col>11</xdr:col>
      <xdr:colOff>228599</xdr:colOff>
      <xdr:row>131</xdr:row>
      <xdr:rowOff>179343</xdr:rowOff>
    </xdr:to>
    <xdr:sp macro="" textlink="">
      <xdr:nvSpPr>
        <xdr:cNvPr id="173" name="POWER_USER_SANKEY_CHART_CONNECTED_SUB_SERIE_SHAPE_74_5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AEC13C34-0689-67A9-3836-93189424B7D2}"/>
            </a:ext>
          </a:extLst>
        </xdr:cNvPr>
        <xdr:cNvSpPr/>
      </xdr:nvSpPr>
      <xdr:spPr>
        <a:xfrm>
          <a:off x="12066813" y="24933611"/>
          <a:ext cx="0" cy="326418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131</xdr:row>
      <xdr:rowOff>179343</xdr:rowOff>
    </xdr:from>
    <xdr:to>
      <xdr:col>11</xdr:col>
      <xdr:colOff>228599</xdr:colOff>
      <xdr:row>132</xdr:row>
      <xdr:rowOff>83455</xdr:rowOff>
    </xdr:to>
    <xdr:sp macro="" textlink="">
      <xdr:nvSpPr>
        <xdr:cNvPr id="175" name="POWER_USER_SANKEY_CHART_CONNECTED_SUB_SERIE_SHAPE_74_6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F3ED9022-EEF5-C6F0-1E40-E4A873CA15D4}"/>
            </a:ext>
          </a:extLst>
        </xdr:cNvPr>
        <xdr:cNvSpPr/>
      </xdr:nvSpPr>
      <xdr:spPr>
        <a:xfrm>
          <a:off x="12066813" y="25260029"/>
          <a:ext cx="0" cy="89169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108</xdr:row>
      <xdr:rowOff>79829</xdr:rowOff>
    </xdr:from>
    <xdr:to>
      <xdr:col>14</xdr:col>
      <xdr:colOff>749300</xdr:colOff>
      <xdr:row>109</xdr:row>
      <xdr:rowOff>84530</xdr:rowOff>
    </xdr:to>
    <xdr:sp macro="" textlink="">
      <xdr:nvSpPr>
        <xdr:cNvPr id="179" name="POWER_USER_SANKEY_CHART_CONNECTED_SUB_CATEGORY_SHAPE_70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97566C6B-9C25-DAE1-DBB3-D7B1859489DF}"/>
            </a:ext>
          </a:extLst>
        </xdr:cNvPr>
        <xdr:cNvSpPr/>
      </xdr:nvSpPr>
      <xdr:spPr>
        <a:xfrm>
          <a:off x="17197614" y="20904200"/>
          <a:ext cx="0" cy="189759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109</xdr:row>
      <xdr:rowOff>84530</xdr:rowOff>
    </xdr:from>
    <xdr:to>
      <xdr:col>14</xdr:col>
      <xdr:colOff>749300</xdr:colOff>
      <xdr:row>111</xdr:row>
      <xdr:rowOff>33849</xdr:rowOff>
    </xdr:to>
    <xdr:sp macro="" textlink="">
      <xdr:nvSpPr>
        <xdr:cNvPr id="181" name="POWER_USER_SANKEY_CHART_CONNECTED_SUB_CATEGORY_SHAPE_71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13F81CB8-0C2C-F700-DAEF-A757ED166188}"/>
            </a:ext>
          </a:extLst>
        </xdr:cNvPr>
        <xdr:cNvSpPr/>
      </xdr:nvSpPr>
      <xdr:spPr>
        <a:xfrm>
          <a:off x="17197614" y="21093959"/>
          <a:ext cx="0" cy="31943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111</xdr:row>
      <xdr:rowOff>33851</xdr:rowOff>
    </xdr:from>
    <xdr:to>
      <xdr:col>14</xdr:col>
      <xdr:colOff>749300</xdr:colOff>
      <xdr:row>111</xdr:row>
      <xdr:rowOff>117898</xdr:rowOff>
    </xdr:to>
    <xdr:sp macro="" textlink="">
      <xdr:nvSpPr>
        <xdr:cNvPr id="183" name="POWER_USER_SANKEY_CHART_CONNECTED_SUB_CATEGORY_SHAPE_72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467FFAC6-87B9-A70B-538B-AE66F3F05981}"/>
            </a:ext>
          </a:extLst>
        </xdr:cNvPr>
        <xdr:cNvSpPr/>
      </xdr:nvSpPr>
      <xdr:spPr>
        <a:xfrm>
          <a:off x="17197614" y="21413394"/>
          <a:ext cx="0" cy="8404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111</xdr:row>
      <xdr:rowOff>117898</xdr:rowOff>
    </xdr:from>
    <xdr:to>
      <xdr:col>14</xdr:col>
      <xdr:colOff>749300</xdr:colOff>
      <xdr:row>112</xdr:row>
      <xdr:rowOff>21566</xdr:rowOff>
    </xdr:to>
    <xdr:sp macro="" textlink="">
      <xdr:nvSpPr>
        <xdr:cNvPr id="185" name="POWER_USER_SANKEY_CHART_CONNECTED_SUB_CATEGORY_SHAPE_73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73B71520-DEE8-20AE-DAA0-6931B07BFED4}"/>
            </a:ext>
          </a:extLst>
        </xdr:cNvPr>
        <xdr:cNvSpPr/>
      </xdr:nvSpPr>
      <xdr:spPr>
        <a:xfrm>
          <a:off x="17197614" y="21497441"/>
          <a:ext cx="0" cy="88725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112</xdr:row>
      <xdr:rowOff>21565</xdr:rowOff>
    </xdr:from>
    <xdr:to>
      <xdr:col>14</xdr:col>
      <xdr:colOff>749300</xdr:colOff>
      <xdr:row>113</xdr:row>
      <xdr:rowOff>147172</xdr:rowOff>
    </xdr:to>
    <xdr:sp macro="" textlink="">
      <xdr:nvSpPr>
        <xdr:cNvPr id="187" name="POWER_USER_SANKEY_CHART_CONNECTED_SUB_CATEGORY_SHAPE_74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CC237387-CE62-89F9-846C-AA9EED8A9E2A}"/>
            </a:ext>
          </a:extLst>
        </xdr:cNvPr>
        <xdr:cNvSpPr/>
      </xdr:nvSpPr>
      <xdr:spPr>
        <a:xfrm>
          <a:off x="17197614" y="21586165"/>
          <a:ext cx="0" cy="31066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114</xdr:row>
      <xdr:rowOff>89114</xdr:rowOff>
    </xdr:from>
    <xdr:to>
      <xdr:col>14</xdr:col>
      <xdr:colOff>749300</xdr:colOff>
      <xdr:row>115</xdr:row>
      <xdr:rowOff>29820</xdr:rowOff>
    </xdr:to>
    <xdr:sp macro="" textlink="">
      <xdr:nvSpPr>
        <xdr:cNvPr id="191" name="POWER_USER_SANKEY_CHART_CONNECTED_SUB_CATEGORY_SHAPE_69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2A9B00F7-919A-4381-7E1E-C3B388CD396C}"/>
            </a:ext>
          </a:extLst>
        </xdr:cNvPr>
        <xdr:cNvSpPr/>
      </xdr:nvSpPr>
      <xdr:spPr>
        <a:xfrm>
          <a:off x="17197614" y="22023828"/>
          <a:ext cx="0" cy="12576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115</xdr:row>
      <xdr:rowOff>29820</xdr:rowOff>
    </xdr:from>
    <xdr:to>
      <xdr:col>14</xdr:col>
      <xdr:colOff>749300</xdr:colOff>
      <xdr:row>115</xdr:row>
      <xdr:rowOff>34644</xdr:rowOff>
    </xdr:to>
    <xdr:sp macro="" textlink="">
      <xdr:nvSpPr>
        <xdr:cNvPr id="193" name="POWER_USER_SANKEY_CHART_CONNECTED_SUB_CATEGORY_SHAPE_72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F0FA3E73-22A3-EA7A-864A-7F77FA8D40F2}"/>
            </a:ext>
          </a:extLst>
        </xdr:cNvPr>
        <xdr:cNvSpPr/>
      </xdr:nvSpPr>
      <xdr:spPr>
        <a:xfrm>
          <a:off x="17197614" y="22149591"/>
          <a:ext cx="0" cy="482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115</xdr:row>
      <xdr:rowOff>34646</xdr:rowOff>
    </xdr:from>
    <xdr:to>
      <xdr:col>14</xdr:col>
      <xdr:colOff>749300</xdr:colOff>
      <xdr:row>115</xdr:row>
      <xdr:rowOff>175063</xdr:rowOff>
    </xdr:to>
    <xdr:sp macro="" textlink="">
      <xdr:nvSpPr>
        <xdr:cNvPr id="195" name="POWER_USER_SANKEY_CHART_CONNECTED_SUB_CATEGORY_SHAPE_73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4EF41C5C-CCDE-0577-1CF6-868198CEFC45}"/>
            </a:ext>
          </a:extLst>
        </xdr:cNvPr>
        <xdr:cNvSpPr/>
      </xdr:nvSpPr>
      <xdr:spPr>
        <a:xfrm>
          <a:off x="17197614" y="22154417"/>
          <a:ext cx="0" cy="14041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115</xdr:row>
      <xdr:rowOff>175062</xdr:rowOff>
    </xdr:from>
    <xdr:to>
      <xdr:col>14</xdr:col>
      <xdr:colOff>749300</xdr:colOff>
      <xdr:row>117</xdr:row>
      <xdr:rowOff>113928</xdr:rowOff>
    </xdr:to>
    <xdr:sp macro="" textlink="">
      <xdr:nvSpPr>
        <xdr:cNvPr id="197" name="POWER_USER_SANKEY_CHART_CONNECTED_SUB_CATEGORY_SHAPE_74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2E80C06E-9899-11B6-C801-2964FABE117F}"/>
            </a:ext>
          </a:extLst>
        </xdr:cNvPr>
        <xdr:cNvSpPr/>
      </xdr:nvSpPr>
      <xdr:spPr>
        <a:xfrm>
          <a:off x="17197614" y="22294833"/>
          <a:ext cx="0" cy="308981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118</xdr:row>
      <xdr:rowOff>55873</xdr:rowOff>
    </xdr:from>
    <xdr:to>
      <xdr:col>14</xdr:col>
      <xdr:colOff>749300</xdr:colOff>
      <xdr:row>119</xdr:row>
      <xdr:rowOff>19617</xdr:rowOff>
    </xdr:to>
    <xdr:sp macro="" textlink="">
      <xdr:nvSpPr>
        <xdr:cNvPr id="201" name="POWER_USER_SANKEY_CHART_CONNECTED_SUB_CATEGORY_SHAPE_69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C1F97F9E-4011-D7AA-C098-6A0116A23D8A}"/>
            </a:ext>
          </a:extLst>
        </xdr:cNvPr>
        <xdr:cNvSpPr/>
      </xdr:nvSpPr>
      <xdr:spPr>
        <a:xfrm>
          <a:off x="17197614" y="22730816"/>
          <a:ext cx="0" cy="148801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119</xdr:row>
      <xdr:rowOff>19617</xdr:rowOff>
    </xdr:from>
    <xdr:to>
      <xdr:col>14</xdr:col>
      <xdr:colOff>749300</xdr:colOff>
      <xdr:row>119</xdr:row>
      <xdr:rowOff>20002</xdr:rowOff>
    </xdr:to>
    <xdr:sp macro="" textlink="">
      <xdr:nvSpPr>
        <xdr:cNvPr id="203" name="POWER_USER_SANKEY_CHART_CONNECTED_SUB_CATEGORY_SHAPE_72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9202F0AD-D326-C6C0-BD7F-6011F618D1D4}"/>
            </a:ext>
          </a:extLst>
        </xdr:cNvPr>
        <xdr:cNvSpPr/>
      </xdr:nvSpPr>
      <xdr:spPr>
        <a:xfrm>
          <a:off x="17197614" y="22879617"/>
          <a:ext cx="0" cy="385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119</xdr:row>
      <xdr:rowOff>20000</xdr:rowOff>
    </xdr:from>
    <xdr:to>
      <xdr:col>14</xdr:col>
      <xdr:colOff>749300</xdr:colOff>
      <xdr:row>119</xdr:row>
      <xdr:rowOff>145118</xdr:rowOff>
    </xdr:to>
    <xdr:sp macro="" textlink="">
      <xdr:nvSpPr>
        <xdr:cNvPr id="205" name="POWER_USER_SANKEY_CHART_CONNECTED_SUB_CATEGORY_SHAPE_73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11980936-3E91-A105-B417-781A895051E1}"/>
            </a:ext>
          </a:extLst>
        </xdr:cNvPr>
        <xdr:cNvSpPr/>
      </xdr:nvSpPr>
      <xdr:spPr>
        <a:xfrm>
          <a:off x="17197614" y="22880000"/>
          <a:ext cx="0" cy="12511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119</xdr:row>
      <xdr:rowOff>145118</xdr:rowOff>
    </xdr:from>
    <xdr:to>
      <xdr:col>14</xdr:col>
      <xdr:colOff>749300</xdr:colOff>
      <xdr:row>121</xdr:row>
      <xdr:rowOff>101422</xdr:rowOff>
    </xdr:to>
    <xdr:sp macro="" textlink="">
      <xdr:nvSpPr>
        <xdr:cNvPr id="207" name="POWER_USER_SANKEY_CHART_CONNECTED_SUB_CATEGORY_SHAPE_74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D4A85E1B-53A1-08B6-72B6-269B867B1D4A}"/>
            </a:ext>
          </a:extLst>
        </xdr:cNvPr>
        <xdr:cNvSpPr/>
      </xdr:nvSpPr>
      <xdr:spPr>
        <a:xfrm>
          <a:off x="17197614" y="23005118"/>
          <a:ext cx="0" cy="32641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122</xdr:row>
      <xdr:rowOff>43365</xdr:rowOff>
    </xdr:from>
    <xdr:to>
      <xdr:col>14</xdr:col>
      <xdr:colOff>749300</xdr:colOff>
      <xdr:row>122</xdr:row>
      <xdr:rowOff>78148</xdr:rowOff>
    </xdr:to>
    <xdr:sp macro="" textlink="">
      <xdr:nvSpPr>
        <xdr:cNvPr id="211" name="POWER_USER_SANKEY_CHART_CONNECTED_SUB_CATEGORY_SHAPE_73_6" descr="{&quot;Id&quot;:&quot;7F0E27A1-847E-4B2A-ABC5-8E7EB6A5BD1D&quot;,&quot;Value&quot;:2831638.677,&quot;Percentage&quot;:0.032533647281618408}">
          <a:extLst>
            <a:ext uri="{FF2B5EF4-FFF2-40B4-BE49-F238E27FC236}">
              <a16:creationId xmlns:a16="http://schemas.microsoft.com/office/drawing/2014/main" id="{27E9C3B9-1AAB-71F9-981E-19EE3734A029}"/>
            </a:ext>
          </a:extLst>
        </xdr:cNvPr>
        <xdr:cNvSpPr/>
      </xdr:nvSpPr>
      <xdr:spPr>
        <a:xfrm>
          <a:off x="17197614" y="23458536"/>
          <a:ext cx="0" cy="3478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122</xdr:row>
      <xdr:rowOff>78147</xdr:rowOff>
    </xdr:from>
    <xdr:to>
      <xdr:col>14</xdr:col>
      <xdr:colOff>749300</xdr:colOff>
      <xdr:row>122</xdr:row>
      <xdr:rowOff>167317</xdr:rowOff>
    </xdr:to>
    <xdr:sp macro="" textlink="">
      <xdr:nvSpPr>
        <xdr:cNvPr id="213" name="POWER_USER_SANKEY_CHART_CONNECTED_SUB_CATEGORY_SHAPE_74_6" descr="{&quot;Id&quot;:&quot;7F0E27A1-847E-4B2A-ABC5-8E7EB6A5BD1D&quot;,&quot;Value&quot;:2831638.677,&quot;Percentage&quot;:0.032533647281618408}">
          <a:extLst>
            <a:ext uri="{FF2B5EF4-FFF2-40B4-BE49-F238E27FC236}">
              <a16:creationId xmlns:a16="http://schemas.microsoft.com/office/drawing/2014/main" id="{3CD15F22-F65E-326E-D5B4-B90D1E050975}"/>
            </a:ext>
          </a:extLst>
        </xdr:cNvPr>
        <xdr:cNvSpPr/>
      </xdr:nvSpPr>
      <xdr:spPr>
        <a:xfrm>
          <a:off x="17197614" y="23493318"/>
          <a:ext cx="0" cy="89170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123</xdr:row>
      <xdr:rowOff>109259</xdr:rowOff>
    </xdr:from>
    <xdr:to>
      <xdr:col>14</xdr:col>
      <xdr:colOff>749300</xdr:colOff>
      <xdr:row>125</xdr:row>
      <xdr:rowOff>65333</xdr:rowOff>
    </xdr:to>
    <xdr:sp macro="" textlink="">
      <xdr:nvSpPr>
        <xdr:cNvPr id="217" name="POWER_USER_SANKEY_CHART_CONNECTED_SUB_CATEGORY_SHAPE_69_7" descr="{&quot;Id&quot;:&quot;76E94CC7-45DB-43D3-81F6-EE42FFF13333&quot;,&quot;Value&quot;:8706752.665786,&quot;Percentage&quot;:0.10003480405101577}">
          <a:extLst>
            <a:ext uri="{FF2B5EF4-FFF2-40B4-BE49-F238E27FC236}">
              <a16:creationId xmlns:a16="http://schemas.microsoft.com/office/drawing/2014/main" id="{42951F04-2096-588C-C192-E12CD664D6D9}"/>
            </a:ext>
          </a:extLst>
        </xdr:cNvPr>
        <xdr:cNvSpPr/>
      </xdr:nvSpPr>
      <xdr:spPr>
        <a:xfrm>
          <a:off x="17197614" y="23709488"/>
          <a:ext cx="0" cy="32618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125</xdr:row>
      <xdr:rowOff>65333</xdr:rowOff>
    </xdr:from>
    <xdr:to>
      <xdr:col>14</xdr:col>
      <xdr:colOff>749300</xdr:colOff>
      <xdr:row>125</xdr:row>
      <xdr:rowOff>88736</xdr:rowOff>
    </xdr:to>
    <xdr:sp macro="" textlink="">
      <xdr:nvSpPr>
        <xdr:cNvPr id="219" name="POWER_USER_SANKEY_CHART_CONNECTED_SUB_CATEGORY_SHAPE_70_7" descr="{&quot;Id&quot;:&quot;76E94CC7-45DB-43D3-81F6-EE42FFF13333&quot;,&quot;Value&quot;:8706752.665786,&quot;Percentage&quot;:0.10003480405101577}">
          <a:extLst>
            <a:ext uri="{FF2B5EF4-FFF2-40B4-BE49-F238E27FC236}">
              <a16:creationId xmlns:a16="http://schemas.microsoft.com/office/drawing/2014/main" id="{60F2B8DE-E5D3-F4D8-CC65-A84F15FAFC6A}"/>
            </a:ext>
          </a:extLst>
        </xdr:cNvPr>
        <xdr:cNvSpPr/>
      </xdr:nvSpPr>
      <xdr:spPr>
        <a:xfrm>
          <a:off x="17197614" y="24035676"/>
          <a:ext cx="0" cy="2340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126</xdr:row>
      <xdr:rowOff>62219</xdr:rowOff>
    </xdr:from>
    <xdr:to>
      <xdr:col>14</xdr:col>
      <xdr:colOff>749300</xdr:colOff>
      <xdr:row>131</xdr:row>
      <xdr:rowOff>8762</xdr:rowOff>
    </xdr:to>
    <xdr:sp macro="" textlink="">
      <xdr:nvSpPr>
        <xdr:cNvPr id="225" name="POWER_USER_SANKEY_CHART_CONNECTED_SUB_CATEGORY_SHAPE_69_8" descr="{&quot;Id&quot;:&quot;FCAAE53C-C903-49DD-A7A0-6525458887F4&quot;,&quot;Value&quot;:25850191.503528,&quot;Percentage&quot;:0.29700152754979087}">
          <a:extLst>
            <a:ext uri="{FF2B5EF4-FFF2-40B4-BE49-F238E27FC236}">
              <a16:creationId xmlns:a16="http://schemas.microsoft.com/office/drawing/2014/main" id="{2652B5D3-799C-BE08-D03C-FCE61E44F6B8}"/>
            </a:ext>
          </a:extLst>
        </xdr:cNvPr>
        <xdr:cNvSpPr/>
      </xdr:nvSpPr>
      <xdr:spPr>
        <a:xfrm>
          <a:off x="17197614" y="24217619"/>
          <a:ext cx="0" cy="871829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131</xdr:row>
      <xdr:rowOff>8762</xdr:rowOff>
    </xdr:from>
    <xdr:to>
      <xdr:col>14</xdr:col>
      <xdr:colOff>749300</xdr:colOff>
      <xdr:row>132</xdr:row>
      <xdr:rowOff>13849</xdr:rowOff>
    </xdr:to>
    <xdr:sp macro="" textlink="">
      <xdr:nvSpPr>
        <xdr:cNvPr id="227" name="POWER_USER_SANKEY_CHART_CONNECTED_SUB_CATEGORY_SHAPE_70_8" descr="{&quot;Id&quot;:&quot;FCAAE53C-C903-49DD-A7A0-6525458887F4&quot;,&quot;Value&quot;:25850191.503528,&quot;Percentage&quot;:0.29700152754979087}">
          <a:extLst>
            <a:ext uri="{FF2B5EF4-FFF2-40B4-BE49-F238E27FC236}">
              <a16:creationId xmlns:a16="http://schemas.microsoft.com/office/drawing/2014/main" id="{0DD12852-38F0-D046-7B17-D1A98E610025}"/>
            </a:ext>
          </a:extLst>
        </xdr:cNvPr>
        <xdr:cNvSpPr/>
      </xdr:nvSpPr>
      <xdr:spPr>
        <a:xfrm>
          <a:off x="17197614" y="25089448"/>
          <a:ext cx="0" cy="19014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132</xdr:row>
      <xdr:rowOff>13849</xdr:rowOff>
    </xdr:from>
    <xdr:to>
      <xdr:col>14</xdr:col>
      <xdr:colOff>749300</xdr:colOff>
      <xdr:row>132</xdr:row>
      <xdr:rowOff>83452</xdr:rowOff>
    </xdr:to>
    <xdr:sp macro="" textlink="">
      <xdr:nvSpPr>
        <xdr:cNvPr id="229" name="POWER_USER_SANKEY_CHART_CONNECTED_SUB_CATEGORY_SHAPE_71_8" descr="{&quot;Id&quot;:&quot;FCAAE53C-C903-49DD-A7A0-6525458887F4&quot;,&quot;Value&quot;:25850191.503528,&quot;Percentage&quot;:0.29700152754979087}">
          <a:extLst>
            <a:ext uri="{FF2B5EF4-FFF2-40B4-BE49-F238E27FC236}">
              <a16:creationId xmlns:a16="http://schemas.microsoft.com/office/drawing/2014/main" id="{CA19E0E3-241F-940A-41E9-824CB4550C8B}"/>
            </a:ext>
          </a:extLst>
        </xdr:cNvPr>
        <xdr:cNvSpPr/>
      </xdr:nvSpPr>
      <xdr:spPr>
        <a:xfrm>
          <a:off x="17197614" y="25279592"/>
          <a:ext cx="0" cy="6960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7</xdr:col>
      <xdr:colOff>994559</xdr:colOff>
      <xdr:row>101</xdr:row>
      <xdr:rowOff>171129</xdr:rowOff>
    </xdr:from>
    <xdr:to>
      <xdr:col>14</xdr:col>
      <xdr:colOff>927369</xdr:colOff>
      <xdr:row>133</xdr:row>
      <xdr:rowOff>34476</xdr:rowOff>
    </xdr:to>
    <xdr:graphicFrame macro="">
      <xdr:nvGraphicFramePr>
        <xdr:cNvPr id="505" name="Gráfico 504">
          <a:extLst>
            <a:ext uri="{FF2B5EF4-FFF2-40B4-BE49-F238E27FC236}">
              <a16:creationId xmlns:a16="http://schemas.microsoft.com/office/drawing/2014/main" id="{157F685D-8305-4E5C-A251-B467CCA27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275605</xdr:colOff>
      <xdr:row>108</xdr:row>
      <xdr:rowOff>174313</xdr:rowOff>
    </xdr:from>
    <xdr:to>
      <xdr:col>10</xdr:col>
      <xdr:colOff>275605</xdr:colOff>
      <xdr:row>109</xdr:row>
      <xdr:rowOff>146020</xdr:rowOff>
    </xdr:to>
    <xdr:sp macro="" textlink="">
      <xdr:nvSpPr>
        <xdr:cNvPr id="4" name="POWER_USER_SANKEY_CHART_CONNECTED_SUB_SERIE_SHAPE_73_4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6569248E-E057-C595-C711-AEDB8B2D6D3E}"/>
            </a:ext>
          </a:extLst>
        </xdr:cNvPr>
        <xdr:cNvSpPr/>
      </xdr:nvSpPr>
      <xdr:spPr>
        <a:xfrm>
          <a:off x="12329060" y="21905168"/>
          <a:ext cx="0" cy="151816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109</xdr:row>
      <xdr:rowOff>146020</xdr:rowOff>
    </xdr:from>
    <xdr:to>
      <xdr:col>10</xdr:col>
      <xdr:colOff>275605</xdr:colOff>
      <xdr:row>110</xdr:row>
      <xdr:rowOff>130842</xdr:rowOff>
    </xdr:to>
    <xdr:sp macro="" textlink="">
      <xdr:nvSpPr>
        <xdr:cNvPr id="6" name="POWER_USER_SANKEY_CHART_CONNECTED_SUB_SERIE_SHAPE_73_5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412A7A6D-2798-A2A4-7CB4-40EE4E47C7E9}"/>
            </a:ext>
          </a:extLst>
        </xdr:cNvPr>
        <xdr:cNvSpPr/>
      </xdr:nvSpPr>
      <xdr:spPr>
        <a:xfrm>
          <a:off x="12329060" y="22056984"/>
          <a:ext cx="0" cy="164931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110</xdr:row>
      <xdr:rowOff>130842</xdr:rowOff>
    </xdr:from>
    <xdr:to>
      <xdr:col>10</xdr:col>
      <xdr:colOff>275605</xdr:colOff>
      <xdr:row>112</xdr:row>
      <xdr:rowOff>98795</xdr:rowOff>
    </xdr:to>
    <xdr:sp macro="" textlink="">
      <xdr:nvSpPr>
        <xdr:cNvPr id="8" name="POWER_USER_SANKEY_CHART_CONNECTED_SUB_SERIE_SHAPE_73_7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D55C8F24-3324-A7C1-0761-100367329355}"/>
            </a:ext>
          </a:extLst>
        </xdr:cNvPr>
        <xdr:cNvSpPr/>
      </xdr:nvSpPr>
      <xdr:spPr>
        <a:xfrm>
          <a:off x="12329060" y="22221915"/>
          <a:ext cx="0" cy="328171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112</xdr:row>
      <xdr:rowOff>98796</xdr:rowOff>
    </xdr:from>
    <xdr:to>
      <xdr:col>10</xdr:col>
      <xdr:colOff>275605</xdr:colOff>
      <xdr:row>117</xdr:row>
      <xdr:rowOff>88032</xdr:rowOff>
    </xdr:to>
    <xdr:sp macro="" textlink="">
      <xdr:nvSpPr>
        <xdr:cNvPr id="10" name="POWER_USER_SANKEY_CHART_CONNECTED_SUB_SERIE_SHAPE_73_8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625EA5A6-919A-B168-06F6-BFC80AC22B8F}"/>
            </a:ext>
          </a:extLst>
        </xdr:cNvPr>
        <xdr:cNvSpPr/>
      </xdr:nvSpPr>
      <xdr:spPr>
        <a:xfrm>
          <a:off x="12329060" y="22550087"/>
          <a:ext cx="0" cy="889781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118</xdr:row>
      <xdr:rowOff>34923</xdr:rowOff>
    </xdr:from>
    <xdr:to>
      <xdr:col>10</xdr:col>
      <xdr:colOff>275605</xdr:colOff>
      <xdr:row>119</xdr:row>
      <xdr:rowOff>112685</xdr:rowOff>
    </xdr:to>
    <xdr:sp macro="" textlink="">
      <xdr:nvSpPr>
        <xdr:cNvPr id="13" name="POWER_USER_SANKEY_CHART_CONNECTED_SUB_SERIE_SHAPE_74_3" descr="{&quot;Id&quot;:&quot;6CBE75FA-071B-4568-8E86-821876818ECA&quot;,&quot;Value&quot;:859698.66885750485,&quot;Percentage&quot;:0.11289586317568062}">
          <a:extLst>
            <a:ext uri="{FF2B5EF4-FFF2-40B4-BE49-F238E27FC236}">
              <a16:creationId xmlns:a16="http://schemas.microsoft.com/office/drawing/2014/main" id="{BEC6D5E4-0D58-1214-FC85-0B42E8568F2B}"/>
            </a:ext>
          </a:extLst>
        </xdr:cNvPr>
        <xdr:cNvSpPr/>
      </xdr:nvSpPr>
      <xdr:spPr>
        <a:xfrm>
          <a:off x="12329060" y="23566868"/>
          <a:ext cx="0" cy="257872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119</xdr:row>
      <xdr:rowOff>112686</xdr:rowOff>
    </xdr:from>
    <xdr:to>
      <xdr:col>10</xdr:col>
      <xdr:colOff>275605</xdr:colOff>
      <xdr:row>119</xdr:row>
      <xdr:rowOff>131564</xdr:rowOff>
    </xdr:to>
    <xdr:sp macro="" textlink="">
      <xdr:nvSpPr>
        <xdr:cNvPr id="15" name="POWER_USER_SANKEY_CHART_CONNECTED_SUB_SERIE_SHAPE_74_7" descr="{&quot;Id&quot;:&quot;6CBE75FA-071B-4568-8E86-821876818ECA&quot;,&quot;Value&quot;:859698.66885750485,&quot;Percentage&quot;:0.11289586317568062}">
          <a:extLst>
            <a:ext uri="{FF2B5EF4-FFF2-40B4-BE49-F238E27FC236}">
              <a16:creationId xmlns:a16="http://schemas.microsoft.com/office/drawing/2014/main" id="{E0445C33-CCB2-F523-F204-EC09F84B215D}"/>
            </a:ext>
          </a:extLst>
        </xdr:cNvPr>
        <xdr:cNvSpPr/>
      </xdr:nvSpPr>
      <xdr:spPr>
        <a:xfrm>
          <a:off x="12329060" y="23824741"/>
          <a:ext cx="0" cy="18878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119</xdr:row>
      <xdr:rowOff>131562</xdr:rowOff>
    </xdr:from>
    <xdr:to>
      <xdr:col>10</xdr:col>
      <xdr:colOff>275605</xdr:colOff>
      <xdr:row>120</xdr:row>
      <xdr:rowOff>104838</xdr:rowOff>
    </xdr:to>
    <xdr:sp macro="" textlink="">
      <xdr:nvSpPr>
        <xdr:cNvPr id="17" name="POWER_USER_SANKEY_CHART_CONNECTED_SUB_SERIE_SHAPE_74_8" descr="{&quot;Id&quot;:&quot;6CBE75FA-071B-4568-8E86-821876818ECA&quot;,&quot;Value&quot;:859698.66885750485,&quot;Percentage&quot;:0.11289586317568062}">
          <a:extLst>
            <a:ext uri="{FF2B5EF4-FFF2-40B4-BE49-F238E27FC236}">
              <a16:creationId xmlns:a16="http://schemas.microsoft.com/office/drawing/2014/main" id="{4E5E8B16-AE27-70D3-E304-C8270FAD43A0}"/>
            </a:ext>
          </a:extLst>
        </xdr:cNvPr>
        <xdr:cNvSpPr/>
      </xdr:nvSpPr>
      <xdr:spPr>
        <a:xfrm>
          <a:off x="12329060" y="23843617"/>
          <a:ext cx="0" cy="153385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121</xdr:row>
      <xdr:rowOff>51729</xdr:rowOff>
    </xdr:from>
    <xdr:to>
      <xdr:col>10</xdr:col>
      <xdr:colOff>275605</xdr:colOff>
      <xdr:row>123</xdr:row>
      <xdr:rowOff>82603</xdr:rowOff>
    </xdr:to>
    <xdr:sp macro="" textlink="">
      <xdr:nvSpPr>
        <xdr:cNvPr id="20" name="POWER_USER_SANKEY_CHART_CONNECTED_SUB_SERIE_SHAPE_75_3" descr="{&quot;Id&quot;:&quot;A4DECEA7-176B-47FC-9B44-63A77A792D15&quot;,&quot;Value&quot;:944745.0466419938,&quot;Percentage&quot;:0.12406417665312808}">
          <a:extLst>
            <a:ext uri="{FF2B5EF4-FFF2-40B4-BE49-F238E27FC236}">
              <a16:creationId xmlns:a16="http://schemas.microsoft.com/office/drawing/2014/main" id="{CE9E018A-5A6E-EB88-6B84-68699611C8AE}"/>
            </a:ext>
          </a:extLst>
        </xdr:cNvPr>
        <xdr:cNvSpPr/>
      </xdr:nvSpPr>
      <xdr:spPr>
        <a:xfrm>
          <a:off x="12329060" y="24124002"/>
          <a:ext cx="0" cy="391092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123</xdr:row>
      <xdr:rowOff>82603</xdr:rowOff>
    </xdr:from>
    <xdr:to>
      <xdr:col>10</xdr:col>
      <xdr:colOff>275605</xdr:colOff>
      <xdr:row>123</xdr:row>
      <xdr:rowOff>108048</xdr:rowOff>
    </xdr:to>
    <xdr:sp macro="" textlink="">
      <xdr:nvSpPr>
        <xdr:cNvPr id="22" name="POWER_USER_SANKEY_CHART_CONNECTED_SUB_SERIE_SHAPE_75_7" descr="{&quot;Id&quot;:&quot;A4DECEA7-176B-47FC-9B44-63A77A792D15&quot;,&quot;Value&quot;:944745.0466419938,&quot;Percentage&quot;:0.12406417665312808}">
          <a:extLst>
            <a:ext uri="{FF2B5EF4-FFF2-40B4-BE49-F238E27FC236}">
              <a16:creationId xmlns:a16="http://schemas.microsoft.com/office/drawing/2014/main" id="{AE8E125C-2076-FAC9-D943-67F0C0CC9DB3}"/>
            </a:ext>
          </a:extLst>
        </xdr:cNvPr>
        <xdr:cNvSpPr/>
      </xdr:nvSpPr>
      <xdr:spPr>
        <a:xfrm>
          <a:off x="12329060" y="24515094"/>
          <a:ext cx="0" cy="25445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123</xdr:row>
      <xdr:rowOff>108048</xdr:rowOff>
    </xdr:from>
    <xdr:to>
      <xdr:col>10</xdr:col>
      <xdr:colOff>275605</xdr:colOff>
      <xdr:row>123</xdr:row>
      <xdr:rowOff>164195</xdr:rowOff>
    </xdr:to>
    <xdr:sp macro="" textlink="">
      <xdr:nvSpPr>
        <xdr:cNvPr id="24" name="POWER_USER_SANKEY_CHART_CONNECTED_SUB_SERIE_SHAPE_75_8" descr="{&quot;Id&quot;:&quot;A4DECEA7-176B-47FC-9B44-63A77A792D15&quot;,&quot;Value&quot;:944745.0466419938,&quot;Percentage&quot;:0.12406417665312808}">
          <a:extLst>
            <a:ext uri="{FF2B5EF4-FFF2-40B4-BE49-F238E27FC236}">
              <a16:creationId xmlns:a16="http://schemas.microsoft.com/office/drawing/2014/main" id="{46AC41C8-54AB-CF13-CA96-CA814107B77D}"/>
            </a:ext>
          </a:extLst>
        </xdr:cNvPr>
        <xdr:cNvSpPr/>
      </xdr:nvSpPr>
      <xdr:spPr>
        <a:xfrm>
          <a:off x="12329060" y="24540539"/>
          <a:ext cx="0" cy="56147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124</xdr:row>
      <xdr:rowOff>111086</xdr:rowOff>
    </xdr:from>
    <xdr:to>
      <xdr:col>10</xdr:col>
      <xdr:colOff>275605</xdr:colOff>
      <xdr:row>125</xdr:row>
      <xdr:rowOff>33438</xdr:rowOff>
    </xdr:to>
    <xdr:sp macro="" textlink="">
      <xdr:nvSpPr>
        <xdr:cNvPr id="27" name="POWER_USER_SANKEY_CHART_CONNECTED_SUB_SERIE_SHAPE_76_3" descr="{&quot;Id&quot;:&quot;79D465A1-1511-427F-8B4E-0F7D9A2CBB24&quot;,&quot;Value&quot;:213187.19637634844,&quot;Percentage&quot;:0.027995800650588716}">
          <a:extLst>
            <a:ext uri="{FF2B5EF4-FFF2-40B4-BE49-F238E27FC236}">
              <a16:creationId xmlns:a16="http://schemas.microsoft.com/office/drawing/2014/main" id="{4E06366B-AE49-6690-BE49-7D701DB04591}"/>
            </a:ext>
          </a:extLst>
        </xdr:cNvPr>
        <xdr:cNvSpPr/>
      </xdr:nvSpPr>
      <xdr:spPr>
        <a:xfrm>
          <a:off x="12329060" y="24723686"/>
          <a:ext cx="0" cy="102461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125</xdr:row>
      <xdr:rowOff>33438</xdr:rowOff>
    </xdr:from>
    <xdr:to>
      <xdr:col>10</xdr:col>
      <xdr:colOff>275605</xdr:colOff>
      <xdr:row>125</xdr:row>
      <xdr:rowOff>37330</xdr:rowOff>
    </xdr:to>
    <xdr:sp macro="" textlink="">
      <xdr:nvSpPr>
        <xdr:cNvPr id="29" name="POWER_USER_SANKEY_CHART_CONNECTED_SUB_SERIE_SHAPE_76_4" descr="{&quot;Id&quot;:&quot;79D465A1-1511-427F-8B4E-0F7D9A2CBB24&quot;,&quot;Value&quot;:213187.19637634844,&quot;Percentage&quot;:0.027995800650588716}">
          <a:extLst>
            <a:ext uri="{FF2B5EF4-FFF2-40B4-BE49-F238E27FC236}">
              <a16:creationId xmlns:a16="http://schemas.microsoft.com/office/drawing/2014/main" id="{D81D6985-7926-79F1-A50E-245450AE5106}"/>
            </a:ext>
          </a:extLst>
        </xdr:cNvPr>
        <xdr:cNvSpPr/>
      </xdr:nvSpPr>
      <xdr:spPr>
        <a:xfrm>
          <a:off x="12329060" y="24826147"/>
          <a:ext cx="0" cy="3892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125</xdr:row>
      <xdr:rowOff>37330</xdr:rowOff>
    </xdr:from>
    <xdr:to>
      <xdr:col>10</xdr:col>
      <xdr:colOff>275605</xdr:colOff>
      <xdr:row>125</xdr:row>
      <xdr:rowOff>37640</xdr:rowOff>
    </xdr:to>
    <xdr:sp macro="" textlink="">
      <xdr:nvSpPr>
        <xdr:cNvPr id="31" name="POWER_USER_SANKEY_CHART_CONNECTED_SUB_SERIE_SHAPE_76_5" descr="{&quot;Id&quot;:&quot;79D465A1-1511-427F-8B4E-0F7D9A2CBB24&quot;,&quot;Value&quot;:213187.19637634844,&quot;Percentage&quot;:0.027995800650588716}">
          <a:extLst>
            <a:ext uri="{FF2B5EF4-FFF2-40B4-BE49-F238E27FC236}">
              <a16:creationId xmlns:a16="http://schemas.microsoft.com/office/drawing/2014/main" id="{87C53D60-F895-5510-CC66-2FD5F726BED3}"/>
            </a:ext>
          </a:extLst>
        </xdr:cNvPr>
        <xdr:cNvSpPr/>
      </xdr:nvSpPr>
      <xdr:spPr>
        <a:xfrm>
          <a:off x="12329060" y="24830039"/>
          <a:ext cx="0" cy="310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125</xdr:row>
      <xdr:rowOff>164639</xdr:rowOff>
    </xdr:from>
    <xdr:to>
      <xdr:col>10</xdr:col>
      <xdr:colOff>275605</xdr:colOff>
      <xdr:row>126</xdr:row>
      <xdr:rowOff>80688</xdr:rowOff>
    </xdr:to>
    <xdr:sp macro="" textlink="">
      <xdr:nvSpPr>
        <xdr:cNvPr id="34" name="POWER_USER_SANKEY_CHART_CONNECTED_SUB_SERIE_SHAPE_77_3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DBADADB3-CD84-1448-7B87-A44391361E18}"/>
            </a:ext>
          </a:extLst>
        </xdr:cNvPr>
        <xdr:cNvSpPr/>
      </xdr:nvSpPr>
      <xdr:spPr>
        <a:xfrm>
          <a:off x="12329060" y="24957348"/>
          <a:ext cx="0" cy="96158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126</xdr:row>
      <xdr:rowOff>80688</xdr:rowOff>
    </xdr:from>
    <xdr:to>
      <xdr:col>10</xdr:col>
      <xdr:colOff>275605</xdr:colOff>
      <xdr:row>127</xdr:row>
      <xdr:rowOff>13852</xdr:rowOff>
    </xdr:to>
    <xdr:sp macro="" textlink="">
      <xdr:nvSpPr>
        <xdr:cNvPr id="36" name="POWER_USER_SANKEY_CHART_CONNECTED_SUB_SERIE_SHAPE_77_4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D92593ED-437E-EE15-51E4-E995996CF257}"/>
            </a:ext>
          </a:extLst>
        </xdr:cNvPr>
        <xdr:cNvSpPr/>
      </xdr:nvSpPr>
      <xdr:spPr>
        <a:xfrm>
          <a:off x="12329060" y="25053506"/>
          <a:ext cx="0" cy="113273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127</xdr:row>
      <xdr:rowOff>13853</xdr:rowOff>
    </xdr:from>
    <xdr:to>
      <xdr:col>10</xdr:col>
      <xdr:colOff>275605</xdr:colOff>
      <xdr:row>127</xdr:row>
      <xdr:rowOff>114783</xdr:rowOff>
    </xdr:to>
    <xdr:sp macro="" textlink="">
      <xdr:nvSpPr>
        <xdr:cNvPr id="38" name="POWER_USER_SANKEY_CHART_CONNECTED_SUB_SERIE_SHAPE_77_5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BB5086CF-0485-FF4D-CA16-ED0614EB7629}"/>
            </a:ext>
          </a:extLst>
        </xdr:cNvPr>
        <xdr:cNvSpPr/>
      </xdr:nvSpPr>
      <xdr:spPr>
        <a:xfrm>
          <a:off x="12329060" y="25166780"/>
          <a:ext cx="0" cy="100930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127</xdr:row>
      <xdr:rowOff>114783</xdr:rowOff>
    </xdr:from>
    <xdr:to>
      <xdr:col>10</xdr:col>
      <xdr:colOff>275605</xdr:colOff>
      <xdr:row>127</xdr:row>
      <xdr:rowOff>142842</xdr:rowOff>
    </xdr:to>
    <xdr:sp macro="" textlink="">
      <xdr:nvSpPr>
        <xdr:cNvPr id="40" name="POWER_USER_SANKEY_CHART_CONNECTED_SUB_SERIE_SHAPE_77_6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6E3D539A-DF27-51DE-E0DF-63BBF51D8997}"/>
            </a:ext>
          </a:extLst>
        </xdr:cNvPr>
        <xdr:cNvSpPr/>
      </xdr:nvSpPr>
      <xdr:spPr>
        <a:xfrm>
          <a:off x="12329060" y="25267710"/>
          <a:ext cx="0" cy="28059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128</xdr:row>
      <xdr:rowOff>89732</xdr:rowOff>
    </xdr:from>
    <xdr:to>
      <xdr:col>10</xdr:col>
      <xdr:colOff>275605</xdr:colOff>
      <xdr:row>130</xdr:row>
      <xdr:rowOff>72420</xdr:rowOff>
    </xdr:to>
    <xdr:sp macro="" textlink="">
      <xdr:nvSpPr>
        <xdr:cNvPr id="43" name="POWER_USER_SANKEY_CHART_CONNECTED_SUB_SERIE_SHAPE_78_3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BD89A994-44E3-353B-0EE8-6556CE12F12E}"/>
            </a:ext>
          </a:extLst>
        </xdr:cNvPr>
        <xdr:cNvSpPr/>
      </xdr:nvSpPr>
      <xdr:spPr>
        <a:xfrm>
          <a:off x="12329060" y="25422768"/>
          <a:ext cx="0" cy="342907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130</xdr:row>
      <xdr:rowOff>72420</xdr:rowOff>
    </xdr:from>
    <xdr:to>
      <xdr:col>10</xdr:col>
      <xdr:colOff>275605</xdr:colOff>
      <xdr:row>131</xdr:row>
      <xdr:rowOff>141560</xdr:rowOff>
    </xdr:to>
    <xdr:sp macro="" textlink="">
      <xdr:nvSpPr>
        <xdr:cNvPr id="45" name="POWER_USER_SANKEY_CHART_CONNECTED_SUB_SERIE_SHAPE_78_4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2BCC9253-5129-B56D-A673-8027C5F0C194}"/>
            </a:ext>
          </a:extLst>
        </xdr:cNvPr>
        <xdr:cNvSpPr/>
      </xdr:nvSpPr>
      <xdr:spPr>
        <a:xfrm>
          <a:off x="12329060" y="25765675"/>
          <a:ext cx="0" cy="249249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131</xdr:row>
      <xdr:rowOff>141560</xdr:rowOff>
    </xdr:from>
    <xdr:to>
      <xdr:col>10</xdr:col>
      <xdr:colOff>275605</xdr:colOff>
      <xdr:row>133</xdr:row>
      <xdr:rowOff>44656</xdr:rowOff>
    </xdr:to>
    <xdr:sp macro="" textlink="">
      <xdr:nvSpPr>
        <xdr:cNvPr id="47" name="POWER_USER_SANKEY_CHART_CONNECTED_SUB_SERIE_SHAPE_78_5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A882B99E-D41B-E167-9DFE-ED451A852DC2}"/>
            </a:ext>
          </a:extLst>
        </xdr:cNvPr>
        <xdr:cNvSpPr/>
      </xdr:nvSpPr>
      <xdr:spPr>
        <a:xfrm>
          <a:off x="12329060" y="26014924"/>
          <a:ext cx="0" cy="263314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133</xdr:row>
      <xdr:rowOff>44656</xdr:rowOff>
    </xdr:from>
    <xdr:to>
      <xdr:col>10</xdr:col>
      <xdr:colOff>275605</xdr:colOff>
      <xdr:row>133</xdr:row>
      <xdr:rowOff>116586</xdr:rowOff>
    </xdr:to>
    <xdr:sp macro="" textlink="">
      <xdr:nvSpPr>
        <xdr:cNvPr id="49" name="POWER_USER_SANKEY_CHART_CONNECTED_SUB_SERIE_SHAPE_78_6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61D964CF-5310-F0A1-80AA-EE50B65EE967}"/>
            </a:ext>
          </a:extLst>
        </xdr:cNvPr>
        <xdr:cNvSpPr/>
      </xdr:nvSpPr>
      <xdr:spPr>
        <a:xfrm>
          <a:off x="12329060" y="26278238"/>
          <a:ext cx="0" cy="71930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108</xdr:row>
      <xdr:rowOff>174313</xdr:rowOff>
    </xdr:from>
    <xdr:to>
      <xdr:col>13</xdr:col>
      <xdr:colOff>792842</xdr:colOff>
      <xdr:row>110</xdr:row>
      <xdr:rowOff>71966</xdr:rowOff>
    </xdr:to>
    <xdr:sp macro="" textlink="">
      <xdr:nvSpPr>
        <xdr:cNvPr id="53" name="POWER_USER_SANKEY_CHART_CONNECTED_SUB_CATEGORY_SHAPE_74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C64D7D23-F332-2514-8C06-C1E65A41B6A1}"/>
            </a:ext>
          </a:extLst>
        </xdr:cNvPr>
        <xdr:cNvSpPr/>
      </xdr:nvSpPr>
      <xdr:spPr>
        <a:xfrm>
          <a:off x="17459860" y="21905168"/>
          <a:ext cx="0" cy="257871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110</xdr:row>
      <xdr:rowOff>71966</xdr:rowOff>
    </xdr:from>
    <xdr:to>
      <xdr:col>13</xdr:col>
      <xdr:colOff>792842</xdr:colOff>
      <xdr:row>112</xdr:row>
      <xdr:rowOff>102841</xdr:rowOff>
    </xdr:to>
    <xdr:sp macro="" textlink="">
      <xdr:nvSpPr>
        <xdr:cNvPr id="55" name="POWER_USER_SANKEY_CHART_CONNECTED_SUB_CATEGORY_SHAPE_75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0C08A1E2-1800-81B8-4D43-8AAEA2E2922A}"/>
            </a:ext>
          </a:extLst>
        </xdr:cNvPr>
        <xdr:cNvSpPr/>
      </xdr:nvSpPr>
      <xdr:spPr>
        <a:xfrm>
          <a:off x="17459860" y="22163039"/>
          <a:ext cx="0" cy="39109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112</xdr:row>
      <xdr:rowOff>102841</xdr:rowOff>
    </xdr:from>
    <xdr:to>
      <xdr:col>13</xdr:col>
      <xdr:colOff>792842</xdr:colOff>
      <xdr:row>113</xdr:row>
      <xdr:rowOff>25194</xdr:rowOff>
    </xdr:to>
    <xdr:sp macro="" textlink="">
      <xdr:nvSpPr>
        <xdr:cNvPr id="57" name="POWER_USER_SANKEY_CHART_CONNECTED_SUB_CATEGORY_SHAPE_76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E4421F25-A590-9337-119A-068841C7313B}"/>
            </a:ext>
          </a:extLst>
        </xdr:cNvPr>
        <xdr:cNvSpPr/>
      </xdr:nvSpPr>
      <xdr:spPr>
        <a:xfrm>
          <a:off x="17459860" y="22554132"/>
          <a:ext cx="0" cy="10246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113</xdr:row>
      <xdr:rowOff>25194</xdr:rowOff>
    </xdr:from>
    <xdr:to>
      <xdr:col>13</xdr:col>
      <xdr:colOff>792842</xdr:colOff>
      <xdr:row>113</xdr:row>
      <xdr:rowOff>121352</xdr:rowOff>
    </xdr:to>
    <xdr:sp macro="" textlink="">
      <xdr:nvSpPr>
        <xdr:cNvPr id="59" name="POWER_USER_SANKEY_CHART_CONNECTED_SUB_CATEGORY_SHAPE_77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1E9A79DB-1385-BDB8-B270-292963EB40EA}"/>
            </a:ext>
          </a:extLst>
        </xdr:cNvPr>
        <xdr:cNvSpPr/>
      </xdr:nvSpPr>
      <xdr:spPr>
        <a:xfrm>
          <a:off x="17459860" y="22656594"/>
          <a:ext cx="0" cy="9615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113</xdr:row>
      <xdr:rowOff>121352</xdr:rowOff>
    </xdr:from>
    <xdr:to>
      <xdr:col>13</xdr:col>
      <xdr:colOff>792842</xdr:colOff>
      <xdr:row>115</xdr:row>
      <xdr:rowOff>104042</xdr:rowOff>
    </xdr:to>
    <xdr:sp macro="" textlink="">
      <xdr:nvSpPr>
        <xdr:cNvPr id="61" name="POWER_USER_SANKEY_CHART_CONNECTED_SUB_CATEGORY_SHAPE_78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E9302F76-8E07-121F-9386-E6D6A70902CA}"/>
            </a:ext>
          </a:extLst>
        </xdr:cNvPr>
        <xdr:cNvSpPr/>
      </xdr:nvSpPr>
      <xdr:spPr>
        <a:xfrm>
          <a:off x="17459860" y="22752752"/>
          <a:ext cx="0" cy="34290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116</xdr:row>
      <xdr:rowOff>50933</xdr:rowOff>
    </xdr:from>
    <xdr:to>
      <xdr:col>13</xdr:col>
      <xdr:colOff>792842</xdr:colOff>
      <xdr:row>117</xdr:row>
      <xdr:rowOff>22640</xdr:rowOff>
    </xdr:to>
    <xdr:sp macro="" textlink="">
      <xdr:nvSpPr>
        <xdr:cNvPr id="507" name="POWER_USER_SANKEY_CHART_CONNECTED_SUB_CATEGORY_SHAPE_73_4" descr="{&quot;Id&quot;:&quot;37E23261-25A1-4747-8798-A9E91196DAF2&quot;,&quot;Value&quot;:1035773.173401817,&quot;Percentage&quot;:0.13601801503404903}">
          <a:extLst>
            <a:ext uri="{FF2B5EF4-FFF2-40B4-BE49-F238E27FC236}">
              <a16:creationId xmlns:a16="http://schemas.microsoft.com/office/drawing/2014/main" id="{E42707E1-F6DF-8B14-9B42-59A2D3477EE9}"/>
            </a:ext>
          </a:extLst>
        </xdr:cNvPr>
        <xdr:cNvSpPr/>
      </xdr:nvSpPr>
      <xdr:spPr>
        <a:xfrm>
          <a:off x="17459860" y="23222660"/>
          <a:ext cx="0" cy="151816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117</xdr:row>
      <xdr:rowOff>22640</xdr:rowOff>
    </xdr:from>
    <xdr:to>
      <xdr:col>13</xdr:col>
      <xdr:colOff>792842</xdr:colOff>
      <xdr:row>117</xdr:row>
      <xdr:rowOff>26532</xdr:rowOff>
    </xdr:to>
    <xdr:sp macro="" textlink="">
      <xdr:nvSpPr>
        <xdr:cNvPr id="509" name="POWER_USER_SANKEY_CHART_CONNECTED_SUB_CATEGORY_SHAPE_76_4" descr="{&quot;Id&quot;:&quot;37E23261-25A1-4747-8798-A9E91196DAF2&quot;,&quot;Value&quot;:1035773.173401817,&quot;Percentage&quot;:0.13601801503404903}">
          <a:extLst>
            <a:ext uri="{FF2B5EF4-FFF2-40B4-BE49-F238E27FC236}">
              <a16:creationId xmlns:a16="http://schemas.microsoft.com/office/drawing/2014/main" id="{43C9E8ED-3B2A-E00B-6590-0B18532E6DE2}"/>
            </a:ext>
          </a:extLst>
        </xdr:cNvPr>
        <xdr:cNvSpPr/>
      </xdr:nvSpPr>
      <xdr:spPr>
        <a:xfrm>
          <a:off x="17459860" y="23374476"/>
          <a:ext cx="0" cy="389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956787</xdr:colOff>
      <xdr:row>117</xdr:row>
      <xdr:rowOff>22640</xdr:rowOff>
    </xdr:from>
    <xdr:to>
      <xdr:col>13</xdr:col>
      <xdr:colOff>767442</xdr:colOff>
      <xdr:row>117</xdr:row>
      <xdr:rowOff>26532</xdr:rowOff>
    </xdr:to>
    <xdr:sp macro="" textlink="">
      <xdr:nvSpPr>
        <xdr:cNvPr id="510" name="POWER_USER_SANKEY_CHART_SUB_CATEGORY_SHAPE" descr="{&quot;Id&quot;:&quot;79D465A1-1511-427F-8B4E-0F7D9A2CBB24&quot;,&quot;Value&quot;:7779.57797842105,&quot;Percentage&quot;:0.0010216162974679866}">
          <a:extLst>
            <a:ext uri="{FF2B5EF4-FFF2-40B4-BE49-F238E27FC236}">
              <a16:creationId xmlns:a16="http://schemas.microsoft.com/office/drawing/2014/main" id="{8D30DE84-4844-D3F6-449C-BE96B72A5A06}"/>
            </a:ext>
          </a:extLst>
        </xdr:cNvPr>
        <xdr:cNvSpPr/>
      </xdr:nvSpPr>
      <xdr:spPr>
        <a:xfrm>
          <a:off x="14894460" y="23374476"/>
          <a:ext cx="2540000" cy="3892"/>
        </a:xfrm>
        <a:prstGeom prst="rect">
          <a:avLst/>
        </a:prstGeom>
        <a:noFill/>
        <a:ln w="317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0"/>
        <a:lstStyle/>
        <a:p>
          <a:pPr algn="r"/>
          <a:r>
            <a:rPr lang="pt-BR" sz="1100" b="0" i="0" u="none">
              <a:solidFill>
                <a:schemeClr val="dk1"/>
              </a:solidFill>
            </a:rPr>
            <a:t>7.780</a:t>
          </a:r>
        </a:p>
      </xdr:txBody>
    </xdr:sp>
    <xdr:clientData/>
  </xdr:twoCellAnchor>
  <xdr:twoCellAnchor>
    <xdr:from>
      <xdr:col>13</xdr:col>
      <xdr:colOff>792842</xdr:colOff>
      <xdr:row>117</xdr:row>
      <xdr:rowOff>26531</xdr:rowOff>
    </xdr:from>
    <xdr:to>
      <xdr:col>13</xdr:col>
      <xdr:colOff>792842</xdr:colOff>
      <xdr:row>117</xdr:row>
      <xdr:rowOff>139803</xdr:rowOff>
    </xdr:to>
    <xdr:sp macro="" textlink="">
      <xdr:nvSpPr>
        <xdr:cNvPr id="511" name="POWER_USER_SANKEY_CHART_CONNECTED_SUB_CATEGORY_SHAPE_77_4" descr="{&quot;Id&quot;:&quot;37E23261-25A1-4747-8798-A9E91196DAF2&quot;,&quot;Value&quot;:1035773.173401817,&quot;Percentage&quot;:0.13601801503404903}">
          <a:extLst>
            <a:ext uri="{FF2B5EF4-FFF2-40B4-BE49-F238E27FC236}">
              <a16:creationId xmlns:a16="http://schemas.microsoft.com/office/drawing/2014/main" id="{3A9772EB-F260-E536-BDE3-5A2AFE7843CF}"/>
            </a:ext>
          </a:extLst>
        </xdr:cNvPr>
        <xdr:cNvSpPr/>
      </xdr:nvSpPr>
      <xdr:spPr>
        <a:xfrm>
          <a:off x="17459860" y="23378367"/>
          <a:ext cx="0" cy="11327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119</xdr:row>
      <xdr:rowOff>155832</xdr:rowOff>
    </xdr:from>
    <xdr:to>
      <xdr:col>13</xdr:col>
      <xdr:colOff>792842</xdr:colOff>
      <xdr:row>120</xdr:row>
      <xdr:rowOff>140654</xdr:rowOff>
    </xdr:to>
    <xdr:sp macro="" textlink="">
      <xdr:nvSpPr>
        <xdr:cNvPr id="137" name="POWER_USER_SANKEY_CHART_CONNECTED_SUB_CATEGORY_SHAPE_73_5" descr="{&quot;Id&quot;:&quot;757455AA-75E2-4758-8248-F77683850E4D&quot;,&quot;Value&quot;:1058269.8427197575,&quot;Percentage&quot;:0.13897228377172427}">
          <a:extLst>
            <a:ext uri="{FF2B5EF4-FFF2-40B4-BE49-F238E27FC236}">
              <a16:creationId xmlns:a16="http://schemas.microsoft.com/office/drawing/2014/main" id="{90B71640-13E2-EDEB-FAA8-3B4833EBB5B2}"/>
            </a:ext>
          </a:extLst>
        </xdr:cNvPr>
        <xdr:cNvSpPr/>
      </xdr:nvSpPr>
      <xdr:spPr>
        <a:xfrm>
          <a:off x="17459860" y="23867887"/>
          <a:ext cx="0" cy="164931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120</xdr:row>
      <xdr:rowOff>140654</xdr:rowOff>
    </xdr:from>
    <xdr:to>
      <xdr:col>13</xdr:col>
      <xdr:colOff>792842</xdr:colOff>
      <xdr:row>120</xdr:row>
      <xdr:rowOff>140964</xdr:rowOff>
    </xdr:to>
    <xdr:sp macro="" textlink="">
      <xdr:nvSpPr>
        <xdr:cNvPr id="140" name="POWER_USER_SANKEY_CHART_CONNECTED_SUB_CATEGORY_SHAPE_76_5" descr="{&quot;Id&quot;:&quot;757455AA-75E2-4758-8248-F77683850E4D&quot;,&quot;Value&quot;:1058269.8427197575,&quot;Percentage&quot;:0.13897228377172427}">
          <a:extLst>
            <a:ext uri="{FF2B5EF4-FFF2-40B4-BE49-F238E27FC236}">
              <a16:creationId xmlns:a16="http://schemas.microsoft.com/office/drawing/2014/main" id="{7977DEA9-79FA-0FB8-FD0F-4A01992EDFF7}"/>
            </a:ext>
          </a:extLst>
        </xdr:cNvPr>
        <xdr:cNvSpPr/>
      </xdr:nvSpPr>
      <xdr:spPr>
        <a:xfrm>
          <a:off x="17459860" y="24032818"/>
          <a:ext cx="0" cy="310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956787</xdr:colOff>
      <xdr:row>120</xdr:row>
      <xdr:rowOff>140654</xdr:rowOff>
    </xdr:from>
    <xdr:to>
      <xdr:col>13</xdr:col>
      <xdr:colOff>767442</xdr:colOff>
      <xdr:row>120</xdr:row>
      <xdr:rowOff>140964</xdr:rowOff>
    </xdr:to>
    <xdr:sp macro="" textlink="">
      <xdr:nvSpPr>
        <xdr:cNvPr id="142" name="POWER_USER_SANKEY_CHART_SUB_CATEGORY_SHAPE" descr="{&quot;Id&quot;:&quot;79D465A1-1511-427F-8B4E-0F7D9A2CBB24&quot;,&quot;Value&quot;:618.888188947369,&quot;Percentage&quot;:8.1272565413298189E-05}">
          <a:extLst>
            <a:ext uri="{FF2B5EF4-FFF2-40B4-BE49-F238E27FC236}">
              <a16:creationId xmlns:a16="http://schemas.microsoft.com/office/drawing/2014/main" id="{5819EA3E-7A3F-B90B-3BF1-7D8C5099E89D}"/>
            </a:ext>
          </a:extLst>
        </xdr:cNvPr>
        <xdr:cNvSpPr/>
      </xdr:nvSpPr>
      <xdr:spPr>
        <a:xfrm>
          <a:off x="14894460" y="24032818"/>
          <a:ext cx="2540000" cy="310"/>
        </a:xfrm>
        <a:prstGeom prst="rect">
          <a:avLst/>
        </a:prstGeom>
        <a:noFill/>
        <a:ln w="317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0"/>
        <a:lstStyle/>
        <a:p>
          <a:pPr algn="r"/>
          <a:r>
            <a:rPr lang="pt-BR" sz="1100" b="0" i="0" u="none">
              <a:solidFill>
                <a:schemeClr val="dk1"/>
              </a:solidFill>
            </a:rPr>
            <a:t>619</a:t>
          </a:r>
        </a:p>
      </xdr:txBody>
    </xdr:sp>
    <xdr:clientData/>
  </xdr:twoCellAnchor>
  <xdr:twoCellAnchor>
    <xdr:from>
      <xdr:col>13</xdr:col>
      <xdr:colOff>792842</xdr:colOff>
      <xdr:row>120</xdr:row>
      <xdr:rowOff>140964</xdr:rowOff>
    </xdr:from>
    <xdr:to>
      <xdr:col>13</xdr:col>
      <xdr:colOff>792842</xdr:colOff>
      <xdr:row>121</xdr:row>
      <xdr:rowOff>61786</xdr:rowOff>
    </xdr:to>
    <xdr:sp macro="" textlink="">
      <xdr:nvSpPr>
        <xdr:cNvPr id="144" name="POWER_USER_SANKEY_CHART_CONNECTED_SUB_CATEGORY_SHAPE_77_5" descr="{&quot;Id&quot;:&quot;757455AA-75E2-4758-8248-F77683850E4D&quot;,&quot;Value&quot;:1058269.8427197575,&quot;Percentage&quot;:0.13897228377172427}">
          <a:extLst>
            <a:ext uri="{FF2B5EF4-FFF2-40B4-BE49-F238E27FC236}">
              <a16:creationId xmlns:a16="http://schemas.microsoft.com/office/drawing/2014/main" id="{92277D85-4C77-3588-A6AA-B0AF0DD44D01}"/>
            </a:ext>
          </a:extLst>
        </xdr:cNvPr>
        <xdr:cNvSpPr/>
      </xdr:nvSpPr>
      <xdr:spPr>
        <a:xfrm>
          <a:off x="17459860" y="24033128"/>
          <a:ext cx="0" cy="100931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123</xdr:row>
      <xdr:rowOff>91880</xdr:rowOff>
    </xdr:from>
    <xdr:to>
      <xdr:col>13</xdr:col>
      <xdr:colOff>792842</xdr:colOff>
      <xdr:row>123</xdr:row>
      <xdr:rowOff>119939</xdr:rowOff>
    </xdr:to>
    <xdr:sp macro="" textlink="">
      <xdr:nvSpPr>
        <xdr:cNvPr id="154" name="POWER_USER_SANKEY_CHART_CONNECTED_SUB_CATEGORY_SHAPE_77_6" descr="{&quot;Id&quot;:&quot;D5DAD165-0B7B-4ABE-A993-3ABB8238F36C&quot;,&quot;Value&quot;:199848.27588052681,&quot;Percentage&quot;:0.026244129980668017}">
          <a:extLst>
            <a:ext uri="{FF2B5EF4-FFF2-40B4-BE49-F238E27FC236}">
              <a16:creationId xmlns:a16="http://schemas.microsoft.com/office/drawing/2014/main" id="{21A06E94-6799-9E62-8A48-0B92E5DE419C}"/>
            </a:ext>
          </a:extLst>
        </xdr:cNvPr>
        <xdr:cNvSpPr/>
      </xdr:nvSpPr>
      <xdr:spPr>
        <a:xfrm>
          <a:off x="17459860" y="24524371"/>
          <a:ext cx="0" cy="28059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126</xdr:row>
      <xdr:rowOff>125593</xdr:rowOff>
    </xdr:from>
    <xdr:to>
      <xdr:col>13</xdr:col>
      <xdr:colOff>792842</xdr:colOff>
      <xdr:row>126</xdr:row>
      <xdr:rowOff>151038</xdr:rowOff>
    </xdr:to>
    <xdr:sp macro="" textlink="">
      <xdr:nvSpPr>
        <xdr:cNvPr id="172" name="POWER_USER_SANKEY_CHART_CONNECTED_SUB_CATEGORY_SHAPE_75_7" descr="{&quot;Id&quot;:&quot;53A11BDF-F8B4-4519-9BB9-1FA3CB9ABC94&quot;,&quot;Value&quot;:744496.39544122154,&quot;Percentage&quot;:0.0977674692764366}">
          <a:extLst>
            <a:ext uri="{FF2B5EF4-FFF2-40B4-BE49-F238E27FC236}">
              <a16:creationId xmlns:a16="http://schemas.microsoft.com/office/drawing/2014/main" id="{55F315CC-CAD9-D87D-2549-1CBD95A14EF4}"/>
            </a:ext>
          </a:extLst>
        </xdr:cNvPr>
        <xdr:cNvSpPr/>
      </xdr:nvSpPr>
      <xdr:spPr>
        <a:xfrm>
          <a:off x="17459860" y="25098411"/>
          <a:ext cx="0" cy="25445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132</xdr:row>
      <xdr:rowOff>87164</xdr:rowOff>
    </xdr:from>
    <xdr:to>
      <xdr:col>13</xdr:col>
      <xdr:colOff>792842</xdr:colOff>
      <xdr:row>133</xdr:row>
      <xdr:rowOff>60438</xdr:rowOff>
    </xdr:to>
    <xdr:sp macro="" textlink="">
      <xdr:nvSpPr>
        <xdr:cNvPr id="182" name="POWER_USER_SANKEY_CHART_CONNECTED_SUB_CATEGORY_SHAPE_74_8" descr="{&quot;Id&quot;:&quot;44042E9C-2C37-48DF-9AEC-FDBB66173F02&quot;,&quot;Value&quot;:2197171.9880513838,&quot;Percentage&quot;:0.28853322346786348}">
          <a:extLst>
            <a:ext uri="{FF2B5EF4-FFF2-40B4-BE49-F238E27FC236}">
              <a16:creationId xmlns:a16="http://schemas.microsoft.com/office/drawing/2014/main" id="{376A9FC1-0055-373E-EAAD-3C17245D415E}"/>
            </a:ext>
          </a:extLst>
        </xdr:cNvPr>
        <xdr:cNvSpPr/>
      </xdr:nvSpPr>
      <xdr:spPr>
        <a:xfrm>
          <a:off x="17459860" y="26140637"/>
          <a:ext cx="0" cy="15338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133</xdr:row>
      <xdr:rowOff>60438</xdr:rowOff>
    </xdr:from>
    <xdr:to>
      <xdr:col>13</xdr:col>
      <xdr:colOff>792842</xdr:colOff>
      <xdr:row>133</xdr:row>
      <xdr:rowOff>116586</xdr:rowOff>
    </xdr:to>
    <xdr:sp macro="" textlink="">
      <xdr:nvSpPr>
        <xdr:cNvPr id="186" name="POWER_USER_SANKEY_CHART_CONNECTED_SUB_CATEGORY_SHAPE_75_8" descr="{&quot;Id&quot;:&quot;44042E9C-2C37-48DF-9AEC-FDBB66173F02&quot;,&quot;Value&quot;:2197171.9880513838,&quot;Percentage&quot;:0.28853322346786348}">
          <a:extLst>
            <a:ext uri="{FF2B5EF4-FFF2-40B4-BE49-F238E27FC236}">
              <a16:creationId xmlns:a16="http://schemas.microsoft.com/office/drawing/2014/main" id="{0F069FC7-F041-5DCA-704E-92DCA7DEBC31}"/>
            </a:ext>
          </a:extLst>
        </xdr:cNvPr>
        <xdr:cNvSpPr/>
      </xdr:nvSpPr>
      <xdr:spPr>
        <a:xfrm>
          <a:off x="17459860" y="26294020"/>
          <a:ext cx="0" cy="5614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221877</xdr:colOff>
      <xdr:row>108</xdr:row>
      <xdr:rowOff>129987</xdr:rowOff>
    </xdr:from>
    <xdr:to>
      <xdr:col>8</xdr:col>
      <xdr:colOff>35859</xdr:colOff>
      <xdr:row>139</xdr:row>
      <xdr:rowOff>170327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FFA3B5-EB3D-43BA-A77B-236FD3556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228599</xdr:colOff>
      <xdr:row>108</xdr:row>
      <xdr:rowOff>79829</xdr:rowOff>
    </xdr:from>
    <xdr:to>
      <xdr:col>11</xdr:col>
      <xdr:colOff>228599</xdr:colOff>
      <xdr:row>109</xdr:row>
      <xdr:rowOff>20534</xdr:rowOff>
    </xdr:to>
    <xdr:sp macro="" textlink="">
      <xdr:nvSpPr>
        <xdr:cNvPr id="3" name="POWER_USER_SANKEY_CHART_CONNECTED_SUB_SERIE_SHAPE_69_4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2F0C7273-0C62-48B9-B8AD-CCECAB54BFF8}"/>
            </a:ext>
          </a:extLst>
        </xdr:cNvPr>
        <xdr:cNvSpPr/>
      </xdr:nvSpPr>
      <xdr:spPr>
        <a:xfrm>
          <a:off x="14180819" y="21724439"/>
          <a:ext cx="0" cy="123585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109</xdr:row>
      <xdr:rowOff>20534</xdr:rowOff>
    </xdr:from>
    <xdr:to>
      <xdr:col>11</xdr:col>
      <xdr:colOff>228599</xdr:colOff>
      <xdr:row>109</xdr:row>
      <xdr:rowOff>169336</xdr:rowOff>
    </xdr:to>
    <xdr:sp macro="" textlink="">
      <xdr:nvSpPr>
        <xdr:cNvPr id="4" name="POWER_USER_SANKEY_CHART_CONNECTED_SUB_SERIE_SHAPE_69_5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B6BC1B43-5200-45BF-A132-90C1BEABE879}"/>
            </a:ext>
          </a:extLst>
        </xdr:cNvPr>
        <xdr:cNvSpPr/>
      </xdr:nvSpPr>
      <xdr:spPr>
        <a:xfrm>
          <a:off x="14180819" y="21848024"/>
          <a:ext cx="0" cy="148802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109</xdr:row>
      <xdr:rowOff>169337</xdr:rowOff>
    </xdr:from>
    <xdr:to>
      <xdr:col>11</xdr:col>
      <xdr:colOff>228599</xdr:colOff>
      <xdr:row>111</xdr:row>
      <xdr:rowOff>125409</xdr:rowOff>
    </xdr:to>
    <xdr:sp macro="" textlink="">
      <xdr:nvSpPr>
        <xdr:cNvPr id="5" name="POWER_USER_SANKEY_CHART_CONNECTED_SUB_SERIE_SHAPE_69_7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7C66CDFE-270E-49FE-8677-D623488DEFB8}"/>
            </a:ext>
          </a:extLst>
        </xdr:cNvPr>
        <xdr:cNvSpPr/>
      </xdr:nvSpPr>
      <xdr:spPr>
        <a:xfrm>
          <a:off x="14180819" y="21996827"/>
          <a:ext cx="0" cy="321832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111</xdr:row>
      <xdr:rowOff>125409</xdr:rowOff>
    </xdr:from>
    <xdr:to>
      <xdr:col>11</xdr:col>
      <xdr:colOff>228599</xdr:colOff>
      <xdr:row>116</xdr:row>
      <xdr:rowOff>71952</xdr:rowOff>
    </xdr:to>
    <xdr:sp macro="" textlink="">
      <xdr:nvSpPr>
        <xdr:cNvPr id="6" name="POWER_USER_SANKEY_CHART_CONNECTED_SUB_SERIE_SHAPE_69_8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AB755BC1-AA94-423E-A361-3E1AAF96EAAA}"/>
            </a:ext>
          </a:extLst>
        </xdr:cNvPr>
        <xdr:cNvSpPr/>
      </xdr:nvSpPr>
      <xdr:spPr>
        <a:xfrm>
          <a:off x="14180819" y="22318659"/>
          <a:ext cx="0" cy="860943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117</xdr:row>
      <xdr:rowOff>13894</xdr:rowOff>
    </xdr:from>
    <xdr:to>
      <xdr:col>11</xdr:col>
      <xdr:colOff>228599</xdr:colOff>
      <xdr:row>118</xdr:row>
      <xdr:rowOff>18596</xdr:rowOff>
    </xdr:to>
    <xdr:sp macro="" textlink="">
      <xdr:nvSpPr>
        <xdr:cNvPr id="7" name="POWER_USER_SANKEY_CHART_CONNECTED_SUB_SERIE_SHAPE_70_3" descr="{&quot;Id&quot;:&quot;A57D6635-80C1-467C-90A1-F97B6440377D&quot;,&quot;Value&quot;:9213283.484356001,&quot;Percentage&quot;:0.1058545066573119}">
          <a:extLst>
            <a:ext uri="{FF2B5EF4-FFF2-40B4-BE49-F238E27FC236}">
              <a16:creationId xmlns:a16="http://schemas.microsoft.com/office/drawing/2014/main" id="{031AA7DC-2C86-4C58-A456-5822C4A74565}"/>
            </a:ext>
          </a:extLst>
        </xdr:cNvPr>
        <xdr:cNvSpPr/>
      </xdr:nvSpPr>
      <xdr:spPr>
        <a:xfrm>
          <a:off x="14180819" y="23304424"/>
          <a:ext cx="0" cy="187582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118</xdr:row>
      <xdr:rowOff>18596</xdr:rowOff>
    </xdr:from>
    <xdr:to>
      <xdr:col>11</xdr:col>
      <xdr:colOff>228599</xdr:colOff>
      <xdr:row>118</xdr:row>
      <xdr:rowOff>41999</xdr:rowOff>
    </xdr:to>
    <xdr:sp macro="" textlink="">
      <xdr:nvSpPr>
        <xdr:cNvPr id="8" name="POWER_USER_SANKEY_CHART_CONNECTED_SUB_SERIE_SHAPE_70_7" descr="{&quot;Id&quot;:&quot;A57D6635-80C1-467C-90A1-F97B6440377D&quot;,&quot;Value&quot;:9213283.484356001,&quot;Percentage&quot;:0.1058545066573119}">
          <a:extLst>
            <a:ext uri="{FF2B5EF4-FFF2-40B4-BE49-F238E27FC236}">
              <a16:creationId xmlns:a16="http://schemas.microsoft.com/office/drawing/2014/main" id="{068986A2-FF44-4C9C-9DF7-B732B1A34BB8}"/>
            </a:ext>
          </a:extLst>
        </xdr:cNvPr>
        <xdr:cNvSpPr/>
      </xdr:nvSpPr>
      <xdr:spPr>
        <a:xfrm>
          <a:off x="14180819" y="23492006"/>
          <a:ext cx="0" cy="23403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118</xdr:row>
      <xdr:rowOff>42001</xdr:rowOff>
    </xdr:from>
    <xdr:to>
      <xdr:col>11</xdr:col>
      <xdr:colOff>228599</xdr:colOff>
      <xdr:row>119</xdr:row>
      <xdr:rowOff>47085</xdr:rowOff>
    </xdr:to>
    <xdr:sp macro="" textlink="">
      <xdr:nvSpPr>
        <xdr:cNvPr id="9" name="POWER_USER_SANKEY_CHART_CONNECTED_SUB_SERIE_SHAPE_70_8" descr="{&quot;Id&quot;:&quot;A57D6635-80C1-467C-90A1-F97B6440377D&quot;,&quot;Value&quot;:9213283.484356001,&quot;Percentage&quot;:0.1058545066573119}">
          <a:extLst>
            <a:ext uri="{FF2B5EF4-FFF2-40B4-BE49-F238E27FC236}">
              <a16:creationId xmlns:a16="http://schemas.microsoft.com/office/drawing/2014/main" id="{396BB664-B972-4883-A042-ABE1CD795B46}"/>
            </a:ext>
          </a:extLst>
        </xdr:cNvPr>
        <xdr:cNvSpPr/>
      </xdr:nvSpPr>
      <xdr:spPr>
        <a:xfrm>
          <a:off x="14180819" y="23515411"/>
          <a:ext cx="0" cy="187964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119</xdr:row>
      <xdr:rowOff>174084</xdr:rowOff>
    </xdr:from>
    <xdr:to>
      <xdr:col>11</xdr:col>
      <xdr:colOff>228599</xdr:colOff>
      <xdr:row>121</xdr:row>
      <xdr:rowOff>123403</xdr:rowOff>
    </xdr:to>
    <xdr:sp macro="" textlink="">
      <xdr:nvSpPr>
        <xdr:cNvPr id="10" name="POWER_USER_SANKEY_CHART_CONNECTED_SUB_SERIE_SHAPE_71_3" descr="{&quot;Id&quot;:&quot;941C22D9-12C8-40BD-A59A-67EA8C6C95D2&quot;,&quot;Value&quot;:9607880.1294686,&quot;Percentage&quot;:0.11038815997080746}">
          <a:extLst>
            <a:ext uri="{FF2B5EF4-FFF2-40B4-BE49-F238E27FC236}">
              <a16:creationId xmlns:a16="http://schemas.microsoft.com/office/drawing/2014/main" id="{1968BD04-6BE7-479C-86CA-2B5E8E6D1DC0}"/>
            </a:ext>
          </a:extLst>
        </xdr:cNvPr>
        <xdr:cNvSpPr/>
      </xdr:nvSpPr>
      <xdr:spPr>
        <a:xfrm>
          <a:off x="14180819" y="23830374"/>
          <a:ext cx="0" cy="315079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121</xdr:row>
      <xdr:rowOff>123403</xdr:rowOff>
    </xdr:from>
    <xdr:to>
      <xdr:col>11</xdr:col>
      <xdr:colOff>228599</xdr:colOff>
      <xdr:row>121</xdr:row>
      <xdr:rowOff>154945</xdr:rowOff>
    </xdr:to>
    <xdr:sp macro="" textlink="">
      <xdr:nvSpPr>
        <xdr:cNvPr id="11" name="POWER_USER_SANKEY_CHART_CONNECTED_SUB_SERIE_SHAPE_71_7" descr="{&quot;Id&quot;:&quot;941C22D9-12C8-40BD-A59A-67EA8C6C95D2&quot;,&quot;Value&quot;:9607880.1294686,&quot;Percentage&quot;:0.11038815997080746}">
          <a:extLst>
            <a:ext uri="{FF2B5EF4-FFF2-40B4-BE49-F238E27FC236}">
              <a16:creationId xmlns:a16="http://schemas.microsoft.com/office/drawing/2014/main" id="{BF082BA3-7184-470F-B9FC-F70B106BAD13}"/>
            </a:ext>
          </a:extLst>
        </xdr:cNvPr>
        <xdr:cNvSpPr/>
      </xdr:nvSpPr>
      <xdr:spPr>
        <a:xfrm>
          <a:off x="14180819" y="24145453"/>
          <a:ext cx="0" cy="31542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121</xdr:row>
      <xdr:rowOff>154944</xdr:rowOff>
    </xdr:from>
    <xdr:to>
      <xdr:col>11</xdr:col>
      <xdr:colOff>228599</xdr:colOff>
      <xdr:row>122</xdr:row>
      <xdr:rowOff>39490</xdr:rowOff>
    </xdr:to>
    <xdr:sp macro="" textlink="">
      <xdr:nvSpPr>
        <xdr:cNvPr id="12" name="POWER_USER_SANKEY_CHART_CONNECTED_SUB_SERIE_SHAPE_71_8" descr="{&quot;Id&quot;:&quot;941C22D9-12C8-40BD-A59A-67EA8C6C95D2&quot;,&quot;Value&quot;:9607880.1294686,&quot;Percentage&quot;:0.11038815997080746}">
          <a:extLst>
            <a:ext uri="{FF2B5EF4-FFF2-40B4-BE49-F238E27FC236}">
              <a16:creationId xmlns:a16="http://schemas.microsoft.com/office/drawing/2014/main" id="{FE93E725-A147-4979-B5C6-5F27486A1137}"/>
            </a:ext>
          </a:extLst>
        </xdr:cNvPr>
        <xdr:cNvSpPr/>
      </xdr:nvSpPr>
      <xdr:spPr>
        <a:xfrm>
          <a:off x="14180819" y="24176994"/>
          <a:ext cx="0" cy="67426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122</xdr:row>
      <xdr:rowOff>166493</xdr:rowOff>
    </xdr:from>
    <xdr:to>
      <xdr:col>11</xdr:col>
      <xdr:colOff>228599</xdr:colOff>
      <xdr:row>123</xdr:row>
      <xdr:rowOff>65483</xdr:rowOff>
    </xdr:to>
    <xdr:sp macro="" textlink="">
      <xdr:nvSpPr>
        <xdr:cNvPr id="13" name="POWER_USER_SANKEY_CHART_CONNECTED_SUB_SERIE_SHAPE_72_3" descr="{&quot;Id&quot;:&quot;053AADBF-F56B-48DD-B3E7-AB4233A340BF&quot;,&quot;Value&quot;:2039000.8886716,&quot;Percentage&quot;:0.023426765659673998}">
          <a:extLst>
            <a:ext uri="{FF2B5EF4-FFF2-40B4-BE49-F238E27FC236}">
              <a16:creationId xmlns:a16="http://schemas.microsoft.com/office/drawing/2014/main" id="{C6065604-2E71-47B1-ACB9-D037EB9E6834}"/>
            </a:ext>
          </a:extLst>
        </xdr:cNvPr>
        <xdr:cNvSpPr/>
      </xdr:nvSpPr>
      <xdr:spPr>
        <a:xfrm>
          <a:off x="14180819" y="24371423"/>
          <a:ext cx="0" cy="81870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123</xdr:row>
      <xdr:rowOff>65483</xdr:rowOff>
    </xdr:from>
    <xdr:to>
      <xdr:col>11</xdr:col>
      <xdr:colOff>228599</xdr:colOff>
      <xdr:row>123</xdr:row>
      <xdr:rowOff>70308</xdr:rowOff>
    </xdr:to>
    <xdr:sp macro="" textlink="">
      <xdr:nvSpPr>
        <xdr:cNvPr id="14" name="POWER_USER_SANKEY_CHART_CONNECTED_SUB_SERIE_SHAPE_72_4" descr="{&quot;Id&quot;:&quot;053AADBF-F56B-48DD-B3E7-AB4233A340BF&quot;,&quot;Value&quot;:2039000.8886716,&quot;Percentage&quot;:0.023426765659673998}">
          <a:extLst>
            <a:ext uri="{FF2B5EF4-FFF2-40B4-BE49-F238E27FC236}">
              <a16:creationId xmlns:a16="http://schemas.microsoft.com/office/drawing/2014/main" id="{2045FC7A-A0F2-4728-8A40-8EA20607B905}"/>
            </a:ext>
          </a:extLst>
        </xdr:cNvPr>
        <xdr:cNvSpPr/>
      </xdr:nvSpPr>
      <xdr:spPr>
        <a:xfrm>
          <a:off x="14180819" y="24453293"/>
          <a:ext cx="0" cy="4825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123</xdr:row>
      <xdr:rowOff>70308</xdr:rowOff>
    </xdr:from>
    <xdr:to>
      <xdr:col>11</xdr:col>
      <xdr:colOff>228599</xdr:colOff>
      <xdr:row>123</xdr:row>
      <xdr:rowOff>70692</xdr:rowOff>
    </xdr:to>
    <xdr:sp macro="" textlink="">
      <xdr:nvSpPr>
        <xdr:cNvPr id="15" name="POWER_USER_SANKEY_CHART_CONNECTED_SUB_SERIE_SHAPE_72_5" descr="{&quot;Id&quot;:&quot;053AADBF-F56B-48DD-B3E7-AB4233A340BF&quot;,&quot;Value&quot;:2039000.8886716,&quot;Percentage&quot;:0.023426765659673998}">
          <a:extLst>
            <a:ext uri="{FF2B5EF4-FFF2-40B4-BE49-F238E27FC236}">
              <a16:creationId xmlns:a16="http://schemas.microsoft.com/office/drawing/2014/main" id="{5B6AAA36-B43A-4359-9908-ED46377B020C}"/>
            </a:ext>
          </a:extLst>
        </xdr:cNvPr>
        <xdr:cNvSpPr/>
      </xdr:nvSpPr>
      <xdr:spPr>
        <a:xfrm>
          <a:off x="14180819" y="24458118"/>
          <a:ext cx="0" cy="384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124</xdr:row>
      <xdr:rowOff>12633</xdr:rowOff>
    </xdr:from>
    <xdr:to>
      <xdr:col>11</xdr:col>
      <xdr:colOff>228599</xdr:colOff>
      <xdr:row>124</xdr:row>
      <xdr:rowOff>101358</xdr:rowOff>
    </xdr:to>
    <xdr:sp macro="" textlink="">
      <xdr:nvSpPr>
        <xdr:cNvPr id="16" name="POWER_USER_SANKEY_CHART_CONNECTED_SUB_SERIE_SHAPE_73_3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9020DD8B-FD6B-4AE1-95FD-210705889E28}"/>
            </a:ext>
          </a:extLst>
        </xdr:cNvPr>
        <xdr:cNvSpPr/>
      </xdr:nvSpPr>
      <xdr:spPr>
        <a:xfrm>
          <a:off x="14180819" y="24583323"/>
          <a:ext cx="0" cy="88725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124</xdr:row>
      <xdr:rowOff>101358</xdr:rowOff>
    </xdr:from>
    <xdr:to>
      <xdr:col>11</xdr:col>
      <xdr:colOff>228599</xdr:colOff>
      <xdr:row>125</xdr:row>
      <xdr:rowOff>56719</xdr:rowOff>
    </xdr:to>
    <xdr:sp macro="" textlink="">
      <xdr:nvSpPr>
        <xdr:cNvPr id="17" name="POWER_USER_SANKEY_CHART_CONNECTED_SUB_SERIE_SHAPE_73_4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FE4AE3B2-B1CA-4606-8DB7-13A807B26E71}"/>
            </a:ext>
          </a:extLst>
        </xdr:cNvPr>
        <xdr:cNvSpPr/>
      </xdr:nvSpPr>
      <xdr:spPr>
        <a:xfrm>
          <a:off x="14180819" y="24672048"/>
          <a:ext cx="0" cy="138241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125</xdr:row>
      <xdr:rowOff>56719</xdr:rowOff>
    </xdr:from>
    <xdr:to>
      <xdr:col>11</xdr:col>
      <xdr:colOff>228599</xdr:colOff>
      <xdr:row>125</xdr:row>
      <xdr:rowOff>181837</xdr:rowOff>
    </xdr:to>
    <xdr:sp macro="" textlink="">
      <xdr:nvSpPr>
        <xdr:cNvPr id="18" name="POWER_USER_SANKEY_CHART_CONNECTED_SUB_SERIE_SHAPE_73_5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AE8B842C-C073-4A99-98F9-DC7E3D0B7916}"/>
            </a:ext>
          </a:extLst>
        </xdr:cNvPr>
        <xdr:cNvSpPr/>
      </xdr:nvSpPr>
      <xdr:spPr>
        <a:xfrm>
          <a:off x="14180819" y="24810289"/>
          <a:ext cx="0" cy="125118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125</xdr:row>
      <xdr:rowOff>181837</xdr:rowOff>
    </xdr:from>
    <xdr:to>
      <xdr:col>11</xdr:col>
      <xdr:colOff>228599</xdr:colOff>
      <xdr:row>126</xdr:row>
      <xdr:rowOff>31564</xdr:rowOff>
    </xdr:to>
    <xdr:sp macro="" textlink="">
      <xdr:nvSpPr>
        <xdr:cNvPr id="19" name="POWER_USER_SANKEY_CHART_CONNECTED_SUB_SERIE_SHAPE_73_6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EB077A0D-EAC4-4203-A9F4-2A1009C317DF}"/>
            </a:ext>
          </a:extLst>
        </xdr:cNvPr>
        <xdr:cNvSpPr/>
      </xdr:nvSpPr>
      <xdr:spPr>
        <a:xfrm>
          <a:off x="14180819" y="24935407"/>
          <a:ext cx="0" cy="32607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126</xdr:row>
      <xdr:rowOff>158564</xdr:rowOff>
    </xdr:from>
    <xdr:to>
      <xdr:col>11</xdr:col>
      <xdr:colOff>228599</xdr:colOff>
      <xdr:row>128</xdr:row>
      <xdr:rowOff>99115</xdr:rowOff>
    </xdr:to>
    <xdr:sp macro="" textlink="">
      <xdr:nvSpPr>
        <xdr:cNvPr id="20" name="POWER_USER_SANKEY_CHART_CONNECTED_SUB_SERIE_SHAPE_74_3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AF097F41-0F19-4059-8983-238F65EA3C9D}"/>
            </a:ext>
          </a:extLst>
        </xdr:cNvPr>
        <xdr:cNvSpPr/>
      </xdr:nvSpPr>
      <xdr:spPr>
        <a:xfrm>
          <a:off x="14180819" y="25095014"/>
          <a:ext cx="0" cy="306311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128</xdr:row>
      <xdr:rowOff>99115</xdr:rowOff>
    </xdr:from>
    <xdr:to>
      <xdr:col>11</xdr:col>
      <xdr:colOff>228599</xdr:colOff>
      <xdr:row>130</xdr:row>
      <xdr:rowOff>37982</xdr:rowOff>
    </xdr:to>
    <xdr:sp macro="" textlink="">
      <xdr:nvSpPr>
        <xdr:cNvPr id="21" name="POWER_USER_SANKEY_CHART_CONNECTED_SUB_SERIE_SHAPE_74_4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2EBF3853-19A6-4BA4-B4E4-CB8BF7D2BBB5}"/>
            </a:ext>
          </a:extLst>
        </xdr:cNvPr>
        <xdr:cNvSpPr/>
      </xdr:nvSpPr>
      <xdr:spPr>
        <a:xfrm>
          <a:off x="14180819" y="25401325"/>
          <a:ext cx="0" cy="304627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130</xdr:row>
      <xdr:rowOff>37982</xdr:rowOff>
    </xdr:from>
    <xdr:to>
      <xdr:col>11</xdr:col>
      <xdr:colOff>228599</xdr:colOff>
      <xdr:row>131</xdr:row>
      <xdr:rowOff>179343</xdr:rowOff>
    </xdr:to>
    <xdr:sp macro="" textlink="">
      <xdr:nvSpPr>
        <xdr:cNvPr id="22" name="POWER_USER_SANKEY_CHART_CONNECTED_SUB_SERIE_SHAPE_74_5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968965D5-5523-4C32-A10F-0F6C01AA1CFF}"/>
            </a:ext>
          </a:extLst>
        </xdr:cNvPr>
        <xdr:cNvSpPr/>
      </xdr:nvSpPr>
      <xdr:spPr>
        <a:xfrm>
          <a:off x="14180819" y="25705952"/>
          <a:ext cx="0" cy="324241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131</xdr:row>
      <xdr:rowOff>179343</xdr:rowOff>
    </xdr:from>
    <xdr:to>
      <xdr:col>11</xdr:col>
      <xdr:colOff>228599</xdr:colOff>
      <xdr:row>132</xdr:row>
      <xdr:rowOff>83455</xdr:rowOff>
    </xdr:to>
    <xdr:sp macro="" textlink="">
      <xdr:nvSpPr>
        <xdr:cNvPr id="23" name="POWER_USER_SANKEY_CHART_CONNECTED_SUB_SERIE_SHAPE_74_6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64A6A4BB-AA4F-454F-A0DE-7F4D2873BFF3}"/>
            </a:ext>
          </a:extLst>
        </xdr:cNvPr>
        <xdr:cNvSpPr/>
      </xdr:nvSpPr>
      <xdr:spPr>
        <a:xfrm>
          <a:off x="14180819" y="26030193"/>
          <a:ext cx="0" cy="86992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108</xdr:row>
      <xdr:rowOff>79829</xdr:rowOff>
    </xdr:from>
    <xdr:to>
      <xdr:col>14</xdr:col>
      <xdr:colOff>749300</xdr:colOff>
      <xdr:row>109</xdr:row>
      <xdr:rowOff>84530</xdr:rowOff>
    </xdr:to>
    <xdr:sp macro="" textlink="">
      <xdr:nvSpPr>
        <xdr:cNvPr id="24" name="POWER_USER_SANKEY_CHART_CONNECTED_SUB_CATEGORY_SHAPE_70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A3C66C91-6D34-4C79-8E99-94767BA7176F}"/>
            </a:ext>
          </a:extLst>
        </xdr:cNvPr>
        <xdr:cNvSpPr/>
      </xdr:nvSpPr>
      <xdr:spPr>
        <a:xfrm>
          <a:off x="18580100" y="21724439"/>
          <a:ext cx="0" cy="187581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109</xdr:row>
      <xdr:rowOff>84530</xdr:rowOff>
    </xdr:from>
    <xdr:to>
      <xdr:col>14</xdr:col>
      <xdr:colOff>749300</xdr:colOff>
      <xdr:row>111</xdr:row>
      <xdr:rowOff>33849</xdr:rowOff>
    </xdr:to>
    <xdr:sp macro="" textlink="">
      <xdr:nvSpPr>
        <xdr:cNvPr id="25" name="POWER_USER_SANKEY_CHART_CONNECTED_SUB_CATEGORY_SHAPE_71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052D3119-7326-4AC1-94E2-B076A25242ED}"/>
            </a:ext>
          </a:extLst>
        </xdr:cNvPr>
        <xdr:cNvSpPr/>
      </xdr:nvSpPr>
      <xdr:spPr>
        <a:xfrm>
          <a:off x="18580100" y="21912020"/>
          <a:ext cx="0" cy="315079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111</xdr:row>
      <xdr:rowOff>33851</xdr:rowOff>
    </xdr:from>
    <xdr:to>
      <xdr:col>14</xdr:col>
      <xdr:colOff>749300</xdr:colOff>
      <xdr:row>111</xdr:row>
      <xdr:rowOff>117898</xdr:rowOff>
    </xdr:to>
    <xdr:sp macro="" textlink="">
      <xdr:nvSpPr>
        <xdr:cNvPr id="26" name="POWER_USER_SANKEY_CHART_CONNECTED_SUB_CATEGORY_SHAPE_72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96788257-5E70-4412-AB40-0409F0E6FE3A}"/>
            </a:ext>
          </a:extLst>
        </xdr:cNvPr>
        <xdr:cNvSpPr/>
      </xdr:nvSpPr>
      <xdr:spPr>
        <a:xfrm>
          <a:off x="18580100" y="22227101"/>
          <a:ext cx="0" cy="8404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111</xdr:row>
      <xdr:rowOff>117898</xdr:rowOff>
    </xdr:from>
    <xdr:to>
      <xdr:col>14</xdr:col>
      <xdr:colOff>749300</xdr:colOff>
      <xdr:row>112</xdr:row>
      <xdr:rowOff>21566</xdr:rowOff>
    </xdr:to>
    <xdr:sp macro="" textlink="">
      <xdr:nvSpPr>
        <xdr:cNvPr id="27" name="POWER_USER_SANKEY_CHART_CONNECTED_SUB_CATEGORY_SHAPE_73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9665FAFF-64A9-44DE-820D-44319D319AE4}"/>
            </a:ext>
          </a:extLst>
        </xdr:cNvPr>
        <xdr:cNvSpPr/>
      </xdr:nvSpPr>
      <xdr:spPr>
        <a:xfrm>
          <a:off x="18580100" y="22311148"/>
          <a:ext cx="0" cy="8654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112</xdr:row>
      <xdr:rowOff>21565</xdr:rowOff>
    </xdr:from>
    <xdr:to>
      <xdr:col>14</xdr:col>
      <xdr:colOff>749300</xdr:colOff>
      <xdr:row>113</xdr:row>
      <xdr:rowOff>147172</xdr:rowOff>
    </xdr:to>
    <xdr:sp macro="" textlink="">
      <xdr:nvSpPr>
        <xdr:cNvPr id="28" name="POWER_USER_SANKEY_CHART_CONNECTED_SUB_CATEGORY_SHAPE_74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DF7B4168-F1BC-4DBA-8278-22172690E180}"/>
            </a:ext>
          </a:extLst>
        </xdr:cNvPr>
        <xdr:cNvSpPr/>
      </xdr:nvSpPr>
      <xdr:spPr>
        <a:xfrm>
          <a:off x="18580100" y="22397695"/>
          <a:ext cx="0" cy="30848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114</xdr:row>
      <xdr:rowOff>89114</xdr:rowOff>
    </xdr:from>
    <xdr:to>
      <xdr:col>14</xdr:col>
      <xdr:colOff>749300</xdr:colOff>
      <xdr:row>115</xdr:row>
      <xdr:rowOff>29820</xdr:rowOff>
    </xdr:to>
    <xdr:sp macro="" textlink="">
      <xdr:nvSpPr>
        <xdr:cNvPr id="29" name="POWER_USER_SANKEY_CHART_CONNECTED_SUB_CATEGORY_SHAPE_69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05ED9E25-4243-4E61-89C9-9561AF6F11DE}"/>
            </a:ext>
          </a:extLst>
        </xdr:cNvPr>
        <xdr:cNvSpPr/>
      </xdr:nvSpPr>
      <xdr:spPr>
        <a:xfrm>
          <a:off x="18580100" y="22831004"/>
          <a:ext cx="0" cy="123586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115</xdr:row>
      <xdr:rowOff>29820</xdr:rowOff>
    </xdr:from>
    <xdr:to>
      <xdr:col>14</xdr:col>
      <xdr:colOff>749300</xdr:colOff>
      <xdr:row>115</xdr:row>
      <xdr:rowOff>34644</xdr:rowOff>
    </xdr:to>
    <xdr:sp macro="" textlink="">
      <xdr:nvSpPr>
        <xdr:cNvPr id="30" name="POWER_USER_SANKEY_CHART_CONNECTED_SUB_CATEGORY_SHAPE_72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21336344-3321-4727-AA42-9C477443C615}"/>
            </a:ext>
          </a:extLst>
        </xdr:cNvPr>
        <xdr:cNvSpPr/>
      </xdr:nvSpPr>
      <xdr:spPr>
        <a:xfrm>
          <a:off x="18580100" y="22954590"/>
          <a:ext cx="0" cy="482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115</xdr:row>
      <xdr:rowOff>34646</xdr:rowOff>
    </xdr:from>
    <xdr:to>
      <xdr:col>14</xdr:col>
      <xdr:colOff>749300</xdr:colOff>
      <xdr:row>115</xdr:row>
      <xdr:rowOff>175063</xdr:rowOff>
    </xdr:to>
    <xdr:sp macro="" textlink="">
      <xdr:nvSpPr>
        <xdr:cNvPr id="31" name="POWER_USER_SANKEY_CHART_CONNECTED_SUB_CATEGORY_SHAPE_73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9B3ED3CC-7AF8-4868-AF80-1B4F26BB4DF5}"/>
            </a:ext>
          </a:extLst>
        </xdr:cNvPr>
        <xdr:cNvSpPr/>
      </xdr:nvSpPr>
      <xdr:spPr>
        <a:xfrm>
          <a:off x="18580100" y="22959416"/>
          <a:ext cx="0" cy="14041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115</xdr:row>
      <xdr:rowOff>175062</xdr:rowOff>
    </xdr:from>
    <xdr:to>
      <xdr:col>14</xdr:col>
      <xdr:colOff>749300</xdr:colOff>
      <xdr:row>117</xdr:row>
      <xdr:rowOff>113928</xdr:rowOff>
    </xdr:to>
    <xdr:sp macro="" textlink="">
      <xdr:nvSpPr>
        <xdr:cNvPr id="32" name="POWER_USER_SANKEY_CHART_CONNECTED_SUB_CATEGORY_SHAPE_74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A0793B73-A610-48D6-9B51-54BA7C912092}"/>
            </a:ext>
          </a:extLst>
        </xdr:cNvPr>
        <xdr:cNvSpPr/>
      </xdr:nvSpPr>
      <xdr:spPr>
        <a:xfrm>
          <a:off x="18580100" y="23099832"/>
          <a:ext cx="0" cy="304626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118</xdr:row>
      <xdr:rowOff>55873</xdr:rowOff>
    </xdr:from>
    <xdr:to>
      <xdr:col>14</xdr:col>
      <xdr:colOff>749300</xdr:colOff>
      <xdr:row>119</xdr:row>
      <xdr:rowOff>19617</xdr:rowOff>
    </xdr:to>
    <xdr:sp macro="" textlink="">
      <xdr:nvSpPr>
        <xdr:cNvPr id="33" name="POWER_USER_SANKEY_CHART_CONNECTED_SUB_CATEGORY_SHAPE_69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41883D46-0791-4119-A850-B2E0F192AA10}"/>
            </a:ext>
          </a:extLst>
        </xdr:cNvPr>
        <xdr:cNvSpPr/>
      </xdr:nvSpPr>
      <xdr:spPr>
        <a:xfrm>
          <a:off x="18580100" y="23529283"/>
          <a:ext cx="0" cy="14662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119</xdr:row>
      <xdr:rowOff>19617</xdr:rowOff>
    </xdr:from>
    <xdr:to>
      <xdr:col>14</xdr:col>
      <xdr:colOff>749300</xdr:colOff>
      <xdr:row>119</xdr:row>
      <xdr:rowOff>20002</xdr:rowOff>
    </xdr:to>
    <xdr:sp macro="" textlink="">
      <xdr:nvSpPr>
        <xdr:cNvPr id="34" name="POWER_USER_SANKEY_CHART_CONNECTED_SUB_CATEGORY_SHAPE_72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D242FC1C-6024-4815-BF50-B17765691BC0}"/>
            </a:ext>
          </a:extLst>
        </xdr:cNvPr>
        <xdr:cNvSpPr/>
      </xdr:nvSpPr>
      <xdr:spPr>
        <a:xfrm>
          <a:off x="18580100" y="23675907"/>
          <a:ext cx="0" cy="385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119</xdr:row>
      <xdr:rowOff>20000</xdr:rowOff>
    </xdr:from>
    <xdr:to>
      <xdr:col>14</xdr:col>
      <xdr:colOff>749300</xdr:colOff>
      <xdr:row>119</xdr:row>
      <xdr:rowOff>145118</xdr:rowOff>
    </xdr:to>
    <xdr:sp macro="" textlink="">
      <xdr:nvSpPr>
        <xdr:cNvPr id="35" name="POWER_USER_SANKEY_CHART_CONNECTED_SUB_CATEGORY_SHAPE_73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D3176760-1A1F-4ECD-943F-70E6235EABCD}"/>
            </a:ext>
          </a:extLst>
        </xdr:cNvPr>
        <xdr:cNvSpPr/>
      </xdr:nvSpPr>
      <xdr:spPr>
        <a:xfrm>
          <a:off x="18580100" y="23676290"/>
          <a:ext cx="0" cy="12511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119</xdr:row>
      <xdr:rowOff>145118</xdr:rowOff>
    </xdr:from>
    <xdr:to>
      <xdr:col>14</xdr:col>
      <xdr:colOff>749300</xdr:colOff>
      <xdr:row>121</xdr:row>
      <xdr:rowOff>101422</xdr:rowOff>
    </xdr:to>
    <xdr:sp macro="" textlink="">
      <xdr:nvSpPr>
        <xdr:cNvPr id="36" name="POWER_USER_SANKEY_CHART_CONNECTED_SUB_CATEGORY_SHAPE_74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6A141D29-28CB-4137-85DB-7A414C3DFDF9}"/>
            </a:ext>
          </a:extLst>
        </xdr:cNvPr>
        <xdr:cNvSpPr/>
      </xdr:nvSpPr>
      <xdr:spPr>
        <a:xfrm>
          <a:off x="18580100" y="23801408"/>
          <a:ext cx="0" cy="32206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122</xdr:row>
      <xdr:rowOff>43365</xdr:rowOff>
    </xdr:from>
    <xdr:to>
      <xdr:col>14</xdr:col>
      <xdr:colOff>749300</xdr:colOff>
      <xdr:row>122</xdr:row>
      <xdr:rowOff>78148</xdr:rowOff>
    </xdr:to>
    <xdr:sp macro="" textlink="">
      <xdr:nvSpPr>
        <xdr:cNvPr id="37" name="POWER_USER_SANKEY_CHART_CONNECTED_SUB_CATEGORY_SHAPE_73_6" descr="{&quot;Id&quot;:&quot;7F0E27A1-847E-4B2A-ABC5-8E7EB6A5BD1D&quot;,&quot;Value&quot;:2831638.677,&quot;Percentage&quot;:0.032533647281618408}">
          <a:extLst>
            <a:ext uri="{FF2B5EF4-FFF2-40B4-BE49-F238E27FC236}">
              <a16:creationId xmlns:a16="http://schemas.microsoft.com/office/drawing/2014/main" id="{274A564A-837D-4520-9D8B-68F832A300C7}"/>
            </a:ext>
          </a:extLst>
        </xdr:cNvPr>
        <xdr:cNvSpPr/>
      </xdr:nvSpPr>
      <xdr:spPr>
        <a:xfrm>
          <a:off x="18580100" y="24248295"/>
          <a:ext cx="0" cy="3478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122</xdr:row>
      <xdr:rowOff>78147</xdr:rowOff>
    </xdr:from>
    <xdr:to>
      <xdr:col>14</xdr:col>
      <xdr:colOff>749300</xdr:colOff>
      <xdr:row>122</xdr:row>
      <xdr:rowOff>167317</xdr:rowOff>
    </xdr:to>
    <xdr:sp macro="" textlink="">
      <xdr:nvSpPr>
        <xdr:cNvPr id="38" name="POWER_USER_SANKEY_CHART_CONNECTED_SUB_CATEGORY_SHAPE_74_6" descr="{&quot;Id&quot;:&quot;7F0E27A1-847E-4B2A-ABC5-8E7EB6A5BD1D&quot;,&quot;Value&quot;:2831638.677,&quot;Percentage&quot;:0.032533647281618408}">
          <a:extLst>
            <a:ext uri="{FF2B5EF4-FFF2-40B4-BE49-F238E27FC236}">
              <a16:creationId xmlns:a16="http://schemas.microsoft.com/office/drawing/2014/main" id="{9344BFE6-C4B0-4D14-9EB9-4CDFB1D4B092}"/>
            </a:ext>
          </a:extLst>
        </xdr:cNvPr>
        <xdr:cNvSpPr/>
      </xdr:nvSpPr>
      <xdr:spPr>
        <a:xfrm>
          <a:off x="18580100" y="24283077"/>
          <a:ext cx="0" cy="89170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123</xdr:row>
      <xdr:rowOff>109259</xdr:rowOff>
    </xdr:from>
    <xdr:to>
      <xdr:col>14</xdr:col>
      <xdr:colOff>749300</xdr:colOff>
      <xdr:row>125</xdr:row>
      <xdr:rowOff>65333</xdr:rowOff>
    </xdr:to>
    <xdr:sp macro="" textlink="">
      <xdr:nvSpPr>
        <xdr:cNvPr id="39" name="POWER_USER_SANKEY_CHART_CONNECTED_SUB_CATEGORY_SHAPE_69_7" descr="{&quot;Id&quot;:&quot;76E94CC7-45DB-43D3-81F6-EE42FFF13333&quot;,&quot;Value&quot;:8706752.665786,&quot;Percentage&quot;:0.10003480405101577}">
          <a:extLst>
            <a:ext uri="{FF2B5EF4-FFF2-40B4-BE49-F238E27FC236}">
              <a16:creationId xmlns:a16="http://schemas.microsoft.com/office/drawing/2014/main" id="{5DBA74C5-C341-4BB4-82C9-751E91A474CB}"/>
            </a:ext>
          </a:extLst>
        </xdr:cNvPr>
        <xdr:cNvSpPr/>
      </xdr:nvSpPr>
      <xdr:spPr>
        <a:xfrm>
          <a:off x="18580100" y="24497069"/>
          <a:ext cx="0" cy="32183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125</xdr:row>
      <xdr:rowOff>65333</xdr:rowOff>
    </xdr:from>
    <xdr:to>
      <xdr:col>14</xdr:col>
      <xdr:colOff>749300</xdr:colOff>
      <xdr:row>125</xdr:row>
      <xdr:rowOff>88736</xdr:rowOff>
    </xdr:to>
    <xdr:sp macro="" textlink="">
      <xdr:nvSpPr>
        <xdr:cNvPr id="40" name="POWER_USER_SANKEY_CHART_CONNECTED_SUB_CATEGORY_SHAPE_70_7" descr="{&quot;Id&quot;:&quot;76E94CC7-45DB-43D3-81F6-EE42FFF13333&quot;,&quot;Value&quot;:8706752.665786,&quot;Percentage&quot;:0.10003480405101577}">
          <a:extLst>
            <a:ext uri="{FF2B5EF4-FFF2-40B4-BE49-F238E27FC236}">
              <a16:creationId xmlns:a16="http://schemas.microsoft.com/office/drawing/2014/main" id="{9B112F80-A0D9-437E-AD5F-8ABC075A0A20}"/>
            </a:ext>
          </a:extLst>
        </xdr:cNvPr>
        <xdr:cNvSpPr/>
      </xdr:nvSpPr>
      <xdr:spPr>
        <a:xfrm>
          <a:off x="18580100" y="24818903"/>
          <a:ext cx="0" cy="2340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126</xdr:row>
      <xdr:rowOff>62219</xdr:rowOff>
    </xdr:from>
    <xdr:to>
      <xdr:col>14</xdr:col>
      <xdr:colOff>749300</xdr:colOff>
      <xdr:row>131</xdr:row>
      <xdr:rowOff>8762</xdr:rowOff>
    </xdr:to>
    <xdr:sp macro="" textlink="">
      <xdr:nvSpPr>
        <xdr:cNvPr id="41" name="POWER_USER_SANKEY_CHART_CONNECTED_SUB_CATEGORY_SHAPE_69_8" descr="{&quot;Id&quot;:&quot;FCAAE53C-C903-49DD-A7A0-6525458887F4&quot;,&quot;Value&quot;:25850191.503528,&quot;Percentage&quot;:0.29700152754979087}">
          <a:extLst>
            <a:ext uri="{FF2B5EF4-FFF2-40B4-BE49-F238E27FC236}">
              <a16:creationId xmlns:a16="http://schemas.microsoft.com/office/drawing/2014/main" id="{529E5DBF-5412-4885-BC4B-4D8035FCD28C}"/>
            </a:ext>
          </a:extLst>
        </xdr:cNvPr>
        <xdr:cNvSpPr/>
      </xdr:nvSpPr>
      <xdr:spPr>
        <a:xfrm>
          <a:off x="18580100" y="24998669"/>
          <a:ext cx="0" cy="86094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131</xdr:row>
      <xdr:rowOff>8762</xdr:rowOff>
    </xdr:from>
    <xdr:to>
      <xdr:col>14</xdr:col>
      <xdr:colOff>749300</xdr:colOff>
      <xdr:row>132</xdr:row>
      <xdr:rowOff>13849</xdr:rowOff>
    </xdr:to>
    <xdr:sp macro="" textlink="">
      <xdr:nvSpPr>
        <xdr:cNvPr id="42" name="POWER_USER_SANKEY_CHART_CONNECTED_SUB_CATEGORY_SHAPE_70_8" descr="{&quot;Id&quot;:&quot;FCAAE53C-C903-49DD-A7A0-6525458887F4&quot;,&quot;Value&quot;:25850191.503528,&quot;Percentage&quot;:0.29700152754979087}">
          <a:extLst>
            <a:ext uri="{FF2B5EF4-FFF2-40B4-BE49-F238E27FC236}">
              <a16:creationId xmlns:a16="http://schemas.microsoft.com/office/drawing/2014/main" id="{B52BA562-7F77-4978-A2ED-AEDCD89E2B1F}"/>
            </a:ext>
          </a:extLst>
        </xdr:cNvPr>
        <xdr:cNvSpPr/>
      </xdr:nvSpPr>
      <xdr:spPr>
        <a:xfrm>
          <a:off x="18580100" y="25859612"/>
          <a:ext cx="0" cy="18796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132</xdr:row>
      <xdr:rowOff>13849</xdr:rowOff>
    </xdr:from>
    <xdr:to>
      <xdr:col>14</xdr:col>
      <xdr:colOff>749300</xdr:colOff>
      <xdr:row>132</xdr:row>
      <xdr:rowOff>83452</xdr:rowOff>
    </xdr:to>
    <xdr:sp macro="" textlink="">
      <xdr:nvSpPr>
        <xdr:cNvPr id="43" name="POWER_USER_SANKEY_CHART_CONNECTED_SUB_CATEGORY_SHAPE_71_8" descr="{&quot;Id&quot;:&quot;FCAAE53C-C903-49DD-A7A0-6525458887F4&quot;,&quot;Value&quot;:25850191.503528,&quot;Percentage&quot;:0.29700152754979087}">
          <a:extLst>
            <a:ext uri="{FF2B5EF4-FFF2-40B4-BE49-F238E27FC236}">
              <a16:creationId xmlns:a16="http://schemas.microsoft.com/office/drawing/2014/main" id="{46CEF936-835A-4636-A5C9-56850D1E6FBA}"/>
            </a:ext>
          </a:extLst>
        </xdr:cNvPr>
        <xdr:cNvSpPr/>
      </xdr:nvSpPr>
      <xdr:spPr>
        <a:xfrm>
          <a:off x="18580100" y="26047579"/>
          <a:ext cx="0" cy="6960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</xdr:col>
      <xdr:colOff>163285</xdr:colOff>
      <xdr:row>141</xdr:row>
      <xdr:rowOff>65315</xdr:rowOff>
    </xdr:from>
    <xdr:to>
      <xdr:col>7</xdr:col>
      <xdr:colOff>1033182</xdr:colOff>
      <xdr:row>172</xdr:row>
      <xdr:rowOff>105654</xdr:rowOff>
    </xdr:to>
    <xdr:graphicFrame macro="">
      <xdr:nvGraphicFramePr>
        <xdr:cNvPr id="170" name="Gráfico 169">
          <a:extLst>
            <a:ext uri="{FF2B5EF4-FFF2-40B4-BE49-F238E27FC236}">
              <a16:creationId xmlns:a16="http://schemas.microsoft.com/office/drawing/2014/main" id="{8E2C122D-05E1-4414-8ABF-C2BD31D36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275605</xdr:colOff>
      <xdr:row>108</xdr:row>
      <xdr:rowOff>174313</xdr:rowOff>
    </xdr:from>
    <xdr:to>
      <xdr:col>10</xdr:col>
      <xdr:colOff>275605</xdr:colOff>
      <xdr:row>109</xdr:row>
      <xdr:rowOff>146020</xdr:rowOff>
    </xdr:to>
    <xdr:sp macro="" textlink="">
      <xdr:nvSpPr>
        <xdr:cNvPr id="171" name="POWER_USER_SANKEY_CHART_CONNECTED_SUB_SERIE_SHAPE_73_4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8C61991E-0E7F-4A4A-8BFE-2F6EDB548622}"/>
            </a:ext>
          </a:extLst>
        </xdr:cNvPr>
        <xdr:cNvSpPr/>
      </xdr:nvSpPr>
      <xdr:spPr>
        <a:xfrm>
          <a:off x="12345685" y="21818923"/>
          <a:ext cx="0" cy="154587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109</xdr:row>
      <xdr:rowOff>146020</xdr:rowOff>
    </xdr:from>
    <xdr:to>
      <xdr:col>10</xdr:col>
      <xdr:colOff>275605</xdr:colOff>
      <xdr:row>110</xdr:row>
      <xdr:rowOff>130842</xdr:rowOff>
    </xdr:to>
    <xdr:sp macro="" textlink="">
      <xdr:nvSpPr>
        <xdr:cNvPr id="172" name="POWER_USER_SANKEY_CHART_CONNECTED_SUB_SERIE_SHAPE_73_5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C2507CA9-1F68-40B1-8020-9BB777BFBE49}"/>
            </a:ext>
          </a:extLst>
        </xdr:cNvPr>
        <xdr:cNvSpPr/>
      </xdr:nvSpPr>
      <xdr:spPr>
        <a:xfrm>
          <a:off x="12345685" y="21973510"/>
          <a:ext cx="0" cy="167702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110</xdr:row>
      <xdr:rowOff>130842</xdr:rowOff>
    </xdr:from>
    <xdr:to>
      <xdr:col>10</xdr:col>
      <xdr:colOff>275605</xdr:colOff>
      <xdr:row>112</xdr:row>
      <xdr:rowOff>98795</xdr:rowOff>
    </xdr:to>
    <xdr:sp macro="" textlink="">
      <xdr:nvSpPr>
        <xdr:cNvPr id="173" name="POWER_USER_SANKEY_CHART_CONNECTED_SUB_SERIE_SHAPE_73_7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5284ADD3-16AB-4820-9E35-A19C82A39675}"/>
            </a:ext>
          </a:extLst>
        </xdr:cNvPr>
        <xdr:cNvSpPr/>
      </xdr:nvSpPr>
      <xdr:spPr>
        <a:xfrm>
          <a:off x="12345685" y="22141212"/>
          <a:ext cx="0" cy="333713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112</xdr:row>
      <xdr:rowOff>98796</xdr:rowOff>
    </xdr:from>
    <xdr:to>
      <xdr:col>10</xdr:col>
      <xdr:colOff>275605</xdr:colOff>
      <xdr:row>117</xdr:row>
      <xdr:rowOff>88032</xdr:rowOff>
    </xdr:to>
    <xdr:sp macro="" textlink="">
      <xdr:nvSpPr>
        <xdr:cNvPr id="174" name="POWER_USER_SANKEY_CHART_CONNECTED_SUB_SERIE_SHAPE_73_8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640D8447-6407-4B2F-A78B-DF05B8A21A18}"/>
            </a:ext>
          </a:extLst>
        </xdr:cNvPr>
        <xdr:cNvSpPr/>
      </xdr:nvSpPr>
      <xdr:spPr>
        <a:xfrm>
          <a:off x="12345685" y="22474926"/>
          <a:ext cx="0" cy="903636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118</xdr:row>
      <xdr:rowOff>34923</xdr:rowOff>
    </xdr:from>
    <xdr:to>
      <xdr:col>10</xdr:col>
      <xdr:colOff>275605</xdr:colOff>
      <xdr:row>119</xdr:row>
      <xdr:rowOff>112685</xdr:rowOff>
    </xdr:to>
    <xdr:sp macro="" textlink="">
      <xdr:nvSpPr>
        <xdr:cNvPr id="175" name="POWER_USER_SANKEY_CHART_CONNECTED_SUB_SERIE_SHAPE_74_3" descr="{&quot;Id&quot;:&quot;6CBE75FA-071B-4568-8E86-821876818ECA&quot;,&quot;Value&quot;:859698.66885750485,&quot;Percentage&quot;:0.11289586317568062}">
          <a:extLst>
            <a:ext uri="{FF2B5EF4-FFF2-40B4-BE49-F238E27FC236}">
              <a16:creationId xmlns:a16="http://schemas.microsoft.com/office/drawing/2014/main" id="{05994648-BC2B-42D1-8758-C10E5127303D}"/>
            </a:ext>
          </a:extLst>
        </xdr:cNvPr>
        <xdr:cNvSpPr/>
      </xdr:nvSpPr>
      <xdr:spPr>
        <a:xfrm>
          <a:off x="12345685" y="23508333"/>
          <a:ext cx="0" cy="260642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119</xdr:row>
      <xdr:rowOff>112686</xdr:rowOff>
    </xdr:from>
    <xdr:to>
      <xdr:col>10</xdr:col>
      <xdr:colOff>275605</xdr:colOff>
      <xdr:row>119</xdr:row>
      <xdr:rowOff>131564</xdr:rowOff>
    </xdr:to>
    <xdr:sp macro="" textlink="">
      <xdr:nvSpPr>
        <xdr:cNvPr id="176" name="POWER_USER_SANKEY_CHART_CONNECTED_SUB_SERIE_SHAPE_74_7" descr="{&quot;Id&quot;:&quot;6CBE75FA-071B-4568-8E86-821876818ECA&quot;,&quot;Value&quot;:859698.66885750485,&quot;Percentage&quot;:0.11289586317568062}">
          <a:extLst>
            <a:ext uri="{FF2B5EF4-FFF2-40B4-BE49-F238E27FC236}">
              <a16:creationId xmlns:a16="http://schemas.microsoft.com/office/drawing/2014/main" id="{5E134A03-4A4F-4697-9788-361BF182F1B9}"/>
            </a:ext>
          </a:extLst>
        </xdr:cNvPr>
        <xdr:cNvSpPr/>
      </xdr:nvSpPr>
      <xdr:spPr>
        <a:xfrm>
          <a:off x="12345685" y="23768976"/>
          <a:ext cx="0" cy="18878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119</xdr:row>
      <xdr:rowOff>131562</xdr:rowOff>
    </xdr:from>
    <xdr:to>
      <xdr:col>10</xdr:col>
      <xdr:colOff>275605</xdr:colOff>
      <xdr:row>120</xdr:row>
      <xdr:rowOff>104838</xdr:rowOff>
    </xdr:to>
    <xdr:sp macro="" textlink="">
      <xdr:nvSpPr>
        <xdr:cNvPr id="177" name="POWER_USER_SANKEY_CHART_CONNECTED_SUB_SERIE_SHAPE_74_8" descr="{&quot;Id&quot;:&quot;6CBE75FA-071B-4568-8E86-821876818ECA&quot;,&quot;Value&quot;:859698.66885750485,&quot;Percentage&quot;:0.11289586317568062}">
          <a:extLst>
            <a:ext uri="{FF2B5EF4-FFF2-40B4-BE49-F238E27FC236}">
              <a16:creationId xmlns:a16="http://schemas.microsoft.com/office/drawing/2014/main" id="{6F90CEDE-78BD-4D1A-9455-00170A458E0C}"/>
            </a:ext>
          </a:extLst>
        </xdr:cNvPr>
        <xdr:cNvSpPr/>
      </xdr:nvSpPr>
      <xdr:spPr>
        <a:xfrm>
          <a:off x="12345685" y="23787852"/>
          <a:ext cx="0" cy="156156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121</xdr:row>
      <xdr:rowOff>51729</xdr:rowOff>
    </xdr:from>
    <xdr:to>
      <xdr:col>10</xdr:col>
      <xdr:colOff>275605</xdr:colOff>
      <xdr:row>123</xdr:row>
      <xdr:rowOff>82603</xdr:rowOff>
    </xdr:to>
    <xdr:sp macro="" textlink="">
      <xdr:nvSpPr>
        <xdr:cNvPr id="178" name="POWER_USER_SANKEY_CHART_CONNECTED_SUB_SERIE_SHAPE_75_3" descr="{&quot;Id&quot;:&quot;A4DECEA7-176B-47FC-9B44-63A77A792D15&quot;,&quot;Value&quot;:944745.0466419938,&quot;Percentage&quot;:0.12406417665312808}">
          <a:extLst>
            <a:ext uri="{FF2B5EF4-FFF2-40B4-BE49-F238E27FC236}">
              <a16:creationId xmlns:a16="http://schemas.microsoft.com/office/drawing/2014/main" id="{0879BC53-666A-46C0-82D1-7FBF832B6C8C}"/>
            </a:ext>
          </a:extLst>
        </xdr:cNvPr>
        <xdr:cNvSpPr/>
      </xdr:nvSpPr>
      <xdr:spPr>
        <a:xfrm>
          <a:off x="12345685" y="24073779"/>
          <a:ext cx="0" cy="396634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123</xdr:row>
      <xdr:rowOff>82603</xdr:rowOff>
    </xdr:from>
    <xdr:to>
      <xdr:col>10</xdr:col>
      <xdr:colOff>275605</xdr:colOff>
      <xdr:row>123</xdr:row>
      <xdr:rowOff>108048</xdr:rowOff>
    </xdr:to>
    <xdr:sp macro="" textlink="">
      <xdr:nvSpPr>
        <xdr:cNvPr id="179" name="POWER_USER_SANKEY_CHART_CONNECTED_SUB_SERIE_SHAPE_75_7" descr="{&quot;Id&quot;:&quot;A4DECEA7-176B-47FC-9B44-63A77A792D15&quot;,&quot;Value&quot;:944745.0466419938,&quot;Percentage&quot;:0.12406417665312808}">
          <a:extLst>
            <a:ext uri="{FF2B5EF4-FFF2-40B4-BE49-F238E27FC236}">
              <a16:creationId xmlns:a16="http://schemas.microsoft.com/office/drawing/2014/main" id="{EAE89E1D-2CD9-471F-84CD-2F987EAF9427}"/>
            </a:ext>
          </a:extLst>
        </xdr:cNvPr>
        <xdr:cNvSpPr/>
      </xdr:nvSpPr>
      <xdr:spPr>
        <a:xfrm>
          <a:off x="12345685" y="24470413"/>
          <a:ext cx="0" cy="25445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123</xdr:row>
      <xdr:rowOff>108048</xdr:rowOff>
    </xdr:from>
    <xdr:to>
      <xdr:col>10</xdr:col>
      <xdr:colOff>275605</xdr:colOff>
      <xdr:row>123</xdr:row>
      <xdr:rowOff>164195</xdr:rowOff>
    </xdr:to>
    <xdr:sp macro="" textlink="">
      <xdr:nvSpPr>
        <xdr:cNvPr id="180" name="POWER_USER_SANKEY_CHART_CONNECTED_SUB_SERIE_SHAPE_75_8" descr="{&quot;Id&quot;:&quot;A4DECEA7-176B-47FC-9B44-63A77A792D15&quot;,&quot;Value&quot;:944745.0466419938,&quot;Percentage&quot;:0.12406417665312808}">
          <a:extLst>
            <a:ext uri="{FF2B5EF4-FFF2-40B4-BE49-F238E27FC236}">
              <a16:creationId xmlns:a16="http://schemas.microsoft.com/office/drawing/2014/main" id="{BBB7EE98-742A-4064-A78E-7A5DC41F6033}"/>
            </a:ext>
          </a:extLst>
        </xdr:cNvPr>
        <xdr:cNvSpPr/>
      </xdr:nvSpPr>
      <xdr:spPr>
        <a:xfrm>
          <a:off x="12345685" y="24495858"/>
          <a:ext cx="0" cy="56147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124</xdr:row>
      <xdr:rowOff>111086</xdr:rowOff>
    </xdr:from>
    <xdr:to>
      <xdr:col>10</xdr:col>
      <xdr:colOff>275605</xdr:colOff>
      <xdr:row>125</xdr:row>
      <xdr:rowOff>33438</xdr:rowOff>
    </xdr:to>
    <xdr:sp macro="" textlink="">
      <xdr:nvSpPr>
        <xdr:cNvPr id="181" name="POWER_USER_SANKEY_CHART_CONNECTED_SUB_SERIE_SHAPE_76_3" descr="{&quot;Id&quot;:&quot;79D465A1-1511-427F-8B4E-0F7D9A2CBB24&quot;,&quot;Value&quot;:213187.19637634844,&quot;Percentage&quot;:0.027995800650588716}">
          <a:extLst>
            <a:ext uri="{FF2B5EF4-FFF2-40B4-BE49-F238E27FC236}">
              <a16:creationId xmlns:a16="http://schemas.microsoft.com/office/drawing/2014/main" id="{36F9E967-7AB9-4E58-AA1A-88EFE66522AF}"/>
            </a:ext>
          </a:extLst>
        </xdr:cNvPr>
        <xdr:cNvSpPr/>
      </xdr:nvSpPr>
      <xdr:spPr>
        <a:xfrm>
          <a:off x="12345685" y="24681776"/>
          <a:ext cx="0" cy="105232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125</xdr:row>
      <xdr:rowOff>33438</xdr:rowOff>
    </xdr:from>
    <xdr:to>
      <xdr:col>10</xdr:col>
      <xdr:colOff>275605</xdr:colOff>
      <xdr:row>125</xdr:row>
      <xdr:rowOff>37330</xdr:rowOff>
    </xdr:to>
    <xdr:sp macro="" textlink="">
      <xdr:nvSpPr>
        <xdr:cNvPr id="182" name="POWER_USER_SANKEY_CHART_CONNECTED_SUB_SERIE_SHAPE_76_4" descr="{&quot;Id&quot;:&quot;79D465A1-1511-427F-8B4E-0F7D9A2CBB24&quot;,&quot;Value&quot;:213187.19637634844,&quot;Percentage&quot;:0.027995800650588716}">
          <a:extLst>
            <a:ext uri="{FF2B5EF4-FFF2-40B4-BE49-F238E27FC236}">
              <a16:creationId xmlns:a16="http://schemas.microsoft.com/office/drawing/2014/main" id="{F7E9C969-8D46-4D89-BFED-CCAF187C7150}"/>
            </a:ext>
          </a:extLst>
        </xdr:cNvPr>
        <xdr:cNvSpPr/>
      </xdr:nvSpPr>
      <xdr:spPr>
        <a:xfrm>
          <a:off x="12345685" y="24787008"/>
          <a:ext cx="0" cy="3892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125</xdr:row>
      <xdr:rowOff>37330</xdr:rowOff>
    </xdr:from>
    <xdr:to>
      <xdr:col>10</xdr:col>
      <xdr:colOff>275605</xdr:colOff>
      <xdr:row>125</xdr:row>
      <xdr:rowOff>37640</xdr:rowOff>
    </xdr:to>
    <xdr:sp macro="" textlink="">
      <xdr:nvSpPr>
        <xdr:cNvPr id="183" name="POWER_USER_SANKEY_CHART_CONNECTED_SUB_SERIE_SHAPE_76_5" descr="{&quot;Id&quot;:&quot;79D465A1-1511-427F-8B4E-0F7D9A2CBB24&quot;,&quot;Value&quot;:213187.19637634844,&quot;Percentage&quot;:0.027995800650588716}">
          <a:extLst>
            <a:ext uri="{FF2B5EF4-FFF2-40B4-BE49-F238E27FC236}">
              <a16:creationId xmlns:a16="http://schemas.microsoft.com/office/drawing/2014/main" id="{07683A51-4605-4746-86AD-36ECCDB5A05B}"/>
            </a:ext>
          </a:extLst>
        </xdr:cNvPr>
        <xdr:cNvSpPr/>
      </xdr:nvSpPr>
      <xdr:spPr>
        <a:xfrm>
          <a:off x="12345685" y="24790900"/>
          <a:ext cx="0" cy="310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125</xdr:row>
      <xdr:rowOff>164639</xdr:rowOff>
    </xdr:from>
    <xdr:to>
      <xdr:col>10</xdr:col>
      <xdr:colOff>275605</xdr:colOff>
      <xdr:row>126</xdr:row>
      <xdr:rowOff>80688</xdr:rowOff>
    </xdr:to>
    <xdr:sp macro="" textlink="">
      <xdr:nvSpPr>
        <xdr:cNvPr id="184" name="POWER_USER_SANKEY_CHART_CONNECTED_SUB_SERIE_SHAPE_77_3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B6B68C97-ADF6-4279-A857-F83D69E43ED6}"/>
            </a:ext>
          </a:extLst>
        </xdr:cNvPr>
        <xdr:cNvSpPr/>
      </xdr:nvSpPr>
      <xdr:spPr>
        <a:xfrm>
          <a:off x="12345685" y="24918209"/>
          <a:ext cx="0" cy="98929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126</xdr:row>
      <xdr:rowOff>80688</xdr:rowOff>
    </xdr:from>
    <xdr:to>
      <xdr:col>10</xdr:col>
      <xdr:colOff>275605</xdr:colOff>
      <xdr:row>127</xdr:row>
      <xdr:rowOff>13852</xdr:rowOff>
    </xdr:to>
    <xdr:sp macro="" textlink="">
      <xdr:nvSpPr>
        <xdr:cNvPr id="185" name="POWER_USER_SANKEY_CHART_CONNECTED_SUB_SERIE_SHAPE_77_4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9EAA8EA8-B24B-4854-8A63-645D5385D4B0}"/>
            </a:ext>
          </a:extLst>
        </xdr:cNvPr>
        <xdr:cNvSpPr/>
      </xdr:nvSpPr>
      <xdr:spPr>
        <a:xfrm>
          <a:off x="12345685" y="25017138"/>
          <a:ext cx="0" cy="116044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127</xdr:row>
      <xdr:rowOff>13853</xdr:rowOff>
    </xdr:from>
    <xdr:to>
      <xdr:col>10</xdr:col>
      <xdr:colOff>275605</xdr:colOff>
      <xdr:row>127</xdr:row>
      <xdr:rowOff>114783</xdr:rowOff>
    </xdr:to>
    <xdr:sp macro="" textlink="">
      <xdr:nvSpPr>
        <xdr:cNvPr id="186" name="POWER_USER_SANKEY_CHART_CONNECTED_SUB_SERIE_SHAPE_77_5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1C18075F-3CDD-4723-B922-975F345839CE}"/>
            </a:ext>
          </a:extLst>
        </xdr:cNvPr>
        <xdr:cNvSpPr/>
      </xdr:nvSpPr>
      <xdr:spPr>
        <a:xfrm>
          <a:off x="12345685" y="25133183"/>
          <a:ext cx="0" cy="100930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127</xdr:row>
      <xdr:rowOff>114783</xdr:rowOff>
    </xdr:from>
    <xdr:to>
      <xdr:col>10</xdr:col>
      <xdr:colOff>275605</xdr:colOff>
      <xdr:row>127</xdr:row>
      <xdr:rowOff>142842</xdr:rowOff>
    </xdr:to>
    <xdr:sp macro="" textlink="">
      <xdr:nvSpPr>
        <xdr:cNvPr id="187" name="POWER_USER_SANKEY_CHART_CONNECTED_SUB_SERIE_SHAPE_77_6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039D6612-4FC0-4715-B786-E94E8F83F374}"/>
            </a:ext>
          </a:extLst>
        </xdr:cNvPr>
        <xdr:cNvSpPr/>
      </xdr:nvSpPr>
      <xdr:spPr>
        <a:xfrm>
          <a:off x="12345685" y="25234113"/>
          <a:ext cx="0" cy="28059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128</xdr:row>
      <xdr:rowOff>89732</xdr:rowOff>
    </xdr:from>
    <xdr:to>
      <xdr:col>10</xdr:col>
      <xdr:colOff>275605</xdr:colOff>
      <xdr:row>130</xdr:row>
      <xdr:rowOff>72420</xdr:rowOff>
    </xdr:to>
    <xdr:sp macro="" textlink="">
      <xdr:nvSpPr>
        <xdr:cNvPr id="188" name="POWER_USER_SANKEY_CHART_CONNECTED_SUB_SERIE_SHAPE_78_3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109BF918-937D-434F-A238-9EB9D215251C}"/>
            </a:ext>
          </a:extLst>
        </xdr:cNvPr>
        <xdr:cNvSpPr/>
      </xdr:nvSpPr>
      <xdr:spPr>
        <a:xfrm>
          <a:off x="12345685" y="25391942"/>
          <a:ext cx="0" cy="348448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130</xdr:row>
      <xdr:rowOff>72420</xdr:rowOff>
    </xdr:from>
    <xdr:to>
      <xdr:col>10</xdr:col>
      <xdr:colOff>275605</xdr:colOff>
      <xdr:row>131</xdr:row>
      <xdr:rowOff>141560</xdr:rowOff>
    </xdr:to>
    <xdr:sp macro="" textlink="">
      <xdr:nvSpPr>
        <xdr:cNvPr id="189" name="POWER_USER_SANKEY_CHART_CONNECTED_SUB_SERIE_SHAPE_78_4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F06CD907-65FE-4D89-85EE-5EBD5304CC30}"/>
            </a:ext>
          </a:extLst>
        </xdr:cNvPr>
        <xdr:cNvSpPr/>
      </xdr:nvSpPr>
      <xdr:spPr>
        <a:xfrm>
          <a:off x="12345685" y="25740390"/>
          <a:ext cx="0" cy="252020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131</xdr:row>
      <xdr:rowOff>141560</xdr:rowOff>
    </xdr:from>
    <xdr:to>
      <xdr:col>10</xdr:col>
      <xdr:colOff>275605</xdr:colOff>
      <xdr:row>133</xdr:row>
      <xdr:rowOff>44656</xdr:rowOff>
    </xdr:to>
    <xdr:sp macro="" textlink="">
      <xdr:nvSpPr>
        <xdr:cNvPr id="190" name="POWER_USER_SANKEY_CHART_CONNECTED_SUB_SERIE_SHAPE_78_5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7FB3FA34-9411-46E9-81CE-5752FF90332C}"/>
            </a:ext>
          </a:extLst>
        </xdr:cNvPr>
        <xdr:cNvSpPr/>
      </xdr:nvSpPr>
      <xdr:spPr>
        <a:xfrm>
          <a:off x="12345685" y="25992410"/>
          <a:ext cx="0" cy="268856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133</xdr:row>
      <xdr:rowOff>44656</xdr:rowOff>
    </xdr:from>
    <xdr:to>
      <xdr:col>10</xdr:col>
      <xdr:colOff>275605</xdr:colOff>
      <xdr:row>133</xdr:row>
      <xdr:rowOff>116586</xdr:rowOff>
    </xdr:to>
    <xdr:sp macro="" textlink="">
      <xdr:nvSpPr>
        <xdr:cNvPr id="191" name="POWER_USER_SANKEY_CHART_CONNECTED_SUB_SERIE_SHAPE_78_6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FE6A455D-1A90-45A9-9116-B16E5CCCCE7C}"/>
            </a:ext>
          </a:extLst>
        </xdr:cNvPr>
        <xdr:cNvSpPr/>
      </xdr:nvSpPr>
      <xdr:spPr>
        <a:xfrm>
          <a:off x="12345685" y="26261266"/>
          <a:ext cx="0" cy="71930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108</xdr:row>
      <xdr:rowOff>174313</xdr:rowOff>
    </xdr:from>
    <xdr:to>
      <xdr:col>13</xdr:col>
      <xdr:colOff>792842</xdr:colOff>
      <xdr:row>110</xdr:row>
      <xdr:rowOff>71966</xdr:rowOff>
    </xdr:to>
    <xdr:sp macro="" textlink="">
      <xdr:nvSpPr>
        <xdr:cNvPr id="192" name="POWER_USER_SANKEY_CHART_CONNECTED_SUB_CATEGORY_SHAPE_74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D8B527E0-FA9D-4BD8-A186-762A4989E40B}"/>
            </a:ext>
          </a:extLst>
        </xdr:cNvPr>
        <xdr:cNvSpPr/>
      </xdr:nvSpPr>
      <xdr:spPr>
        <a:xfrm>
          <a:off x="17469212" y="21818923"/>
          <a:ext cx="0" cy="26341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110</xdr:row>
      <xdr:rowOff>71966</xdr:rowOff>
    </xdr:from>
    <xdr:to>
      <xdr:col>13</xdr:col>
      <xdr:colOff>792842</xdr:colOff>
      <xdr:row>112</xdr:row>
      <xdr:rowOff>102841</xdr:rowOff>
    </xdr:to>
    <xdr:sp macro="" textlink="">
      <xdr:nvSpPr>
        <xdr:cNvPr id="193" name="POWER_USER_SANKEY_CHART_CONNECTED_SUB_CATEGORY_SHAPE_75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89530454-F788-4663-811E-809218DE72EC}"/>
            </a:ext>
          </a:extLst>
        </xdr:cNvPr>
        <xdr:cNvSpPr/>
      </xdr:nvSpPr>
      <xdr:spPr>
        <a:xfrm>
          <a:off x="17469212" y="22082336"/>
          <a:ext cx="0" cy="396635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112</xdr:row>
      <xdr:rowOff>102841</xdr:rowOff>
    </xdr:from>
    <xdr:to>
      <xdr:col>13</xdr:col>
      <xdr:colOff>792842</xdr:colOff>
      <xdr:row>113</xdr:row>
      <xdr:rowOff>25194</xdr:rowOff>
    </xdr:to>
    <xdr:sp macro="" textlink="">
      <xdr:nvSpPr>
        <xdr:cNvPr id="194" name="POWER_USER_SANKEY_CHART_CONNECTED_SUB_CATEGORY_SHAPE_76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458A2948-0EFD-4EDE-9CB3-8E8F5289A56F}"/>
            </a:ext>
          </a:extLst>
        </xdr:cNvPr>
        <xdr:cNvSpPr/>
      </xdr:nvSpPr>
      <xdr:spPr>
        <a:xfrm>
          <a:off x="17469212" y="22478971"/>
          <a:ext cx="0" cy="10523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113</xdr:row>
      <xdr:rowOff>25194</xdr:rowOff>
    </xdr:from>
    <xdr:to>
      <xdr:col>13</xdr:col>
      <xdr:colOff>792842</xdr:colOff>
      <xdr:row>113</xdr:row>
      <xdr:rowOff>121352</xdr:rowOff>
    </xdr:to>
    <xdr:sp macro="" textlink="">
      <xdr:nvSpPr>
        <xdr:cNvPr id="195" name="POWER_USER_SANKEY_CHART_CONNECTED_SUB_CATEGORY_SHAPE_77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1992A86D-EACC-4E4F-80BE-22EF77099C6E}"/>
            </a:ext>
          </a:extLst>
        </xdr:cNvPr>
        <xdr:cNvSpPr/>
      </xdr:nvSpPr>
      <xdr:spPr>
        <a:xfrm>
          <a:off x="17469212" y="22584204"/>
          <a:ext cx="0" cy="9615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113</xdr:row>
      <xdr:rowOff>121352</xdr:rowOff>
    </xdr:from>
    <xdr:to>
      <xdr:col>13</xdr:col>
      <xdr:colOff>792842</xdr:colOff>
      <xdr:row>115</xdr:row>
      <xdr:rowOff>104042</xdr:rowOff>
    </xdr:to>
    <xdr:sp macro="" textlink="">
      <xdr:nvSpPr>
        <xdr:cNvPr id="196" name="POWER_USER_SANKEY_CHART_CONNECTED_SUB_CATEGORY_SHAPE_78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336FCC46-5973-4CEB-BB4D-353C79A53E26}"/>
            </a:ext>
          </a:extLst>
        </xdr:cNvPr>
        <xdr:cNvSpPr/>
      </xdr:nvSpPr>
      <xdr:spPr>
        <a:xfrm>
          <a:off x="17469212" y="22680362"/>
          <a:ext cx="0" cy="348450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116</xdr:row>
      <xdr:rowOff>50933</xdr:rowOff>
    </xdr:from>
    <xdr:to>
      <xdr:col>13</xdr:col>
      <xdr:colOff>792842</xdr:colOff>
      <xdr:row>117</xdr:row>
      <xdr:rowOff>22640</xdr:rowOff>
    </xdr:to>
    <xdr:sp macro="" textlink="">
      <xdr:nvSpPr>
        <xdr:cNvPr id="197" name="POWER_USER_SANKEY_CHART_CONNECTED_SUB_CATEGORY_SHAPE_73_4" descr="{&quot;Id&quot;:&quot;37E23261-25A1-4747-8798-A9E91196DAF2&quot;,&quot;Value&quot;:1035773.173401817,&quot;Percentage&quot;:0.13601801503404903}">
          <a:extLst>
            <a:ext uri="{FF2B5EF4-FFF2-40B4-BE49-F238E27FC236}">
              <a16:creationId xmlns:a16="http://schemas.microsoft.com/office/drawing/2014/main" id="{3FE08B75-A109-43A3-BBF3-C2EBB9BD2BA5}"/>
            </a:ext>
          </a:extLst>
        </xdr:cNvPr>
        <xdr:cNvSpPr/>
      </xdr:nvSpPr>
      <xdr:spPr>
        <a:xfrm>
          <a:off x="17469212" y="23158583"/>
          <a:ext cx="0" cy="15458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117</xdr:row>
      <xdr:rowOff>22640</xdr:rowOff>
    </xdr:from>
    <xdr:to>
      <xdr:col>13</xdr:col>
      <xdr:colOff>792842</xdr:colOff>
      <xdr:row>117</xdr:row>
      <xdr:rowOff>26532</xdr:rowOff>
    </xdr:to>
    <xdr:sp macro="" textlink="">
      <xdr:nvSpPr>
        <xdr:cNvPr id="198" name="POWER_USER_SANKEY_CHART_CONNECTED_SUB_CATEGORY_SHAPE_76_4" descr="{&quot;Id&quot;:&quot;37E23261-25A1-4747-8798-A9E91196DAF2&quot;,&quot;Value&quot;:1035773.173401817,&quot;Percentage&quot;:0.13601801503404903}">
          <a:extLst>
            <a:ext uri="{FF2B5EF4-FFF2-40B4-BE49-F238E27FC236}">
              <a16:creationId xmlns:a16="http://schemas.microsoft.com/office/drawing/2014/main" id="{8B9C7D76-DB45-4BAC-930E-918E762ADD66}"/>
            </a:ext>
          </a:extLst>
        </xdr:cNvPr>
        <xdr:cNvSpPr/>
      </xdr:nvSpPr>
      <xdr:spPr>
        <a:xfrm>
          <a:off x="17469212" y="23313170"/>
          <a:ext cx="0" cy="389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956787</xdr:colOff>
      <xdr:row>117</xdr:row>
      <xdr:rowOff>22640</xdr:rowOff>
    </xdr:from>
    <xdr:to>
      <xdr:col>13</xdr:col>
      <xdr:colOff>767442</xdr:colOff>
      <xdr:row>117</xdr:row>
      <xdr:rowOff>26532</xdr:rowOff>
    </xdr:to>
    <xdr:sp macro="" textlink="">
      <xdr:nvSpPr>
        <xdr:cNvPr id="199" name="POWER_USER_SANKEY_CHART_SUB_CATEGORY_SHAPE" descr="{&quot;Id&quot;:&quot;79D465A1-1511-427F-8B4E-0F7D9A2CBB24&quot;,&quot;Value&quot;:7779.57797842105,&quot;Percentage&quot;:0.0010216162974679866}">
          <a:extLst>
            <a:ext uri="{FF2B5EF4-FFF2-40B4-BE49-F238E27FC236}">
              <a16:creationId xmlns:a16="http://schemas.microsoft.com/office/drawing/2014/main" id="{5096C795-6A14-4FDC-9FE8-27D5BCC83FAD}"/>
            </a:ext>
          </a:extLst>
        </xdr:cNvPr>
        <xdr:cNvSpPr/>
      </xdr:nvSpPr>
      <xdr:spPr>
        <a:xfrm>
          <a:off x="14909007" y="23313170"/>
          <a:ext cx="2534805" cy="3892"/>
        </a:xfrm>
        <a:prstGeom prst="rect">
          <a:avLst/>
        </a:prstGeom>
        <a:noFill/>
        <a:ln w="317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0"/>
        <a:lstStyle/>
        <a:p>
          <a:pPr algn="r"/>
          <a:r>
            <a:rPr lang="pt-BR" sz="1100" b="0" i="0" u="none">
              <a:solidFill>
                <a:schemeClr val="dk1"/>
              </a:solidFill>
            </a:rPr>
            <a:t>7.780</a:t>
          </a:r>
        </a:p>
      </xdr:txBody>
    </xdr:sp>
    <xdr:clientData/>
  </xdr:twoCellAnchor>
  <xdr:twoCellAnchor>
    <xdr:from>
      <xdr:col>13</xdr:col>
      <xdr:colOff>792842</xdr:colOff>
      <xdr:row>117</xdr:row>
      <xdr:rowOff>26531</xdr:rowOff>
    </xdr:from>
    <xdr:to>
      <xdr:col>13</xdr:col>
      <xdr:colOff>792842</xdr:colOff>
      <xdr:row>117</xdr:row>
      <xdr:rowOff>139803</xdr:rowOff>
    </xdr:to>
    <xdr:sp macro="" textlink="">
      <xdr:nvSpPr>
        <xdr:cNvPr id="200" name="POWER_USER_SANKEY_CHART_CONNECTED_SUB_CATEGORY_SHAPE_77_4" descr="{&quot;Id&quot;:&quot;37E23261-25A1-4747-8798-A9E91196DAF2&quot;,&quot;Value&quot;:1035773.173401817,&quot;Percentage&quot;:0.13601801503404903}">
          <a:extLst>
            <a:ext uri="{FF2B5EF4-FFF2-40B4-BE49-F238E27FC236}">
              <a16:creationId xmlns:a16="http://schemas.microsoft.com/office/drawing/2014/main" id="{5AA828AD-BCC8-4224-B7FD-220D4B5905FE}"/>
            </a:ext>
          </a:extLst>
        </xdr:cNvPr>
        <xdr:cNvSpPr/>
      </xdr:nvSpPr>
      <xdr:spPr>
        <a:xfrm>
          <a:off x="17469212" y="23317061"/>
          <a:ext cx="0" cy="11327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119</xdr:row>
      <xdr:rowOff>155832</xdr:rowOff>
    </xdr:from>
    <xdr:to>
      <xdr:col>13</xdr:col>
      <xdr:colOff>792842</xdr:colOff>
      <xdr:row>120</xdr:row>
      <xdr:rowOff>140654</xdr:rowOff>
    </xdr:to>
    <xdr:sp macro="" textlink="">
      <xdr:nvSpPr>
        <xdr:cNvPr id="201" name="POWER_USER_SANKEY_CHART_CONNECTED_SUB_CATEGORY_SHAPE_73_5" descr="{&quot;Id&quot;:&quot;757455AA-75E2-4758-8248-F77683850E4D&quot;,&quot;Value&quot;:1058269.8427197575,&quot;Percentage&quot;:0.13897228377172427}">
          <a:extLst>
            <a:ext uri="{FF2B5EF4-FFF2-40B4-BE49-F238E27FC236}">
              <a16:creationId xmlns:a16="http://schemas.microsoft.com/office/drawing/2014/main" id="{935CE71C-1997-45C8-A4F2-6954E82001AE}"/>
            </a:ext>
          </a:extLst>
        </xdr:cNvPr>
        <xdr:cNvSpPr/>
      </xdr:nvSpPr>
      <xdr:spPr>
        <a:xfrm>
          <a:off x="17469212" y="23812122"/>
          <a:ext cx="0" cy="16770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120</xdr:row>
      <xdr:rowOff>140654</xdr:rowOff>
    </xdr:from>
    <xdr:to>
      <xdr:col>13</xdr:col>
      <xdr:colOff>792842</xdr:colOff>
      <xdr:row>120</xdr:row>
      <xdr:rowOff>140964</xdr:rowOff>
    </xdr:to>
    <xdr:sp macro="" textlink="">
      <xdr:nvSpPr>
        <xdr:cNvPr id="202" name="POWER_USER_SANKEY_CHART_CONNECTED_SUB_CATEGORY_SHAPE_76_5" descr="{&quot;Id&quot;:&quot;757455AA-75E2-4758-8248-F77683850E4D&quot;,&quot;Value&quot;:1058269.8427197575,&quot;Percentage&quot;:0.13897228377172427}">
          <a:extLst>
            <a:ext uri="{FF2B5EF4-FFF2-40B4-BE49-F238E27FC236}">
              <a16:creationId xmlns:a16="http://schemas.microsoft.com/office/drawing/2014/main" id="{1E7AF6D4-AB08-478C-ADC2-5E2C3FF834C6}"/>
            </a:ext>
          </a:extLst>
        </xdr:cNvPr>
        <xdr:cNvSpPr/>
      </xdr:nvSpPr>
      <xdr:spPr>
        <a:xfrm>
          <a:off x="17469212" y="23979824"/>
          <a:ext cx="0" cy="310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956787</xdr:colOff>
      <xdr:row>120</xdr:row>
      <xdr:rowOff>140654</xdr:rowOff>
    </xdr:from>
    <xdr:to>
      <xdr:col>13</xdr:col>
      <xdr:colOff>767442</xdr:colOff>
      <xdr:row>120</xdr:row>
      <xdr:rowOff>140964</xdr:rowOff>
    </xdr:to>
    <xdr:sp macro="" textlink="">
      <xdr:nvSpPr>
        <xdr:cNvPr id="203" name="POWER_USER_SANKEY_CHART_SUB_CATEGORY_SHAPE" descr="{&quot;Id&quot;:&quot;79D465A1-1511-427F-8B4E-0F7D9A2CBB24&quot;,&quot;Value&quot;:618.888188947369,&quot;Percentage&quot;:8.1272565413298189E-05}">
          <a:extLst>
            <a:ext uri="{FF2B5EF4-FFF2-40B4-BE49-F238E27FC236}">
              <a16:creationId xmlns:a16="http://schemas.microsoft.com/office/drawing/2014/main" id="{641EF09D-73A7-43C0-BE5F-3CBF28C6EC79}"/>
            </a:ext>
          </a:extLst>
        </xdr:cNvPr>
        <xdr:cNvSpPr/>
      </xdr:nvSpPr>
      <xdr:spPr>
        <a:xfrm>
          <a:off x="14909007" y="23979824"/>
          <a:ext cx="2534805" cy="310"/>
        </a:xfrm>
        <a:prstGeom prst="rect">
          <a:avLst/>
        </a:prstGeom>
        <a:noFill/>
        <a:ln w="317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0"/>
        <a:lstStyle/>
        <a:p>
          <a:pPr algn="r"/>
          <a:r>
            <a:rPr lang="pt-BR" sz="1100" b="0" i="0" u="none">
              <a:solidFill>
                <a:schemeClr val="dk1"/>
              </a:solidFill>
            </a:rPr>
            <a:t>619</a:t>
          </a:r>
        </a:p>
      </xdr:txBody>
    </xdr:sp>
    <xdr:clientData/>
  </xdr:twoCellAnchor>
  <xdr:twoCellAnchor>
    <xdr:from>
      <xdr:col>13</xdr:col>
      <xdr:colOff>792842</xdr:colOff>
      <xdr:row>120</xdr:row>
      <xdr:rowOff>140964</xdr:rowOff>
    </xdr:from>
    <xdr:to>
      <xdr:col>13</xdr:col>
      <xdr:colOff>792842</xdr:colOff>
      <xdr:row>121</xdr:row>
      <xdr:rowOff>61786</xdr:rowOff>
    </xdr:to>
    <xdr:sp macro="" textlink="">
      <xdr:nvSpPr>
        <xdr:cNvPr id="204" name="POWER_USER_SANKEY_CHART_CONNECTED_SUB_CATEGORY_SHAPE_77_5" descr="{&quot;Id&quot;:&quot;757455AA-75E2-4758-8248-F77683850E4D&quot;,&quot;Value&quot;:1058269.8427197575,&quot;Percentage&quot;:0.13897228377172427}">
          <a:extLst>
            <a:ext uri="{FF2B5EF4-FFF2-40B4-BE49-F238E27FC236}">
              <a16:creationId xmlns:a16="http://schemas.microsoft.com/office/drawing/2014/main" id="{1DD3D338-31BF-4113-8708-A59490C8A370}"/>
            </a:ext>
          </a:extLst>
        </xdr:cNvPr>
        <xdr:cNvSpPr/>
      </xdr:nvSpPr>
      <xdr:spPr>
        <a:xfrm>
          <a:off x="17469212" y="23980134"/>
          <a:ext cx="0" cy="10370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123</xdr:row>
      <xdr:rowOff>91880</xdr:rowOff>
    </xdr:from>
    <xdr:to>
      <xdr:col>13</xdr:col>
      <xdr:colOff>792842</xdr:colOff>
      <xdr:row>123</xdr:row>
      <xdr:rowOff>119939</xdr:rowOff>
    </xdr:to>
    <xdr:sp macro="" textlink="">
      <xdr:nvSpPr>
        <xdr:cNvPr id="205" name="POWER_USER_SANKEY_CHART_CONNECTED_SUB_CATEGORY_SHAPE_77_6" descr="{&quot;Id&quot;:&quot;D5DAD165-0B7B-4ABE-A993-3ABB8238F36C&quot;,&quot;Value&quot;:199848.27588052681,&quot;Percentage&quot;:0.026244129980668017}">
          <a:extLst>
            <a:ext uri="{FF2B5EF4-FFF2-40B4-BE49-F238E27FC236}">
              <a16:creationId xmlns:a16="http://schemas.microsoft.com/office/drawing/2014/main" id="{2E8F0A23-D0F0-4060-8822-FDBE7614271E}"/>
            </a:ext>
          </a:extLst>
        </xdr:cNvPr>
        <xdr:cNvSpPr/>
      </xdr:nvSpPr>
      <xdr:spPr>
        <a:xfrm>
          <a:off x="17469212" y="24479690"/>
          <a:ext cx="0" cy="28059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126</xdr:row>
      <xdr:rowOff>125593</xdr:rowOff>
    </xdr:from>
    <xdr:to>
      <xdr:col>13</xdr:col>
      <xdr:colOff>792842</xdr:colOff>
      <xdr:row>126</xdr:row>
      <xdr:rowOff>151038</xdr:rowOff>
    </xdr:to>
    <xdr:sp macro="" textlink="">
      <xdr:nvSpPr>
        <xdr:cNvPr id="206" name="POWER_USER_SANKEY_CHART_CONNECTED_SUB_CATEGORY_SHAPE_75_7" descr="{&quot;Id&quot;:&quot;53A11BDF-F8B4-4519-9BB9-1FA3CB9ABC94&quot;,&quot;Value&quot;:744496.39544122154,&quot;Percentage&quot;:0.0977674692764366}">
          <a:extLst>
            <a:ext uri="{FF2B5EF4-FFF2-40B4-BE49-F238E27FC236}">
              <a16:creationId xmlns:a16="http://schemas.microsoft.com/office/drawing/2014/main" id="{14EBF315-4738-493F-AEC7-B0340910A6B5}"/>
            </a:ext>
          </a:extLst>
        </xdr:cNvPr>
        <xdr:cNvSpPr/>
      </xdr:nvSpPr>
      <xdr:spPr>
        <a:xfrm>
          <a:off x="17469212" y="25062043"/>
          <a:ext cx="0" cy="25445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132</xdr:row>
      <xdr:rowOff>87164</xdr:rowOff>
    </xdr:from>
    <xdr:to>
      <xdr:col>13</xdr:col>
      <xdr:colOff>792842</xdr:colOff>
      <xdr:row>133</xdr:row>
      <xdr:rowOff>60438</xdr:rowOff>
    </xdr:to>
    <xdr:sp macro="" textlink="">
      <xdr:nvSpPr>
        <xdr:cNvPr id="207" name="POWER_USER_SANKEY_CHART_CONNECTED_SUB_CATEGORY_SHAPE_74_8" descr="{&quot;Id&quot;:&quot;44042E9C-2C37-48DF-9AEC-FDBB66173F02&quot;,&quot;Value&quot;:2197171.9880513838,&quot;Percentage&quot;:0.28853322346786348}">
          <a:extLst>
            <a:ext uri="{FF2B5EF4-FFF2-40B4-BE49-F238E27FC236}">
              <a16:creationId xmlns:a16="http://schemas.microsoft.com/office/drawing/2014/main" id="{6A8E4C2E-401E-4245-9F0D-49FBD3689AA9}"/>
            </a:ext>
          </a:extLst>
        </xdr:cNvPr>
        <xdr:cNvSpPr/>
      </xdr:nvSpPr>
      <xdr:spPr>
        <a:xfrm>
          <a:off x="17469212" y="26120894"/>
          <a:ext cx="0" cy="15615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133</xdr:row>
      <xdr:rowOff>60438</xdr:rowOff>
    </xdr:from>
    <xdr:to>
      <xdr:col>13</xdr:col>
      <xdr:colOff>792842</xdr:colOff>
      <xdr:row>133</xdr:row>
      <xdr:rowOff>116586</xdr:rowOff>
    </xdr:to>
    <xdr:sp macro="" textlink="">
      <xdr:nvSpPr>
        <xdr:cNvPr id="208" name="POWER_USER_SANKEY_CHART_CONNECTED_SUB_CATEGORY_SHAPE_75_8" descr="{&quot;Id&quot;:&quot;44042E9C-2C37-48DF-9AEC-FDBB66173F02&quot;,&quot;Value&quot;:2197171.9880513838,&quot;Percentage&quot;:0.28853322346786348}">
          <a:extLst>
            <a:ext uri="{FF2B5EF4-FFF2-40B4-BE49-F238E27FC236}">
              <a16:creationId xmlns:a16="http://schemas.microsoft.com/office/drawing/2014/main" id="{9512C2AE-D2CB-4B06-86B5-F5DB4DF10F4E}"/>
            </a:ext>
          </a:extLst>
        </xdr:cNvPr>
        <xdr:cNvSpPr/>
      </xdr:nvSpPr>
      <xdr:spPr>
        <a:xfrm>
          <a:off x="17469212" y="26277048"/>
          <a:ext cx="0" cy="5614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76405</xdr:colOff>
      <xdr:row>102</xdr:row>
      <xdr:rowOff>26078</xdr:rowOff>
    </xdr:from>
    <xdr:to>
      <xdr:col>7</xdr:col>
      <xdr:colOff>943332</xdr:colOff>
      <xdr:row>133</xdr:row>
      <xdr:rowOff>66417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A2219C-169B-4A87-BDE0-8176390BA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228599</xdr:colOff>
      <xdr:row>108</xdr:row>
      <xdr:rowOff>79829</xdr:rowOff>
    </xdr:from>
    <xdr:to>
      <xdr:col>11</xdr:col>
      <xdr:colOff>228599</xdr:colOff>
      <xdr:row>109</xdr:row>
      <xdr:rowOff>20534</xdr:rowOff>
    </xdr:to>
    <xdr:sp macro="" textlink="">
      <xdr:nvSpPr>
        <xdr:cNvPr id="3" name="POWER_USER_SANKEY_CHART_CONNECTED_SUB_SERIE_SHAPE_69_4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1D4D6133-2C98-4BB0-9ED0-B3C7037F1CB9}"/>
            </a:ext>
          </a:extLst>
        </xdr:cNvPr>
        <xdr:cNvSpPr/>
      </xdr:nvSpPr>
      <xdr:spPr>
        <a:xfrm>
          <a:off x="14180819" y="21724439"/>
          <a:ext cx="0" cy="123585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109</xdr:row>
      <xdr:rowOff>20534</xdr:rowOff>
    </xdr:from>
    <xdr:to>
      <xdr:col>11</xdr:col>
      <xdr:colOff>228599</xdr:colOff>
      <xdr:row>109</xdr:row>
      <xdr:rowOff>169336</xdr:rowOff>
    </xdr:to>
    <xdr:sp macro="" textlink="">
      <xdr:nvSpPr>
        <xdr:cNvPr id="4" name="POWER_USER_SANKEY_CHART_CONNECTED_SUB_SERIE_SHAPE_69_5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DCCD012A-9402-4D8B-87DC-74F807787DB4}"/>
            </a:ext>
          </a:extLst>
        </xdr:cNvPr>
        <xdr:cNvSpPr/>
      </xdr:nvSpPr>
      <xdr:spPr>
        <a:xfrm>
          <a:off x="14180819" y="21848024"/>
          <a:ext cx="0" cy="148802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109</xdr:row>
      <xdr:rowOff>169337</xdr:rowOff>
    </xdr:from>
    <xdr:to>
      <xdr:col>11</xdr:col>
      <xdr:colOff>228599</xdr:colOff>
      <xdr:row>111</xdr:row>
      <xdr:rowOff>125409</xdr:rowOff>
    </xdr:to>
    <xdr:sp macro="" textlink="">
      <xdr:nvSpPr>
        <xdr:cNvPr id="5" name="POWER_USER_SANKEY_CHART_CONNECTED_SUB_SERIE_SHAPE_69_7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434DD575-93DA-40E0-B794-D3FFE965ED6F}"/>
            </a:ext>
          </a:extLst>
        </xdr:cNvPr>
        <xdr:cNvSpPr/>
      </xdr:nvSpPr>
      <xdr:spPr>
        <a:xfrm>
          <a:off x="14180819" y="21996827"/>
          <a:ext cx="0" cy="321832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111</xdr:row>
      <xdr:rowOff>125409</xdr:rowOff>
    </xdr:from>
    <xdr:to>
      <xdr:col>11</xdr:col>
      <xdr:colOff>228599</xdr:colOff>
      <xdr:row>116</xdr:row>
      <xdr:rowOff>71952</xdr:rowOff>
    </xdr:to>
    <xdr:sp macro="" textlink="">
      <xdr:nvSpPr>
        <xdr:cNvPr id="6" name="POWER_USER_SANKEY_CHART_CONNECTED_SUB_SERIE_SHAPE_69_8" descr="{&quot;Id&quot;:&quot;391D05DB-995F-4735-9A46-D73297497305&quot;,&quot;Value&quot;:33640245.514505,&quot;Percentage&quot;:0.38650407303924228}">
          <a:extLst>
            <a:ext uri="{FF2B5EF4-FFF2-40B4-BE49-F238E27FC236}">
              <a16:creationId xmlns:a16="http://schemas.microsoft.com/office/drawing/2014/main" id="{5DDC2533-7A48-45F9-A2E5-0522A84B3790}"/>
            </a:ext>
          </a:extLst>
        </xdr:cNvPr>
        <xdr:cNvSpPr/>
      </xdr:nvSpPr>
      <xdr:spPr>
        <a:xfrm>
          <a:off x="14180819" y="22318659"/>
          <a:ext cx="0" cy="860943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117</xdr:row>
      <xdr:rowOff>13894</xdr:rowOff>
    </xdr:from>
    <xdr:to>
      <xdr:col>11</xdr:col>
      <xdr:colOff>228599</xdr:colOff>
      <xdr:row>118</xdr:row>
      <xdr:rowOff>18596</xdr:rowOff>
    </xdr:to>
    <xdr:sp macro="" textlink="">
      <xdr:nvSpPr>
        <xdr:cNvPr id="7" name="POWER_USER_SANKEY_CHART_CONNECTED_SUB_SERIE_SHAPE_70_3" descr="{&quot;Id&quot;:&quot;A57D6635-80C1-467C-90A1-F97B6440377D&quot;,&quot;Value&quot;:9213283.484356001,&quot;Percentage&quot;:0.1058545066573119}">
          <a:extLst>
            <a:ext uri="{FF2B5EF4-FFF2-40B4-BE49-F238E27FC236}">
              <a16:creationId xmlns:a16="http://schemas.microsoft.com/office/drawing/2014/main" id="{76882DD7-FE6B-4CF0-8CB6-6A1745E4DAFE}"/>
            </a:ext>
          </a:extLst>
        </xdr:cNvPr>
        <xdr:cNvSpPr/>
      </xdr:nvSpPr>
      <xdr:spPr>
        <a:xfrm>
          <a:off x="14180819" y="23304424"/>
          <a:ext cx="0" cy="187582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118</xdr:row>
      <xdr:rowOff>18596</xdr:rowOff>
    </xdr:from>
    <xdr:to>
      <xdr:col>11</xdr:col>
      <xdr:colOff>228599</xdr:colOff>
      <xdr:row>118</xdr:row>
      <xdr:rowOff>41999</xdr:rowOff>
    </xdr:to>
    <xdr:sp macro="" textlink="">
      <xdr:nvSpPr>
        <xdr:cNvPr id="8" name="POWER_USER_SANKEY_CHART_CONNECTED_SUB_SERIE_SHAPE_70_7" descr="{&quot;Id&quot;:&quot;A57D6635-80C1-467C-90A1-F97B6440377D&quot;,&quot;Value&quot;:9213283.484356001,&quot;Percentage&quot;:0.1058545066573119}">
          <a:extLst>
            <a:ext uri="{FF2B5EF4-FFF2-40B4-BE49-F238E27FC236}">
              <a16:creationId xmlns:a16="http://schemas.microsoft.com/office/drawing/2014/main" id="{27C44B15-DBC5-4771-AD4B-A092990A0EB8}"/>
            </a:ext>
          </a:extLst>
        </xdr:cNvPr>
        <xdr:cNvSpPr/>
      </xdr:nvSpPr>
      <xdr:spPr>
        <a:xfrm>
          <a:off x="14180819" y="23492006"/>
          <a:ext cx="0" cy="23403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118</xdr:row>
      <xdr:rowOff>42001</xdr:rowOff>
    </xdr:from>
    <xdr:to>
      <xdr:col>11</xdr:col>
      <xdr:colOff>228599</xdr:colOff>
      <xdr:row>119</xdr:row>
      <xdr:rowOff>47085</xdr:rowOff>
    </xdr:to>
    <xdr:sp macro="" textlink="">
      <xdr:nvSpPr>
        <xdr:cNvPr id="9" name="POWER_USER_SANKEY_CHART_CONNECTED_SUB_SERIE_SHAPE_70_8" descr="{&quot;Id&quot;:&quot;A57D6635-80C1-467C-90A1-F97B6440377D&quot;,&quot;Value&quot;:9213283.484356001,&quot;Percentage&quot;:0.1058545066573119}">
          <a:extLst>
            <a:ext uri="{FF2B5EF4-FFF2-40B4-BE49-F238E27FC236}">
              <a16:creationId xmlns:a16="http://schemas.microsoft.com/office/drawing/2014/main" id="{49E8FBB2-2F67-426C-966E-44B0A2134637}"/>
            </a:ext>
          </a:extLst>
        </xdr:cNvPr>
        <xdr:cNvSpPr/>
      </xdr:nvSpPr>
      <xdr:spPr>
        <a:xfrm>
          <a:off x="14180819" y="23515411"/>
          <a:ext cx="0" cy="187964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119</xdr:row>
      <xdr:rowOff>174084</xdr:rowOff>
    </xdr:from>
    <xdr:to>
      <xdr:col>11</xdr:col>
      <xdr:colOff>228599</xdr:colOff>
      <xdr:row>121</xdr:row>
      <xdr:rowOff>123403</xdr:rowOff>
    </xdr:to>
    <xdr:sp macro="" textlink="">
      <xdr:nvSpPr>
        <xdr:cNvPr id="10" name="POWER_USER_SANKEY_CHART_CONNECTED_SUB_SERIE_SHAPE_71_3" descr="{&quot;Id&quot;:&quot;941C22D9-12C8-40BD-A59A-67EA8C6C95D2&quot;,&quot;Value&quot;:9607880.1294686,&quot;Percentage&quot;:0.11038815997080746}">
          <a:extLst>
            <a:ext uri="{FF2B5EF4-FFF2-40B4-BE49-F238E27FC236}">
              <a16:creationId xmlns:a16="http://schemas.microsoft.com/office/drawing/2014/main" id="{EA366BAC-C316-453C-9C19-62BA9E9765A1}"/>
            </a:ext>
          </a:extLst>
        </xdr:cNvPr>
        <xdr:cNvSpPr/>
      </xdr:nvSpPr>
      <xdr:spPr>
        <a:xfrm>
          <a:off x="14180819" y="23830374"/>
          <a:ext cx="0" cy="315079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121</xdr:row>
      <xdr:rowOff>123403</xdr:rowOff>
    </xdr:from>
    <xdr:to>
      <xdr:col>11</xdr:col>
      <xdr:colOff>228599</xdr:colOff>
      <xdr:row>121</xdr:row>
      <xdr:rowOff>154945</xdr:rowOff>
    </xdr:to>
    <xdr:sp macro="" textlink="">
      <xdr:nvSpPr>
        <xdr:cNvPr id="11" name="POWER_USER_SANKEY_CHART_CONNECTED_SUB_SERIE_SHAPE_71_7" descr="{&quot;Id&quot;:&quot;941C22D9-12C8-40BD-A59A-67EA8C6C95D2&quot;,&quot;Value&quot;:9607880.1294686,&quot;Percentage&quot;:0.11038815997080746}">
          <a:extLst>
            <a:ext uri="{FF2B5EF4-FFF2-40B4-BE49-F238E27FC236}">
              <a16:creationId xmlns:a16="http://schemas.microsoft.com/office/drawing/2014/main" id="{2B6DA780-D163-45C6-B788-02580173E508}"/>
            </a:ext>
          </a:extLst>
        </xdr:cNvPr>
        <xdr:cNvSpPr/>
      </xdr:nvSpPr>
      <xdr:spPr>
        <a:xfrm>
          <a:off x="14180819" y="24145453"/>
          <a:ext cx="0" cy="31542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121</xdr:row>
      <xdr:rowOff>154944</xdr:rowOff>
    </xdr:from>
    <xdr:to>
      <xdr:col>11</xdr:col>
      <xdr:colOff>228599</xdr:colOff>
      <xdr:row>122</xdr:row>
      <xdr:rowOff>39490</xdr:rowOff>
    </xdr:to>
    <xdr:sp macro="" textlink="">
      <xdr:nvSpPr>
        <xdr:cNvPr id="12" name="POWER_USER_SANKEY_CHART_CONNECTED_SUB_SERIE_SHAPE_71_8" descr="{&quot;Id&quot;:&quot;941C22D9-12C8-40BD-A59A-67EA8C6C95D2&quot;,&quot;Value&quot;:9607880.1294686,&quot;Percentage&quot;:0.11038815997080746}">
          <a:extLst>
            <a:ext uri="{FF2B5EF4-FFF2-40B4-BE49-F238E27FC236}">
              <a16:creationId xmlns:a16="http://schemas.microsoft.com/office/drawing/2014/main" id="{3C7D3B48-4685-48E0-B4F6-8E1DF8FB1C00}"/>
            </a:ext>
          </a:extLst>
        </xdr:cNvPr>
        <xdr:cNvSpPr/>
      </xdr:nvSpPr>
      <xdr:spPr>
        <a:xfrm>
          <a:off x="14180819" y="24176994"/>
          <a:ext cx="0" cy="67426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122</xdr:row>
      <xdr:rowOff>166493</xdr:rowOff>
    </xdr:from>
    <xdr:to>
      <xdr:col>11</xdr:col>
      <xdr:colOff>228599</xdr:colOff>
      <xdr:row>123</xdr:row>
      <xdr:rowOff>65483</xdr:rowOff>
    </xdr:to>
    <xdr:sp macro="" textlink="">
      <xdr:nvSpPr>
        <xdr:cNvPr id="13" name="POWER_USER_SANKEY_CHART_CONNECTED_SUB_SERIE_SHAPE_72_3" descr="{&quot;Id&quot;:&quot;053AADBF-F56B-48DD-B3E7-AB4233A340BF&quot;,&quot;Value&quot;:2039000.8886716,&quot;Percentage&quot;:0.023426765659673998}">
          <a:extLst>
            <a:ext uri="{FF2B5EF4-FFF2-40B4-BE49-F238E27FC236}">
              <a16:creationId xmlns:a16="http://schemas.microsoft.com/office/drawing/2014/main" id="{892A84CF-358C-4028-AD15-954093E43E45}"/>
            </a:ext>
          </a:extLst>
        </xdr:cNvPr>
        <xdr:cNvSpPr/>
      </xdr:nvSpPr>
      <xdr:spPr>
        <a:xfrm>
          <a:off x="14180819" y="24371423"/>
          <a:ext cx="0" cy="81870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123</xdr:row>
      <xdr:rowOff>65483</xdr:rowOff>
    </xdr:from>
    <xdr:to>
      <xdr:col>11</xdr:col>
      <xdr:colOff>228599</xdr:colOff>
      <xdr:row>123</xdr:row>
      <xdr:rowOff>70308</xdr:rowOff>
    </xdr:to>
    <xdr:sp macro="" textlink="">
      <xdr:nvSpPr>
        <xdr:cNvPr id="14" name="POWER_USER_SANKEY_CHART_CONNECTED_SUB_SERIE_SHAPE_72_4" descr="{&quot;Id&quot;:&quot;053AADBF-F56B-48DD-B3E7-AB4233A340BF&quot;,&quot;Value&quot;:2039000.8886716,&quot;Percentage&quot;:0.023426765659673998}">
          <a:extLst>
            <a:ext uri="{FF2B5EF4-FFF2-40B4-BE49-F238E27FC236}">
              <a16:creationId xmlns:a16="http://schemas.microsoft.com/office/drawing/2014/main" id="{57D5B3BD-F454-4C00-9654-EF1182A3A2F0}"/>
            </a:ext>
          </a:extLst>
        </xdr:cNvPr>
        <xdr:cNvSpPr/>
      </xdr:nvSpPr>
      <xdr:spPr>
        <a:xfrm>
          <a:off x="14180819" y="24453293"/>
          <a:ext cx="0" cy="4825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123</xdr:row>
      <xdr:rowOff>70308</xdr:rowOff>
    </xdr:from>
    <xdr:to>
      <xdr:col>11</xdr:col>
      <xdr:colOff>228599</xdr:colOff>
      <xdr:row>123</xdr:row>
      <xdr:rowOff>70692</xdr:rowOff>
    </xdr:to>
    <xdr:sp macro="" textlink="">
      <xdr:nvSpPr>
        <xdr:cNvPr id="15" name="POWER_USER_SANKEY_CHART_CONNECTED_SUB_SERIE_SHAPE_72_5" descr="{&quot;Id&quot;:&quot;053AADBF-F56B-48DD-B3E7-AB4233A340BF&quot;,&quot;Value&quot;:2039000.8886716,&quot;Percentage&quot;:0.023426765659673998}">
          <a:extLst>
            <a:ext uri="{FF2B5EF4-FFF2-40B4-BE49-F238E27FC236}">
              <a16:creationId xmlns:a16="http://schemas.microsoft.com/office/drawing/2014/main" id="{6679FF93-3344-4E11-BB79-D9CBE7D2C7D1}"/>
            </a:ext>
          </a:extLst>
        </xdr:cNvPr>
        <xdr:cNvSpPr/>
      </xdr:nvSpPr>
      <xdr:spPr>
        <a:xfrm>
          <a:off x="14180819" y="24458118"/>
          <a:ext cx="0" cy="384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124</xdr:row>
      <xdr:rowOff>12633</xdr:rowOff>
    </xdr:from>
    <xdr:to>
      <xdr:col>11</xdr:col>
      <xdr:colOff>228599</xdr:colOff>
      <xdr:row>124</xdr:row>
      <xdr:rowOff>101358</xdr:rowOff>
    </xdr:to>
    <xdr:sp macro="" textlink="">
      <xdr:nvSpPr>
        <xdr:cNvPr id="16" name="POWER_USER_SANKEY_CHART_CONNECTED_SUB_SERIE_SHAPE_73_3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55CAB998-08DA-49A2-81AC-ED9E1F236484}"/>
            </a:ext>
          </a:extLst>
        </xdr:cNvPr>
        <xdr:cNvSpPr/>
      </xdr:nvSpPr>
      <xdr:spPr>
        <a:xfrm>
          <a:off x="14180819" y="24583323"/>
          <a:ext cx="0" cy="88725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124</xdr:row>
      <xdr:rowOff>101358</xdr:rowOff>
    </xdr:from>
    <xdr:to>
      <xdr:col>11</xdr:col>
      <xdr:colOff>228599</xdr:colOff>
      <xdr:row>125</xdr:row>
      <xdr:rowOff>56719</xdr:rowOff>
    </xdr:to>
    <xdr:sp macro="" textlink="">
      <xdr:nvSpPr>
        <xdr:cNvPr id="17" name="POWER_USER_SANKEY_CHART_CONNECTED_SUB_SERIE_SHAPE_73_4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52228AD5-49CA-4080-B931-0E008F54CEA7}"/>
            </a:ext>
          </a:extLst>
        </xdr:cNvPr>
        <xdr:cNvSpPr/>
      </xdr:nvSpPr>
      <xdr:spPr>
        <a:xfrm>
          <a:off x="14180819" y="24672048"/>
          <a:ext cx="0" cy="138241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125</xdr:row>
      <xdr:rowOff>56719</xdr:rowOff>
    </xdr:from>
    <xdr:to>
      <xdr:col>11</xdr:col>
      <xdr:colOff>228599</xdr:colOff>
      <xdr:row>125</xdr:row>
      <xdr:rowOff>181837</xdr:rowOff>
    </xdr:to>
    <xdr:sp macro="" textlink="">
      <xdr:nvSpPr>
        <xdr:cNvPr id="18" name="POWER_USER_SANKEY_CHART_CONNECTED_SUB_SERIE_SHAPE_73_5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CE5AA4CE-07F8-4AFA-8F1A-E8ACD6539EC6}"/>
            </a:ext>
          </a:extLst>
        </xdr:cNvPr>
        <xdr:cNvSpPr/>
      </xdr:nvSpPr>
      <xdr:spPr>
        <a:xfrm>
          <a:off x="14180819" y="24810289"/>
          <a:ext cx="0" cy="125118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125</xdr:row>
      <xdr:rowOff>181837</xdr:rowOff>
    </xdr:from>
    <xdr:to>
      <xdr:col>11</xdr:col>
      <xdr:colOff>228599</xdr:colOff>
      <xdr:row>126</xdr:row>
      <xdr:rowOff>31564</xdr:rowOff>
    </xdr:to>
    <xdr:sp macro="" textlink="">
      <xdr:nvSpPr>
        <xdr:cNvPr id="19" name="POWER_USER_SANKEY_CHART_CONNECTED_SUB_SERIE_SHAPE_73_6" descr="{&quot;Id&quot;:&quot;4DC73D6C-79D4-4EA5-B130-3065843498F0&quot;,&quot;Value&quot;:8887500.0644066,&quot;Percentage&quot;:0.10211147158686913}">
          <a:extLst>
            <a:ext uri="{FF2B5EF4-FFF2-40B4-BE49-F238E27FC236}">
              <a16:creationId xmlns:a16="http://schemas.microsoft.com/office/drawing/2014/main" id="{8BFAAEAD-F033-4E2E-ADCB-BDF264040E24}"/>
            </a:ext>
          </a:extLst>
        </xdr:cNvPr>
        <xdr:cNvSpPr/>
      </xdr:nvSpPr>
      <xdr:spPr>
        <a:xfrm>
          <a:off x="14180819" y="24935407"/>
          <a:ext cx="0" cy="32607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126</xdr:row>
      <xdr:rowOff>158564</xdr:rowOff>
    </xdr:from>
    <xdr:to>
      <xdr:col>11</xdr:col>
      <xdr:colOff>228599</xdr:colOff>
      <xdr:row>128</xdr:row>
      <xdr:rowOff>99115</xdr:rowOff>
    </xdr:to>
    <xdr:sp macro="" textlink="">
      <xdr:nvSpPr>
        <xdr:cNvPr id="20" name="POWER_USER_SANKEY_CHART_CONNECTED_SUB_SERIE_SHAPE_74_3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D30873EE-2951-40B2-A0F8-0AF31F3E75EA}"/>
            </a:ext>
          </a:extLst>
        </xdr:cNvPr>
        <xdr:cNvSpPr/>
      </xdr:nvSpPr>
      <xdr:spPr>
        <a:xfrm>
          <a:off x="14180819" y="25095014"/>
          <a:ext cx="0" cy="306311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128</xdr:row>
      <xdr:rowOff>99115</xdr:rowOff>
    </xdr:from>
    <xdr:to>
      <xdr:col>11</xdr:col>
      <xdr:colOff>228599</xdr:colOff>
      <xdr:row>130</xdr:row>
      <xdr:rowOff>37982</xdr:rowOff>
    </xdr:to>
    <xdr:sp macro="" textlink="">
      <xdr:nvSpPr>
        <xdr:cNvPr id="21" name="POWER_USER_SANKEY_CHART_CONNECTED_SUB_SERIE_SHAPE_74_4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F3DC16E5-73C2-45E3-88A4-A439652C15BF}"/>
            </a:ext>
          </a:extLst>
        </xdr:cNvPr>
        <xdr:cNvSpPr/>
      </xdr:nvSpPr>
      <xdr:spPr>
        <a:xfrm>
          <a:off x="14180819" y="25401325"/>
          <a:ext cx="0" cy="304627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130</xdr:row>
      <xdr:rowOff>37982</xdr:rowOff>
    </xdr:from>
    <xdr:to>
      <xdr:col>11</xdr:col>
      <xdr:colOff>228599</xdr:colOff>
      <xdr:row>131</xdr:row>
      <xdr:rowOff>179343</xdr:rowOff>
    </xdr:to>
    <xdr:sp macro="" textlink="">
      <xdr:nvSpPr>
        <xdr:cNvPr id="22" name="POWER_USER_SANKEY_CHART_CONNECTED_SUB_SERIE_SHAPE_74_5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AD5F4474-04BF-458A-9810-16AFC7E0F8E7}"/>
            </a:ext>
          </a:extLst>
        </xdr:cNvPr>
        <xdr:cNvSpPr/>
      </xdr:nvSpPr>
      <xdr:spPr>
        <a:xfrm>
          <a:off x="14180819" y="25705952"/>
          <a:ext cx="0" cy="324241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228599</xdr:colOff>
      <xdr:row>131</xdr:row>
      <xdr:rowOff>179343</xdr:rowOff>
    </xdr:from>
    <xdr:to>
      <xdr:col>11</xdr:col>
      <xdr:colOff>228599</xdr:colOff>
      <xdr:row>132</xdr:row>
      <xdr:rowOff>83455</xdr:rowOff>
    </xdr:to>
    <xdr:sp macro="" textlink="">
      <xdr:nvSpPr>
        <xdr:cNvPr id="23" name="POWER_USER_SANKEY_CHART_CONNECTED_SUB_SERIE_SHAPE_74_6" descr="{&quot;Id&quot;:&quot;9C6977C0-A2DE-4518-A523-960FECD1ACD9&quot;,&quot;Value&quot;:23649324.0930674,&quot;Percentage&quot;:0.27171502308609513}">
          <a:extLst>
            <a:ext uri="{FF2B5EF4-FFF2-40B4-BE49-F238E27FC236}">
              <a16:creationId xmlns:a16="http://schemas.microsoft.com/office/drawing/2014/main" id="{9E17762D-A4CC-4C8B-A35F-81435BEB7C47}"/>
            </a:ext>
          </a:extLst>
        </xdr:cNvPr>
        <xdr:cNvSpPr/>
      </xdr:nvSpPr>
      <xdr:spPr>
        <a:xfrm>
          <a:off x="14180819" y="26030193"/>
          <a:ext cx="0" cy="86992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108</xdr:row>
      <xdr:rowOff>79829</xdr:rowOff>
    </xdr:from>
    <xdr:to>
      <xdr:col>14</xdr:col>
      <xdr:colOff>749300</xdr:colOff>
      <xdr:row>109</xdr:row>
      <xdr:rowOff>84530</xdr:rowOff>
    </xdr:to>
    <xdr:sp macro="" textlink="">
      <xdr:nvSpPr>
        <xdr:cNvPr id="24" name="POWER_USER_SANKEY_CHART_CONNECTED_SUB_CATEGORY_SHAPE_70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A007D736-3A58-4D25-B79C-86FFCA697877}"/>
            </a:ext>
          </a:extLst>
        </xdr:cNvPr>
        <xdr:cNvSpPr/>
      </xdr:nvSpPr>
      <xdr:spPr>
        <a:xfrm>
          <a:off x="18580100" y="21724439"/>
          <a:ext cx="0" cy="187581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109</xdr:row>
      <xdr:rowOff>84530</xdr:rowOff>
    </xdr:from>
    <xdr:to>
      <xdr:col>14</xdr:col>
      <xdr:colOff>749300</xdr:colOff>
      <xdr:row>111</xdr:row>
      <xdr:rowOff>33849</xdr:rowOff>
    </xdr:to>
    <xdr:sp macro="" textlink="">
      <xdr:nvSpPr>
        <xdr:cNvPr id="25" name="POWER_USER_SANKEY_CHART_CONNECTED_SUB_CATEGORY_SHAPE_71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FC8FD96D-B412-4864-BE19-CCAE1530443B}"/>
            </a:ext>
          </a:extLst>
        </xdr:cNvPr>
        <xdr:cNvSpPr/>
      </xdr:nvSpPr>
      <xdr:spPr>
        <a:xfrm>
          <a:off x="18580100" y="21912020"/>
          <a:ext cx="0" cy="315079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111</xdr:row>
      <xdr:rowOff>33851</xdr:rowOff>
    </xdr:from>
    <xdr:to>
      <xdr:col>14</xdr:col>
      <xdr:colOff>749300</xdr:colOff>
      <xdr:row>111</xdr:row>
      <xdr:rowOff>117898</xdr:rowOff>
    </xdr:to>
    <xdr:sp macro="" textlink="">
      <xdr:nvSpPr>
        <xdr:cNvPr id="26" name="POWER_USER_SANKEY_CHART_CONNECTED_SUB_CATEGORY_SHAPE_72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28AF8AB9-2C02-47E6-9DF3-68DBAE4A4C64}"/>
            </a:ext>
          </a:extLst>
        </xdr:cNvPr>
        <xdr:cNvSpPr/>
      </xdr:nvSpPr>
      <xdr:spPr>
        <a:xfrm>
          <a:off x="18580100" y="22227101"/>
          <a:ext cx="0" cy="8404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111</xdr:row>
      <xdr:rowOff>117898</xdr:rowOff>
    </xdr:from>
    <xdr:to>
      <xdr:col>14</xdr:col>
      <xdr:colOff>749300</xdr:colOff>
      <xdr:row>112</xdr:row>
      <xdr:rowOff>21566</xdr:rowOff>
    </xdr:to>
    <xdr:sp macro="" textlink="">
      <xdr:nvSpPr>
        <xdr:cNvPr id="27" name="POWER_USER_SANKEY_CHART_CONNECTED_SUB_CATEGORY_SHAPE_73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A2A154D3-BFE9-470B-806A-851356839B0A}"/>
            </a:ext>
          </a:extLst>
        </xdr:cNvPr>
        <xdr:cNvSpPr/>
      </xdr:nvSpPr>
      <xdr:spPr>
        <a:xfrm>
          <a:off x="18580100" y="22311148"/>
          <a:ext cx="0" cy="8654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112</xdr:row>
      <xdr:rowOff>21565</xdr:rowOff>
    </xdr:from>
    <xdr:to>
      <xdr:col>14</xdr:col>
      <xdr:colOff>749300</xdr:colOff>
      <xdr:row>113</xdr:row>
      <xdr:rowOff>147172</xdr:rowOff>
    </xdr:to>
    <xdr:sp macro="" textlink="">
      <xdr:nvSpPr>
        <xdr:cNvPr id="28" name="POWER_USER_SANKEY_CHART_CONNECTED_SUB_CATEGORY_SHAPE_74_3" descr="{&quot;Id&quot;:&quot;CBBB63D0-965F-4557-BB8B-59631572AFF9&quot;,&quot;Value&quot;:22676034.8159702,&quot;Percentage&quot;:0.26053257586877965}">
          <a:extLst>
            <a:ext uri="{FF2B5EF4-FFF2-40B4-BE49-F238E27FC236}">
              <a16:creationId xmlns:a16="http://schemas.microsoft.com/office/drawing/2014/main" id="{0EAEAE18-7713-4303-B81A-5DAC40200FDC}"/>
            </a:ext>
          </a:extLst>
        </xdr:cNvPr>
        <xdr:cNvSpPr/>
      </xdr:nvSpPr>
      <xdr:spPr>
        <a:xfrm>
          <a:off x="18580100" y="22397695"/>
          <a:ext cx="0" cy="30848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114</xdr:row>
      <xdr:rowOff>89114</xdr:rowOff>
    </xdr:from>
    <xdr:to>
      <xdr:col>14</xdr:col>
      <xdr:colOff>749300</xdr:colOff>
      <xdr:row>115</xdr:row>
      <xdr:rowOff>29820</xdr:rowOff>
    </xdr:to>
    <xdr:sp macro="" textlink="">
      <xdr:nvSpPr>
        <xdr:cNvPr id="29" name="POWER_USER_SANKEY_CHART_CONNECTED_SUB_CATEGORY_SHAPE_69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3FDB26F8-429B-4523-B0CA-B6DFF760E6B1}"/>
            </a:ext>
          </a:extLst>
        </xdr:cNvPr>
        <xdr:cNvSpPr/>
      </xdr:nvSpPr>
      <xdr:spPr>
        <a:xfrm>
          <a:off x="18580100" y="22831004"/>
          <a:ext cx="0" cy="123586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115</xdr:row>
      <xdr:rowOff>29820</xdr:rowOff>
    </xdr:from>
    <xdr:to>
      <xdr:col>14</xdr:col>
      <xdr:colOff>749300</xdr:colOff>
      <xdr:row>115</xdr:row>
      <xdr:rowOff>34644</xdr:rowOff>
    </xdr:to>
    <xdr:sp macro="" textlink="">
      <xdr:nvSpPr>
        <xdr:cNvPr id="30" name="POWER_USER_SANKEY_CHART_CONNECTED_SUB_CATEGORY_SHAPE_72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2402B739-3B89-4D89-BB0E-CCB96F130438}"/>
            </a:ext>
          </a:extLst>
        </xdr:cNvPr>
        <xdr:cNvSpPr/>
      </xdr:nvSpPr>
      <xdr:spPr>
        <a:xfrm>
          <a:off x="18580100" y="22954590"/>
          <a:ext cx="0" cy="482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115</xdr:row>
      <xdr:rowOff>34646</xdr:rowOff>
    </xdr:from>
    <xdr:to>
      <xdr:col>14</xdr:col>
      <xdr:colOff>749300</xdr:colOff>
      <xdr:row>115</xdr:row>
      <xdr:rowOff>175063</xdr:rowOff>
    </xdr:to>
    <xdr:sp macro="" textlink="">
      <xdr:nvSpPr>
        <xdr:cNvPr id="31" name="POWER_USER_SANKEY_CHART_CONNECTED_SUB_CATEGORY_SHAPE_73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8C8765AF-C462-4226-9E9B-516BB7A05146}"/>
            </a:ext>
          </a:extLst>
        </xdr:cNvPr>
        <xdr:cNvSpPr/>
      </xdr:nvSpPr>
      <xdr:spPr>
        <a:xfrm>
          <a:off x="18580100" y="22959416"/>
          <a:ext cx="0" cy="14041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115</xdr:row>
      <xdr:rowOff>175062</xdr:rowOff>
    </xdr:from>
    <xdr:to>
      <xdr:col>14</xdr:col>
      <xdr:colOff>749300</xdr:colOff>
      <xdr:row>117</xdr:row>
      <xdr:rowOff>113928</xdr:rowOff>
    </xdr:to>
    <xdr:sp macro="" textlink="">
      <xdr:nvSpPr>
        <xdr:cNvPr id="32" name="POWER_USER_SANKEY_CHART_CONNECTED_SUB_CATEGORY_SHAPE_74_4" descr="{&quot;Id&quot;:&quot;DD3E746D-DC20-4A58-83EA-1A2FDC3A524E&quot;,&quot;Value&quot;:13249503.151675,&quot;Percentage&quot;:0.15222798928921605}">
          <a:extLst>
            <a:ext uri="{FF2B5EF4-FFF2-40B4-BE49-F238E27FC236}">
              <a16:creationId xmlns:a16="http://schemas.microsoft.com/office/drawing/2014/main" id="{3D87EBE7-CDFE-4E0E-B08F-20B9871C8441}"/>
            </a:ext>
          </a:extLst>
        </xdr:cNvPr>
        <xdr:cNvSpPr/>
      </xdr:nvSpPr>
      <xdr:spPr>
        <a:xfrm>
          <a:off x="18580100" y="23099832"/>
          <a:ext cx="0" cy="304626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118</xdr:row>
      <xdr:rowOff>55873</xdr:rowOff>
    </xdr:from>
    <xdr:to>
      <xdr:col>14</xdr:col>
      <xdr:colOff>749300</xdr:colOff>
      <xdr:row>119</xdr:row>
      <xdr:rowOff>19617</xdr:rowOff>
    </xdr:to>
    <xdr:sp macro="" textlink="">
      <xdr:nvSpPr>
        <xdr:cNvPr id="33" name="POWER_USER_SANKEY_CHART_CONNECTED_SUB_CATEGORY_SHAPE_69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F227467C-3BA0-4724-9F0E-F90077720781}"/>
            </a:ext>
          </a:extLst>
        </xdr:cNvPr>
        <xdr:cNvSpPr/>
      </xdr:nvSpPr>
      <xdr:spPr>
        <a:xfrm>
          <a:off x="18580100" y="23529283"/>
          <a:ext cx="0" cy="14662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119</xdr:row>
      <xdr:rowOff>19617</xdr:rowOff>
    </xdr:from>
    <xdr:to>
      <xdr:col>14</xdr:col>
      <xdr:colOff>749300</xdr:colOff>
      <xdr:row>119</xdr:row>
      <xdr:rowOff>20002</xdr:rowOff>
    </xdr:to>
    <xdr:sp macro="" textlink="">
      <xdr:nvSpPr>
        <xdr:cNvPr id="34" name="POWER_USER_SANKEY_CHART_CONNECTED_SUB_CATEGORY_SHAPE_72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09E54C78-090A-415B-BAFD-5A299DA5F0A5}"/>
            </a:ext>
          </a:extLst>
        </xdr:cNvPr>
        <xdr:cNvSpPr/>
      </xdr:nvSpPr>
      <xdr:spPr>
        <a:xfrm>
          <a:off x="18580100" y="23675907"/>
          <a:ext cx="0" cy="385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119</xdr:row>
      <xdr:rowOff>20000</xdr:rowOff>
    </xdr:from>
    <xdr:to>
      <xdr:col>14</xdr:col>
      <xdr:colOff>749300</xdr:colOff>
      <xdr:row>119</xdr:row>
      <xdr:rowOff>145118</xdr:rowOff>
    </xdr:to>
    <xdr:sp macro="" textlink="">
      <xdr:nvSpPr>
        <xdr:cNvPr id="35" name="POWER_USER_SANKEY_CHART_CONNECTED_SUB_CATEGORY_SHAPE_73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211031D3-C0D3-46CC-897F-2D175154EC9F}"/>
            </a:ext>
          </a:extLst>
        </xdr:cNvPr>
        <xdr:cNvSpPr/>
      </xdr:nvSpPr>
      <xdr:spPr>
        <a:xfrm>
          <a:off x="18580100" y="23676290"/>
          <a:ext cx="0" cy="12511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119</xdr:row>
      <xdr:rowOff>145118</xdr:rowOff>
    </xdr:from>
    <xdr:to>
      <xdr:col>14</xdr:col>
      <xdr:colOff>749300</xdr:colOff>
      <xdr:row>121</xdr:row>
      <xdr:rowOff>101422</xdr:rowOff>
    </xdr:to>
    <xdr:sp macro="" textlink="">
      <xdr:nvSpPr>
        <xdr:cNvPr id="36" name="POWER_USER_SANKEY_CHART_CONNECTED_SUB_CATEGORY_SHAPE_74_5" descr="{&quot;Id&quot;:&quot;7D890688-4DA5-49F2-88E1-A476125C8B46&quot;,&quot;Value&quot;:13723113.360516,&quot;Percentage&quot;:0.15766945595957921}">
          <a:extLst>
            <a:ext uri="{FF2B5EF4-FFF2-40B4-BE49-F238E27FC236}">
              <a16:creationId xmlns:a16="http://schemas.microsoft.com/office/drawing/2014/main" id="{BC6BD7C2-9187-4445-B863-CD6391E57137}"/>
            </a:ext>
          </a:extLst>
        </xdr:cNvPr>
        <xdr:cNvSpPr/>
      </xdr:nvSpPr>
      <xdr:spPr>
        <a:xfrm>
          <a:off x="18580100" y="23801408"/>
          <a:ext cx="0" cy="32206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122</xdr:row>
      <xdr:rowOff>43365</xdr:rowOff>
    </xdr:from>
    <xdr:to>
      <xdr:col>14</xdr:col>
      <xdr:colOff>749300</xdr:colOff>
      <xdr:row>122</xdr:row>
      <xdr:rowOff>78148</xdr:rowOff>
    </xdr:to>
    <xdr:sp macro="" textlink="">
      <xdr:nvSpPr>
        <xdr:cNvPr id="37" name="POWER_USER_SANKEY_CHART_CONNECTED_SUB_CATEGORY_SHAPE_73_6" descr="{&quot;Id&quot;:&quot;7F0E27A1-847E-4B2A-ABC5-8E7EB6A5BD1D&quot;,&quot;Value&quot;:2831638.677,&quot;Percentage&quot;:0.032533647281618408}">
          <a:extLst>
            <a:ext uri="{FF2B5EF4-FFF2-40B4-BE49-F238E27FC236}">
              <a16:creationId xmlns:a16="http://schemas.microsoft.com/office/drawing/2014/main" id="{8389A2E5-DA97-4068-BFD7-ED1714DC0725}"/>
            </a:ext>
          </a:extLst>
        </xdr:cNvPr>
        <xdr:cNvSpPr/>
      </xdr:nvSpPr>
      <xdr:spPr>
        <a:xfrm>
          <a:off x="18580100" y="24248295"/>
          <a:ext cx="0" cy="3478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122</xdr:row>
      <xdr:rowOff>78147</xdr:rowOff>
    </xdr:from>
    <xdr:to>
      <xdr:col>14</xdr:col>
      <xdr:colOff>749300</xdr:colOff>
      <xdr:row>122</xdr:row>
      <xdr:rowOff>167317</xdr:rowOff>
    </xdr:to>
    <xdr:sp macro="" textlink="">
      <xdr:nvSpPr>
        <xdr:cNvPr id="38" name="POWER_USER_SANKEY_CHART_CONNECTED_SUB_CATEGORY_SHAPE_74_6" descr="{&quot;Id&quot;:&quot;7F0E27A1-847E-4B2A-ABC5-8E7EB6A5BD1D&quot;,&quot;Value&quot;:2831638.677,&quot;Percentage&quot;:0.032533647281618408}">
          <a:extLst>
            <a:ext uri="{FF2B5EF4-FFF2-40B4-BE49-F238E27FC236}">
              <a16:creationId xmlns:a16="http://schemas.microsoft.com/office/drawing/2014/main" id="{6EBA989E-A2FC-4A6C-BA50-1C704971C30D}"/>
            </a:ext>
          </a:extLst>
        </xdr:cNvPr>
        <xdr:cNvSpPr/>
      </xdr:nvSpPr>
      <xdr:spPr>
        <a:xfrm>
          <a:off x="18580100" y="24283077"/>
          <a:ext cx="0" cy="89170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123</xdr:row>
      <xdr:rowOff>109259</xdr:rowOff>
    </xdr:from>
    <xdr:to>
      <xdr:col>14</xdr:col>
      <xdr:colOff>749300</xdr:colOff>
      <xdr:row>125</xdr:row>
      <xdr:rowOff>65333</xdr:rowOff>
    </xdr:to>
    <xdr:sp macro="" textlink="">
      <xdr:nvSpPr>
        <xdr:cNvPr id="39" name="POWER_USER_SANKEY_CHART_CONNECTED_SUB_CATEGORY_SHAPE_69_7" descr="{&quot;Id&quot;:&quot;76E94CC7-45DB-43D3-81F6-EE42FFF13333&quot;,&quot;Value&quot;:8706752.665786,&quot;Percentage&quot;:0.10003480405101577}">
          <a:extLst>
            <a:ext uri="{FF2B5EF4-FFF2-40B4-BE49-F238E27FC236}">
              <a16:creationId xmlns:a16="http://schemas.microsoft.com/office/drawing/2014/main" id="{9B3ACB51-5C28-45CF-B2D8-0402A6895EAC}"/>
            </a:ext>
          </a:extLst>
        </xdr:cNvPr>
        <xdr:cNvSpPr/>
      </xdr:nvSpPr>
      <xdr:spPr>
        <a:xfrm>
          <a:off x="18580100" y="24497069"/>
          <a:ext cx="0" cy="32183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125</xdr:row>
      <xdr:rowOff>65333</xdr:rowOff>
    </xdr:from>
    <xdr:to>
      <xdr:col>14</xdr:col>
      <xdr:colOff>749300</xdr:colOff>
      <xdr:row>125</xdr:row>
      <xdr:rowOff>88736</xdr:rowOff>
    </xdr:to>
    <xdr:sp macro="" textlink="">
      <xdr:nvSpPr>
        <xdr:cNvPr id="40" name="POWER_USER_SANKEY_CHART_CONNECTED_SUB_CATEGORY_SHAPE_70_7" descr="{&quot;Id&quot;:&quot;76E94CC7-45DB-43D3-81F6-EE42FFF13333&quot;,&quot;Value&quot;:8706752.665786,&quot;Percentage&quot;:0.10003480405101577}">
          <a:extLst>
            <a:ext uri="{FF2B5EF4-FFF2-40B4-BE49-F238E27FC236}">
              <a16:creationId xmlns:a16="http://schemas.microsoft.com/office/drawing/2014/main" id="{A2860730-EF51-4CA9-968D-A350ABBA805F}"/>
            </a:ext>
          </a:extLst>
        </xdr:cNvPr>
        <xdr:cNvSpPr/>
      </xdr:nvSpPr>
      <xdr:spPr>
        <a:xfrm>
          <a:off x="18580100" y="24818903"/>
          <a:ext cx="0" cy="2340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126</xdr:row>
      <xdr:rowOff>62219</xdr:rowOff>
    </xdr:from>
    <xdr:to>
      <xdr:col>14</xdr:col>
      <xdr:colOff>749300</xdr:colOff>
      <xdr:row>131</xdr:row>
      <xdr:rowOff>8762</xdr:rowOff>
    </xdr:to>
    <xdr:sp macro="" textlink="">
      <xdr:nvSpPr>
        <xdr:cNvPr id="41" name="POWER_USER_SANKEY_CHART_CONNECTED_SUB_CATEGORY_SHAPE_69_8" descr="{&quot;Id&quot;:&quot;FCAAE53C-C903-49DD-A7A0-6525458887F4&quot;,&quot;Value&quot;:25850191.503528,&quot;Percentage&quot;:0.29700152754979087}">
          <a:extLst>
            <a:ext uri="{FF2B5EF4-FFF2-40B4-BE49-F238E27FC236}">
              <a16:creationId xmlns:a16="http://schemas.microsoft.com/office/drawing/2014/main" id="{08AF0E26-D4BA-4C92-95A4-AD6A59014225}"/>
            </a:ext>
          </a:extLst>
        </xdr:cNvPr>
        <xdr:cNvSpPr/>
      </xdr:nvSpPr>
      <xdr:spPr>
        <a:xfrm>
          <a:off x="18580100" y="24998669"/>
          <a:ext cx="0" cy="86094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131</xdr:row>
      <xdr:rowOff>8762</xdr:rowOff>
    </xdr:from>
    <xdr:to>
      <xdr:col>14</xdr:col>
      <xdr:colOff>749300</xdr:colOff>
      <xdr:row>132</xdr:row>
      <xdr:rowOff>13849</xdr:rowOff>
    </xdr:to>
    <xdr:sp macro="" textlink="">
      <xdr:nvSpPr>
        <xdr:cNvPr id="42" name="POWER_USER_SANKEY_CHART_CONNECTED_SUB_CATEGORY_SHAPE_70_8" descr="{&quot;Id&quot;:&quot;FCAAE53C-C903-49DD-A7A0-6525458887F4&quot;,&quot;Value&quot;:25850191.503528,&quot;Percentage&quot;:0.29700152754979087}">
          <a:extLst>
            <a:ext uri="{FF2B5EF4-FFF2-40B4-BE49-F238E27FC236}">
              <a16:creationId xmlns:a16="http://schemas.microsoft.com/office/drawing/2014/main" id="{E2285968-65D8-4727-9075-E3106A0179A3}"/>
            </a:ext>
          </a:extLst>
        </xdr:cNvPr>
        <xdr:cNvSpPr/>
      </xdr:nvSpPr>
      <xdr:spPr>
        <a:xfrm>
          <a:off x="18580100" y="25859612"/>
          <a:ext cx="0" cy="18796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14</xdr:col>
      <xdr:colOff>749300</xdr:colOff>
      <xdr:row>132</xdr:row>
      <xdr:rowOff>13849</xdr:rowOff>
    </xdr:from>
    <xdr:to>
      <xdr:col>14</xdr:col>
      <xdr:colOff>749300</xdr:colOff>
      <xdr:row>132</xdr:row>
      <xdr:rowOff>83452</xdr:rowOff>
    </xdr:to>
    <xdr:sp macro="" textlink="">
      <xdr:nvSpPr>
        <xdr:cNvPr id="43" name="POWER_USER_SANKEY_CHART_CONNECTED_SUB_CATEGORY_SHAPE_71_8" descr="{&quot;Id&quot;:&quot;FCAAE53C-C903-49DD-A7A0-6525458887F4&quot;,&quot;Value&quot;:25850191.503528,&quot;Percentage&quot;:0.29700152754979087}">
          <a:extLst>
            <a:ext uri="{FF2B5EF4-FFF2-40B4-BE49-F238E27FC236}">
              <a16:creationId xmlns:a16="http://schemas.microsoft.com/office/drawing/2014/main" id="{C6CDD22D-853C-479F-B64C-0771D0BBBE5B}"/>
            </a:ext>
          </a:extLst>
        </xdr:cNvPr>
        <xdr:cNvSpPr/>
      </xdr:nvSpPr>
      <xdr:spPr>
        <a:xfrm>
          <a:off x="18580100" y="26047579"/>
          <a:ext cx="0" cy="6960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8</xdr:col>
      <xdr:colOff>10885</xdr:colOff>
      <xdr:row>102</xdr:row>
      <xdr:rowOff>23752</xdr:rowOff>
    </xdr:from>
    <xdr:to>
      <xdr:col>14</xdr:col>
      <xdr:colOff>984691</xdr:colOff>
      <xdr:row>133</xdr:row>
      <xdr:rowOff>64090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DE4F2139-18E8-4560-B379-AEA1456D9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275605</xdr:colOff>
      <xdr:row>108</xdr:row>
      <xdr:rowOff>174313</xdr:rowOff>
    </xdr:from>
    <xdr:to>
      <xdr:col>10</xdr:col>
      <xdr:colOff>275605</xdr:colOff>
      <xdr:row>109</xdr:row>
      <xdr:rowOff>146020</xdr:rowOff>
    </xdr:to>
    <xdr:sp macro="" textlink="">
      <xdr:nvSpPr>
        <xdr:cNvPr id="45" name="POWER_USER_SANKEY_CHART_CONNECTED_SUB_SERIE_SHAPE_73_4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6F7510CF-A23E-4890-8DDE-23FC756EAC56}"/>
            </a:ext>
          </a:extLst>
        </xdr:cNvPr>
        <xdr:cNvSpPr/>
      </xdr:nvSpPr>
      <xdr:spPr>
        <a:xfrm>
          <a:off x="12345685" y="21818923"/>
          <a:ext cx="0" cy="154587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109</xdr:row>
      <xdr:rowOff>146020</xdr:rowOff>
    </xdr:from>
    <xdr:to>
      <xdr:col>10</xdr:col>
      <xdr:colOff>275605</xdr:colOff>
      <xdr:row>110</xdr:row>
      <xdr:rowOff>130842</xdr:rowOff>
    </xdr:to>
    <xdr:sp macro="" textlink="">
      <xdr:nvSpPr>
        <xdr:cNvPr id="46" name="POWER_USER_SANKEY_CHART_CONNECTED_SUB_SERIE_SHAPE_73_5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85E1769B-1332-4266-B021-6595D8F3765D}"/>
            </a:ext>
          </a:extLst>
        </xdr:cNvPr>
        <xdr:cNvSpPr/>
      </xdr:nvSpPr>
      <xdr:spPr>
        <a:xfrm>
          <a:off x="12345685" y="21973510"/>
          <a:ext cx="0" cy="167702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110</xdr:row>
      <xdr:rowOff>130842</xdr:rowOff>
    </xdr:from>
    <xdr:to>
      <xdr:col>10</xdr:col>
      <xdr:colOff>275605</xdr:colOff>
      <xdr:row>112</xdr:row>
      <xdr:rowOff>98795</xdr:rowOff>
    </xdr:to>
    <xdr:sp macro="" textlink="">
      <xdr:nvSpPr>
        <xdr:cNvPr id="47" name="POWER_USER_SANKEY_CHART_CONNECTED_SUB_SERIE_SHAPE_73_7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FC990400-F509-4186-97E7-9545438EF438}"/>
            </a:ext>
          </a:extLst>
        </xdr:cNvPr>
        <xdr:cNvSpPr/>
      </xdr:nvSpPr>
      <xdr:spPr>
        <a:xfrm>
          <a:off x="12345685" y="22141212"/>
          <a:ext cx="0" cy="333713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112</xdr:row>
      <xdr:rowOff>98796</xdr:rowOff>
    </xdr:from>
    <xdr:to>
      <xdr:col>10</xdr:col>
      <xdr:colOff>275605</xdr:colOff>
      <xdr:row>117</xdr:row>
      <xdr:rowOff>88032</xdr:rowOff>
    </xdr:to>
    <xdr:sp macro="" textlink="">
      <xdr:nvSpPr>
        <xdr:cNvPr id="48" name="POWER_USER_SANKEY_CHART_CONNECTED_SUB_SERIE_SHAPE_73_8" descr="{&quot;Id&quot;:&quot;B4313CD2-1809-4C05-8654-34F5F6A6FEC7&quot;,&quot;Value&quot;:3067370.03004418,&quot;Percentage&quot;:0.40280786718124983}">
          <a:extLst>
            <a:ext uri="{FF2B5EF4-FFF2-40B4-BE49-F238E27FC236}">
              <a16:creationId xmlns:a16="http://schemas.microsoft.com/office/drawing/2014/main" id="{932919DF-D405-42F1-9A37-B9F1FCFA13B9}"/>
            </a:ext>
          </a:extLst>
        </xdr:cNvPr>
        <xdr:cNvSpPr/>
      </xdr:nvSpPr>
      <xdr:spPr>
        <a:xfrm>
          <a:off x="12345685" y="22474926"/>
          <a:ext cx="0" cy="903636"/>
        </a:xfrm>
        <a:prstGeom prst="rect">
          <a:avLst/>
        </a:prstGeom>
        <a:solidFill>
          <a:srgbClr val="0070C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118</xdr:row>
      <xdr:rowOff>34923</xdr:rowOff>
    </xdr:from>
    <xdr:to>
      <xdr:col>10</xdr:col>
      <xdr:colOff>275605</xdr:colOff>
      <xdr:row>119</xdr:row>
      <xdr:rowOff>112685</xdr:rowOff>
    </xdr:to>
    <xdr:sp macro="" textlink="">
      <xdr:nvSpPr>
        <xdr:cNvPr id="49" name="POWER_USER_SANKEY_CHART_CONNECTED_SUB_SERIE_SHAPE_74_3" descr="{&quot;Id&quot;:&quot;6CBE75FA-071B-4568-8E86-821876818ECA&quot;,&quot;Value&quot;:859698.66885750485,&quot;Percentage&quot;:0.11289586317568062}">
          <a:extLst>
            <a:ext uri="{FF2B5EF4-FFF2-40B4-BE49-F238E27FC236}">
              <a16:creationId xmlns:a16="http://schemas.microsoft.com/office/drawing/2014/main" id="{0E2882E6-33F8-4B8D-9E7C-C0DBC261B6C7}"/>
            </a:ext>
          </a:extLst>
        </xdr:cNvPr>
        <xdr:cNvSpPr/>
      </xdr:nvSpPr>
      <xdr:spPr>
        <a:xfrm>
          <a:off x="12345685" y="23508333"/>
          <a:ext cx="0" cy="260642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119</xdr:row>
      <xdr:rowOff>112686</xdr:rowOff>
    </xdr:from>
    <xdr:to>
      <xdr:col>10</xdr:col>
      <xdr:colOff>275605</xdr:colOff>
      <xdr:row>119</xdr:row>
      <xdr:rowOff>131564</xdr:rowOff>
    </xdr:to>
    <xdr:sp macro="" textlink="">
      <xdr:nvSpPr>
        <xdr:cNvPr id="50" name="POWER_USER_SANKEY_CHART_CONNECTED_SUB_SERIE_SHAPE_74_7" descr="{&quot;Id&quot;:&quot;6CBE75FA-071B-4568-8E86-821876818ECA&quot;,&quot;Value&quot;:859698.66885750485,&quot;Percentage&quot;:0.11289586317568062}">
          <a:extLst>
            <a:ext uri="{FF2B5EF4-FFF2-40B4-BE49-F238E27FC236}">
              <a16:creationId xmlns:a16="http://schemas.microsoft.com/office/drawing/2014/main" id="{9B64AF31-B0FD-460A-B8EB-88FCBEEA7454}"/>
            </a:ext>
          </a:extLst>
        </xdr:cNvPr>
        <xdr:cNvSpPr/>
      </xdr:nvSpPr>
      <xdr:spPr>
        <a:xfrm>
          <a:off x="12345685" y="23768976"/>
          <a:ext cx="0" cy="18878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119</xdr:row>
      <xdr:rowOff>131562</xdr:rowOff>
    </xdr:from>
    <xdr:to>
      <xdr:col>10</xdr:col>
      <xdr:colOff>275605</xdr:colOff>
      <xdr:row>120</xdr:row>
      <xdr:rowOff>104838</xdr:rowOff>
    </xdr:to>
    <xdr:sp macro="" textlink="">
      <xdr:nvSpPr>
        <xdr:cNvPr id="51" name="POWER_USER_SANKEY_CHART_CONNECTED_SUB_SERIE_SHAPE_74_8" descr="{&quot;Id&quot;:&quot;6CBE75FA-071B-4568-8E86-821876818ECA&quot;,&quot;Value&quot;:859698.66885750485,&quot;Percentage&quot;:0.11289586317568062}">
          <a:extLst>
            <a:ext uri="{FF2B5EF4-FFF2-40B4-BE49-F238E27FC236}">
              <a16:creationId xmlns:a16="http://schemas.microsoft.com/office/drawing/2014/main" id="{634B07B9-147B-43C5-84D4-528070FECA46}"/>
            </a:ext>
          </a:extLst>
        </xdr:cNvPr>
        <xdr:cNvSpPr/>
      </xdr:nvSpPr>
      <xdr:spPr>
        <a:xfrm>
          <a:off x="12345685" y="23787852"/>
          <a:ext cx="0" cy="156156"/>
        </a:xfrm>
        <a:prstGeom prst="rect">
          <a:avLst/>
        </a:prstGeom>
        <a:solidFill>
          <a:schemeClr val="accent2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121</xdr:row>
      <xdr:rowOff>51729</xdr:rowOff>
    </xdr:from>
    <xdr:to>
      <xdr:col>10</xdr:col>
      <xdr:colOff>275605</xdr:colOff>
      <xdr:row>123</xdr:row>
      <xdr:rowOff>82603</xdr:rowOff>
    </xdr:to>
    <xdr:sp macro="" textlink="">
      <xdr:nvSpPr>
        <xdr:cNvPr id="52" name="POWER_USER_SANKEY_CHART_CONNECTED_SUB_SERIE_SHAPE_75_3" descr="{&quot;Id&quot;:&quot;A4DECEA7-176B-47FC-9B44-63A77A792D15&quot;,&quot;Value&quot;:944745.0466419938,&quot;Percentage&quot;:0.12406417665312808}">
          <a:extLst>
            <a:ext uri="{FF2B5EF4-FFF2-40B4-BE49-F238E27FC236}">
              <a16:creationId xmlns:a16="http://schemas.microsoft.com/office/drawing/2014/main" id="{1D6434B6-A33C-40A1-BC6F-6A76A049CE62}"/>
            </a:ext>
          </a:extLst>
        </xdr:cNvPr>
        <xdr:cNvSpPr/>
      </xdr:nvSpPr>
      <xdr:spPr>
        <a:xfrm>
          <a:off x="12345685" y="24073779"/>
          <a:ext cx="0" cy="396634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123</xdr:row>
      <xdr:rowOff>82603</xdr:rowOff>
    </xdr:from>
    <xdr:to>
      <xdr:col>10</xdr:col>
      <xdr:colOff>275605</xdr:colOff>
      <xdr:row>123</xdr:row>
      <xdr:rowOff>108048</xdr:rowOff>
    </xdr:to>
    <xdr:sp macro="" textlink="">
      <xdr:nvSpPr>
        <xdr:cNvPr id="53" name="POWER_USER_SANKEY_CHART_CONNECTED_SUB_SERIE_SHAPE_75_7" descr="{&quot;Id&quot;:&quot;A4DECEA7-176B-47FC-9B44-63A77A792D15&quot;,&quot;Value&quot;:944745.0466419938,&quot;Percentage&quot;:0.12406417665312808}">
          <a:extLst>
            <a:ext uri="{FF2B5EF4-FFF2-40B4-BE49-F238E27FC236}">
              <a16:creationId xmlns:a16="http://schemas.microsoft.com/office/drawing/2014/main" id="{DC046E70-20E2-4438-A727-A86D3A9DF958}"/>
            </a:ext>
          </a:extLst>
        </xdr:cNvPr>
        <xdr:cNvSpPr/>
      </xdr:nvSpPr>
      <xdr:spPr>
        <a:xfrm>
          <a:off x="12345685" y="24470413"/>
          <a:ext cx="0" cy="25445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123</xdr:row>
      <xdr:rowOff>108048</xdr:rowOff>
    </xdr:from>
    <xdr:to>
      <xdr:col>10</xdr:col>
      <xdr:colOff>275605</xdr:colOff>
      <xdr:row>123</xdr:row>
      <xdr:rowOff>164195</xdr:rowOff>
    </xdr:to>
    <xdr:sp macro="" textlink="">
      <xdr:nvSpPr>
        <xdr:cNvPr id="54" name="POWER_USER_SANKEY_CHART_CONNECTED_SUB_SERIE_SHAPE_75_8" descr="{&quot;Id&quot;:&quot;A4DECEA7-176B-47FC-9B44-63A77A792D15&quot;,&quot;Value&quot;:944745.0466419938,&quot;Percentage&quot;:0.12406417665312808}">
          <a:extLst>
            <a:ext uri="{FF2B5EF4-FFF2-40B4-BE49-F238E27FC236}">
              <a16:creationId xmlns:a16="http://schemas.microsoft.com/office/drawing/2014/main" id="{9F13BC2A-CFD8-46E9-9D66-3CC844849669}"/>
            </a:ext>
          </a:extLst>
        </xdr:cNvPr>
        <xdr:cNvSpPr/>
      </xdr:nvSpPr>
      <xdr:spPr>
        <a:xfrm>
          <a:off x="12345685" y="24495858"/>
          <a:ext cx="0" cy="56147"/>
        </a:xfrm>
        <a:prstGeom prst="rect">
          <a:avLst/>
        </a:prstGeom>
        <a:solidFill>
          <a:srgbClr val="7030A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124</xdr:row>
      <xdr:rowOff>111086</xdr:rowOff>
    </xdr:from>
    <xdr:to>
      <xdr:col>10</xdr:col>
      <xdr:colOff>275605</xdr:colOff>
      <xdr:row>125</xdr:row>
      <xdr:rowOff>33438</xdr:rowOff>
    </xdr:to>
    <xdr:sp macro="" textlink="">
      <xdr:nvSpPr>
        <xdr:cNvPr id="55" name="POWER_USER_SANKEY_CHART_CONNECTED_SUB_SERIE_SHAPE_76_3" descr="{&quot;Id&quot;:&quot;79D465A1-1511-427F-8B4E-0F7D9A2CBB24&quot;,&quot;Value&quot;:213187.19637634844,&quot;Percentage&quot;:0.027995800650588716}">
          <a:extLst>
            <a:ext uri="{FF2B5EF4-FFF2-40B4-BE49-F238E27FC236}">
              <a16:creationId xmlns:a16="http://schemas.microsoft.com/office/drawing/2014/main" id="{CCFB5CE9-E22A-4B49-AFED-3614B2B364AC}"/>
            </a:ext>
          </a:extLst>
        </xdr:cNvPr>
        <xdr:cNvSpPr/>
      </xdr:nvSpPr>
      <xdr:spPr>
        <a:xfrm>
          <a:off x="12345685" y="24681776"/>
          <a:ext cx="0" cy="105232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125</xdr:row>
      <xdr:rowOff>33438</xdr:rowOff>
    </xdr:from>
    <xdr:to>
      <xdr:col>10</xdr:col>
      <xdr:colOff>275605</xdr:colOff>
      <xdr:row>125</xdr:row>
      <xdr:rowOff>37330</xdr:rowOff>
    </xdr:to>
    <xdr:sp macro="" textlink="">
      <xdr:nvSpPr>
        <xdr:cNvPr id="56" name="POWER_USER_SANKEY_CHART_CONNECTED_SUB_SERIE_SHAPE_76_4" descr="{&quot;Id&quot;:&quot;79D465A1-1511-427F-8B4E-0F7D9A2CBB24&quot;,&quot;Value&quot;:213187.19637634844,&quot;Percentage&quot;:0.027995800650588716}">
          <a:extLst>
            <a:ext uri="{FF2B5EF4-FFF2-40B4-BE49-F238E27FC236}">
              <a16:creationId xmlns:a16="http://schemas.microsoft.com/office/drawing/2014/main" id="{27D763D0-5C29-4B5E-B107-F5FE8A03C748}"/>
            </a:ext>
          </a:extLst>
        </xdr:cNvPr>
        <xdr:cNvSpPr/>
      </xdr:nvSpPr>
      <xdr:spPr>
        <a:xfrm>
          <a:off x="12345685" y="24787008"/>
          <a:ext cx="0" cy="3892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125</xdr:row>
      <xdr:rowOff>37330</xdr:rowOff>
    </xdr:from>
    <xdr:to>
      <xdr:col>10</xdr:col>
      <xdr:colOff>275605</xdr:colOff>
      <xdr:row>125</xdr:row>
      <xdr:rowOff>37640</xdr:rowOff>
    </xdr:to>
    <xdr:sp macro="" textlink="">
      <xdr:nvSpPr>
        <xdr:cNvPr id="57" name="POWER_USER_SANKEY_CHART_CONNECTED_SUB_SERIE_SHAPE_76_5" descr="{&quot;Id&quot;:&quot;79D465A1-1511-427F-8B4E-0F7D9A2CBB24&quot;,&quot;Value&quot;:213187.19637634844,&quot;Percentage&quot;:0.027995800650588716}">
          <a:extLst>
            <a:ext uri="{FF2B5EF4-FFF2-40B4-BE49-F238E27FC236}">
              <a16:creationId xmlns:a16="http://schemas.microsoft.com/office/drawing/2014/main" id="{0BACB720-9099-4628-8457-94EE923B2C79}"/>
            </a:ext>
          </a:extLst>
        </xdr:cNvPr>
        <xdr:cNvSpPr/>
      </xdr:nvSpPr>
      <xdr:spPr>
        <a:xfrm>
          <a:off x="12345685" y="24790900"/>
          <a:ext cx="0" cy="310"/>
        </a:xfrm>
        <a:prstGeom prst="rect">
          <a:avLst/>
        </a:prstGeom>
        <a:solidFill>
          <a:schemeClr val="accent4">
            <a:alpha val="40000"/>
          </a:scheme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125</xdr:row>
      <xdr:rowOff>164639</xdr:rowOff>
    </xdr:from>
    <xdr:to>
      <xdr:col>10</xdr:col>
      <xdr:colOff>275605</xdr:colOff>
      <xdr:row>126</xdr:row>
      <xdr:rowOff>80688</xdr:rowOff>
    </xdr:to>
    <xdr:sp macro="" textlink="">
      <xdr:nvSpPr>
        <xdr:cNvPr id="58" name="POWER_USER_SANKEY_CHART_CONNECTED_SUB_SERIE_SHAPE_77_3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27F76243-CFCB-46E1-B3F1-856B3E0FB208}"/>
            </a:ext>
          </a:extLst>
        </xdr:cNvPr>
        <xdr:cNvSpPr/>
      </xdr:nvSpPr>
      <xdr:spPr>
        <a:xfrm>
          <a:off x="12345685" y="24918209"/>
          <a:ext cx="0" cy="98929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126</xdr:row>
      <xdr:rowOff>80688</xdr:rowOff>
    </xdr:from>
    <xdr:to>
      <xdr:col>10</xdr:col>
      <xdr:colOff>275605</xdr:colOff>
      <xdr:row>127</xdr:row>
      <xdr:rowOff>13852</xdr:rowOff>
    </xdr:to>
    <xdr:sp macro="" textlink="">
      <xdr:nvSpPr>
        <xdr:cNvPr id="59" name="POWER_USER_SANKEY_CHART_CONNECTED_SUB_SERIE_SHAPE_77_4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71C55D21-4368-40E5-8C3A-687339D2135F}"/>
            </a:ext>
          </a:extLst>
        </xdr:cNvPr>
        <xdr:cNvSpPr/>
      </xdr:nvSpPr>
      <xdr:spPr>
        <a:xfrm>
          <a:off x="12345685" y="25017138"/>
          <a:ext cx="0" cy="116044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127</xdr:row>
      <xdr:rowOff>13853</xdr:rowOff>
    </xdr:from>
    <xdr:to>
      <xdr:col>10</xdr:col>
      <xdr:colOff>275605</xdr:colOff>
      <xdr:row>127</xdr:row>
      <xdr:rowOff>114783</xdr:rowOff>
    </xdr:to>
    <xdr:sp macro="" textlink="">
      <xdr:nvSpPr>
        <xdr:cNvPr id="60" name="POWER_USER_SANKEY_CHART_CONNECTED_SUB_SERIE_SHAPE_77_5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0F8F229C-1E48-4861-8925-FDA36FFFF5FF}"/>
            </a:ext>
          </a:extLst>
        </xdr:cNvPr>
        <xdr:cNvSpPr/>
      </xdr:nvSpPr>
      <xdr:spPr>
        <a:xfrm>
          <a:off x="12345685" y="25133183"/>
          <a:ext cx="0" cy="100930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127</xdr:row>
      <xdr:rowOff>114783</xdr:rowOff>
    </xdr:from>
    <xdr:to>
      <xdr:col>10</xdr:col>
      <xdr:colOff>275605</xdr:colOff>
      <xdr:row>127</xdr:row>
      <xdr:rowOff>142842</xdr:rowOff>
    </xdr:to>
    <xdr:sp macro="" textlink="">
      <xdr:nvSpPr>
        <xdr:cNvPr id="61" name="POWER_USER_SANKEY_CHART_CONNECTED_SUB_SERIE_SHAPE_77_6" descr="{&quot;Id&quot;:&quot;ED4A8657-BA17-455E-95F9-C3D51A1E583F&quot;,&quot;Value&quot;:676393.25021535379,&quot;Percentage&quot;:0.08882414570997027}">
          <a:extLst>
            <a:ext uri="{FF2B5EF4-FFF2-40B4-BE49-F238E27FC236}">
              <a16:creationId xmlns:a16="http://schemas.microsoft.com/office/drawing/2014/main" id="{0D5E130B-E7D6-4FC5-B5A5-5D5136FF34BC}"/>
            </a:ext>
          </a:extLst>
        </xdr:cNvPr>
        <xdr:cNvSpPr/>
      </xdr:nvSpPr>
      <xdr:spPr>
        <a:xfrm>
          <a:off x="12345685" y="25234113"/>
          <a:ext cx="0" cy="28059"/>
        </a:xfrm>
        <a:prstGeom prst="rect">
          <a:avLst/>
        </a:prstGeom>
        <a:solidFill>
          <a:srgbClr val="00B0F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128</xdr:row>
      <xdr:rowOff>89732</xdr:rowOff>
    </xdr:from>
    <xdr:to>
      <xdr:col>10</xdr:col>
      <xdr:colOff>275605</xdr:colOff>
      <xdr:row>130</xdr:row>
      <xdr:rowOff>72420</xdr:rowOff>
    </xdr:to>
    <xdr:sp macro="" textlink="">
      <xdr:nvSpPr>
        <xdr:cNvPr id="62" name="POWER_USER_SANKEY_CHART_CONNECTED_SUB_SERIE_SHAPE_78_3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D07EE82A-4C74-4633-A946-137FB817D6D9}"/>
            </a:ext>
          </a:extLst>
        </xdr:cNvPr>
        <xdr:cNvSpPr/>
      </xdr:nvSpPr>
      <xdr:spPr>
        <a:xfrm>
          <a:off x="12345685" y="25391942"/>
          <a:ext cx="0" cy="348448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130</xdr:row>
      <xdr:rowOff>72420</xdr:rowOff>
    </xdr:from>
    <xdr:to>
      <xdr:col>10</xdr:col>
      <xdr:colOff>275605</xdr:colOff>
      <xdr:row>131</xdr:row>
      <xdr:rowOff>141560</xdr:rowOff>
    </xdr:to>
    <xdr:sp macro="" textlink="">
      <xdr:nvSpPr>
        <xdr:cNvPr id="63" name="POWER_USER_SANKEY_CHART_CONNECTED_SUB_SERIE_SHAPE_78_4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D6AB5834-A6CF-4666-A841-70AA8926AB52}"/>
            </a:ext>
          </a:extLst>
        </xdr:cNvPr>
        <xdr:cNvSpPr/>
      </xdr:nvSpPr>
      <xdr:spPr>
        <a:xfrm>
          <a:off x="12345685" y="25740390"/>
          <a:ext cx="0" cy="252020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131</xdr:row>
      <xdr:rowOff>141560</xdr:rowOff>
    </xdr:from>
    <xdr:to>
      <xdr:col>10</xdr:col>
      <xdr:colOff>275605</xdr:colOff>
      <xdr:row>133</xdr:row>
      <xdr:rowOff>44656</xdr:rowOff>
    </xdr:to>
    <xdr:sp macro="" textlink="">
      <xdr:nvSpPr>
        <xdr:cNvPr id="64" name="POWER_USER_SANKEY_CHART_CONNECTED_SUB_SERIE_SHAPE_78_5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9CE5E5FF-7FE2-4BEF-AE58-F3C42F442B83}"/>
            </a:ext>
          </a:extLst>
        </xdr:cNvPr>
        <xdr:cNvSpPr/>
      </xdr:nvSpPr>
      <xdr:spPr>
        <a:xfrm>
          <a:off x="12345685" y="25992410"/>
          <a:ext cx="0" cy="268856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10</xdr:col>
      <xdr:colOff>275605</xdr:colOff>
      <xdr:row>133</xdr:row>
      <xdr:rowOff>44656</xdr:rowOff>
    </xdr:from>
    <xdr:to>
      <xdr:col>10</xdr:col>
      <xdr:colOff>275605</xdr:colOff>
      <xdr:row>133</xdr:row>
      <xdr:rowOff>116586</xdr:rowOff>
    </xdr:to>
    <xdr:sp macro="" textlink="">
      <xdr:nvSpPr>
        <xdr:cNvPr id="65" name="POWER_USER_SANKEY_CHART_CONNECTED_SUB_SERIE_SHAPE_78_6" descr="{&quot;Id&quot;:&quot;584E6A4B-BD77-4EDB-AF51-B69C67253BE3&quot;,&quot;Value&quot;:1853576.3185174509,&quot;Percentage&quot;:0.24341214662938251}">
          <a:extLst>
            <a:ext uri="{FF2B5EF4-FFF2-40B4-BE49-F238E27FC236}">
              <a16:creationId xmlns:a16="http://schemas.microsoft.com/office/drawing/2014/main" id="{47874BFB-7765-486F-93FA-C4981E1ABD05}"/>
            </a:ext>
          </a:extLst>
        </xdr:cNvPr>
        <xdr:cNvSpPr/>
      </xdr:nvSpPr>
      <xdr:spPr>
        <a:xfrm>
          <a:off x="12345685" y="26261266"/>
          <a:ext cx="0" cy="71930"/>
        </a:xfrm>
        <a:prstGeom prst="rect">
          <a:avLst/>
        </a:prstGeom>
        <a:solidFill>
          <a:srgbClr val="FF0000">
            <a:alpha val="40000"/>
          </a:srgbClr>
        </a:solidFill>
        <a:ln w="3175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108</xdr:row>
      <xdr:rowOff>174313</xdr:rowOff>
    </xdr:from>
    <xdr:to>
      <xdr:col>13</xdr:col>
      <xdr:colOff>792842</xdr:colOff>
      <xdr:row>110</xdr:row>
      <xdr:rowOff>71966</xdr:rowOff>
    </xdr:to>
    <xdr:sp macro="" textlink="">
      <xdr:nvSpPr>
        <xdr:cNvPr id="66" name="POWER_USER_SANKEY_CHART_CONNECTED_SUB_CATEGORY_SHAPE_74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82000D3D-97EB-49C9-864B-5A32CD366BA2}"/>
            </a:ext>
          </a:extLst>
        </xdr:cNvPr>
        <xdr:cNvSpPr/>
      </xdr:nvSpPr>
      <xdr:spPr>
        <a:xfrm>
          <a:off x="17469212" y="21818923"/>
          <a:ext cx="0" cy="26341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110</xdr:row>
      <xdr:rowOff>71966</xdr:rowOff>
    </xdr:from>
    <xdr:to>
      <xdr:col>13</xdr:col>
      <xdr:colOff>792842</xdr:colOff>
      <xdr:row>112</xdr:row>
      <xdr:rowOff>102841</xdr:rowOff>
    </xdr:to>
    <xdr:sp macro="" textlink="">
      <xdr:nvSpPr>
        <xdr:cNvPr id="67" name="POWER_USER_SANKEY_CHART_CONNECTED_SUB_CATEGORY_SHAPE_75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107AE644-BBB8-430A-9C10-2B11693CB486}"/>
            </a:ext>
          </a:extLst>
        </xdr:cNvPr>
        <xdr:cNvSpPr/>
      </xdr:nvSpPr>
      <xdr:spPr>
        <a:xfrm>
          <a:off x="17469212" y="22082336"/>
          <a:ext cx="0" cy="396635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112</xdr:row>
      <xdr:rowOff>102841</xdr:rowOff>
    </xdr:from>
    <xdr:to>
      <xdr:col>13</xdr:col>
      <xdr:colOff>792842</xdr:colOff>
      <xdr:row>113</xdr:row>
      <xdr:rowOff>25194</xdr:rowOff>
    </xdr:to>
    <xdr:sp macro="" textlink="">
      <xdr:nvSpPr>
        <xdr:cNvPr id="68" name="POWER_USER_SANKEY_CHART_CONNECTED_SUB_CATEGORY_SHAPE_76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6888F394-8EEC-41C9-8FA1-1E96BD7C2466}"/>
            </a:ext>
          </a:extLst>
        </xdr:cNvPr>
        <xdr:cNvSpPr/>
      </xdr:nvSpPr>
      <xdr:spPr>
        <a:xfrm>
          <a:off x="17469212" y="22478971"/>
          <a:ext cx="0" cy="105233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113</xdr:row>
      <xdr:rowOff>25194</xdr:rowOff>
    </xdr:from>
    <xdr:to>
      <xdr:col>13</xdr:col>
      <xdr:colOff>792842</xdr:colOff>
      <xdr:row>113</xdr:row>
      <xdr:rowOff>121352</xdr:rowOff>
    </xdr:to>
    <xdr:sp macro="" textlink="">
      <xdr:nvSpPr>
        <xdr:cNvPr id="69" name="POWER_USER_SANKEY_CHART_CONNECTED_SUB_CATEGORY_SHAPE_77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8EF48044-83D6-4BD9-8044-92621368D984}"/>
            </a:ext>
          </a:extLst>
        </xdr:cNvPr>
        <xdr:cNvSpPr/>
      </xdr:nvSpPr>
      <xdr:spPr>
        <a:xfrm>
          <a:off x="17469212" y="22584204"/>
          <a:ext cx="0" cy="9615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113</xdr:row>
      <xdr:rowOff>121352</xdr:rowOff>
    </xdr:from>
    <xdr:to>
      <xdr:col>13</xdr:col>
      <xdr:colOff>792842</xdr:colOff>
      <xdr:row>115</xdr:row>
      <xdr:rowOff>104042</xdr:rowOff>
    </xdr:to>
    <xdr:sp macro="" textlink="">
      <xdr:nvSpPr>
        <xdr:cNvPr id="70" name="POWER_USER_SANKEY_CHART_CONNECTED_SUB_CATEGORY_SHAPE_78_3" descr="{&quot;Id&quot;:&quot;0F323BDC-0445-4E3F-B11E-1EEC9F7F207C&quot;,&quot;Value&quot;:2379410.835158125,&quot;Percentage&quot;:0.31246487846925858}">
          <a:extLst>
            <a:ext uri="{FF2B5EF4-FFF2-40B4-BE49-F238E27FC236}">
              <a16:creationId xmlns:a16="http://schemas.microsoft.com/office/drawing/2014/main" id="{30C49572-F2F8-4DEB-B4B2-8943DF3556C8}"/>
            </a:ext>
          </a:extLst>
        </xdr:cNvPr>
        <xdr:cNvSpPr/>
      </xdr:nvSpPr>
      <xdr:spPr>
        <a:xfrm>
          <a:off x="17469212" y="22680362"/>
          <a:ext cx="0" cy="348450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116</xdr:row>
      <xdr:rowOff>50933</xdr:rowOff>
    </xdr:from>
    <xdr:to>
      <xdr:col>13</xdr:col>
      <xdr:colOff>792842</xdr:colOff>
      <xdr:row>117</xdr:row>
      <xdr:rowOff>22640</xdr:rowOff>
    </xdr:to>
    <xdr:sp macro="" textlink="">
      <xdr:nvSpPr>
        <xdr:cNvPr id="71" name="POWER_USER_SANKEY_CHART_CONNECTED_SUB_CATEGORY_SHAPE_73_4" descr="{&quot;Id&quot;:&quot;37E23261-25A1-4747-8798-A9E91196DAF2&quot;,&quot;Value&quot;:1035773.173401817,&quot;Percentage&quot;:0.13601801503404903}">
          <a:extLst>
            <a:ext uri="{FF2B5EF4-FFF2-40B4-BE49-F238E27FC236}">
              <a16:creationId xmlns:a16="http://schemas.microsoft.com/office/drawing/2014/main" id="{DAAAB465-5C29-4A99-85E4-07C07AC3A547}"/>
            </a:ext>
          </a:extLst>
        </xdr:cNvPr>
        <xdr:cNvSpPr/>
      </xdr:nvSpPr>
      <xdr:spPr>
        <a:xfrm>
          <a:off x="17469212" y="23158583"/>
          <a:ext cx="0" cy="154587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117</xdr:row>
      <xdr:rowOff>22640</xdr:rowOff>
    </xdr:from>
    <xdr:to>
      <xdr:col>13</xdr:col>
      <xdr:colOff>792842</xdr:colOff>
      <xdr:row>117</xdr:row>
      <xdr:rowOff>26532</xdr:rowOff>
    </xdr:to>
    <xdr:sp macro="" textlink="">
      <xdr:nvSpPr>
        <xdr:cNvPr id="72" name="POWER_USER_SANKEY_CHART_CONNECTED_SUB_CATEGORY_SHAPE_76_4" descr="{&quot;Id&quot;:&quot;37E23261-25A1-4747-8798-A9E91196DAF2&quot;,&quot;Value&quot;:1035773.173401817,&quot;Percentage&quot;:0.13601801503404903}">
          <a:extLst>
            <a:ext uri="{FF2B5EF4-FFF2-40B4-BE49-F238E27FC236}">
              <a16:creationId xmlns:a16="http://schemas.microsoft.com/office/drawing/2014/main" id="{27CE078B-4A1E-456B-A0A2-C5F29743D37A}"/>
            </a:ext>
          </a:extLst>
        </xdr:cNvPr>
        <xdr:cNvSpPr/>
      </xdr:nvSpPr>
      <xdr:spPr>
        <a:xfrm>
          <a:off x="17469212" y="23313170"/>
          <a:ext cx="0" cy="389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956787</xdr:colOff>
      <xdr:row>117</xdr:row>
      <xdr:rowOff>22640</xdr:rowOff>
    </xdr:from>
    <xdr:to>
      <xdr:col>13</xdr:col>
      <xdr:colOff>767442</xdr:colOff>
      <xdr:row>117</xdr:row>
      <xdr:rowOff>26532</xdr:rowOff>
    </xdr:to>
    <xdr:sp macro="" textlink="">
      <xdr:nvSpPr>
        <xdr:cNvPr id="73" name="POWER_USER_SANKEY_CHART_SUB_CATEGORY_SHAPE" descr="{&quot;Id&quot;:&quot;79D465A1-1511-427F-8B4E-0F7D9A2CBB24&quot;,&quot;Value&quot;:7779.57797842105,&quot;Percentage&quot;:0.0010216162974679866}">
          <a:extLst>
            <a:ext uri="{FF2B5EF4-FFF2-40B4-BE49-F238E27FC236}">
              <a16:creationId xmlns:a16="http://schemas.microsoft.com/office/drawing/2014/main" id="{B8D7E527-0C13-4057-B3BB-2FB3C58F7C63}"/>
            </a:ext>
          </a:extLst>
        </xdr:cNvPr>
        <xdr:cNvSpPr/>
      </xdr:nvSpPr>
      <xdr:spPr>
        <a:xfrm>
          <a:off x="14909007" y="23313170"/>
          <a:ext cx="2534805" cy="3892"/>
        </a:xfrm>
        <a:prstGeom prst="rect">
          <a:avLst/>
        </a:prstGeom>
        <a:noFill/>
        <a:ln w="317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0"/>
        <a:lstStyle/>
        <a:p>
          <a:pPr algn="r"/>
          <a:r>
            <a:rPr lang="pt-BR" sz="1100" b="0" i="0" u="none">
              <a:solidFill>
                <a:schemeClr val="dk1"/>
              </a:solidFill>
            </a:rPr>
            <a:t>7.780</a:t>
          </a:r>
        </a:p>
      </xdr:txBody>
    </xdr:sp>
    <xdr:clientData/>
  </xdr:twoCellAnchor>
  <xdr:twoCellAnchor>
    <xdr:from>
      <xdr:col>13</xdr:col>
      <xdr:colOff>792842</xdr:colOff>
      <xdr:row>117</xdr:row>
      <xdr:rowOff>26531</xdr:rowOff>
    </xdr:from>
    <xdr:to>
      <xdr:col>13</xdr:col>
      <xdr:colOff>792842</xdr:colOff>
      <xdr:row>117</xdr:row>
      <xdr:rowOff>139803</xdr:rowOff>
    </xdr:to>
    <xdr:sp macro="" textlink="">
      <xdr:nvSpPr>
        <xdr:cNvPr id="74" name="POWER_USER_SANKEY_CHART_CONNECTED_SUB_CATEGORY_SHAPE_77_4" descr="{&quot;Id&quot;:&quot;37E23261-25A1-4747-8798-A9E91196DAF2&quot;,&quot;Value&quot;:1035773.173401817,&quot;Percentage&quot;:0.13601801503404903}">
          <a:extLst>
            <a:ext uri="{FF2B5EF4-FFF2-40B4-BE49-F238E27FC236}">
              <a16:creationId xmlns:a16="http://schemas.microsoft.com/office/drawing/2014/main" id="{1E22C6CD-CB8C-4425-82EF-8DF15B9B841D}"/>
            </a:ext>
          </a:extLst>
        </xdr:cNvPr>
        <xdr:cNvSpPr/>
      </xdr:nvSpPr>
      <xdr:spPr>
        <a:xfrm>
          <a:off x="17469212" y="23317061"/>
          <a:ext cx="0" cy="11327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119</xdr:row>
      <xdr:rowOff>155832</xdr:rowOff>
    </xdr:from>
    <xdr:to>
      <xdr:col>13</xdr:col>
      <xdr:colOff>792842</xdr:colOff>
      <xdr:row>120</xdr:row>
      <xdr:rowOff>140654</xdr:rowOff>
    </xdr:to>
    <xdr:sp macro="" textlink="">
      <xdr:nvSpPr>
        <xdr:cNvPr id="75" name="POWER_USER_SANKEY_CHART_CONNECTED_SUB_CATEGORY_SHAPE_73_5" descr="{&quot;Id&quot;:&quot;757455AA-75E2-4758-8248-F77683850E4D&quot;,&quot;Value&quot;:1058269.8427197575,&quot;Percentage&quot;:0.13897228377172427}">
          <a:extLst>
            <a:ext uri="{FF2B5EF4-FFF2-40B4-BE49-F238E27FC236}">
              <a16:creationId xmlns:a16="http://schemas.microsoft.com/office/drawing/2014/main" id="{2D1080A3-918F-4549-98AC-D9D611EF97C5}"/>
            </a:ext>
          </a:extLst>
        </xdr:cNvPr>
        <xdr:cNvSpPr/>
      </xdr:nvSpPr>
      <xdr:spPr>
        <a:xfrm>
          <a:off x="17469212" y="23812122"/>
          <a:ext cx="0" cy="16770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120</xdr:row>
      <xdr:rowOff>140654</xdr:rowOff>
    </xdr:from>
    <xdr:to>
      <xdr:col>13</xdr:col>
      <xdr:colOff>792842</xdr:colOff>
      <xdr:row>120</xdr:row>
      <xdr:rowOff>140964</xdr:rowOff>
    </xdr:to>
    <xdr:sp macro="" textlink="">
      <xdr:nvSpPr>
        <xdr:cNvPr id="76" name="POWER_USER_SANKEY_CHART_CONNECTED_SUB_CATEGORY_SHAPE_76_5" descr="{&quot;Id&quot;:&quot;757455AA-75E2-4758-8248-F77683850E4D&quot;,&quot;Value&quot;:1058269.8427197575,&quot;Percentage&quot;:0.13897228377172427}">
          <a:extLst>
            <a:ext uri="{FF2B5EF4-FFF2-40B4-BE49-F238E27FC236}">
              <a16:creationId xmlns:a16="http://schemas.microsoft.com/office/drawing/2014/main" id="{F24865D1-715E-4425-B4EB-79E498A73F83}"/>
            </a:ext>
          </a:extLst>
        </xdr:cNvPr>
        <xdr:cNvSpPr/>
      </xdr:nvSpPr>
      <xdr:spPr>
        <a:xfrm>
          <a:off x="17469212" y="23979824"/>
          <a:ext cx="0" cy="310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11</xdr:col>
      <xdr:colOff>956787</xdr:colOff>
      <xdr:row>120</xdr:row>
      <xdr:rowOff>140654</xdr:rowOff>
    </xdr:from>
    <xdr:to>
      <xdr:col>13</xdr:col>
      <xdr:colOff>767442</xdr:colOff>
      <xdr:row>120</xdr:row>
      <xdr:rowOff>140964</xdr:rowOff>
    </xdr:to>
    <xdr:sp macro="" textlink="">
      <xdr:nvSpPr>
        <xdr:cNvPr id="77" name="POWER_USER_SANKEY_CHART_SUB_CATEGORY_SHAPE" descr="{&quot;Id&quot;:&quot;79D465A1-1511-427F-8B4E-0F7D9A2CBB24&quot;,&quot;Value&quot;:618.888188947369,&quot;Percentage&quot;:8.1272565413298189E-05}">
          <a:extLst>
            <a:ext uri="{FF2B5EF4-FFF2-40B4-BE49-F238E27FC236}">
              <a16:creationId xmlns:a16="http://schemas.microsoft.com/office/drawing/2014/main" id="{AF3DE141-551B-43FD-8883-3C1A4FE40E8D}"/>
            </a:ext>
          </a:extLst>
        </xdr:cNvPr>
        <xdr:cNvSpPr/>
      </xdr:nvSpPr>
      <xdr:spPr>
        <a:xfrm>
          <a:off x="14909007" y="23979824"/>
          <a:ext cx="2534805" cy="310"/>
        </a:xfrm>
        <a:prstGeom prst="rect">
          <a:avLst/>
        </a:prstGeom>
        <a:noFill/>
        <a:ln w="317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0"/>
        <a:lstStyle/>
        <a:p>
          <a:pPr algn="r"/>
          <a:r>
            <a:rPr lang="pt-BR" sz="1100" b="0" i="0" u="none">
              <a:solidFill>
                <a:schemeClr val="dk1"/>
              </a:solidFill>
            </a:rPr>
            <a:t>619</a:t>
          </a:r>
        </a:p>
      </xdr:txBody>
    </xdr:sp>
    <xdr:clientData/>
  </xdr:twoCellAnchor>
  <xdr:twoCellAnchor>
    <xdr:from>
      <xdr:col>13</xdr:col>
      <xdr:colOff>792842</xdr:colOff>
      <xdr:row>120</xdr:row>
      <xdr:rowOff>140964</xdr:rowOff>
    </xdr:from>
    <xdr:to>
      <xdr:col>13</xdr:col>
      <xdr:colOff>792842</xdr:colOff>
      <xdr:row>121</xdr:row>
      <xdr:rowOff>61786</xdr:rowOff>
    </xdr:to>
    <xdr:sp macro="" textlink="">
      <xdr:nvSpPr>
        <xdr:cNvPr id="78" name="POWER_USER_SANKEY_CHART_CONNECTED_SUB_CATEGORY_SHAPE_77_5" descr="{&quot;Id&quot;:&quot;757455AA-75E2-4758-8248-F77683850E4D&quot;,&quot;Value&quot;:1058269.8427197575,&quot;Percentage&quot;:0.13897228377172427}">
          <a:extLst>
            <a:ext uri="{FF2B5EF4-FFF2-40B4-BE49-F238E27FC236}">
              <a16:creationId xmlns:a16="http://schemas.microsoft.com/office/drawing/2014/main" id="{EF568051-DE3A-43EB-AEB1-3F7976B323B1}"/>
            </a:ext>
          </a:extLst>
        </xdr:cNvPr>
        <xdr:cNvSpPr/>
      </xdr:nvSpPr>
      <xdr:spPr>
        <a:xfrm>
          <a:off x="17469212" y="23980134"/>
          <a:ext cx="0" cy="103702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123</xdr:row>
      <xdr:rowOff>91880</xdr:rowOff>
    </xdr:from>
    <xdr:to>
      <xdr:col>13</xdr:col>
      <xdr:colOff>792842</xdr:colOff>
      <xdr:row>123</xdr:row>
      <xdr:rowOff>119939</xdr:rowOff>
    </xdr:to>
    <xdr:sp macro="" textlink="">
      <xdr:nvSpPr>
        <xdr:cNvPr id="79" name="POWER_USER_SANKEY_CHART_CONNECTED_SUB_CATEGORY_SHAPE_77_6" descr="{&quot;Id&quot;:&quot;D5DAD165-0B7B-4ABE-A993-3ABB8238F36C&quot;,&quot;Value&quot;:199848.27588052681,&quot;Percentage&quot;:0.026244129980668017}">
          <a:extLst>
            <a:ext uri="{FF2B5EF4-FFF2-40B4-BE49-F238E27FC236}">
              <a16:creationId xmlns:a16="http://schemas.microsoft.com/office/drawing/2014/main" id="{1E0B7077-AFA6-474A-A607-FADD7A1E5F69}"/>
            </a:ext>
          </a:extLst>
        </xdr:cNvPr>
        <xdr:cNvSpPr/>
      </xdr:nvSpPr>
      <xdr:spPr>
        <a:xfrm>
          <a:off x="17469212" y="24479690"/>
          <a:ext cx="0" cy="28059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126</xdr:row>
      <xdr:rowOff>125593</xdr:rowOff>
    </xdr:from>
    <xdr:to>
      <xdr:col>13</xdr:col>
      <xdr:colOff>792842</xdr:colOff>
      <xdr:row>126</xdr:row>
      <xdr:rowOff>151038</xdr:rowOff>
    </xdr:to>
    <xdr:sp macro="" textlink="">
      <xdr:nvSpPr>
        <xdr:cNvPr id="80" name="POWER_USER_SANKEY_CHART_CONNECTED_SUB_CATEGORY_SHAPE_75_7" descr="{&quot;Id&quot;:&quot;53A11BDF-F8B4-4519-9BB9-1FA3CB9ABC94&quot;,&quot;Value&quot;:744496.39544122154,&quot;Percentage&quot;:0.0977674692764366}">
          <a:extLst>
            <a:ext uri="{FF2B5EF4-FFF2-40B4-BE49-F238E27FC236}">
              <a16:creationId xmlns:a16="http://schemas.microsoft.com/office/drawing/2014/main" id="{42A00C44-B0D6-4EC9-BCC5-4EDF00657FA8}"/>
            </a:ext>
          </a:extLst>
        </xdr:cNvPr>
        <xdr:cNvSpPr/>
      </xdr:nvSpPr>
      <xdr:spPr>
        <a:xfrm>
          <a:off x="17469212" y="25062043"/>
          <a:ext cx="0" cy="25445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132</xdr:row>
      <xdr:rowOff>87164</xdr:rowOff>
    </xdr:from>
    <xdr:to>
      <xdr:col>13</xdr:col>
      <xdr:colOff>792842</xdr:colOff>
      <xdr:row>133</xdr:row>
      <xdr:rowOff>60438</xdr:rowOff>
    </xdr:to>
    <xdr:sp macro="" textlink="">
      <xdr:nvSpPr>
        <xdr:cNvPr id="81" name="POWER_USER_SANKEY_CHART_CONNECTED_SUB_CATEGORY_SHAPE_74_8" descr="{&quot;Id&quot;:&quot;44042E9C-2C37-48DF-9AEC-FDBB66173F02&quot;,&quot;Value&quot;:2197171.9880513838,&quot;Percentage&quot;:0.28853322346786348}">
          <a:extLst>
            <a:ext uri="{FF2B5EF4-FFF2-40B4-BE49-F238E27FC236}">
              <a16:creationId xmlns:a16="http://schemas.microsoft.com/office/drawing/2014/main" id="{CFD4A988-9ED0-405E-BF6D-084A1D9DA40F}"/>
            </a:ext>
          </a:extLst>
        </xdr:cNvPr>
        <xdr:cNvSpPr/>
      </xdr:nvSpPr>
      <xdr:spPr>
        <a:xfrm>
          <a:off x="17469212" y="26120894"/>
          <a:ext cx="0" cy="156154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  <xdr:twoCellAnchor>
    <xdr:from>
      <xdr:col>13</xdr:col>
      <xdr:colOff>792842</xdr:colOff>
      <xdr:row>133</xdr:row>
      <xdr:rowOff>60438</xdr:rowOff>
    </xdr:from>
    <xdr:to>
      <xdr:col>13</xdr:col>
      <xdr:colOff>792842</xdr:colOff>
      <xdr:row>133</xdr:row>
      <xdr:rowOff>116586</xdr:rowOff>
    </xdr:to>
    <xdr:sp macro="" textlink="">
      <xdr:nvSpPr>
        <xdr:cNvPr id="82" name="POWER_USER_SANKEY_CHART_CONNECTED_SUB_CATEGORY_SHAPE_75_8" descr="{&quot;Id&quot;:&quot;44042E9C-2C37-48DF-9AEC-FDBB66173F02&quot;,&quot;Value&quot;:2197171.9880513838,&quot;Percentage&quot;:0.28853322346786348}">
          <a:extLst>
            <a:ext uri="{FF2B5EF4-FFF2-40B4-BE49-F238E27FC236}">
              <a16:creationId xmlns:a16="http://schemas.microsoft.com/office/drawing/2014/main" id="{89CA7991-3CB8-4E65-86B1-272CDB58769A}"/>
            </a:ext>
          </a:extLst>
        </xdr:cNvPr>
        <xdr:cNvSpPr/>
      </xdr:nvSpPr>
      <xdr:spPr>
        <a:xfrm>
          <a:off x="17469212" y="26277048"/>
          <a:ext cx="0" cy="56148"/>
        </a:xfrm>
        <a:prstGeom prst="rect">
          <a:avLst/>
        </a:prstGeom>
        <a:solidFill>
          <a:schemeClr val="accent1"/>
        </a:solidFill>
        <a:ln w="317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3175" cap="flat" cmpd="sng" algn="ctr">
              <a:solidFill>
                <a:schemeClr val="dk1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 anchorCtr="1"/>
        <a:lstStyle/>
        <a:p>
          <a:pPr algn="ctr"/>
          <a:endParaRPr lang="pt-BR" sz="1100" b="0" i="0" u="none">
            <a:solidFill>
              <a:schemeClr val="dk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597434</xdr:colOff>
      <xdr:row>101</xdr:row>
      <xdr:rowOff>81002</xdr:rowOff>
    </xdr:from>
    <xdr:to>
      <xdr:col>7</xdr:col>
      <xdr:colOff>972031</xdr:colOff>
      <xdr:row>132</xdr:row>
      <xdr:rowOff>121342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6C471-C522-4532-B169-04F08A71E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1110343</xdr:colOff>
      <xdr:row>101</xdr:row>
      <xdr:rowOff>108857</xdr:rowOff>
    </xdr:from>
    <xdr:to>
      <xdr:col>20</xdr:col>
      <xdr:colOff>200427</xdr:colOff>
      <xdr:row>132</xdr:row>
      <xdr:rowOff>149197</xdr:rowOff>
    </xdr:to>
    <xdr:graphicFrame macro="">
      <xdr:nvGraphicFramePr>
        <xdr:cNvPr id="256" name="Gráfico 255">
          <a:extLst>
            <a:ext uri="{FF2B5EF4-FFF2-40B4-BE49-F238E27FC236}">
              <a16:creationId xmlns:a16="http://schemas.microsoft.com/office/drawing/2014/main" id="{D17FC845-9178-47F7-A3C4-571A3E117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597434</xdr:colOff>
      <xdr:row>101</xdr:row>
      <xdr:rowOff>81002</xdr:rowOff>
    </xdr:from>
    <xdr:to>
      <xdr:col>7</xdr:col>
      <xdr:colOff>972031</xdr:colOff>
      <xdr:row>132</xdr:row>
      <xdr:rowOff>121342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0DAC42-FC0E-4A67-85F5-C1931063B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1110343</xdr:colOff>
      <xdr:row>101</xdr:row>
      <xdr:rowOff>108857</xdr:rowOff>
    </xdr:from>
    <xdr:to>
      <xdr:col>20</xdr:col>
      <xdr:colOff>200427</xdr:colOff>
      <xdr:row>132</xdr:row>
      <xdr:rowOff>149197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572FF2-31AB-4573-A817-A0F0C0321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597434</xdr:colOff>
      <xdr:row>101</xdr:row>
      <xdr:rowOff>81002</xdr:rowOff>
    </xdr:from>
    <xdr:to>
      <xdr:col>7</xdr:col>
      <xdr:colOff>972031</xdr:colOff>
      <xdr:row>132</xdr:row>
      <xdr:rowOff>121342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643CEF-9321-4353-BE70-A6779CCEE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1110343</xdr:colOff>
      <xdr:row>101</xdr:row>
      <xdr:rowOff>108857</xdr:rowOff>
    </xdr:from>
    <xdr:to>
      <xdr:col>20</xdr:col>
      <xdr:colOff>200427</xdr:colOff>
      <xdr:row>132</xdr:row>
      <xdr:rowOff>149197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FD061B-AE39-4726-9E00-53B271A30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597434</xdr:colOff>
      <xdr:row>110</xdr:row>
      <xdr:rowOff>81002</xdr:rowOff>
    </xdr:from>
    <xdr:to>
      <xdr:col>7</xdr:col>
      <xdr:colOff>972031</xdr:colOff>
      <xdr:row>141</xdr:row>
      <xdr:rowOff>121342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7C729E-908C-4318-9525-40D06C2BA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228601</xdr:colOff>
      <xdr:row>1</xdr:row>
      <xdr:rowOff>157841</xdr:rowOff>
    </xdr:from>
    <xdr:to>
      <xdr:col>1</xdr:col>
      <xdr:colOff>2059034</xdr:colOff>
      <xdr:row>13</xdr:row>
      <xdr:rowOff>143295</xdr:rowOff>
    </xdr:to>
    <xdr:pic>
      <xdr:nvPicPr>
        <xdr:cNvPr id="3" name="Imagem 2" descr="Caminhão de carga&#10;&#10;Descrição gerada automaticamente com confiança média">
          <a:extLst>
            <a:ext uri="{FF2B5EF4-FFF2-40B4-BE49-F238E27FC236}">
              <a16:creationId xmlns:a16="http://schemas.microsoft.com/office/drawing/2014/main" id="{598A0968-0B19-4CD1-3011-5131ADFB1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858" y="342898"/>
          <a:ext cx="1834243" cy="2414873"/>
        </a:xfrm>
        <a:prstGeom prst="rect">
          <a:avLst/>
        </a:prstGeom>
      </xdr:spPr>
    </xdr:pic>
    <xdr:clientData/>
  </xdr:twoCellAnchor>
  <xdr:twoCellAnchor>
    <xdr:from>
      <xdr:col>7</xdr:col>
      <xdr:colOff>1077685</xdr:colOff>
      <xdr:row>110</xdr:row>
      <xdr:rowOff>87086</xdr:rowOff>
    </xdr:from>
    <xdr:to>
      <xdr:col>17</xdr:col>
      <xdr:colOff>462643</xdr:colOff>
      <xdr:row>141</xdr:row>
      <xdr:rowOff>127427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99262-030F-48E0-B955-863C4F430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597434</xdr:colOff>
      <xdr:row>110</xdr:row>
      <xdr:rowOff>81002</xdr:rowOff>
    </xdr:from>
    <xdr:to>
      <xdr:col>7</xdr:col>
      <xdr:colOff>972031</xdr:colOff>
      <xdr:row>141</xdr:row>
      <xdr:rowOff>121342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483343-127A-46AF-951D-89C61D754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228601</xdr:colOff>
      <xdr:row>1</xdr:row>
      <xdr:rowOff>157841</xdr:rowOff>
    </xdr:from>
    <xdr:to>
      <xdr:col>1</xdr:col>
      <xdr:colOff>2062844</xdr:colOff>
      <xdr:row>13</xdr:row>
      <xdr:rowOff>145200</xdr:rowOff>
    </xdr:to>
    <xdr:pic>
      <xdr:nvPicPr>
        <xdr:cNvPr id="3" name="Imagem 2" descr="Caminhão de carga&#10;&#10;Descrição gerada automaticamente com confiança média">
          <a:extLst>
            <a:ext uri="{FF2B5EF4-FFF2-40B4-BE49-F238E27FC236}">
              <a16:creationId xmlns:a16="http://schemas.microsoft.com/office/drawing/2014/main" id="{FDE1AAC6-F182-4C62-964F-FB19B4E22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1" y="340721"/>
          <a:ext cx="1834243" cy="2427936"/>
        </a:xfrm>
        <a:prstGeom prst="rect">
          <a:avLst/>
        </a:prstGeom>
      </xdr:spPr>
    </xdr:pic>
    <xdr:clientData/>
  </xdr:twoCellAnchor>
  <xdr:twoCellAnchor>
    <xdr:from>
      <xdr:col>7</xdr:col>
      <xdr:colOff>1077685</xdr:colOff>
      <xdr:row>110</xdr:row>
      <xdr:rowOff>87086</xdr:rowOff>
    </xdr:from>
    <xdr:to>
      <xdr:col>17</xdr:col>
      <xdr:colOff>462643</xdr:colOff>
      <xdr:row>141</xdr:row>
      <xdr:rowOff>127427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DD19D5-7E83-4E7D-AA4C-56DD891D1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597434</xdr:colOff>
      <xdr:row>110</xdr:row>
      <xdr:rowOff>81002</xdr:rowOff>
    </xdr:from>
    <xdr:to>
      <xdr:col>7</xdr:col>
      <xdr:colOff>972031</xdr:colOff>
      <xdr:row>141</xdr:row>
      <xdr:rowOff>121342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687C30-47DA-4943-9040-E2EA4321D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190500</xdr:colOff>
      <xdr:row>2</xdr:row>
      <xdr:rowOff>21771</xdr:rowOff>
    </xdr:from>
    <xdr:to>
      <xdr:col>1</xdr:col>
      <xdr:colOff>2200286</xdr:colOff>
      <xdr:row>11</xdr:row>
      <xdr:rowOff>150767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8EA1265-BF8B-F7F5-13AE-4E5034338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757" y="391885"/>
          <a:ext cx="2009786" cy="1910443"/>
        </a:xfrm>
        <a:prstGeom prst="rect">
          <a:avLst/>
        </a:prstGeom>
      </xdr:spPr>
    </xdr:pic>
    <xdr:clientData/>
  </xdr:twoCellAnchor>
  <xdr:twoCellAnchor>
    <xdr:from>
      <xdr:col>8</xdr:col>
      <xdr:colOff>67218</xdr:colOff>
      <xdr:row>110</xdr:row>
      <xdr:rowOff>105320</xdr:rowOff>
    </xdr:from>
    <xdr:to>
      <xdr:col>19</xdr:col>
      <xdr:colOff>414617</xdr:colOff>
      <xdr:row>141</xdr:row>
      <xdr:rowOff>141850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1996CF4-D0A9-41C0-B483-9C6063409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597434</xdr:colOff>
      <xdr:row>110</xdr:row>
      <xdr:rowOff>81002</xdr:rowOff>
    </xdr:from>
    <xdr:to>
      <xdr:col>7</xdr:col>
      <xdr:colOff>972031</xdr:colOff>
      <xdr:row>141</xdr:row>
      <xdr:rowOff>121342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C1B24D-8F2A-463E-8A3F-AEA483BA6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190500</xdr:colOff>
      <xdr:row>2</xdr:row>
      <xdr:rowOff>21771</xdr:rowOff>
    </xdr:from>
    <xdr:to>
      <xdr:col>1</xdr:col>
      <xdr:colOff>2200286</xdr:colOff>
      <xdr:row>11</xdr:row>
      <xdr:rowOff>146957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0AA5DF-0EF9-4F0D-B8FD-BED77271D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580" y="387531"/>
          <a:ext cx="2009786" cy="1925683"/>
        </a:xfrm>
        <a:prstGeom prst="rect">
          <a:avLst/>
        </a:prstGeom>
      </xdr:spPr>
    </xdr:pic>
    <xdr:clientData/>
  </xdr:twoCellAnchor>
  <xdr:twoCellAnchor>
    <xdr:from>
      <xdr:col>8</xdr:col>
      <xdr:colOff>65314</xdr:colOff>
      <xdr:row>110</xdr:row>
      <xdr:rowOff>103415</xdr:rowOff>
    </xdr:from>
    <xdr:to>
      <xdr:col>18</xdr:col>
      <xdr:colOff>598714</xdr:colOff>
      <xdr:row>141</xdr:row>
      <xdr:rowOff>143755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8BA399-060D-48E8-9EAD-50D7482DD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597434</xdr:colOff>
      <xdr:row>110</xdr:row>
      <xdr:rowOff>81002</xdr:rowOff>
    </xdr:from>
    <xdr:to>
      <xdr:col>7</xdr:col>
      <xdr:colOff>972031</xdr:colOff>
      <xdr:row>141</xdr:row>
      <xdr:rowOff>121342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1FFAB6-51AA-4BE1-87E1-3D148B863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597434</xdr:colOff>
      <xdr:row>110</xdr:row>
      <xdr:rowOff>81002</xdr:rowOff>
    </xdr:from>
    <xdr:to>
      <xdr:col>7</xdr:col>
      <xdr:colOff>972031</xdr:colOff>
      <xdr:row>141</xdr:row>
      <xdr:rowOff>121342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293959-5259-40F1-B096-24C1D1E14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5443</xdr:colOff>
      <xdr:row>2</xdr:row>
      <xdr:rowOff>54429</xdr:rowOff>
    </xdr:from>
    <xdr:to>
      <xdr:col>1</xdr:col>
      <xdr:colOff>2209933</xdr:colOff>
      <xdr:row>6</xdr:row>
      <xdr:rowOff>94161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DBADD35-C7D4-0050-09BE-8E33AABAC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424543"/>
          <a:ext cx="2204490" cy="827314"/>
        </a:xfrm>
        <a:prstGeom prst="rect">
          <a:avLst/>
        </a:prstGeom>
      </xdr:spPr>
    </xdr:pic>
    <xdr:clientData/>
  </xdr:twoCellAnchor>
  <xdr:twoCellAnchor>
    <xdr:from>
      <xdr:col>8</xdr:col>
      <xdr:colOff>103414</xdr:colOff>
      <xdr:row>110</xdr:row>
      <xdr:rowOff>87086</xdr:rowOff>
    </xdr:from>
    <xdr:to>
      <xdr:col>19</xdr:col>
      <xdr:colOff>127491</xdr:colOff>
      <xdr:row>141</xdr:row>
      <xdr:rowOff>127426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68AA354-41A0-4264-88BC-CFD62643F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597434</xdr:colOff>
      <xdr:row>110</xdr:row>
      <xdr:rowOff>81002</xdr:rowOff>
    </xdr:from>
    <xdr:to>
      <xdr:col>7</xdr:col>
      <xdr:colOff>972031</xdr:colOff>
      <xdr:row>141</xdr:row>
      <xdr:rowOff>121342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66105D-A219-42D2-9803-C2D51A11A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597434</xdr:colOff>
      <xdr:row>110</xdr:row>
      <xdr:rowOff>81002</xdr:rowOff>
    </xdr:from>
    <xdr:to>
      <xdr:col>7</xdr:col>
      <xdr:colOff>972031</xdr:colOff>
      <xdr:row>141</xdr:row>
      <xdr:rowOff>121342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2B3DCA-3F73-41B7-8BB7-06C535722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5443</xdr:colOff>
      <xdr:row>2</xdr:row>
      <xdr:rowOff>54429</xdr:rowOff>
    </xdr:from>
    <xdr:to>
      <xdr:col>1</xdr:col>
      <xdr:colOff>2209933</xdr:colOff>
      <xdr:row>6</xdr:row>
      <xdr:rowOff>97971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9B0F29E-CD7A-438A-80E3-13BA2697D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5523" y="420189"/>
          <a:ext cx="2204490" cy="836022"/>
        </a:xfrm>
        <a:prstGeom prst="rect">
          <a:avLst/>
        </a:prstGeom>
      </xdr:spPr>
    </xdr:pic>
    <xdr:clientData/>
  </xdr:twoCellAnchor>
  <xdr:twoCellAnchor>
    <xdr:from>
      <xdr:col>8</xdr:col>
      <xdr:colOff>103414</xdr:colOff>
      <xdr:row>110</xdr:row>
      <xdr:rowOff>87086</xdr:rowOff>
    </xdr:from>
    <xdr:to>
      <xdr:col>19</xdr:col>
      <xdr:colOff>127491</xdr:colOff>
      <xdr:row>141</xdr:row>
      <xdr:rowOff>127426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FF1A6D-461A-4827-9644-866482D44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4</xdr:row>
      <xdr:rowOff>5445</xdr:rowOff>
    </xdr:from>
    <xdr:to>
      <xdr:col>1</xdr:col>
      <xdr:colOff>1820024</xdr:colOff>
      <xdr:row>9</xdr:row>
      <xdr:rowOff>113430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FDE9AE-3A18-448D-83D6-71A631193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8" y="593274"/>
          <a:ext cx="1783828" cy="1087700"/>
        </a:xfrm>
        <a:prstGeom prst="rect">
          <a:avLst/>
        </a:prstGeom>
      </xdr:spPr>
    </xdr:pic>
    <xdr:clientData/>
  </xdr:twoCellAnchor>
  <xdr:twoCellAnchor editAs="oneCell">
    <xdr:from>
      <xdr:col>1</xdr:col>
      <xdr:colOff>1856014</xdr:colOff>
      <xdr:row>3</xdr:row>
      <xdr:rowOff>185059</xdr:rowOff>
    </xdr:from>
    <xdr:to>
      <xdr:col>2</xdr:col>
      <xdr:colOff>1030333</xdr:colOff>
      <xdr:row>9</xdr:row>
      <xdr:rowOff>141195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4443136-DDE9-F8D8-3F71-4516E0D2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8271" y="576945"/>
          <a:ext cx="1143001" cy="112988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4</xdr:row>
      <xdr:rowOff>5445</xdr:rowOff>
    </xdr:from>
    <xdr:to>
      <xdr:col>1</xdr:col>
      <xdr:colOff>1818119</xdr:colOff>
      <xdr:row>9</xdr:row>
      <xdr:rowOff>113430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CE3F1C-1D73-430C-BD61-069350E01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1" y="797925"/>
          <a:ext cx="1783828" cy="1098585"/>
        </a:xfrm>
        <a:prstGeom prst="rect">
          <a:avLst/>
        </a:prstGeom>
      </xdr:spPr>
    </xdr:pic>
    <xdr:clientData/>
  </xdr:twoCellAnchor>
  <xdr:twoCellAnchor editAs="oneCell">
    <xdr:from>
      <xdr:col>1</xdr:col>
      <xdr:colOff>1856014</xdr:colOff>
      <xdr:row>3</xdr:row>
      <xdr:rowOff>185059</xdr:rowOff>
    </xdr:from>
    <xdr:to>
      <xdr:col>2</xdr:col>
      <xdr:colOff>1030333</xdr:colOff>
      <xdr:row>9</xdr:row>
      <xdr:rowOff>143100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96B0E7-99C8-46A4-944D-3056AA8D3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6094" y="779419"/>
          <a:ext cx="1144089" cy="114295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8</xdr:col>
      <xdr:colOff>877114</xdr:colOff>
      <xdr:row>52</xdr:row>
      <xdr:rowOff>101463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5F803D-BCF7-43CF-BC18-4C5534853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987136</xdr:colOff>
      <xdr:row>24</xdr:row>
      <xdr:rowOff>14350</xdr:rowOff>
    </xdr:from>
    <xdr:to>
      <xdr:col>21</xdr:col>
      <xdr:colOff>623280</xdr:colOff>
      <xdr:row>52</xdr:row>
      <xdr:rowOff>115812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8286AE-11A2-4636-BBDA-A5C5B45B6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658584</xdr:colOff>
      <xdr:row>56</xdr:row>
      <xdr:rowOff>152400</xdr:rowOff>
    </xdr:from>
    <xdr:to>
      <xdr:col>13</xdr:col>
      <xdr:colOff>326571</xdr:colOff>
      <xdr:row>86</xdr:row>
      <xdr:rowOff>81643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D6F381-EE57-CD46-13E2-C7F206DAC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8</xdr:col>
      <xdr:colOff>877114</xdr:colOff>
      <xdr:row>52</xdr:row>
      <xdr:rowOff>101463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009CCC-2929-4386-A8FF-77D82FFE7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987136</xdr:colOff>
      <xdr:row>24</xdr:row>
      <xdr:rowOff>14350</xdr:rowOff>
    </xdr:from>
    <xdr:to>
      <xdr:col>21</xdr:col>
      <xdr:colOff>623280</xdr:colOff>
      <xdr:row>52</xdr:row>
      <xdr:rowOff>115812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32BAD3-94E9-468D-9D52-5193429CB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658584</xdr:colOff>
      <xdr:row>86</xdr:row>
      <xdr:rowOff>152400</xdr:rowOff>
    </xdr:from>
    <xdr:to>
      <xdr:col>13</xdr:col>
      <xdr:colOff>326571</xdr:colOff>
      <xdr:row>116</xdr:row>
      <xdr:rowOff>81643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AC7104-A2EF-44ED-9128-D08A6DE80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c.notes.data/Documents%20and%20Settings/Jthomas/Configura&#231;&#245;es%20locais/Temporary%20Internet%20Files/OLK1BF/New_VSA/Groups/Sling%202/4h%20Cycle/Qtty_cycle4th_revis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c.notes.data/NSFIN/WORKING/Christina/2005/ships/0305/Settlement03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lotCost%203.3.010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c.notes.data/NSFIN/WORKING/Christina/2005/ships/0205/0205%20settlement%20new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a/Documents/USP/Tese%20Doutorado%202022/Plano%20de%20Estudo/Suporte%20a%20Tes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ses\disco_d\MAURICIO%20CASTILLO\C.Regional\Compartido\Index%20ROCL%2028-Sept-01_Libr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ses\disco_d\WINDOWS\TEMP\C.Lotus.Notes.Data\Index%20ROBR%206-Aug-01%20(RR%20version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ses\disco_d\WINDOWS\TEMP\~193791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c.notes.data/TEMP/93_9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HocNew%20VS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SFIN\2002\BUDGET\ANZ\BUDGET\FLOWS\01COMP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bh14n"/>
      <sheetName val="cobh14s"/>
      <sheetName val="copa108s"/>
      <sheetName val="copa108n"/>
      <sheetName val="flam103s"/>
      <sheetName val="flam103n"/>
      <sheetName val="nesa9n"/>
      <sheetName val="nesa9s"/>
      <sheetName val="rigd15s"/>
      <sheetName val="rigd16n"/>
      <sheetName val="Pay_Rec"/>
      <sheetName val="Sum Sl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rmation"/>
      <sheetName val="Notes on using file. Monthly)"/>
      <sheetName val="EBANZ"/>
      <sheetName val="WBANZ "/>
      <sheetName val="Lookups"/>
      <sheetName val="Workings"/>
      <sheetName val="Summary Voyage Sailings "/>
      <sheetName val="Summary Voyage Sailings (2)"/>
      <sheetName val="Settlement"/>
      <sheetName val="French Slotswap"/>
      <sheetName val="ReeferMonitoringCorrection "/>
      <sheetName val="Accounting Manual"/>
      <sheetName val="Reefer El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ot Cost Comparison"/>
      <sheetName val="Proforma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 Front Sheet"/>
      <sheetName val="Summary"/>
      <sheetName val="PONLCS"/>
      <sheetName val="FRGR"/>
      <sheetName val="HL"/>
      <sheetName val="HSDG"/>
      <sheetName val="Settlement"/>
      <sheetName val="Accounting Manual"/>
      <sheetName val="Cost"/>
      <sheetName val="Bank Details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F6" t="str">
            <v>E1Gships</v>
          </cell>
          <cell r="G6">
            <v>1373500</v>
          </cell>
        </row>
        <row r="7">
          <cell r="F7" t="str">
            <v>E2Gships</v>
          </cell>
          <cell r="G7">
            <v>1107000</v>
          </cell>
        </row>
        <row r="8">
          <cell r="F8" t="str">
            <v>E3Gships</v>
          </cell>
          <cell r="G8">
            <v>389500</v>
          </cell>
        </row>
        <row r="9">
          <cell r="F9" t="str">
            <v>W1Gships</v>
          </cell>
          <cell r="G9">
            <v>370500</v>
          </cell>
        </row>
        <row r="10">
          <cell r="F10" t="str">
            <v>W2Gships</v>
          </cell>
          <cell r="G10">
            <v>883500</v>
          </cell>
        </row>
        <row r="11">
          <cell r="F11" t="str">
            <v>W3Gships</v>
          </cell>
          <cell r="G11">
            <v>1140000</v>
          </cell>
        </row>
        <row r="12">
          <cell r="F12" t="str">
            <v>E1Fships</v>
          </cell>
          <cell r="G12">
            <v>1373500</v>
          </cell>
        </row>
        <row r="13">
          <cell r="F13" t="str">
            <v>E2Fships</v>
          </cell>
          <cell r="G13">
            <v>1107000</v>
          </cell>
        </row>
        <row r="14">
          <cell r="F14" t="str">
            <v>E3Fships</v>
          </cell>
          <cell r="G14">
            <v>389500</v>
          </cell>
        </row>
        <row r="15">
          <cell r="F15" t="str">
            <v>W1Fships</v>
          </cell>
          <cell r="G15">
            <v>401050</v>
          </cell>
        </row>
        <row r="16">
          <cell r="F16" t="str">
            <v>W2Fships</v>
          </cell>
          <cell r="G16">
            <v>956350</v>
          </cell>
        </row>
        <row r="17">
          <cell r="F17" t="str">
            <v>W3Fships</v>
          </cell>
          <cell r="G17">
            <v>1234000</v>
          </cell>
        </row>
        <row r="18">
          <cell r="F18" t="str">
            <v>E1Abunker</v>
          </cell>
          <cell r="G18">
            <v>796468.00357142859</v>
          </cell>
        </row>
        <row r="19">
          <cell r="F19" t="str">
            <v>E2Abunker</v>
          </cell>
          <cell r="G19">
            <v>641929.4357142857</v>
          </cell>
        </row>
        <row r="20">
          <cell r="F20" t="str">
            <v>E3Abunker</v>
          </cell>
          <cell r="G20">
            <v>225864.06071428573</v>
          </cell>
        </row>
        <row r="21">
          <cell r="F21" t="str">
            <v>W1Abunker</v>
          </cell>
          <cell r="G21">
            <v>157918.81547619047</v>
          </cell>
        </row>
        <row r="22">
          <cell r="F22" t="str">
            <v>W2Abunker</v>
          </cell>
          <cell r="G22">
            <v>376575.63690476189</v>
          </cell>
        </row>
        <row r="23">
          <cell r="F23" t="str">
            <v>W3Abunker</v>
          </cell>
          <cell r="G23">
            <v>485904.04761904763</v>
          </cell>
        </row>
        <row r="24">
          <cell r="F24" t="str">
            <v>E1Bbunker</v>
          </cell>
        </row>
        <row r="25">
          <cell r="F25" t="str">
            <v>E2Bbunker</v>
          </cell>
          <cell r="G25">
            <v>593662.69285714289</v>
          </cell>
        </row>
        <row r="26">
          <cell r="F26" t="str">
            <v>E3Bbunker</v>
          </cell>
          <cell r="G26">
            <v>182761.20357142857</v>
          </cell>
        </row>
        <row r="27">
          <cell r="F27" t="str">
            <v>W1Bbunker</v>
          </cell>
        </row>
        <row r="28">
          <cell r="F28" t="str">
            <v>W2Bbunker</v>
          </cell>
        </row>
        <row r="29">
          <cell r="F29" t="str">
            <v>W3Bbunker</v>
          </cell>
        </row>
        <row r="30">
          <cell r="F30" t="str">
            <v>E1APort</v>
          </cell>
          <cell r="G30">
            <v>451432.00254608906</v>
          </cell>
        </row>
        <row r="31">
          <cell r="F31" t="str">
            <v>E2APort</v>
          </cell>
          <cell r="G31">
            <v>329378.76268627518</v>
          </cell>
        </row>
        <row r="32">
          <cell r="F32" t="str">
            <v>E3APort</v>
          </cell>
          <cell r="G32">
            <v>0</v>
          </cell>
        </row>
        <row r="33">
          <cell r="F33" t="str">
            <v>W1APort</v>
          </cell>
          <cell r="G33">
            <v>0</v>
          </cell>
        </row>
        <row r="34">
          <cell r="F34" t="str">
            <v>W2APort</v>
          </cell>
          <cell r="G34">
            <v>251210.5129826866</v>
          </cell>
        </row>
        <row r="35">
          <cell r="F35" t="str">
            <v>W3APort</v>
          </cell>
          <cell r="G35">
            <v>366644.536347221</v>
          </cell>
        </row>
        <row r="36">
          <cell r="F36" t="str">
            <v>E1BPort</v>
          </cell>
          <cell r="G36">
            <v>451432.00254608906</v>
          </cell>
        </row>
        <row r="37">
          <cell r="F37" t="str">
            <v>E2BPort</v>
          </cell>
          <cell r="G37">
            <v>0</v>
          </cell>
        </row>
        <row r="38">
          <cell r="F38" t="str">
            <v>E3BPort</v>
          </cell>
          <cell r="G38">
            <v>0</v>
          </cell>
        </row>
        <row r="39">
          <cell r="F39" t="str">
            <v>W1BPort</v>
          </cell>
          <cell r="G39">
            <v>0</v>
          </cell>
        </row>
        <row r="40">
          <cell r="F40" t="str">
            <v>W2BPort</v>
          </cell>
          <cell r="G40">
            <v>251210.5129826866</v>
          </cell>
        </row>
        <row r="41">
          <cell r="F41" t="str">
            <v>W3BPort</v>
          </cell>
          <cell r="G41">
            <v>366644.536347221</v>
          </cell>
        </row>
        <row r="50">
          <cell r="E50" t="str">
            <v>Overall</v>
          </cell>
          <cell r="F50" t="str">
            <v>FRGR</v>
          </cell>
          <cell r="G50" t="str">
            <v>HL</v>
          </cell>
          <cell r="H50" t="str">
            <v>HSDG</v>
          </cell>
        </row>
        <row r="51">
          <cell r="D51" t="str">
            <v>LAT</v>
          </cell>
          <cell r="E51" t="str">
            <v>FRGR</v>
          </cell>
          <cell r="F51" t="str">
            <v>FRGR</v>
          </cell>
          <cell r="G51" t="str">
            <v>PONLCS</v>
          </cell>
          <cell r="H51" t="str">
            <v>PONLCS</v>
          </cell>
        </row>
        <row r="52">
          <cell r="D52" t="str">
            <v>AKL</v>
          </cell>
          <cell r="E52" t="str">
            <v>CS</v>
          </cell>
          <cell r="F52" t="str">
            <v>PONLCS</v>
          </cell>
          <cell r="G52" t="str">
            <v>PONLCS</v>
          </cell>
          <cell r="H52" t="str">
            <v>PONLCS</v>
          </cell>
        </row>
        <row r="53">
          <cell r="D53" t="str">
            <v>RME</v>
          </cell>
          <cell r="E53" t="str">
            <v>CS</v>
          </cell>
          <cell r="F53" t="str">
            <v>PONLCS</v>
          </cell>
          <cell r="G53" t="str">
            <v>PONLCS</v>
          </cell>
          <cell r="H53" t="str">
            <v>PONLCS</v>
          </cell>
        </row>
        <row r="54">
          <cell r="D54" t="str">
            <v>PHV</v>
          </cell>
          <cell r="E54" t="str">
            <v>PONL</v>
          </cell>
          <cell r="F54" t="str">
            <v>PONLCS</v>
          </cell>
          <cell r="G54" t="str">
            <v>PONLCS</v>
          </cell>
          <cell r="H54" t="str">
            <v>PONLCS</v>
          </cell>
        </row>
        <row r="55">
          <cell r="D55" t="str">
            <v>UTR</v>
          </cell>
          <cell r="E55" t="str">
            <v>FRGR</v>
          </cell>
          <cell r="F55" t="str">
            <v>FRGR</v>
          </cell>
          <cell r="G55" t="str">
            <v>PONLCS</v>
          </cell>
          <cell r="H55" t="str">
            <v>PONLCS</v>
          </cell>
        </row>
        <row r="56">
          <cell r="D56" t="str">
            <v>PVE</v>
          </cell>
          <cell r="E56" t="str">
            <v>FRGR</v>
          </cell>
          <cell r="F56" t="str">
            <v>FRGR</v>
          </cell>
          <cell r="G56" t="str">
            <v>PONLCS</v>
          </cell>
          <cell r="H56" t="str">
            <v>PONLCS</v>
          </cell>
        </row>
        <row r="57">
          <cell r="D57" t="str">
            <v>UAU</v>
          </cell>
          <cell r="E57" t="str">
            <v>HSDG</v>
          </cell>
          <cell r="F57" t="str">
            <v>PONLCS</v>
          </cell>
          <cell r="G57" t="str">
            <v>PONLCS</v>
          </cell>
          <cell r="H57" t="str">
            <v>HSDG</v>
          </cell>
        </row>
        <row r="58">
          <cell r="D58" t="str">
            <v>BVA</v>
          </cell>
          <cell r="E58" t="str">
            <v>PONL</v>
          </cell>
          <cell r="F58" t="str">
            <v>PONLCS</v>
          </cell>
          <cell r="G58" t="str">
            <v>PONLCS</v>
          </cell>
          <cell r="H58" t="str">
            <v>PONLCS</v>
          </cell>
        </row>
        <row r="59">
          <cell r="D59" t="str">
            <v>LON</v>
          </cell>
          <cell r="E59" t="str">
            <v>CS</v>
          </cell>
          <cell r="F59" t="str">
            <v>PONLCS</v>
          </cell>
          <cell r="G59" t="str">
            <v>PONLCS</v>
          </cell>
          <cell r="H59" t="str">
            <v>PONLCS</v>
          </cell>
        </row>
        <row r="60">
          <cell r="D60" t="str">
            <v>CMS</v>
          </cell>
          <cell r="E60" t="str">
            <v>FRGR</v>
          </cell>
          <cell r="F60" t="str">
            <v>FRGR</v>
          </cell>
          <cell r="G60" t="str">
            <v>PONLCS</v>
          </cell>
          <cell r="H60" t="str">
            <v>PONLCS</v>
          </cell>
        </row>
        <row r="61">
          <cell r="D61" t="str">
            <v>MNT</v>
          </cell>
          <cell r="E61" t="str">
            <v>FRGR</v>
          </cell>
          <cell r="F61" t="str">
            <v>FRGR</v>
          </cell>
          <cell r="G61" t="str">
            <v>PONLCS</v>
          </cell>
          <cell r="H61" t="str">
            <v>PONLCS</v>
          </cell>
        </row>
        <row r="62">
          <cell r="D62" t="str">
            <v>PVY</v>
          </cell>
          <cell r="E62" t="str">
            <v>HL</v>
          </cell>
          <cell r="F62" t="str">
            <v>PONLCS</v>
          </cell>
          <cell r="G62" t="str">
            <v>HL</v>
          </cell>
          <cell r="H62" t="str">
            <v>PONLCS</v>
          </cell>
        </row>
        <row r="63">
          <cell r="D63" t="str">
            <v>RCY</v>
          </cell>
          <cell r="E63" t="str">
            <v>HSDG</v>
          </cell>
          <cell r="F63" t="str">
            <v>PONLCS</v>
          </cell>
          <cell r="G63" t="str">
            <v>PONLCS</v>
          </cell>
          <cell r="H63" t="str">
            <v>HSDG</v>
          </cell>
        </row>
        <row r="64">
          <cell r="D64" t="str">
            <v>NBO</v>
          </cell>
          <cell r="E64" t="str">
            <v>PONL</v>
          </cell>
          <cell r="F64" t="str">
            <v>PONLCS</v>
          </cell>
          <cell r="G64" t="str">
            <v>PONLCS</v>
          </cell>
          <cell r="H64" t="str">
            <v>PONLCS</v>
          </cell>
        </row>
        <row r="65">
          <cell r="D65" t="str">
            <v>CII</v>
          </cell>
          <cell r="E65" t="str">
            <v>CS</v>
          </cell>
          <cell r="F65" t="str">
            <v>PONLCS</v>
          </cell>
          <cell r="G65" t="str">
            <v>PONLCS</v>
          </cell>
          <cell r="H65" t="str">
            <v>PONLCS</v>
          </cell>
        </row>
        <row r="66">
          <cell r="D66" t="str">
            <v>PYM</v>
          </cell>
          <cell r="E66" t="str">
            <v>PONL</v>
          </cell>
          <cell r="F66" t="str">
            <v>PONLCS</v>
          </cell>
          <cell r="G66" t="str">
            <v>PONLCS</v>
          </cell>
          <cell r="H66" t="str">
            <v>PONLCS</v>
          </cell>
        </row>
        <row r="67">
          <cell r="D67" t="str">
            <v>PLE</v>
          </cell>
          <cell r="E67" t="str">
            <v>PONL</v>
          </cell>
          <cell r="F67" t="str">
            <v>PONLCS</v>
          </cell>
          <cell r="G67" t="str">
            <v>PONLCS</v>
          </cell>
          <cell r="H67" t="str">
            <v>PONLCS</v>
          </cell>
        </row>
        <row r="68">
          <cell r="D68" t="str">
            <v>ENE</v>
          </cell>
          <cell r="E68" t="str">
            <v>PONL</v>
          </cell>
          <cell r="F68" t="str">
            <v>PONLCS</v>
          </cell>
          <cell r="G68" t="str">
            <v>PONLCS</v>
          </cell>
          <cell r="H68" t="str">
            <v>PONLCS</v>
          </cell>
        </row>
        <row r="69">
          <cell r="D69" t="str">
            <v>PNR</v>
          </cell>
          <cell r="E69" t="str">
            <v>PONL</v>
          </cell>
          <cell r="F69" t="str">
            <v>PONLCS</v>
          </cell>
          <cell r="G69" t="str">
            <v>PONLCS</v>
          </cell>
          <cell r="H69" t="str">
            <v>PONLCS</v>
          </cell>
        </row>
        <row r="70">
          <cell r="D70" t="str">
            <v>AOR</v>
          </cell>
          <cell r="E70" t="str">
            <v>CS</v>
          </cell>
          <cell r="F70" t="str">
            <v>PONLCS</v>
          </cell>
          <cell r="G70" t="str">
            <v>PONLCS</v>
          </cell>
          <cell r="H70" t="str">
            <v>PONLCS</v>
          </cell>
        </row>
        <row r="71">
          <cell r="D71" t="str">
            <v>CZD</v>
          </cell>
          <cell r="E71" t="str">
            <v>PONL</v>
          </cell>
          <cell r="F71" t="str">
            <v>PONLCS</v>
          </cell>
          <cell r="G71" t="str">
            <v>PONLCS</v>
          </cell>
          <cell r="H71" t="str">
            <v>PONLCS</v>
          </cell>
        </row>
        <row r="72">
          <cell r="D72" t="str">
            <v>SYX</v>
          </cell>
          <cell r="E72" t="str">
            <v>PONL</v>
          </cell>
          <cell r="F72" t="str">
            <v>PONLCS</v>
          </cell>
          <cell r="G72" t="str">
            <v>PONLCS</v>
          </cell>
          <cell r="H72" t="str">
            <v>PONLCS</v>
          </cell>
        </row>
        <row r="73">
          <cell r="D73" t="str">
            <v>NUS</v>
          </cell>
          <cell r="E73" t="str">
            <v>CS</v>
          </cell>
          <cell r="F73" t="str">
            <v>PONLCS</v>
          </cell>
          <cell r="G73" t="str">
            <v>PONLCS</v>
          </cell>
          <cell r="H73" t="str">
            <v>PONLCS</v>
          </cell>
        </row>
      </sheetData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TAQ Natureza da Carga 2010"/>
      <sheetName val="ANTAQ Containers"/>
      <sheetName val="ANTAQ Pares de Portos"/>
      <sheetName val="SB"/>
      <sheetName val="NB"/>
      <sheetName val="Mercosul"/>
      <sheetName val="Fretes NTC Dry"/>
      <sheetName val="Fretes NTC Reefer"/>
      <sheetName val="Equacoes Frete por Ton Km"/>
      <sheetName val="Fretes Capitais Portos Dry"/>
      <sheetName val="Fretes Capitais Portos Reefer"/>
      <sheetName val="Distancias"/>
      <sheetName val="INCTL Dry"/>
      <sheetName val="Container e Bau"/>
      <sheetName val="Market 2020"/>
      <sheetName val="Fleet"/>
      <sheetName val="Share"/>
      <sheetName val="Capacity"/>
      <sheetName val="Market"/>
      <sheetName val="Login RE"/>
      <sheetName val="Login"/>
      <sheetName val="ANTT"/>
      <sheetName val="Alice Web"/>
      <sheetName val="Fretes Mercosul"/>
      <sheetName val="Slings TT"/>
      <sheetName val="Logistica de Vazios com LC"/>
      <sheetName val="Logistica de Vazios sem LC"/>
      <sheetName val="Proforma"/>
      <sheetName val="Utilizacao capacidade"/>
      <sheetName val="Par de Portos Bolha"/>
      <sheetName val="Transit Times"/>
      <sheetName val="ANTAQ Containers 2011"/>
      <sheetName val="Fluxo de Caixa e Resultado"/>
      <sheetName val="Frete Rodoviario Container"/>
      <sheetName val="Proforma 1"/>
      <sheetName val="Rede Servicos 1"/>
      <sheetName val="Proforma 2"/>
      <sheetName val="Rede Servicos 2"/>
      <sheetName val="Bibliografia 2008 - 2012"/>
      <sheetName val="Karina Bibliografia"/>
      <sheetName val="Cronogra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ROCL CSAV"/>
      <sheetName val="Costos Libra"/>
      <sheetName val="Costo Libra - INDEX ROCL CSAV"/>
      <sheetName val="CLANF"/>
      <sheetName val="CLSAI"/>
      <sheetName val="CLSVE"/>
      <sheetName val="ECGYE"/>
      <sheetName val="MXATM"/>
      <sheetName val="MXVER"/>
      <sheetName val="PECLL"/>
      <sheetName val="PEILQ"/>
      <sheetName val="Exchange Rates"/>
      <sheetName val="Vessel Particul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1">
          <cell r="K41">
            <v>20533.5</v>
          </cell>
        </row>
        <row r="42">
          <cell r="K42">
            <v>13066</v>
          </cell>
        </row>
        <row r="44">
          <cell r="K44">
            <v>153.19999999999999</v>
          </cell>
        </row>
        <row r="46">
          <cell r="K46">
            <v>9.7479999999999993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DEX ROBR"/>
      <sheetName val="COMP INDEX _STDT JULIO 01"/>
      <sheetName val="ARBHI"/>
      <sheetName val="ARBUE"/>
      <sheetName val="ARMDQ"/>
      <sheetName val="UYMVD"/>
      <sheetName val="BRRIG"/>
      <sheetName val="BRSFS"/>
      <sheetName val="BRITJ"/>
      <sheetName val="BRPNG"/>
      <sheetName val="BRSSZ"/>
      <sheetName val="BRRIO"/>
      <sheetName val="BRVIX"/>
      <sheetName val="BRSSA"/>
      <sheetName val="BRFOR"/>
      <sheetName val="ZADUR"/>
      <sheetName val="ZAELS"/>
      <sheetName val="VEPBL"/>
      <sheetName val="VELA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INDEX _STDT JULIO 01"/>
      <sheetName val="INDEX ROBR"/>
      <sheetName val="ARBHI"/>
      <sheetName val="ARBUE"/>
      <sheetName val="ARMDQ"/>
      <sheetName val="UYMVD"/>
      <sheetName val="BRRIG"/>
      <sheetName val="BRSFS"/>
      <sheetName val="BRITJ"/>
      <sheetName val="BRPNG"/>
      <sheetName val="BRSSZ"/>
      <sheetName val="BRRIO"/>
      <sheetName val="BRVIX"/>
      <sheetName val="BRSSA"/>
      <sheetName val="BRFOR"/>
      <sheetName val="ZADUR"/>
      <sheetName val="ZAELS"/>
      <sheetName val="VEPBL"/>
      <sheetName val="VELAG"/>
      <sheetName val="Rates Exchanges"/>
      <sheetName val="Vessel Particul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52">
          <cell r="K152">
            <v>184.7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1"/>
    </sheetNames>
    <sheetDataSet>
      <sheetData sheetId="0" refreshError="1">
        <row r="1">
          <cell r="A1" t="str">
            <v>SLOT ALLOCATIONS   (PHASE 1)</v>
          </cell>
        </row>
        <row r="5">
          <cell r="E5" t="str">
            <v>SOUTHBOUND</v>
          </cell>
        </row>
        <row r="6">
          <cell r="E6" t="str">
            <v xml:space="preserve">   AANZ</v>
          </cell>
          <cell r="F6" t="str">
            <v>AVAILABLE</v>
          </cell>
          <cell r="J6" t="str">
            <v>BLUE STAR</v>
          </cell>
          <cell r="M6" t="str">
            <v xml:space="preserve">                </v>
          </cell>
          <cell r="N6" t="str">
            <v>COLUMBUS</v>
          </cell>
        </row>
        <row r="7">
          <cell r="F7" t="str">
            <v>20'</v>
          </cell>
          <cell r="G7" t="str">
            <v>40'</v>
          </cell>
          <cell r="H7" t="str">
            <v>TOTAL</v>
          </cell>
          <cell r="J7" t="str">
            <v>20'</v>
          </cell>
          <cell r="K7" t="str">
            <v>40'</v>
          </cell>
          <cell r="L7" t="str">
            <v>TOTAL</v>
          </cell>
          <cell r="N7" t="str">
            <v>20'</v>
          </cell>
          <cell r="O7" t="str">
            <v>40'</v>
          </cell>
          <cell r="P7" t="str">
            <v>TOTAL</v>
          </cell>
        </row>
        <row r="8">
          <cell r="E8" t="str">
            <v>COLNZ</v>
          </cell>
          <cell r="F8">
            <v>840</v>
          </cell>
          <cell r="G8">
            <v>180</v>
          </cell>
          <cell r="H8">
            <v>1200</v>
          </cell>
          <cell r="J8">
            <v>406</v>
          </cell>
          <cell r="K8">
            <v>80</v>
          </cell>
          <cell r="L8">
            <v>566</v>
          </cell>
          <cell r="N8">
            <v>434</v>
          </cell>
          <cell r="O8">
            <v>100</v>
          </cell>
          <cell r="P8">
            <v>634</v>
          </cell>
        </row>
        <row r="9">
          <cell r="E9" t="str">
            <v>CAUST</v>
          </cell>
          <cell r="F9">
            <v>840</v>
          </cell>
          <cell r="G9">
            <v>180</v>
          </cell>
          <cell r="H9">
            <v>1200</v>
          </cell>
          <cell r="J9">
            <v>406</v>
          </cell>
          <cell r="K9">
            <v>80</v>
          </cell>
          <cell r="L9">
            <v>566</v>
          </cell>
          <cell r="N9">
            <v>434</v>
          </cell>
          <cell r="O9">
            <v>100</v>
          </cell>
          <cell r="P9">
            <v>634</v>
          </cell>
        </row>
        <row r="10">
          <cell r="E10" t="str">
            <v>COLAM</v>
          </cell>
          <cell r="F10">
            <v>840</v>
          </cell>
          <cell r="G10">
            <v>180</v>
          </cell>
          <cell r="H10">
            <v>1200</v>
          </cell>
          <cell r="J10">
            <v>406</v>
          </cell>
          <cell r="K10">
            <v>80</v>
          </cell>
          <cell r="L10">
            <v>566</v>
          </cell>
          <cell r="N10">
            <v>434</v>
          </cell>
          <cell r="O10">
            <v>100</v>
          </cell>
          <cell r="P10">
            <v>634</v>
          </cell>
        </row>
        <row r="11">
          <cell r="E11" t="str">
            <v>COQUE</v>
          </cell>
          <cell r="F11">
            <v>640</v>
          </cell>
          <cell r="G11">
            <v>180</v>
          </cell>
          <cell r="H11">
            <v>1000</v>
          </cell>
          <cell r="J11">
            <v>312</v>
          </cell>
          <cell r="K11">
            <v>80</v>
          </cell>
          <cell r="L11">
            <v>472</v>
          </cell>
          <cell r="N11">
            <v>328</v>
          </cell>
          <cell r="O11">
            <v>100</v>
          </cell>
          <cell r="P11">
            <v>528</v>
          </cell>
        </row>
        <row r="12">
          <cell r="E12" t="str">
            <v>AMEST</v>
          </cell>
          <cell r="F12">
            <v>840</v>
          </cell>
          <cell r="G12">
            <v>180</v>
          </cell>
          <cell r="H12">
            <v>1200</v>
          </cell>
          <cell r="J12">
            <v>366</v>
          </cell>
          <cell r="K12">
            <v>100</v>
          </cell>
          <cell r="L12">
            <v>566</v>
          </cell>
          <cell r="N12">
            <v>474</v>
          </cell>
          <cell r="O12">
            <v>80</v>
          </cell>
          <cell r="P12">
            <v>634</v>
          </cell>
        </row>
        <row r="13">
          <cell r="E13" t="str">
            <v>MELST</v>
          </cell>
          <cell r="F13">
            <v>840</v>
          </cell>
          <cell r="G13">
            <v>180</v>
          </cell>
          <cell r="H13">
            <v>1200</v>
          </cell>
          <cell r="J13">
            <v>366</v>
          </cell>
          <cell r="K13">
            <v>100</v>
          </cell>
          <cell r="L13">
            <v>566</v>
          </cell>
          <cell r="N13">
            <v>474</v>
          </cell>
          <cell r="O13">
            <v>80</v>
          </cell>
          <cell r="P13">
            <v>634</v>
          </cell>
        </row>
        <row r="14">
          <cell r="E14" t="str">
            <v>SYDST</v>
          </cell>
          <cell r="F14">
            <v>840</v>
          </cell>
          <cell r="G14">
            <v>180</v>
          </cell>
          <cell r="H14">
            <v>1200</v>
          </cell>
          <cell r="J14">
            <v>366</v>
          </cell>
          <cell r="K14">
            <v>100</v>
          </cell>
          <cell r="L14">
            <v>566</v>
          </cell>
          <cell r="N14">
            <v>474</v>
          </cell>
          <cell r="O14">
            <v>80</v>
          </cell>
          <cell r="P14">
            <v>634</v>
          </cell>
        </row>
        <row r="15">
          <cell r="E15" t="str">
            <v>QUEST</v>
          </cell>
          <cell r="F15">
            <v>890</v>
          </cell>
          <cell r="G15">
            <v>180</v>
          </cell>
          <cell r="H15">
            <v>1250</v>
          </cell>
          <cell r="J15">
            <v>390</v>
          </cell>
          <cell r="K15">
            <v>100</v>
          </cell>
          <cell r="L15">
            <v>590</v>
          </cell>
          <cell r="N15">
            <v>500</v>
          </cell>
          <cell r="O15">
            <v>80</v>
          </cell>
          <cell r="P15">
            <v>660</v>
          </cell>
        </row>
        <row r="17">
          <cell r="E17" t="str">
            <v xml:space="preserve">   PANZ  (PHASE 1)</v>
          </cell>
        </row>
        <row r="18">
          <cell r="E18" t="str">
            <v>COVIC</v>
          </cell>
          <cell r="F18">
            <v>434</v>
          </cell>
          <cell r="G18">
            <v>158</v>
          </cell>
          <cell r="H18">
            <v>750</v>
          </cell>
          <cell r="J18">
            <v>185</v>
          </cell>
          <cell r="K18">
            <v>68</v>
          </cell>
          <cell r="L18">
            <v>321</v>
          </cell>
          <cell r="N18">
            <v>249</v>
          </cell>
          <cell r="O18">
            <v>90</v>
          </cell>
          <cell r="P18">
            <v>429</v>
          </cell>
        </row>
        <row r="19">
          <cell r="E19" t="str">
            <v>COWEL</v>
          </cell>
          <cell r="F19">
            <v>434</v>
          </cell>
          <cell r="G19">
            <v>158</v>
          </cell>
          <cell r="H19">
            <v>750</v>
          </cell>
          <cell r="J19">
            <v>185</v>
          </cell>
          <cell r="K19">
            <v>68</v>
          </cell>
          <cell r="L19">
            <v>321</v>
          </cell>
          <cell r="N19">
            <v>249</v>
          </cell>
          <cell r="O19">
            <v>90</v>
          </cell>
          <cell r="P19">
            <v>429</v>
          </cell>
        </row>
        <row r="20">
          <cell r="E20" t="str">
            <v>CALIF</v>
          </cell>
          <cell r="F20">
            <v>640</v>
          </cell>
          <cell r="G20">
            <v>180</v>
          </cell>
          <cell r="H20">
            <v>1000</v>
          </cell>
          <cell r="J20">
            <v>274</v>
          </cell>
          <cell r="K20">
            <v>77</v>
          </cell>
          <cell r="L20">
            <v>428</v>
          </cell>
          <cell r="N20">
            <v>366</v>
          </cell>
          <cell r="O20">
            <v>103</v>
          </cell>
          <cell r="P20">
            <v>572</v>
          </cell>
        </row>
        <row r="21">
          <cell r="E21" t="str">
            <v>OREST</v>
          </cell>
          <cell r="F21">
            <v>628</v>
          </cell>
          <cell r="G21">
            <v>186</v>
          </cell>
          <cell r="H21">
            <v>1000</v>
          </cell>
          <cell r="J21">
            <v>268</v>
          </cell>
          <cell r="K21">
            <v>80</v>
          </cell>
          <cell r="L21">
            <v>428</v>
          </cell>
          <cell r="N21">
            <v>360</v>
          </cell>
          <cell r="O21">
            <v>106</v>
          </cell>
          <cell r="P21">
            <v>572</v>
          </cell>
        </row>
        <row r="22">
          <cell r="E22" t="str">
            <v>COSTR</v>
          </cell>
          <cell r="F22">
            <v>455</v>
          </cell>
          <cell r="G22">
            <v>210</v>
          </cell>
          <cell r="H22">
            <v>875</v>
          </cell>
          <cell r="J22">
            <v>194</v>
          </cell>
          <cell r="K22">
            <v>90</v>
          </cell>
          <cell r="L22">
            <v>374</v>
          </cell>
          <cell r="N22">
            <v>261</v>
          </cell>
          <cell r="O22">
            <v>120</v>
          </cell>
          <cell r="P22">
            <v>501</v>
          </cell>
        </row>
        <row r="23">
          <cell r="E23" t="str">
            <v>CALST</v>
          </cell>
          <cell r="F23">
            <v>377</v>
          </cell>
          <cell r="G23">
            <v>200</v>
          </cell>
          <cell r="H23">
            <v>777</v>
          </cell>
          <cell r="J23">
            <v>160</v>
          </cell>
          <cell r="K23">
            <v>86</v>
          </cell>
          <cell r="L23">
            <v>332</v>
          </cell>
          <cell r="N23">
            <v>217</v>
          </cell>
          <cell r="O23">
            <v>114</v>
          </cell>
          <cell r="P23">
            <v>445</v>
          </cell>
        </row>
        <row r="28">
          <cell r="E28" t="str">
            <v>NORTHBOUND</v>
          </cell>
        </row>
        <row r="29">
          <cell r="A29" t="str">
            <v>REEFER</v>
          </cell>
          <cell r="E29" t="str">
            <v>AANZ</v>
          </cell>
          <cell r="F29" t="str">
            <v>AVAILABLE</v>
          </cell>
          <cell r="J29" t="str">
            <v>BLUE STAR</v>
          </cell>
          <cell r="N29" t="str">
            <v>COLUMBUS</v>
          </cell>
          <cell r="R29" t="str">
            <v>AUSTRALIA</v>
          </cell>
          <cell r="V29" t="str">
            <v>NEW ZEALAND</v>
          </cell>
        </row>
        <row r="30">
          <cell r="A30" t="str">
            <v>U/D</v>
          </cell>
          <cell r="B30" t="str">
            <v>O/D</v>
          </cell>
          <cell r="C30" t="str">
            <v>TOT</v>
          </cell>
          <cell r="D30" t="str">
            <v>U/A</v>
          </cell>
          <cell r="F30" t="str">
            <v>REF.</v>
          </cell>
          <cell r="G30" t="str">
            <v>DRY</v>
          </cell>
          <cell r="H30" t="str">
            <v>TOTAL</v>
          </cell>
          <cell r="J30" t="str">
            <v>REF.</v>
          </cell>
          <cell r="K30" t="str">
            <v>DRY</v>
          </cell>
          <cell r="L30" t="str">
            <v>TOTAL</v>
          </cell>
          <cell r="N30" t="str">
            <v>REF.</v>
          </cell>
          <cell r="O30" t="str">
            <v>DRY</v>
          </cell>
          <cell r="P30" t="str">
            <v>TOTAL</v>
          </cell>
          <cell r="R30" t="str">
            <v>REF.</v>
          </cell>
          <cell r="S30" t="str">
            <v>DRY</v>
          </cell>
          <cell r="T30" t="str">
            <v>TOTAL</v>
          </cell>
          <cell r="V30" t="str">
            <v>REF.</v>
          </cell>
          <cell r="W30" t="str">
            <v>DRY</v>
          </cell>
          <cell r="X30" t="str">
            <v>TOTAL</v>
          </cell>
        </row>
        <row r="31">
          <cell r="A31">
            <v>532</v>
          </cell>
          <cell r="B31">
            <v>226</v>
          </cell>
          <cell r="C31">
            <v>758</v>
          </cell>
          <cell r="D31">
            <v>33</v>
          </cell>
          <cell r="E31" t="str">
            <v>COLNZ</v>
          </cell>
          <cell r="F31">
            <v>725</v>
          </cell>
          <cell r="G31">
            <v>150</v>
          </cell>
          <cell r="H31">
            <v>875</v>
          </cell>
          <cell r="J31">
            <v>347</v>
          </cell>
          <cell r="K31">
            <v>80</v>
          </cell>
          <cell r="L31">
            <v>427</v>
          </cell>
          <cell r="N31">
            <v>378</v>
          </cell>
          <cell r="O31">
            <v>70</v>
          </cell>
          <cell r="P31">
            <v>448</v>
          </cell>
          <cell r="R31">
            <v>218</v>
          </cell>
          <cell r="S31">
            <v>45</v>
          </cell>
          <cell r="T31">
            <v>263</v>
          </cell>
          <cell r="V31">
            <v>160</v>
          </cell>
          <cell r="W31">
            <v>25</v>
          </cell>
          <cell r="X31">
            <v>185</v>
          </cell>
        </row>
        <row r="32">
          <cell r="A32">
            <v>454</v>
          </cell>
          <cell r="B32">
            <v>204</v>
          </cell>
          <cell r="C32">
            <v>658</v>
          </cell>
          <cell r="D32">
            <v>33</v>
          </cell>
          <cell r="E32" t="str">
            <v>CAUST</v>
          </cell>
          <cell r="F32">
            <v>625</v>
          </cell>
          <cell r="G32">
            <v>300</v>
          </cell>
          <cell r="H32">
            <v>925</v>
          </cell>
          <cell r="J32">
            <v>299</v>
          </cell>
          <cell r="K32">
            <v>160</v>
          </cell>
          <cell r="L32">
            <v>459</v>
          </cell>
          <cell r="N32">
            <v>326</v>
          </cell>
          <cell r="O32">
            <v>140</v>
          </cell>
          <cell r="P32">
            <v>466</v>
          </cell>
          <cell r="R32">
            <v>186</v>
          </cell>
          <cell r="S32">
            <v>95</v>
          </cell>
          <cell r="T32">
            <v>281</v>
          </cell>
          <cell r="V32">
            <v>140</v>
          </cell>
          <cell r="W32">
            <v>45</v>
          </cell>
          <cell r="X32">
            <v>185</v>
          </cell>
        </row>
        <row r="33">
          <cell r="A33">
            <v>454</v>
          </cell>
          <cell r="B33">
            <v>204</v>
          </cell>
          <cell r="C33">
            <v>658</v>
          </cell>
          <cell r="D33">
            <v>33</v>
          </cell>
          <cell r="E33" t="str">
            <v>COLAM</v>
          </cell>
          <cell r="F33">
            <v>625</v>
          </cell>
          <cell r="G33">
            <v>300</v>
          </cell>
          <cell r="H33">
            <v>925</v>
          </cell>
          <cell r="J33">
            <v>299</v>
          </cell>
          <cell r="K33">
            <v>160</v>
          </cell>
          <cell r="L33">
            <v>459</v>
          </cell>
          <cell r="N33">
            <v>326</v>
          </cell>
          <cell r="O33">
            <v>140</v>
          </cell>
          <cell r="P33">
            <v>466</v>
          </cell>
          <cell r="R33">
            <v>186</v>
          </cell>
          <cell r="S33">
            <v>95</v>
          </cell>
          <cell r="T33">
            <v>281</v>
          </cell>
          <cell r="V33">
            <v>140</v>
          </cell>
          <cell r="W33">
            <v>45</v>
          </cell>
          <cell r="X33">
            <v>185</v>
          </cell>
        </row>
        <row r="34">
          <cell r="A34">
            <v>596</v>
          </cell>
          <cell r="B34">
            <v>60</v>
          </cell>
          <cell r="C34">
            <v>656</v>
          </cell>
          <cell r="D34">
            <v>33</v>
          </cell>
          <cell r="E34" t="str">
            <v>COQUE</v>
          </cell>
          <cell r="F34">
            <v>623</v>
          </cell>
          <cell r="G34">
            <v>250</v>
          </cell>
          <cell r="H34">
            <v>873</v>
          </cell>
          <cell r="J34">
            <v>287</v>
          </cell>
          <cell r="K34">
            <v>130</v>
          </cell>
          <cell r="L34">
            <v>417</v>
          </cell>
          <cell r="N34">
            <v>336</v>
          </cell>
          <cell r="O34">
            <v>120</v>
          </cell>
          <cell r="P34">
            <v>456</v>
          </cell>
          <cell r="R34">
            <v>196</v>
          </cell>
          <cell r="S34">
            <v>75</v>
          </cell>
          <cell r="T34">
            <v>271</v>
          </cell>
          <cell r="V34">
            <v>140</v>
          </cell>
          <cell r="W34">
            <v>45</v>
          </cell>
          <cell r="X34">
            <v>185</v>
          </cell>
        </row>
        <row r="35">
          <cell r="A35">
            <v>592</v>
          </cell>
          <cell r="B35">
            <v>30</v>
          </cell>
          <cell r="C35">
            <v>622</v>
          </cell>
          <cell r="D35">
            <v>22</v>
          </cell>
          <cell r="E35" t="str">
            <v>CALIF</v>
          </cell>
          <cell r="F35">
            <v>600</v>
          </cell>
          <cell r="G35">
            <v>275</v>
          </cell>
          <cell r="H35">
            <v>875</v>
          </cell>
          <cell r="J35">
            <v>286</v>
          </cell>
          <cell r="K35">
            <v>147</v>
          </cell>
          <cell r="L35">
            <v>433</v>
          </cell>
          <cell r="N35">
            <v>314</v>
          </cell>
          <cell r="O35">
            <v>128</v>
          </cell>
          <cell r="P35">
            <v>442</v>
          </cell>
          <cell r="R35">
            <v>180</v>
          </cell>
          <cell r="S35">
            <v>88</v>
          </cell>
          <cell r="T35">
            <v>268</v>
          </cell>
          <cell r="V35">
            <v>134</v>
          </cell>
          <cell r="W35">
            <v>40</v>
          </cell>
          <cell r="X35">
            <v>174</v>
          </cell>
        </row>
        <row r="36">
          <cell r="A36">
            <v>556</v>
          </cell>
          <cell r="B36">
            <v>124</v>
          </cell>
          <cell r="C36">
            <v>680</v>
          </cell>
          <cell r="E36" t="str">
            <v>AMEST</v>
          </cell>
          <cell r="F36">
            <v>672</v>
          </cell>
          <cell r="G36">
            <v>375</v>
          </cell>
          <cell r="H36">
            <v>1047</v>
          </cell>
          <cell r="J36">
            <v>321</v>
          </cell>
          <cell r="K36">
            <v>200</v>
          </cell>
          <cell r="L36">
            <v>521</v>
          </cell>
          <cell r="N36">
            <v>351</v>
          </cell>
          <cell r="O36">
            <v>175</v>
          </cell>
          <cell r="P36">
            <v>526</v>
          </cell>
          <cell r="R36">
            <v>201</v>
          </cell>
          <cell r="S36">
            <v>120</v>
          </cell>
          <cell r="T36">
            <v>321</v>
          </cell>
          <cell r="V36">
            <v>150</v>
          </cell>
          <cell r="W36">
            <v>55</v>
          </cell>
          <cell r="X36">
            <v>205</v>
          </cell>
        </row>
        <row r="37">
          <cell r="A37">
            <v>556</v>
          </cell>
          <cell r="B37">
            <v>124</v>
          </cell>
          <cell r="C37">
            <v>680</v>
          </cell>
          <cell r="E37" t="str">
            <v>MELST</v>
          </cell>
          <cell r="F37">
            <v>672</v>
          </cell>
          <cell r="G37">
            <v>375</v>
          </cell>
          <cell r="H37">
            <v>1047</v>
          </cell>
          <cell r="J37">
            <v>321</v>
          </cell>
          <cell r="K37">
            <v>200</v>
          </cell>
          <cell r="L37">
            <v>521</v>
          </cell>
          <cell r="N37">
            <v>351</v>
          </cell>
          <cell r="O37">
            <v>175</v>
          </cell>
          <cell r="P37">
            <v>526</v>
          </cell>
          <cell r="R37">
            <v>201</v>
          </cell>
          <cell r="S37">
            <v>120</v>
          </cell>
          <cell r="T37">
            <v>321</v>
          </cell>
          <cell r="V37">
            <v>150</v>
          </cell>
          <cell r="W37">
            <v>55</v>
          </cell>
          <cell r="X37">
            <v>205</v>
          </cell>
        </row>
        <row r="38">
          <cell r="A38">
            <v>556</v>
          </cell>
          <cell r="B38">
            <v>124</v>
          </cell>
          <cell r="C38">
            <v>680</v>
          </cell>
          <cell r="E38" t="str">
            <v>SYDST</v>
          </cell>
          <cell r="F38">
            <v>672</v>
          </cell>
          <cell r="G38">
            <v>375</v>
          </cell>
          <cell r="H38">
            <v>1047</v>
          </cell>
          <cell r="J38">
            <v>321</v>
          </cell>
          <cell r="K38">
            <v>200</v>
          </cell>
          <cell r="L38">
            <v>521</v>
          </cell>
          <cell r="N38">
            <v>351</v>
          </cell>
          <cell r="O38">
            <v>175</v>
          </cell>
          <cell r="P38">
            <v>526</v>
          </cell>
          <cell r="R38">
            <v>201</v>
          </cell>
          <cell r="S38">
            <v>120</v>
          </cell>
          <cell r="T38">
            <v>321</v>
          </cell>
          <cell r="V38">
            <v>150</v>
          </cell>
          <cell r="W38">
            <v>55</v>
          </cell>
          <cell r="X38">
            <v>205</v>
          </cell>
        </row>
        <row r="39">
          <cell r="A39">
            <v>556</v>
          </cell>
          <cell r="B39">
            <v>124</v>
          </cell>
          <cell r="C39">
            <v>680</v>
          </cell>
          <cell r="E39" t="str">
            <v>QUEST</v>
          </cell>
          <cell r="F39">
            <v>672</v>
          </cell>
          <cell r="G39">
            <v>375</v>
          </cell>
          <cell r="H39">
            <v>1047</v>
          </cell>
          <cell r="J39">
            <v>321</v>
          </cell>
          <cell r="K39">
            <v>200</v>
          </cell>
          <cell r="L39">
            <v>521</v>
          </cell>
          <cell r="N39">
            <v>351</v>
          </cell>
          <cell r="O39">
            <v>175</v>
          </cell>
          <cell r="P39">
            <v>526</v>
          </cell>
          <cell r="R39">
            <v>201</v>
          </cell>
          <cell r="S39">
            <v>120</v>
          </cell>
          <cell r="T39">
            <v>321</v>
          </cell>
          <cell r="V39">
            <v>150</v>
          </cell>
          <cell r="W39">
            <v>55</v>
          </cell>
          <cell r="X39">
            <v>205</v>
          </cell>
        </row>
        <row r="42">
          <cell r="A42" t="str">
            <v>COQUE O/D REF INCR.</v>
          </cell>
        </row>
        <row r="43">
          <cell r="A43" t="str">
            <v>BY 36 - 04/92</v>
          </cell>
        </row>
        <row r="44">
          <cell r="E44" t="str">
            <v xml:space="preserve">   PANZ  (PHASE 1)</v>
          </cell>
        </row>
        <row r="45">
          <cell r="A45">
            <v>336</v>
          </cell>
          <cell r="B45">
            <v>154</v>
          </cell>
          <cell r="C45">
            <v>490</v>
          </cell>
          <cell r="D45">
            <v>66</v>
          </cell>
          <cell r="E45" t="str">
            <v>COVIC</v>
          </cell>
          <cell r="F45">
            <v>336</v>
          </cell>
          <cell r="G45">
            <v>313</v>
          </cell>
          <cell r="H45">
            <v>649</v>
          </cell>
          <cell r="J45">
            <v>167</v>
          </cell>
          <cell r="K45">
            <v>117</v>
          </cell>
          <cell r="L45">
            <v>284</v>
          </cell>
          <cell r="N45">
            <v>169</v>
          </cell>
          <cell r="O45">
            <v>196</v>
          </cell>
          <cell r="P45">
            <v>365</v>
          </cell>
          <cell r="R45">
            <v>74</v>
          </cell>
          <cell r="S45">
            <v>120</v>
          </cell>
          <cell r="T45">
            <v>194</v>
          </cell>
          <cell r="V45">
            <v>95</v>
          </cell>
          <cell r="W45">
            <v>76</v>
          </cell>
          <cell r="X45">
            <v>171</v>
          </cell>
        </row>
        <row r="46">
          <cell r="A46">
            <v>336</v>
          </cell>
          <cell r="B46">
            <v>154</v>
          </cell>
          <cell r="C46">
            <v>490</v>
          </cell>
          <cell r="D46">
            <v>66</v>
          </cell>
          <cell r="E46" t="str">
            <v>COWEL</v>
          </cell>
          <cell r="F46">
            <v>336</v>
          </cell>
          <cell r="G46">
            <v>313</v>
          </cell>
          <cell r="H46">
            <v>649</v>
          </cell>
          <cell r="J46">
            <v>167</v>
          </cell>
          <cell r="K46">
            <v>117</v>
          </cell>
          <cell r="L46">
            <v>284</v>
          </cell>
          <cell r="N46">
            <v>169</v>
          </cell>
          <cell r="O46">
            <v>196</v>
          </cell>
          <cell r="P46">
            <v>365</v>
          </cell>
          <cell r="R46">
            <v>74</v>
          </cell>
          <cell r="S46">
            <v>120</v>
          </cell>
          <cell r="T46">
            <v>194</v>
          </cell>
          <cell r="V46">
            <v>95</v>
          </cell>
          <cell r="W46">
            <v>76</v>
          </cell>
          <cell r="X46">
            <v>171</v>
          </cell>
        </row>
        <row r="47">
          <cell r="A47">
            <v>592</v>
          </cell>
          <cell r="B47">
            <v>30</v>
          </cell>
          <cell r="C47">
            <v>622</v>
          </cell>
          <cell r="D47">
            <v>22</v>
          </cell>
          <cell r="E47" t="str">
            <v>CALIF</v>
          </cell>
          <cell r="F47">
            <v>600</v>
          </cell>
          <cell r="G47">
            <v>275</v>
          </cell>
          <cell r="H47">
            <v>875</v>
          </cell>
          <cell r="J47">
            <v>219</v>
          </cell>
          <cell r="K47">
            <v>142</v>
          </cell>
          <cell r="L47">
            <v>361</v>
          </cell>
          <cell r="N47">
            <v>381</v>
          </cell>
          <cell r="O47">
            <v>133</v>
          </cell>
          <cell r="P47">
            <v>514</v>
          </cell>
          <cell r="R47">
            <v>190</v>
          </cell>
          <cell r="S47">
            <v>78</v>
          </cell>
          <cell r="T47">
            <v>268</v>
          </cell>
          <cell r="V47">
            <v>191</v>
          </cell>
          <cell r="W47">
            <v>55</v>
          </cell>
          <cell r="X47">
            <v>246</v>
          </cell>
        </row>
        <row r="48">
          <cell r="A48">
            <v>596</v>
          </cell>
          <cell r="B48">
            <v>24</v>
          </cell>
          <cell r="C48">
            <v>620</v>
          </cell>
          <cell r="D48">
            <v>20</v>
          </cell>
          <cell r="E48" t="str">
            <v>OREST</v>
          </cell>
          <cell r="F48">
            <v>600</v>
          </cell>
          <cell r="G48">
            <v>250</v>
          </cell>
          <cell r="H48">
            <v>850</v>
          </cell>
          <cell r="J48">
            <v>219</v>
          </cell>
          <cell r="K48">
            <v>130</v>
          </cell>
          <cell r="L48">
            <v>349</v>
          </cell>
          <cell r="N48">
            <v>381</v>
          </cell>
          <cell r="O48">
            <v>120</v>
          </cell>
          <cell r="P48">
            <v>501</v>
          </cell>
          <cell r="R48">
            <v>190</v>
          </cell>
          <cell r="S48">
            <v>77</v>
          </cell>
          <cell r="T48">
            <v>267</v>
          </cell>
          <cell r="V48">
            <v>191</v>
          </cell>
          <cell r="W48">
            <v>43</v>
          </cell>
          <cell r="X48">
            <v>234</v>
          </cell>
        </row>
        <row r="49">
          <cell r="A49">
            <v>302</v>
          </cell>
          <cell r="B49">
            <v>147</v>
          </cell>
          <cell r="C49">
            <v>449</v>
          </cell>
          <cell r="E49" t="str">
            <v>COSTR</v>
          </cell>
          <cell r="F49">
            <v>449</v>
          </cell>
          <cell r="G49">
            <v>401</v>
          </cell>
          <cell r="H49">
            <v>850</v>
          </cell>
          <cell r="J49">
            <v>206</v>
          </cell>
          <cell r="K49">
            <v>207</v>
          </cell>
          <cell r="L49">
            <v>413</v>
          </cell>
          <cell r="N49">
            <v>243</v>
          </cell>
          <cell r="O49">
            <v>194</v>
          </cell>
          <cell r="P49">
            <v>437</v>
          </cell>
          <cell r="R49">
            <v>122</v>
          </cell>
          <cell r="S49">
            <v>110</v>
          </cell>
          <cell r="T49">
            <v>232</v>
          </cell>
          <cell r="V49">
            <v>121</v>
          </cell>
          <cell r="W49">
            <v>84</v>
          </cell>
          <cell r="X49">
            <v>205</v>
          </cell>
        </row>
        <row r="50">
          <cell r="C50">
            <v>358</v>
          </cell>
          <cell r="E50" t="str">
            <v>CALST</v>
          </cell>
          <cell r="F50">
            <v>358</v>
          </cell>
          <cell r="G50">
            <v>361</v>
          </cell>
          <cell r="H50">
            <v>719</v>
          </cell>
          <cell r="J50">
            <v>159</v>
          </cell>
          <cell r="K50">
            <v>187</v>
          </cell>
          <cell r="L50">
            <v>346</v>
          </cell>
          <cell r="N50">
            <v>199</v>
          </cell>
          <cell r="O50">
            <v>174</v>
          </cell>
          <cell r="P50">
            <v>373</v>
          </cell>
          <cell r="R50">
            <v>99</v>
          </cell>
          <cell r="S50">
            <v>100</v>
          </cell>
          <cell r="T50">
            <v>199</v>
          </cell>
          <cell r="V50">
            <v>100</v>
          </cell>
          <cell r="W50">
            <v>74</v>
          </cell>
          <cell r="X50">
            <v>174</v>
          </cell>
        </row>
        <row r="53">
          <cell r="E53" t="str">
            <v>NOTE: COVIC CLASS REEFER ALLOCATION IS UNDER DECK SLOTS ONLY.  66 USEABLE OF 154 ON DECK REEFER SLOTS UNALLOCATED.</v>
          </cell>
        </row>
        <row r="54">
          <cell r="E54" t="str">
            <v xml:space="preserve">             REMAINING 88 ON DECK REEFER SLOTS INCLUDED ABOVE AS DRY SLOTS</v>
          </cell>
        </row>
        <row r="55">
          <cell r="E55" t="str">
            <v xml:space="preserve">             REEFER PLUGS:</v>
          </cell>
          <cell r="H55" t="str">
            <v>CAUST  169 + 45 = 214  (90 PLUGS @ 32 AMPS)</v>
          </cell>
        </row>
        <row r="56">
          <cell r="H56" t="str">
            <v>COLAM  161 + 45 = 206  ( = 2 COU PER PLUG)</v>
          </cell>
          <cell r="X56">
            <v>36062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_AL-PON"/>
      <sheetName val="BSA"/>
      <sheetName val="Tab CBD"/>
      <sheetName val="AD HOC_New VSA"/>
      <sheetName val="Qtty_New VSA"/>
      <sheetName val="BSA_New VSA"/>
      <sheetName val="AHsbnb_2"/>
      <sheetName val="AdHocNew VSA"/>
      <sheetName val="Shipdata 2005"/>
    </sheetNames>
    <sheetDataSet>
      <sheetData sheetId="0" refreshError="1"/>
      <sheetData sheetId="1" refreshError="1">
        <row r="4">
          <cell r="A4" t="str">
            <v>Vessel</v>
          </cell>
          <cell r="B4" t="str">
            <v>Slot</v>
          </cell>
          <cell r="C4" t="str">
            <v>AL</v>
          </cell>
          <cell r="D4" t="str">
            <v>CL</v>
          </cell>
          <cell r="E4" t="str">
            <v>PON</v>
          </cell>
          <cell r="F4" t="str">
            <v>AL</v>
          </cell>
          <cell r="G4" t="str">
            <v>CL</v>
          </cell>
          <cell r="H4" t="str">
            <v>PON</v>
          </cell>
          <cell r="I4" t="str">
            <v>Max</v>
          </cell>
          <cell r="J4" t="str">
            <v>OWNER</v>
          </cell>
          <cell r="K4" t="str">
            <v>CAPACITY</v>
          </cell>
          <cell r="L4" t="str">
            <v>CAPACITY</v>
          </cell>
          <cell r="M4" t="str">
            <v>E.C.</v>
          </cell>
          <cell r="N4" t="str">
            <v>WEIGHT</v>
          </cell>
        </row>
        <row r="5">
          <cell r="A5" t="str">
            <v>TEXA</v>
          </cell>
          <cell r="B5">
            <v>0</v>
          </cell>
          <cell r="C5">
            <v>495</v>
          </cell>
          <cell r="D5">
            <v>743</v>
          </cell>
          <cell r="E5">
            <v>240</v>
          </cell>
          <cell r="J5" t="str">
            <v>CL</v>
          </cell>
          <cell r="K5">
            <v>1478</v>
          </cell>
        </row>
        <row r="6">
          <cell r="A6" t="str">
            <v>NESA</v>
          </cell>
          <cell r="B6">
            <v>0</v>
          </cell>
          <cell r="C6">
            <v>405</v>
          </cell>
          <cell r="D6">
            <v>609</v>
          </cell>
          <cell r="E6">
            <v>196</v>
          </cell>
          <cell r="J6" t="str">
            <v>PON</v>
          </cell>
          <cell r="K6">
            <v>1210</v>
          </cell>
        </row>
        <row r="7">
          <cell r="A7" t="str">
            <v>COFL</v>
          </cell>
          <cell r="B7">
            <v>0</v>
          </cell>
          <cell r="C7">
            <v>381</v>
          </cell>
          <cell r="D7">
            <v>571</v>
          </cell>
          <cell r="E7">
            <v>184</v>
          </cell>
          <cell r="J7" t="str">
            <v>CL</v>
          </cell>
          <cell r="K7">
            <v>1136</v>
          </cell>
        </row>
        <row r="8">
          <cell r="A8" t="str">
            <v>COPL</v>
          </cell>
          <cell r="B8">
            <v>0</v>
          </cell>
          <cell r="C8">
            <v>381</v>
          </cell>
          <cell r="D8">
            <v>571</v>
          </cell>
          <cell r="E8">
            <v>184</v>
          </cell>
          <cell r="J8" t="str">
            <v>CL</v>
          </cell>
          <cell r="K8">
            <v>1136</v>
          </cell>
        </row>
        <row r="9">
          <cell r="A9" t="str">
            <v>COPA</v>
          </cell>
          <cell r="B9">
            <v>0</v>
          </cell>
          <cell r="C9">
            <v>419</v>
          </cell>
          <cell r="D9">
            <v>628</v>
          </cell>
          <cell r="E9">
            <v>203</v>
          </cell>
          <cell r="J9" t="str">
            <v>AL</v>
          </cell>
          <cell r="K9">
            <v>1250</v>
          </cell>
        </row>
        <row r="10">
          <cell r="A10" t="str">
            <v>FLAM</v>
          </cell>
          <cell r="B10">
            <v>0</v>
          </cell>
          <cell r="C10">
            <v>419</v>
          </cell>
          <cell r="D10">
            <v>628</v>
          </cell>
          <cell r="E10">
            <v>203</v>
          </cell>
          <cell r="J10" t="str">
            <v>AL</v>
          </cell>
          <cell r="K10">
            <v>1250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th"/>
      <sheetName val="North"/>
      <sheetName val="Table"/>
    </sheetNames>
    <sheetDataSet>
      <sheetData sheetId="0" refreshError="1"/>
      <sheetData sheetId="1" refreshError="1"/>
      <sheetData sheetId="2" refreshError="1">
        <row r="3">
          <cell r="A3" t="str">
            <v>AMB</v>
          </cell>
          <cell r="B3" t="str">
            <v>Eagle</v>
          </cell>
        </row>
        <row r="4">
          <cell r="A4" t="str">
            <v>ATN</v>
          </cell>
          <cell r="B4" t="str">
            <v>Eagle</v>
          </cell>
        </row>
        <row r="5">
          <cell r="A5" t="str">
            <v>BLX</v>
          </cell>
          <cell r="B5" t="str">
            <v>East</v>
          </cell>
        </row>
        <row r="6">
          <cell r="A6" t="str">
            <v>FOS</v>
          </cell>
          <cell r="B6" t="str">
            <v>Med</v>
          </cell>
        </row>
        <row r="7">
          <cell r="A7" t="str">
            <v>FRM</v>
          </cell>
          <cell r="B7" t="str">
            <v>Med</v>
          </cell>
        </row>
        <row r="8">
          <cell r="A8" t="str">
            <v>LSZ</v>
          </cell>
          <cell r="B8" t="str">
            <v>Med</v>
          </cell>
        </row>
        <row r="9">
          <cell r="A9" t="str">
            <v>MAI</v>
          </cell>
          <cell r="B9" t="str">
            <v>East</v>
          </cell>
        </row>
        <row r="10">
          <cell r="A10" t="str">
            <v>NOB</v>
          </cell>
          <cell r="B10" t="str">
            <v>Eagle</v>
          </cell>
        </row>
        <row r="11">
          <cell r="A11" t="str">
            <v>NZP</v>
          </cell>
          <cell r="B11" t="str">
            <v>East</v>
          </cell>
        </row>
        <row r="12">
          <cell r="A12" t="str">
            <v>OPT</v>
          </cell>
          <cell r="B12" t="str">
            <v>Eagle</v>
          </cell>
        </row>
        <row r="13">
          <cell r="A13" t="str">
            <v>PAL</v>
          </cell>
          <cell r="B13" t="str">
            <v>East</v>
          </cell>
        </row>
        <row r="14">
          <cell r="A14" t="str">
            <v>PGA</v>
          </cell>
          <cell r="B14" t="str">
            <v>East</v>
          </cell>
        </row>
        <row r="15">
          <cell r="A15" t="str">
            <v>RES</v>
          </cell>
          <cell r="B15" t="str">
            <v>East</v>
          </cell>
        </row>
        <row r="16">
          <cell r="A16" t="str">
            <v>ROM</v>
          </cell>
          <cell r="B16" t="str">
            <v>Eagle</v>
          </cell>
        </row>
        <row r="17">
          <cell r="A17" t="str">
            <v>SCO</v>
          </cell>
          <cell r="B17" t="str">
            <v>Med</v>
          </cell>
        </row>
        <row r="18">
          <cell r="A18" t="str">
            <v>SLE</v>
          </cell>
          <cell r="B18" t="str">
            <v>Med</v>
          </cell>
        </row>
        <row r="19">
          <cell r="A19" t="str">
            <v>VIS</v>
          </cell>
          <cell r="B19" t="str">
            <v>Eagle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ustavo costa" id="{980DB4EA-8595-420D-8604-5A1922B7F600}" userId="gustavo costa" providerId="None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osta/Documents/USP/Tese%20Doutorado%202022/Tese/Input%20Modelo/CommercialProposalBas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costa" refreshedDate="44825.67949224537" createdVersion="8" refreshedVersion="8" minRefreshableVersion="3" recordCount="978" xr:uid="{0BC07763-AA0F-4F76-9839-6421A20E8E04}">
  <cacheSource type="worksheet">
    <worksheetSource ref="A1:ES979" sheet="CommercialProposal" r:id="rId2"/>
  </cacheSource>
  <cacheFields count="149">
    <cacheField name="cpNumber" numFmtId="0">
      <sharedItems containsSemiMixedTypes="0" containsString="0" containsNumber="1" containsInteger="1" minValue="1" maxValue="978"/>
    </cacheField>
    <cacheField name="cpValidity" numFmtId="14">
      <sharedItems containsSemiMixedTypes="0" containsNonDate="0" containsDate="1" containsString="0" minDate="2022-12-31T00:00:00" maxDate="2023-01-01T00:00:00"/>
    </cacheField>
    <cacheField name="cpType" numFmtId="0">
      <sharedItems count="5">
        <s v="POPO"/>
        <s v="POPA"/>
        <s v="PAPA"/>
        <s v="PAPO"/>
        <s v="FEEDER"/>
      </sharedItems>
    </cacheField>
    <cacheField name="cpBillingCode" numFmtId="0">
      <sharedItems/>
    </cacheField>
    <cacheField name="cpShipperCode" numFmtId="0">
      <sharedItems/>
    </cacheField>
    <cacheField name="cpShipperCity" numFmtId="0">
      <sharedItems/>
    </cacheField>
    <cacheField name="cpShipperState" numFmtId="0">
      <sharedItems/>
    </cacheField>
    <cacheField name="cpConsigneeCode" numFmtId="0">
      <sharedItems/>
    </cacheField>
    <cacheField name="cpConsigneeCity" numFmtId="0">
      <sharedItems/>
    </cacheField>
    <cacheField name="cpConsigneeState" numFmtId="4">
      <sharedItems/>
    </cacheField>
    <cacheField name="cpDistanceShipperToConsignee" numFmtId="43">
      <sharedItems containsSemiMixedTypes="0" containsString="0" containsNumber="1" minValue="0" maxValue="4144.4069500000005"/>
    </cacheField>
    <cacheField name="cpDistanceShipperToBelem" numFmtId="43">
      <sharedItems containsSemiMixedTypes="0" containsString="0" containsNumber="1" minValue="0" maxValue="3096.4794040000002"/>
    </cacheField>
    <cacheField name="cpDistanceConsigneeToBelem" numFmtId="43">
      <sharedItems containsSemiMixedTypes="0" containsString="0" containsNumber="1" minValue="0" maxValue="3090.4427809999997"/>
    </cacheField>
    <cacheField name="cpFreightBargeBelemManaus" numFmtId="43">
      <sharedItems containsSemiMixedTypes="0" containsString="0" containsNumber="1" containsInteger="1" minValue="0" maxValue="7000"/>
    </cacheField>
    <cacheField name="cpFreightBargeBelemMacapa" numFmtId="43">
      <sharedItems containsSemiMixedTypes="0" containsString="0" containsNumber="1" containsInteger="1" minValue="0" maxValue="0"/>
    </cacheField>
    <cacheField name="cpService" numFmtId="0">
      <sharedItems count="2">
        <s v="KAB01"/>
        <s v="KAB02"/>
      </sharedItems>
    </cacheField>
    <cacheField name="cpPol" numFmtId="0">
      <sharedItems count="7">
        <s v="BRSSZ"/>
        <s v="BRPEC"/>
        <s v="BRMAO"/>
        <s v="BRSUA"/>
        <s v="BRIGI"/>
        <s v="BRSSA"/>
        <s v="BRVIX"/>
      </sharedItems>
    </cacheField>
    <cacheField name="cpTruckCompanyPol" numFmtId="0">
      <sharedItems containsBlank="1"/>
    </cacheField>
    <cacheField name="cpCtPol" numFmtId="0">
      <sharedItems/>
    </cacheField>
    <cacheField name="cpDistanceShipperCtPol" numFmtId="43">
      <sharedItems containsSemiMixedTypes="0" containsString="0" containsNumber="1" minValue="0" maxValue="701.24805500000002"/>
    </cacheField>
    <cacheField name="cpTkAdValoremPol" numFmtId="43">
      <sharedItems containsSemiMixedTypes="0" containsString="0" containsNumber="1" minValue="0" maxValue="124.889"/>
    </cacheField>
    <cacheField name="cpTkGrisPol" numFmtId="43">
      <sharedItems containsSemiMixedTypes="0" containsString="0" containsNumber="1" containsInteger="1" minValue="0" maxValue="150"/>
    </cacheField>
    <cacheField name="cpTkTotalFreightPol" numFmtId="43">
      <sharedItems containsSemiMixedTypes="0" containsString="0" containsNumber="1" minValue="0" maxValue="11009.2279816352"/>
    </cacheField>
    <cacheField name="cpTkIcmsPol" numFmtId="43">
      <sharedItems containsSemiMixedTypes="0" containsString="0" containsNumber="1" minValue="0" maxValue="1981.661036694336"/>
    </cacheField>
    <cacheField name="cpCtBoxRateFullPol" numFmtId="43">
      <sharedItems containsSemiMixedTypes="0" containsString="0" containsNumber="1" containsInteger="1" minValue="0" maxValue="1344"/>
    </cacheField>
    <cacheField name="cpCtFreeTimeLoadingPol" numFmtId="0">
      <sharedItems containsSemiMixedTypes="0" containsString="0" containsNumber="1" containsInteger="1" minValue="0" maxValue="7"/>
    </cacheField>
    <cacheField name="cpCtMonitoringTariffPol" numFmtId="43">
      <sharedItems containsSemiMixedTypes="0" containsString="0" containsNumber="1" minValue="0" maxValue="480"/>
    </cacheField>
    <cacheField name="cpCtPlugTariffPol" numFmtId="43">
      <sharedItems containsSemiMixedTypes="0" containsString="0" containsNumber="1" containsInteger="1" minValue="0" maxValue="0"/>
    </cacheField>
    <cacheField name="cpCtTotalCostPol" numFmtId="43">
      <sharedItems containsSemiMixedTypes="0" containsString="0" containsNumber="1" minValue="0" maxValue="4704"/>
    </cacheField>
    <cacheField name="cpPot" numFmtId="0">
      <sharedItems containsNonDate="0" containsString="0" containsBlank="1"/>
    </cacheField>
    <cacheField name="cpCtPot" numFmtId="0">
      <sharedItems containsNonDate="0" containsString="0" containsBlank="1"/>
    </cacheField>
    <cacheField name="cpCtTranshipmentTariff" numFmtId="43">
      <sharedItems containsSemiMixedTypes="0" containsString="0" containsNumber="1" containsInteger="1" minValue="0" maxValue="0"/>
    </cacheField>
    <cacheField name="cpPod" numFmtId="0">
      <sharedItems count="7">
        <s v="BRMAO"/>
        <s v="BRSSZ"/>
        <s v="BRSUA"/>
        <s v="BRPEC"/>
        <s v="BRIGI"/>
        <s v="BRSSA"/>
        <s v="BRVIX"/>
      </sharedItems>
    </cacheField>
    <cacheField name="cpTruckCompanyPod" numFmtId="0">
      <sharedItems containsBlank="1"/>
    </cacheField>
    <cacheField name="cpCtPod" numFmtId="0">
      <sharedItems/>
    </cacheField>
    <cacheField name="cpDistanceConsigneeCtPod" numFmtId="43">
      <sharedItems containsSemiMixedTypes="0" containsString="0" containsNumber="1" minValue="0" maxValue="853.73010699999998"/>
    </cacheField>
    <cacheField name="cpTkAdValoremPod" numFmtId="43">
      <sharedItems containsSemiMixedTypes="0" containsString="0" containsNumber="1" minValue="0" maxValue="124.889"/>
    </cacheField>
    <cacheField name="cpTkGrisPod" numFmtId="43">
      <sharedItems containsSemiMixedTypes="0" containsString="0" containsNumber="1" containsInteger="1" minValue="0" maxValue="150"/>
    </cacheField>
    <cacheField name="cpTkTotalFreightPod" numFmtId="43">
      <sharedItems containsSemiMixedTypes="0" containsString="0" containsNumber="1" minValue="0" maxValue="13312.681652580479"/>
    </cacheField>
    <cacheField name="cpTkIcmsPod" numFmtId="43">
      <sharedItems containsSemiMixedTypes="0" containsString="0" containsNumber="1" minValue="0" maxValue="1597.5217983096575"/>
    </cacheField>
    <cacheField name="cpCtBoxRateFullPod" numFmtId="43">
      <sharedItems containsSemiMixedTypes="0" containsString="0" containsNumber="1" containsInteger="1" minValue="0" maxValue="1344"/>
    </cacheField>
    <cacheField name="cpCtFreeTimeDischargePod" numFmtId="0">
      <sharedItems containsSemiMixedTypes="0" containsString="0" containsNumber="1" containsInteger="1" minValue="0" maxValue="7"/>
    </cacheField>
    <cacheField name="cpCtMonitoringTariffPod" numFmtId="43">
      <sharedItems containsSemiMixedTypes="0" containsString="0" containsNumber="1" minValue="0" maxValue="480"/>
    </cacheField>
    <cacheField name="cpCtPlugTariffPod" numFmtId="43">
      <sharedItems containsSemiMixedTypes="0" containsString="0" containsNumber="1" containsInteger="1" minValue="0" maxValue="0"/>
    </cacheField>
    <cacheField name="cpCtTotalCostPod" numFmtId="43">
      <sharedItems containsSemiMixedTypes="0" containsString="0" containsNumber="1" minValue="0" maxValue="4704"/>
    </cacheField>
    <cacheField name="cpDpPol" numFmtId="0">
      <sharedItems containsBlank="1"/>
    </cacheField>
    <cacheField name="cpDpHandlingInTariffPol" numFmtId="43">
      <sharedItems containsSemiMixedTypes="0" containsString="0" containsNumber="1" containsInteger="1" minValue="0" maxValue="120"/>
    </cacheField>
    <cacheField name="cpDpSurveyTariffPol" numFmtId="43">
      <sharedItems containsSemiMixedTypes="0" containsString="0" containsNumber="1" containsInteger="1" minValue="0" maxValue="90"/>
    </cacheField>
    <cacheField name="CpDpPtiTariffPol" numFmtId="43">
      <sharedItems containsSemiMixedTypes="0" containsString="0" containsNumber="1" containsInteger="1" minValue="0" maxValue="320"/>
    </cacheField>
    <cacheField name="cpDpWashTariffPol" numFmtId="43">
      <sharedItems containsSemiMixedTypes="0" containsString="0" containsNumber="1" containsInteger="1" minValue="0" maxValue="150"/>
    </cacheField>
    <cacheField name="cpDpSetingTariffPol" numFmtId="43">
      <sharedItems containsSemiMixedTypes="0" containsString="0" containsNumber="1" containsInteger="1" minValue="0" maxValue="150"/>
    </cacheField>
    <cacheField name="cpDpHandlingOutTariffPol" numFmtId="43">
      <sharedItems containsSemiMixedTypes="0" containsString="0" containsNumber="1" containsInteger="1" minValue="0" maxValue="120"/>
    </cacheField>
    <cacheField name="cpDpTotalCostPol" numFmtId="43">
      <sharedItems containsSemiMixedTypes="0" containsString="0" containsNumber="1" containsInteger="1" minValue="0" maxValue="950"/>
    </cacheField>
    <cacheField name="cpDpPod" numFmtId="0">
      <sharedItems containsBlank="1"/>
    </cacheField>
    <cacheField name="cpBtPol" numFmtId="0">
      <sharedItems containsNonDate="0" containsString="0" containsBlank="1"/>
    </cacheField>
    <cacheField name="cpDistanceShipperBtPol" numFmtId="43">
      <sharedItems containsSemiMixedTypes="0" containsString="0" containsNumber="1" containsInteger="1" minValue="0" maxValue="0"/>
    </cacheField>
    <cacheField name="cpTkAdValoremBtPol" numFmtId="43">
      <sharedItems containsSemiMixedTypes="0" containsString="0" containsNumber="1" containsInteger="1" minValue="0" maxValue="0"/>
    </cacheField>
    <cacheField name="cpTkGrisBtPol" numFmtId="43">
      <sharedItems containsSemiMixedTypes="0" containsString="0" containsNumber="1" containsInteger="1" minValue="0" maxValue="0"/>
    </cacheField>
    <cacheField name="cpTkTotalFreightBtPol" numFmtId="43">
      <sharedItems containsSemiMixedTypes="0" containsString="0" containsNumber="1" containsInteger="1" minValue="0" maxValue="0"/>
    </cacheField>
    <cacheField name="cpTkIcmsBtPol" numFmtId="43">
      <sharedItems containsSemiMixedTypes="0" containsString="0" containsNumber="1" containsInteger="1" minValue="0" maxValue="0"/>
    </cacheField>
    <cacheField name="cpBtFullTariffPol" numFmtId="43">
      <sharedItems containsSemiMixedTypes="0" containsString="0" containsNumber="1" containsInteger="1" minValue="0" maxValue="0"/>
    </cacheField>
    <cacheField name="cpBargeServicePol" numFmtId="0">
      <sharedItems containsNonDate="0" containsString="0" containsBlank="1"/>
    </cacheField>
    <cacheField name="cpBarge20FreightFullPol" numFmtId="43">
      <sharedItems containsSemiMixedTypes="0" containsString="0" containsNumber="1" containsInteger="1" minValue="0" maxValue="0"/>
    </cacheField>
    <cacheField name="cpBarge40FreightFullPol" numFmtId="43">
      <sharedItems containsSemiMixedTypes="0" containsString="0" containsNumber="1" containsInteger="1" minValue="0" maxValue="0"/>
    </cacheField>
    <cacheField name="cpBargeAdValoremPol" numFmtId="43">
      <sharedItems containsSemiMixedTypes="0" containsString="0" containsNumber="1" containsInteger="1" minValue="0" maxValue="0"/>
    </cacheField>
    <cacheField name="cpBargeIcmsPol" numFmtId="43">
      <sharedItems containsSemiMixedTypes="0" containsString="0" containsNumber="1" containsInteger="1" minValue="0" maxValue="0"/>
    </cacheField>
    <cacheField name="cpCtBargeTariffPol" numFmtId="43">
      <sharedItems containsSemiMixedTypes="0" containsString="0" containsNumber="1" containsInteger="1" minValue="0" maxValue="0"/>
    </cacheField>
    <cacheField name="cpBargeTotalCostPol" numFmtId="43">
      <sharedItems containsSemiMixedTypes="0" containsString="0" containsNumber="1" containsInteger="1" minValue="0" maxValue="0"/>
    </cacheField>
    <cacheField name="cpBtPod" numFmtId="0">
      <sharedItems containsNonDate="0" containsString="0" containsBlank="1"/>
    </cacheField>
    <cacheField name="cpDistanceConsigneeBtPod" numFmtId="43">
      <sharedItems containsSemiMixedTypes="0" containsString="0" containsNumber="1" containsInteger="1" minValue="0" maxValue="0"/>
    </cacheField>
    <cacheField name="cpTkAdValoremBtPod" numFmtId="43">
      <sharedItems containsSemiMixedTypes="0" containsString="0" containsNumber="1" containsInteger="1" minValue="0" maxValue="0"/>
    </cacheField>
    <cacheField name="cpTkGrisBtPod" numFmtId="43">
      <sharedItems containsSemiMixedTypes="0" containsString="0" containsNumber="1" containsInteger="1" minValue="0" maxValue="0"/>
    </cacheField>
    <cacheField name="cpTkTotalFreightBtPod" numFmtId="43">
      <sharedItems containsSemiMixedTypes="0" containsString="0" containsNumber="1" containsInteger="1" minValue="0" maxValue="0"/>
    </cacheField>
    <cacheField name="cpTkIcmsBtPod" numFmtId="43">
      <sharedItems containsSemiMixedTypes="0" containsString="0" containsNumber="1" containsInteger="1" minValue="0" maxValue="0"/>
    </cacheField>
    <cacheField name="cpBtFullTariffPod" numFmtId="43">
      <sharedItems containsSemiMixedTypes="0" containsString="0" containsNumber="1" containsInteger="1" minValue="0" maxValue="0"/>
    </cacheField>
    <cacheField name="cpBargeServicePod" numFmtId="0">
      <sharedItems containsNonDate="0" containsString="0" containsBlank="1"/>
    </cacheField>
    <cacheField name="cpBarge20FreightFullPod" numFmtId="43">
      <sharedItems containsSemiMixedTypes="0" containsString="0" containsNumber="1" containsInteger="1" minValue="0" maxValue="0"/>
    </cacheField>
    <cacheField name="cpBarge40FreightFullPod" numFmtId="43">
      <sharedItems containsSemiMixedTypes="0" containsString="0" containsNumber="1" containsInteger="1" minValue="0" maxValue="0"/>
    </cacheField>
    <cacheField name="cpBargeAdValoremPod" numFmtId="43">
      <sharedItems containsSemiMixedTypes="0" containsString="0" containsNumber="1" containsInteger="1" minValue="0" maxValue="0"/>
    </cacheField>
    <cacheField name="cpBargeIcmsPod" numFmtId="43">
      <sharedItems containsSemiMixedTypes="0" containsString="0" containsNumber="1" containsInteger="1" minValue="0" maxValue="0"/>
    </cacheField>
    <cacheField name="cpCtBargeTariffPod" numFmtId="43">
      <sharedItems containsSemiMixedTypes="0" containsString="0" containsNumber="1" containsInteger="1" minValue="0" maxValue="0"/>
    </cacheField>
    <cacheField name="cpBargeTotalCostPod" numFmtId="43">
      <sharedItems containsSemiMixedTypes="0" containsString="0" containsNumber="1" containsInteger="1" minValue="0" maxValue="0"/>
    </cacheField>
    <cacheField name="cpRtPol" numFmtId="0">
      <sharedItems containsBlank="1"/>
    </cacheField>
    <cacheField name="cpDistanceShipperRtPol" numFmtId="43">
      <sharedItems containsSemiMixedTypes="0" containsString="0" containsNumber="1" minValue="0" maxValue="42.263237000000004"/>
    </cacheField>
    <cacheField name="cpTkAdValoremRtPol" numFmtId="43">
      <sharedItems containsSemiMixedTypes="0" containsString="0" containsNumber="1" minValue="0" maxValue="94.072500000000005"/>
    </cacheField>
    <cacheField name="cpTkGrisRtPol" numFmtId="43">
      <sharedItems containsSemiMixedTypes="0" containsString="0" containsNumber="1" containsInteger="1" minValue="0" maxValue="150"/>
    </cacheField>
    <cacheField name="cpTkTotalFreightRtPol" numFmtId="43">
      <sharedItems containsSemiMixedTypes="0" containsString="0" containsNumber="1" minValue="0" maxValue="1300.92766786368"/>
    </cacheField>
    <cacheField name="cpTkIcmsRtPol" numFmtId="43">
      <sharedItems containsSemiMixedTypes="0" containsString="0" containsNumber="1" minValue="0" maxValue="234.16698021546239"/>
    </cacheField>
    <cacheField name="cpRtFullTariffPol" numFmtId="43">
      <sharedItems containsSemiMixedTypes="0" containsString="0" containsNumber="1" containsInteger="1" minValue="0" maxValue="900"/>
    </cacheField>
    <cacheField name="cpRailServicePol" numFmtId="0">
      <sharedItems containsBlank="1"/>
    </cacheField>
    <cacheField name="cpRail20FreightFullPol" numFmtId="43">
      <sharedItems containsSemiMixedTypes="0" containsString="0" containsNumber="1" containsInteger="1" minValue="0" maxValue="0"/>
    </cacheField>
    <cacheField name="cpRail40FreightFullPol" numFmtId="43">
      <sharedItems containsSemiMixedTypes="0" containsString="0" containsNumber="1" minValue="0" maxValue="1613.8215"/>
    </cacheField>
    <cacheField name="cpRailAdValoremPol" numFmtId="0">
      <sharedItems containsSemiMixedTypes="0" containsString="0" containsNumber="1" containsInteger="1" minValue="0" maxValue="0"/>
    </cacheField>
    <cacheField name="cpRailIcmsPol" numFmtId="43">
      <sharedItems containsSemiMixedTypes="0" containsString="0" containsNumber="1" minValue="0" maxValue="290.48786999999999"/>
    </cacheField>
    <cacheField name="cpCtRailTariffPol" numFmtId="43">
      <sharedItems containsSemiMixedTypes="0" containsString="0" containsNumber="1" containsInteger="1" minValue="0" maxValue="224"/>
    </cacheField>
    <cacheField name="cpRailTotalCostPol" numFmtId="43">
      <sharedItems containsSemiMixedTypes="0" containsString="0" containsNumber="1" minValue="0" maxValue="4563.4040180791426"/>
    </cacheField>
    <cacheField name="cpRtPod" numFmtId="0">
      <sharedItems containsBlank="1"/>
    </cacheField>
    <cacheField name="cpDistanceConsigneeRtPod" numFmtId="43">
      <sharedItems containsSemiMixedTypes="0" containsString="0" containsNumber="1" minValue="0" maxValue="42.263237000000004"/>
    </cacheField>
    <cacheField name="cpTkAdValoremRtPod" numFmtId="43">
      <sharedItems containsSemiMixedTypes="0" containsString="0" containsNumber="1" minValue="0" maxValue="116.8415"/>
    </cacheField>
    <cacheField name="cpTkGrisRtPod" numFmtId="43">
      <sharedItems containsSemiMixedTypes="0" containsString="0" containsNumber="1" containsInteger="1" minValue="0" maxValue="150"/>
    </cacheField>
    <cacheField name="cpTkTotalFreightRtPod" numFmtId="43">
      <sharedItems containsSemiMixedTypes="0" containsString="0" containsNumber="1" minValue="0" maxValue="1323.69666786368"/>
    </cacheField>
    <cacheField name="cpTkIcmsRtPod" numFmtId="43">
      <sharedItems containsSemiMixedTypes="0" containsString="0" containsNumber="1" minValue="0" maxValue="238.26540021546239"/>
    </cacheField>
    <cacheField name="cpRtFullTariffPod" numFmtId="43">
      <sharedItems containsSemiMixedTypes="0" containsString="0" containsNumber="1" containsInteger="1" minValue="0" maxValue="900"/>
    </cacheField>
    <cacheField name="cpRailServicePod" numFmtId="0">
      <sharedItems containsBlank="1"/>
    </cacheField>
    <cacheField name="cpRail20FreightFullPod" numFmtId="43">
      <sharedItems containsSemiMixedTypes="0" containsString="0" containsNumber="1" containsInteger="1" minValue="0" maxValue="0"/>
    </cacheField>
    <cacheField name="cpRail40FreightFullPod" numFmtId="43">
      <sharedItems containsSemiMixedTypes="0" containsString="0" containsNumber="1" minValue="0" maxValue="1613.8215"/>
    </cacheField>
    <cacheField name="cpRailAdValoremPod" numFmtId="43">
      <sharedItems containsSemiMixedTypes="0" containsString="0" containsNumber="1" containsInteger="1" minValue="0" maxValue="0"/>
    </cacheField>
    <cacheField name="cpRailIcmsPod" numFmtId="43">
      <sharedItems containsSemiMixedTypes="0" containsString="0" containsNumber="1" minValue="0" maxValue="290.48786999999999"/>
    </cacheField>
    <cacheField name="cpCtRailTariffPod" numFmtId="43">
      <sharedItems containsSemiMixedTypes="0" containsString="0" containsNumber="1" containsInteger="1" minValue="0" maxValue="224"/>
    </cacheField>
    <cacheField name="cpRailTotalCostPod" numFmtId="43">
      <sharedItems containsSemiMixedTypes="0" containsString="0" containsNumber="1" minValue="0" maxValue="4590.2714380791422"/>
    </cacheField>
    <cacheField name="cpCommodity" numFmtId="0">
      <sharedItems/>
    </cacheField>
    <cacheField name="cpCargoWeight" numFmtId="43">
      <sharedItems containsSemiMixedTypes="0" containsString="0" containsNumber="1" containsInteger="1" minValue="14054" maxValue="27984"/>
    </cacheField>
    <cacheField name="cpCargoValue" numFmtId="43">
      <sharedItems containsSemiMixedTypes="0" containsString="0" containsNumber="1" containsInteger="1" minValue="50521" maxValue="249778"/>
    </cacheField>
    <cacheField name="cpContainerType" numFmtId="0">
      <sharedItems count="3">
        <s v="22G1"/>
        <s v="45G1"/>
        <s v="45R1"/>
      </sharedItems>
    </cacheField>
    <cacheField name="cpQuantityJan" numFmtId="0">
      <sharedItems containsSemiMixedTypes="0" containsString="0" containsNumber="1" containsInteger="1" minValue="0" maxValue="400" count="34">
        <n v="3"/>
        <n v="5"/>
        <n v="2"/>
        <n v="1"/>
        <n v="8"/>
        <n v="4"/>
        <n v="25"/>
        <n v="18"/>
        <n v="11"/>
        <n v="9"/>
        <n v="0"/>
        <n v="20"/>
        <n v="19"/>
        <n v="7"/>
        <n v="6"/>
        <n v="15"/>
        <n v="37"/>
        <n v="12"/>
        <n v="36"/>
        <n v="23"/>
        <n v="13"/>
        <n v="10"/>
        <n v="27"/>
        <n v="14"/>
        <n v="50"/>
        <n v="48"/>
        <n v="24"/>
        <n v="17"/>
        <n v="63"/>
        <n v="22"/>
        <n v="45"/>
        <n v="26"/>
        <n v="43"/>
        <n v="400"/>
      </sharedItems>
    </cacheField>
    <cacheField name="cpQuantityFeb" numFmtId="0">
      <sharedItems containsSemiMixedTypes="0" containsString="0" containsNumber="1" containsInteger="1" minValue="0" maxValue="500" count="31">
        <n v="2"/>
        <n v="5"/>
        <n v="1"/>
        <n v="7"/>
        <n v="0"/>
        <n v="3"/>
        <n v="4"/>
        <n v="23"/>
        <n v="17"/>
        <n v="10"/>
        <n v="8"/>
        <n v="18"/>
        <n v="6"/>
        <n v="13"/>
        <n v="34"/>
        <n v="12"/>
        <n v="9"/>
        <n v="32"/>
        <n v="20"/>
        <n v="24"/>
        <n v="44"/>
        <n v="46"/>
        <n v="14"/>
        <n v="21"/>
        <n v="16"/>
        <n v="11"/>
        <n v="60"/>
        <n v="15"/>
        <n v="39"/>
        <n v="38"/>
        <n v="500"/>
      </sharedItems>
    </cacheField>
    <cacheField name="cpQuantityMar" numFmtId="0">
      <sharedItems containsSemiMixedTypes="0" containsString="0" containsNumber="1" containsInteger="1" minValue="0" maxValue="600" count="30">
        <n v="2"/>
        <n v="5"/>
        <n v="1"/>
        <n v="8"/>
        <n v="3"/>
        <n v="4"/>
        <n v="25"/>
        <n v="18"/>
        <n v="10"/>
        <n v="9"/>
        <n v="0"/>
        <n v="19"/>
        <n v="6"/>
        <n v="14"/>
        <n v="35"/>
        <n v="12"/>
        <n v="23"/>
        <n v="7"/>
        <n v="13"/>
        <n v="11"/>
        <n v="26"/>
        <n v="49"/>
        <n v="47"/>
        <n v="17"/>
        <n v="61"/>
        <n v="21"/>
        <n v="15"/>
        <n v="43"/>
        <n v="42"/>
        <n v="600"/>
      </sharedItems>
    </cacheField>
    <cacheField name="cpQuantityApr" numFmtId="0">
      <sharedItems containsSemiMixedTypes="0" containsString="0" containsNumber="1" containsInteger="1" minValue="0" maxValue="600" count="33">
        <n v="3"/>
        <n v="6"/>
        <n v="2"/>
        <n v="1"/>
        <n v="8"/>
        <n v="4"/>
        <n v="24"/>
        <n v="7"/>
        <n v="5"/>
        <n v="19"/>
        <n v="11"/>
        <n v="9"/>
        <n v="0"/>
        <n v="20"/>
        <n v="14"/>
        <n v="38"/>
        <n v="13"/>
        <n v="10"/>
        <n v="34"/>
        <n v="22"/>
        <n v="12"/>
        <n v="25"/>
        <n v="47"/>
        <n v="51"/>
        <n v="18"/>
        <n v="15"/>
        <n v="23"/>
        <n v="17"/>
        <n v="66"/>
        <n v="16"/>
        <n v="42"/>
        <n v="41"/>
        <n v="600"/>
      </sharedItems>
    </cacheField>
    <cacheField name="cpQuantityMay" numFmtId="0">
      <sharedItems containsSemiMixedTypes="0" containsString="0" containsNumber="1" containsInteger="1" minValue="0" maxValue="600" count="32">
        <n v="3"/>
        <n v="5"/>
        <n v="2"/>
        <n v="1"/>
        <n v="7"/>
        <n v="0"/>
        <n v="4"/>
        <n v="23"/>
        <n v="18"/>
        <n v="11"/>
        <n v="9"/>
        <n v="19"/>
        <n v="6"/>
        <n v="13"/>
        <n v="37"/>
        <n v="12"/>
        <n v="8"/>
        <n v="32"/>
        <n v="21"/>
        <n v="20"/>
        <n v="10"/>
        <n v="24"/>
        <n v="44"/>
        <n v="49"/>
        <n v="15"/>
        <n v="14"/>
        <n v="16"/>
        <n v="63"/>
        <n v="22"/>
        <n v="39"/>
        <n v="38"/>
        <n v="600"/>
      </sharedItems>
    </cacheField>
    <cacheField name="cpQuantityJun" numFmtId="0">
      <sharedItems containsSemiMixedTypes="0" containsString="0" containsNumber="1" containsInteger="1" minValue="0" maxValue="600"/>
    </cacheField>
    <cacheField name="cpQuantityJul" numFmtId="0">
      <sharedItems containsSemiMixedTypes="0" containsString="0" containsNumber="1" containsInteger="1" minValue="0" maxValue="600"/>
    </cacheField>
    <cacheField name="cpQuantityAug" numFmtId="0">
      <sharedItems containsSemiMixedTypes="0" containsString="0" containsNumber="1" containsInteger="1" minValue="1" maxValue="600"/>
    </cacheField>
    <cacheField name="cpQuantitySep" numFmtId="0">
      <sharedItems containsSemiMixedTypes="0" containsString="0" containsNumber="1" containsInteger="1" minValue="0" maxValue="600"/>
    </cacheField>
    <cacheField name="cpQuantityOct" numFmtId="0">
      <sharedItems containsSemiMixedTypes="0" containsString="0" containsNumber="1" containsInteger="1" minValue="0" maxValue="600"/>
    </cacheField>
    <cacheField name="cpQuantityNov" numFmtId="0">
      <sharedItems containsSemiMixedTypes="0" containsString="0" containsNumber="1" containsInteger="1" minValue="0" maxValue="600"/>
    </cacheField>
    <cacheField name="cpQuantityDec" numFmtId="0">
      <sharedItems containsSemiMixedTypes="0" containsString="0" containsNumber="1" containsInteger="1" minValue="0" maxValue="350"/>
    </cacheField>
    <cacheField name="cpQuantityTotal" numFmtId="0">
      <sharedItems containsSemiMixedTypes="0" containsString="0" containsNumber="1" containsInteger="1" minValue="1" maxValue="6650"/>
    </cacheField>
    <cacheField name="cpFreeTimeDetention" numFmtId="0">
      <sharedItems containsSemiMixedTypes="0" containsString="0" containsNumber="1" containsInteger="1" minValue="0" maxValue="7"/>
    </cacheField>
    <cacheField name="cpDetentionTax" numFmtId="43">
      <sharedItems containsSemiMixedTypes="0" containsString="0" containsNumber="1" containsInteger="1" minValue="0" maxValue="380"/>
    </cacheField>
    <cacheField name="cpFreeTimeDemurrage" numFmtId="0">
      <sharedItems containsSemiMixedTypes="0" containsString="0" containsNumber="1" containsInteger="1" minValue="0" maxValue="7"/>
    </cacheField>
    <cacheField name="cpDemurrageTax" numFmtId="43">
      <sharedItems containsSemiMixedTypes="0" containsString="0" containsNumber="1" containsInteger="1" minValue="0" maxValue="380"/>
    </cacheField>
    <cacheField name="cpDirectTruckTotalDistance" numFmtId="43">
      <sharedItems containsSemiMixedTypes="0" containsString="0" containsNumber="1" minValue="0" maxValue="4144.4069500000005"/>
    </cacheField>
    <cacheField name="cpDirectTruckAdValorem" numFmtId="43">
      <sharedItems containsSemiMixedTypes="0" containsString="0" containsNumber="1" minValue="0" maxValue="749.33400000000006"/>
    </cacheField>
    <cacheField name="cpDirectTruckFreight" numFmtId="43">
      <sharedItems containsSemiMixedTypes="0" containsString="0" containsNumber="1" minValue="0" maxValue="29167.894615683039"/>
    </cacheField>
    <cacheField name="cpDirectTruckIcms" numFmtId="43">
      <sharedItems containsSemiMixedTypes="0" containsString="0" containsNumber="1" minValue="0" maxValue="3500.1473538819646"/>
    </cacheField>
    <cacheField name="cpBunker" numFmtId="43">
      <sharedItems containsSemiMixedTypes="0" containsString="0" containsNumber="1" containsInteger="1" minValue="0" maxValue="180"/>
    </cacheField>
    <cacheField name="cpGris" numFmtId="43">
      <sharedItems containsSemiMixedTypes="0" containsString="0" containsNumber="1" containsInteger="1" minValue="0" maxValue="150"/>
    </cacheField>
    <cacheField name="cpAdValorem" numFmtId="10">
      <sharedItems containsSemiMixedTypes="0" containsString="0" containsNumber="1" minValue="0" maxValue="1E-3"/>
    </cacheField>
    <cacheField name="cpAdValoremValue" numFmtId="43">
      <sharedItems containsSemiMixedTypes="0" containsString="0" containsNumber="1" minValue="0" maxValue="249.77799999999999"/>
    </cacheField>
    <cacheField name="cpFreight" numFmtId="43">
      <sharedItems containsSemiMixedTypes="0" containsString="0" containsNumber="1" minValue="2261.0936746532798" maxValue="20411.603438949296"/>
    </cacheField>
    <cacheField name="cpTotalFreight" numFmtId="43">
      <sharedItems containsSemiMixedTypes="0" containsString="0" containsNumber="1" minValue="2261.0936746532798" maxValue="20910.356438949297"/>
    </cacheField>
    <cacheField name="cpSlotCost" numFmtId="43">
      <sharedItems containsSemiMixedTypes="0" containsString="0" containsNumber="1" minValue="1130.5468373266399" maxValue="3180.9641611183101"/>
    </cacheField>
    <cacheField name="cpContribution" numFmtId="43">
      <sharedItems containsSemiMixedTypes="0" containsString="0" containsNumber="1" minValue="-6389.8313369152602" maxValue="14647.199810729708"/>
    </cacheField>
    <cacheField name="cpAfrmm" numFmtId="43">
      <sharedItems containsSemiMixedTypes="0" containsString="0" containsNumber="1" minValue="0" maxValue="0.08"/>
    </cacheField>
    <cacheField name="cpAfrmmValue" numFmtId="43">
      <sharedItems containsSemiMixedTypes="0" containsString="0" containsNumber="1" minValue="-321.72391808637479" maxValue="1438.203716257847"/>
    </cacheField>
    <cacheField name="cpIcms" numFmtId="9">
      <sharedItems containsSemiMixedTypes="0" containsString="0" containsNumber="1" minValue="0" maxValue="0.12"/>
    </cacheField>
    <cacheField name="cpIcmsValue" numFmtId="43">
      <sharedItems containsSemiMixedTypes="0" containsString="0" containsNumber="1" minValue="0" maxValue="2509.2427726739156"/>
    </cacheField>
    <cacheField name="cpPaymentTerm" numFmtId="0">
      <sharedItems containsSemiMixedTypes="0" containsString="0" containsNumber="1" containsInteger="1" minValue="15" maxValue="15"/>
    </cacheField>
    <cacheField name="maxWeek" numFmtId="0">
      <sharedItems containsSemiMixedTypes="0" containsString="0" containsNumber="1" containsInteger="1" minValue="1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">
  <r>
    <n v="1"/>
    <d v="2022-12-31T00:00:00"/>
    <x v="0"/>
    <s v="CLI2"/>
    <s v="CLI2"/>
    <s v="SANTOS"/>
    <s v="SP"/>
    <s v="CLI495"/>
    <s v="MANAUS"/>
    <s v="AM"/>
    <n v="2738.1624465451514"/>
    <n v="2948.3907220000001"/>
    <n v="0"/>
    <n v="7000"/>
    <n v="0"/>
    <x v="0"/>
    <x v="0"/>
    <s v="BRSSZTK01S"/>
    <s v="BRSSZTCO"/>
    <n v="14.583465"/>
    <n v="37.049500000000002"/>
    <n v="150"/>
    <n v="833.78345085759997"/>
    <n v="150.08102115436799"/>
    <n v="640"/>
    <n v="7"/>
    <n v="0"/>
    <n v="0"/>
    <n v="640"/>
    <m/>
    <m/>
    <n v="0"/>
    <x v="0"/>
    <s v="BRMAOTK01S"/>
    <s v="BRMAOCHI"/>
    <n v="11.436796000000001"/>
    <n v="37.049500000000002"/>
    <n v="150"/>
    <n v="787.16038908543999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870"/>
    <n v="74099"/>
    <x v="0"/>
    <x v="0"/>
    <x v="0"/>
    <x v="0"/>
    <x v="0"/>
    <x v="0"/>
    <n v="3"/>
    <n v="3"/>
    <n v="3"/>
    <n v="3"/>
    <n v="3"/>
    <n v="2"/>
    <n v="2"/>
    <n v="32"/>
    <n v="7"/>
    <n v="110"/>
    <n v="7"/>
    <n v="110"/>
    <n v="2738.1624465451514"/>
    <n v="222.297"/>
    <n v="19236.456647990264"/>
    <n v="1346.5519653593187"/>
    <n v="75"/>
    <n v="150"/>
    <n v="1E-3"/>
    <n v="74.099000000000004"/>
    <n v="12330.858965633057"/>
    <n v="12629.957965633057"/>
    <n v="3180.9641611183101"/>
    <n v="7706.9938045147464"/>
    <n v="0.08"/>
    <n v="868.7146483628519"/>
    <n v="7.0000000000000007E-2"/>
    <n v="884.09705759431404"/>
    <n v="15"/>
    <n v="3"/>
  </r>
  <r>
    <n v="2"/>
    <d v="2022-12-31T00:00:00"/>
    <x v="1"/>
    <s v="CLI3"/>
    <s v="CLI3"/>
    <s v="CAUCAIA"/>
    <s v="CE"/>
    <s v="CLI1042"/>
    <s v="MANAUS"/>
    <s v="AM"/>
    <n v="2375.6902773690445"/>
    <n v="1428.051281"/>
    <n v="0"/>
    <n v="7000"/>
    <n v="0"/>
    <x v="0"/>
    <x v="1"/>
    <s v="BRPECTK01S"/>
    <s v="BRPECAPM"/>
    <n v="34.109209"/>
    <n v="74.007500000000007"/>
    <n v="150"/>
    <n v="1160.04737043776"/>
    <n v="208.8085266787968"/>
    <n v="768"/>
    <n v="7"/>
    <n v="0"/>
    <n v="0"/>
    <n v="768"/>
    <m/>
    <m/>
    <n v="0"/>
    <x v="0"/>
    <s v="BRMAOTK01"/>
    <s v="BRMAOCHI"/>
    <n v="11.436796000000001"/>
    <n v="74.007500000000007"/>
    <n v="150"/>
    <n v="824.1183890854400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51"/>
    <n v="148015"/>
    <x v="0"/>
    <x v="1"/>
    <x v="1"/>
    <x v="1"/>
    <x v="1"/>
    <x v="1"/>
    <n v="6"/>
    <n v="6"/>
    <n v="6"/>
    <n v="6"/>
    <n v="6"/>
    <n v="5"/>
    <n v="5"/>
    <n v="66"/>
    <n v="7"/>
    <n v="110"/>
    <n v="7"/>
    <n v="110"/>
    <n v="2375.6902773690445"/>
    <n v="444.04500000000002"/>
    <n v="16996.670646002087"/>
    <n v="2039.6004775202503"/>
    <n v="75"/>
    <n v="150"/>
    <n v="1E-3"/>
    <n v="148.01500000000001"/>
    <n v="11085.636292895028"/>
    <n v="11458.651292895027"/>
    <n v="3180.9641611183101"/>
    <n v="5523.5687426912755"/>
    <n v="0.08"/>
    <n v="741.25416053544234"/>
    <n v="0.12"/>
    <n v="1375.0381551474031"/>
    <n v="15"/>
    <n v="6"/>
  </r>
  <r>
    <n v="3"/>
    <d v="2022-12-31T00:00:00"/>
    <x v="1"/>
    <s v="CLI3"/>
    <s v="CLI3"/>
    <s v="CAUCAIA"/>
    <s v="CE"/>
    <s v="CLI188"/>
    <s v="MANAUS"/>
    <s v="AM"/>
    <n v="2375.6902773690445"/>
    <n v="1428.051281"/>
    <n v="0"/>
    <n v="7000"/>
    <n v="0"/>
    <x v="0"/>
    <x v="1"/>
    <s v="BRPECTK01S"/>
    <s v="BRPECAPM"/>
    <n v="34.109209"/>
    <n v="112.863"/>
    <n v="150"/>
    <n v="1198.9028704377599"/>
    <n v="215.80251667879679"/>
    <n v="768"/>
    <n v="7"/>
    <n v="0"/>
    <n v="0"/>
    <n v="768"/>
    <m/>
    <m/>
    <n v="0"/>
    <x v="0"/>
    <s v="BRMAOTK01"/>
    <s v="BRMAOCHI"/>
    <n v="11.436796000000001"/>
    <n v="112.863"/>
    <n v="150"/>
    <n v="862.9738890854400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195"/>
    <n v="225726"/>
    <x v="0"/>
    <x v="2"/>
    <x v="0"/>
    <x v="0"/>
    <x v="2"/>
    <x v="2"/>
    <n v="3"/>
    <n v="3"/>
    <n v="3"/>
    <n v="3"/>
    <n v="2"/>
    <n v="2"/>
    <n v="2"/>
    <n v="28"/>
    <n v="7"/>
    <n v="110"/>
    <n v="7"/>
    <n v="110"/>
    <n v="2375.6902773690445"/>
    <n v="677.178"/>
    <n v="17229.803646002088"/>
    <n v="2067.5764375202507"/>
    <n v="75"/>
    <n v="150"/>
    <n v="1E-3"/>
    <n v="225.726"/>
    <n v="11221.630542895029"/>
    <n v="11672.35654289503"/>
    <n v="3180.9641611183101"/>
    <n v="5698.4184926912785"/>
    <n v="0.08"/>
    <n v="751.57418133544252"/>
    <n v="0.12"/>
    <n v="1400.6827851474036"/>
    <n v="15"/>
    <n v="3"/>
  </r>
  <r>
    <n v="4"/>
    <d v="2022-12-31T00:00:00"/>
    <x v="1"/>
    <s v="CLI3"/>
    <s v="CLI3"/>
    <s v="CAUCAIA"/>
    <s v="CE"/>
    <s v="CLI608"/>
    <s v="MANAUS"/>
    <s v="AM"/>
    <n v="2375.6902773690445"/>
    <n v="1428.051281"/>
    <n v="0"/>
    <n v="7000"/>
    <n v="0"/>
    <x v="0"/>
    <x v="1"/>
    <s v="BRPECTK01S"/>
    <s v="BRPECAPM"/>
    <n v="34.109209"/>
    <n v="71.741500000000002"/>
    <n v="150"/>
    <n v="1157.78137043776"/>
    <n v="208.40064667879679"/>
    <n v="768"/>
    <n v="7"/>
    <n v="0"/>
    <n v="0"/>
    <n v="768"/>
    <m/>
    <m/>
    <n v="0"/>
    <x v="0"/>
    <s v="BRMAOTK01"/>
    <s v="BRMAOCHI"/>
    <n v="11.436796000000001"/>
    <n v="71.741500000000002"/>
    <n v="150"/>
    <n v="821.8523890854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684"/>
    <n v="143483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375.6902773690445"/>
    <n v="430.44900000000001"/>
    <n v="16983.074646002089"/>
    <n v="2037.9689575202506"/>
    <n v="75"/>
    <n v="150"/>
    <n v="1E-3"/>
    <n v="143.483"/>
    <n v="11077.705292895029"/>
    <n v="11446.188292895029"/>
    <n v="3180.9641611183101"/>
    <n v="5513.371742691279"/>
    <n v="0.08"/>
    <n v="740.65231093544264"/>
    <n v="0.12"/>
    <n v="1373.5425951474035"/>
    <n v="15"/>
    <n v="2"/>
  </r>
  <r>
    <n v="5"/>
    <d v="2022-12-31T00:00:00"/>
    <x v="1"/>
    <s v="CLI3"/>
    <s v="CLI3"/>
    <s v="CAUCAIA"/>
    <s v="CE"/>
    <s v="CLI1252"/>
    <s v="MANAUS"/>
    <s v="AM"/>
    <n v="2375.6902773690445"/>
    <n v="1428.051281"/>
    <n v="0"/>
    <n v="7000"/>
    <n v="0"/>
    <x v="0"/>
    <x v="1"/>
    <s v="BRPECTK01S"/>
    <s v="BRPECAPM"/>
    <n v="34.109209"/>
    <n v="94.787000000000006"/>
    <n v="150"/>
    <n v="1180.8268704377599"/>
    <n v="212.54883667879679"/>
    <n v="768"/>
    <n v="7"/>
    <n v="0"/>
    <n v="0"/>
    <n v="768"/>
    <m/>
    <m/>
    <n v="0"/>
    <x v="0"/>
    <s v="BRMAOTK01"/>
    <s v="BRMAOCHI"/>
    <n v="11.436796000000001"/>
    <n v="94.787000000000006"/>
    <n v="150"/>
    <n v="844.8978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575"/>
    <n v="189574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375.6902773690445"/>
    <n v="568.72199999999998"/>
    <n v="17121.34764600209"/>
    <n v="2054.5617175202506"/>
    <n v="75"/>
    <n v="150"/>
    <n v="1E-3"/>
    <n v="189.57400000000001"/>
    <n v="11158.364542895029"/>
    <n v="11572.93854289503"/>
    <n v="3180.9641611183101"/>
    <n v="5617.0764926912798"/>
    <n v="0.08"/>
    <n v="746.77319573544253"/>
    <n v="0.12"/>
    <n v="1388.7526251474035"/>
    <n v="15"/>
    <n v="1"/>
  </r>
  <r>
    <n v="6"/>
    <d v="2022-12-31T00:00:00"/>
    <x v="1"/>
    <s v="CLI3"/>
    <s v="CLI3"/>
    <s v="CAUCAIA"/>
    <s v="CE"/>
    <s v="CLI497"/>
    <s v="MANAUS"/>
    <s v="AM"/>
    <n v="2375.6902773690445"/>
    <n v="1428.051281"/>
    <n v="0"/>
    <n v="7000"/>
    <n v="0"/>
    <x v="0"/>
    <x v="1"/>
    <s v="BRPECTK01S"/>
    <s v="BRPECAPM"/>
    <n v="34.109209"/>
    <n v="117.146"/>
    <n v="150"/>
    <n v="1203.1858704377601"/>
    <n v="216.57345667879682"/>
    <n v="768"/>
    <n v="7"/>
    <n v="0"/>
    <n v="0"/>
    <n v="768"/>
    <m/>
    <m/>
    <n v="0"/>
    <x v="0"/>
    <s v="BRMAOTK01"/>
    <s v="BRMAOCHI"/>
    <n v="11.436796000000001"/>
    <n v="117.146"/>
    <n v="150"/>
    <n v="867.2568890854399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72"/>
    <n v="234292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375.6902773690445"/>
    <n v="702.87599999999998"/>
    <n v="17255.501646002089"/>
    <n v="2070.6601975202507"/>
    <n v="75"/>
    <n v="150"/>
    <n v="1E-3"/>
    <n v="234.292"/>
    <n v="11236.621042895031"/>
    <n v="11695.91304289503"/>
    <n v="3180.9641611183101"/>
    <n v="5717.6919926912797"/>
    <n v="0.08"/>
    <n v="752.71174613544281"/>
    <n v="0.12"/>
    <n v="1403.5095651474035"/>
    <n v="15"/>
    <n v="1"/>
  </r>
  <r>
    <n v="7"/>
    <d v="2022-12-31T00:00:00"/>
    <x v="1"/>
    <s v="CLI3"/>
    <s v="CLI3"/>
    <s v="CAUCAIA"/>
    <s v="CE"/>
    <s v="CLI1260"/>
    <s v="MANAUS"/>
    <s v="AM"/>
    <n v="2375.6902773690445"/>
    <n v="1428.051281"/>
    <n v="0"/>
    <n v="7000"/>
    <n v="0"/>
    <x v="0"/>
    <x v="1"/>
    <s v="BRPECTK01S"/>
    <s v="BRPECAPM"/>
    <n v="34.109209"/>
    <n v="43.128500000000003"/>
    <n v="150"/>
    <n v="1129.1683704377601"/>
    <n v="203.25030667879682"/>
    <n v="768"/>
    <n v="7"/>
    <n v="0"/>
    <n v="0"/>
    <n v="768"/>
    <m/>
    <m/>
    <n v="0"/>
    <x v="0"/>
    <s v="BRMAOTK01"/>
    <s v="BRMAOCHI"/>
    <n v="11.436796000000001"/>
    <n v="43.128500000000003"/>
    <n v="150"/>
    <n v="793.23938908544005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501"/>
    <n v="86257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375.6902773690445"/>
    <n v="258.77100000000002"/>
    <n v="16811.396646002089"/>
    <n v="2017.3675975202507"/>
    <n v="75"/>
    <n v="150"/>
    <n v="1E-3"/>
    <n v="86.257000000000005"/>
    <n v="10977.559792895028"/>
    <n v="11288.816792895028"/>
    <n v="3180.9641611183101"/>
    <n v="5384.6132426912773"/>
    <n v="0.08"/>
    <n v="733.05269813544237"/>
    <n v="0.12"/>
    <n v="1354.6580151474034"/>
    <n v="15"/>
    <n v="1"/>
  </r>
  <r>
    <n v="8"/>
    <d v="2022-12-31T00:00:00"/>
    <x v="1"/>
    <s v="CLI3"/>
    <s v="CLI3"/>
    <s v="CAUCAIA"/>
    <s v="CE"/>
    <s v="CLI608"/>
    <s v="MANAUS"/>
    <s v="AM"/>
    <n v="2375.6902773690445"/>
    <n v="1428.051281"/>
    <n v="0"/>
    <n v="7000"/>
    <n v="0"/>
    <x v="0"/>
    <x v="1"/>
    <s v="BRPECTK01S"/>
    <s v="BRPECAPM"/>
    <n v="34.109209"/>
    <n v="51.045000000000002"/>
    <n v="150"/>
    <n v="1137.0848704377599"/>
    <n v="204.67527667879679"/>
    <n v="768"/>
    <n v="7"/>
    <n v="0"/>
    <n v="0"/>
    <n v="768"/>
    <m/>
    <m/>
    <n v="0"/>
    <x v="0"/>
    <s v="BRMAOTK01"/>
    <s v="BRMAOCHI"/>
    <n v="11.436796000000001"/>
    <n v="51.045000000000002"/>
    <n v="150"/>
    <n v="801.1558890854399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307"/>
    <n v="102090"/>
    <x v="1"/>
    <x v="4"/>
    <x v="3"/>
    <x v="3"/>
    <x v="4"/>
    <x v="4"/>
    <n v="9"/>
    <n v="8"/>
    <n v="9"/>
    <n v="9"/>
    <n v="9"/>
    <n v="8"/>
    <n v="9"/>
    <n v="99"/>
    <n v="7"/>
    <n v="180"/>
    <n v="7"/>
    <n v="180"/>
    <n v="2375.6902773690445"/>
    <n v="306.27"/>
    <n v="16858.895646002089"/>
    <n v="2023.0674775202506"/>
    <n v="110"/>
    <n v="150"/>
    <n v="1E-3"/>
    <n v="102.09"/>
    <n v="11005.26754289503"/>
    <n v="11367.35754289503"/>
    <n v="3180.9641611183101"/>
    <n v="5455.2374926912798"/>
    <n v="0.08"/>
    <n v="737.95532053544264"/>
    <n v="0.12"/>
    <n v="1364.0829051474036"/>
    <n v="15"/>
    <n v="9"/>
  </r>
  <r>
    <n v="9"/>
    <d v="2022-12-31T00:00:00"/>
    <x v="1"/>
    <s v="CLI3"/>
    <s v="CLI3"/>
    <s v="CAUCAIA"/>
    <s v="CE"/>
    <s v="CLI497"/>
    <s v="MANAUS"/>
    <s v="AM"/>
    <n v="2375.6902773690445"/>
    <n v="1428.051281"/>
    <n v="0"/>
    <n v="7000"/>
    <n v="0"/>
    <x v="0"/>
    <x v="1"/>
    <s v="BRPECTK01S"/>
    <s v="BRPECAPM"/>
    <n v="34.109209"/>
    <n v="65.97"/>
    <n v="150"/>
    <n v="1152.0098704377601"/>
    <n v="207.36177667879682"/>
    <n v="768"/>
    <n v="7"/>
    <n v="0"/>
    <n v="0"/>
    <n v="768"/>
    <m/>
    <m/>
    <n v="0"/>
    <x v="0"/>
    <s v="BRMAOTK01"/>
    <s v="BRMAOCHI"/>
    <n v="11.436796000000001"/>
    <n v="65.97"/>
    <n v="150"/>
    <n v="816.08088908544005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407"/>
    <n v="13194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5.6902773690445"/>
    <n v="395.82"/>
    <n v="16948.445646002088"/>
    <n v="2033.8134775202504"/>
    <n v="110"/>
    <n v="150"/>
    <n v="1E-3"/>
    <n v="131.94"/>
    <n v="11057.505042895029"/>
    <n v="11449.445042895029"/>
    <n v="3180.9641611183101"/>
    <n v="5522.3999926912784"/>
    <n v="0.08"/>
    <n v="741.91940053544261"/>
    <n v="0.12"/>
    <n v="1373.9334051474034"/>
    <n v="15"/>
    <n v="2"/>
  </r>
  <r>
    <n v="10"/>
    <d v="2022-12-31T00:00:00"/>
    <x v="1"/>
    <s v="CLI3"/>
    <s v="CLI3"/>
    <s v="CAUCAIA"/>
    <s v="CE"/>
    <s v="CLI1260"/>
    <s v="MANAUS"/>
    <s v="AM"/>
    <n v="2375.6902773690445"/>
    <n v="1428.051281"/>
    <n v="0"/>
    <n v="7000"/>
    <n v="0"/>
    <x v="0"/>
    <x v="1"/>
    <s v="BRPECTK01S"/>
    <s v="BRPECAPM"/>
    <n v="34.109209"/>
    <n v="122.36500000000001"/>
    <n v="150"/>
    <n v="1208.4048704377601"/>
    <n v="217.5128766787968"/>
    <n v="768"/>
    <n v="7"/>
    <n v="0"/>
    <n v="0"/>
    <n v="768"/>
    <m/>
    <m/>
    <n v="0"/>
    <x v="0"/>
    <s v="BRMAOTK01"/>
    <s v="BRMAOCHI"/>
    <n v="11.436796000000001"/>
    <n v="122.36500000000001"/>
    <n v="150"/>
    <n v="872.47588908544003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309"/>
    <n v="24473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5.6902773690445"/>
    <n v="734.19"/>
    <n v="17286.815646002087"/>
    <n v="2074.4178775202504"/>
    <n v="110"/>
    <n v="150"/>
    <n v="1E-3"/>
    <n v="244.73000000000002"/>
    <n v="11254.887542895029"/>
    <n v="11759.617542895028"/>
    <n v="3180.9641611183101"/>
    <n v="5776.1774926912767"/>
    <n v="0.08"/>
    <n v="756.89791253544252"/>
    <n v="0.12"/>
    <n v="1411.1541051474032"/>
    <n v="15"/>
    <n v="2"/>
  </r>
  <r>
    <n v="11"/>
    <d v="2022-12-31T00:00:00"/>
    <x v="1"/>
    <s v="CLI3"/>
    <s v="CLI3"/>
    <s v="CAUCAIA"/>
    <s v="CE"/>
    <s v="CLI1252"/>
    <s v="MANAUS"/>
    <s v="AM"/>
    <n v="2375.6902773690445"/>
    <n v="1428.051281"/>
    <n v="0"/>
    <n v="7000"/>
    <n v="0"/>
    <x v="0"/>
    <x v="1"/>
    <s v="BRPECTK01S"/>
    <s v="BRPECAPM"/>
    <n v="34.109209"/>
    <n v="37.645499999999998"/>
    <n v="150"/>
    <n v="1123.68537043776"/>
    <n v="202.26336667879679"/>
    <n v="768"/>
    <n v="7"/>
    <n v="0"/>
    <n v="0"/>
    <n v="768"/>
    <m/>
    <m/>
    <n v="0"/>
    <x v="0"/>
    <s v="BRMAOTK01"/>
    <s v="BRMAOCHI"/>
    <n v="11.436796000000001"/>
    <n v="37.645499999999998"/>
    <n v="150"/>
    <n v="787.75638908543999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973"/>
    <n v="75291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5.6902773690445"/>
    <n v="225.87300000000002"/>
    <n v="16778.498646002088"/>
    <n v="2013.4198375202504"/>
    <n v="110"/>
    <n v="150"/>
    <n v="1E-3"/>
    <n v="75.290999999999997"/>
    <n v="10958.369292895028"/>
    <n v="11293.660292895027"/>
    <n v="3180.9641611183101"/>
    <n v="5394.9397426912765"/>
    <n v="0.08"/>
    <n v="734.39641333544239"/>
    <n v="0.12"/>
    <n v="1355.2392351474032"/>
    <n v="15"/>
    <n v="2"/>
  </r>
  <r>
    <n v="12"/>
    <d v="2022-12-31T00:00:00"/>
    <x v="1"/>
    <s v="CLI3"/>
    <s v="CLI3"/>
    <s v="CAUCAIA"/>
    <s v="CE"/>
    <s v="CLI891"/>
    <s v="MANAUS"/>
    <s v="AM"/>
    <n v="2375.6902773690445"/>
    <n v="1428.051281"/>
    <n v="0"/>
    <n v="7000"/>
    <n v="0"/>
    <x v="0"/>
    <x v="1"/>
    <s v="BRPECTK01S"/>
    <s v="BRPECAPM"/>
    <n v="34.109209"/>
    <n v="113.437"/>
    <n v="150"/>
    <n v="1199.47687043776"/>
    <n v="215.90583667879679"/>
    <n v="768"/>
    <n v="7"/>
    <n v="0"/>
    <n v="0"/>
    <n v="768"/>
    <m/>
    <m/>
    <n v="0"/>
    <x v="0"/>
    <s v="BRMAOTK01"/>
    <s v="BRMAOCHI"/>
    <n v="11.436796000000001"/>
    <n v="113.437"/>
    <n v="150"/>
    <n v="863.54788908544003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44"/>
    <n v="226874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375.6902773690445"/>
    <n v="680.62200000000007"/>
    <n v="17233.247646002088"/>
    <n v="2067.9897175202505"/>
    <n v="110"/>
    <n v="150"/>
    <n v="1E-3"/>
    <n v="226.874"/>
    <n v="11223.639542895029"/>
    <n v="11710.513542895029"/>
    <n v="3180.9641611183101"/>
    <n v="5736.0014926912791"/>
    <n v="0.08"/>
    <n v="754.5266357354426"/>
    <n v="0.12"/>
    <n v="1405.2616251474035"/>
    <n v="15"/>
    <n v="2"/>
  </r>
  <r>
    <n v="13"/>
    <d v="2022-12-31T00:00:00"/>
    <x v="1"/>
    <s v="CLI3"/>
    <s v="CLI3"/>
    <s v="CAUCAIA"/>
    <s v="CE"/>
    <s v="CLI1306"/>
    <s v="MANAUS"/>
    <s v="AM"/>
    <n v="2375.6902773690445"/>
    <n v="1428.051281"/>
    <n v="0"/>
    <n v="7000"/>
    <n v="0"/>
    <x v="0"/>
    <x v="1"/>
    <s v="BRPECTK01S"/>
    <s v="BRPECAPM"/>
    <n v="34.109209"/>
    <n v="44.603500000000004"/>
    <n v="150"/>
    <n v="1130.64337043776"/>
    <n v="203.51580667879679"/>
    <n v="768"/>
    <n v="7"/>
    <n v="0"/>
    <n v="0"/>
    <n v="768"/>
    <m/>
    <m/>
    <n v="0"/>
    <x v="0"/>
    <s v="BRMAOTK01"/>
    <s v="BRMAOCHI"/>
    <n v="11.436796000000001"/>
    <n v="44.603500000000004"/>
    <n v="150"/>
    <n v="794.7143890854400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601"/>
    <n v="8920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267.62099999999998"/>
    <n v="16820.246646002088"/>
    <n v="2018.4295975202504"/>
    <n v="110"/>
    <n v="150"/>
    <n v="1E-3"/>
    <n v="89.207000000000008"/>
    <n v="10982.722292895029"/>
    <n v="11331.929292895029"/>
    <n v="3180.9641611183101"/>
    <n v="5426.250742691278"/>
    <n v="0.08"/>
    <n v="736.24445813544253"/>
    <n v="0.12"/>
    <n v="1359.8315151474035"/>
    <n v="15"/>
    <n v="1"/>
  </r>
  <r>
    <n v="14"/>
    <d v="2022-12-31T00:00:00"/>
    <x v="1"/>
    <s v="CLI3"/>
    <s v="CLI3"/>
    <s v="CAUCAIA"/>
    <s v="CE"/>
    <s v="CLI1095"/>
    <s v="MANAUS"/>
    <s v="AM"/>
    <n v="2375.6902773690445"/>
    <n v="1428.051281"/>
    <n v="0"/>
    <n v="7000"/>
    <n v="0"/>
    <x v="0"/>
    <x v="1"/>
    <s v="BRPECTK01S"/>
    <s v="BRPECAPM"/>
    <n v="34.109209"/>
    <n v="89.104500000000002"/>
    <n v="150"/>
    <n v="1175.14437043776"/>
    <n v="211.52598667879678"/>
    <n v="768"/>
    <n v="7"/>
    <n v="0"/>
    <n v="0"/>
    <n v="768"/>
    <m/>
    <m/>
    <n v="0"/>
    <x v="0"/>
    <s v="BRMAOTK01"/>
    <s v="BRMAOCHI"/>
    <n v="11.436796000000001"/>
    <n v="89.104500000000002"/>
    <n v="150"/>
    <n v="839.21538908544005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801"/>
    <n v="17820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534.62700000000007"/>
    <n v="17087.252646002089"/>
    <n v="2050.4703175202508"/>
    <n v="110"/>
    <n v="150"/>
    <n v="1E-3"/>
    <n v="178.209"/>
    <n v="11138.475792895029"/>
    <n v="11576.68479289503"/>
    <n v="3180.9641611183101"/>
    <n v="5626.5052426912789"/>
    <n v="0.08"/>
    <n v="748.0639237354427"/>
    <n v="0.12"/>
    <n v="1389.2021751474035"/>
    <n v="15"/>
    <n v="1"/>
  </r>
  <r>
    <n v="15"/>
    <d v="2022-12-31T00:00:00"/>
    <x v="1"/>
    <s v="CLI3"/>
    <s v="CLI3"/>
    <s v="CAUCAIA"/>
    <s v="CE"/>
    <s v="CLI488"/>
    <s v="MANAUS"/>
    <s v="AM"/>
    <n v="2375.6902773690445"/>
    <n v="1428.051281"/>
    <n v="0"/>
    <n v="7000"/>
    <n v="0"/>
    <x v="0"/>
    <x v="1"/>
    <s v="BRPECTK01S"/>
    <s v="BRPECAPM"/>
    <n v="34.109209"/>
    <n v="53.795500000000004"/>
    <n v="150"/>
    <n v="1139.83537043776"/>
    <n v="205.1703666787968"/>
    <n v="768"/>
    <n v="7"/>
    <n v="0"/>
    <n v="0"/>
    <n v="768"/>
    <m/>
    <m/>
    <n v="0"/>
    <x v="0"/>
    <s v="BRMAOTK01"/>
    <s v="BRMAOCHI"/>
    <n v="11.436796000000001"/>
    <n v="53.795500000000004"/>
    <n v="150"/>
    <n v="803.9063890854399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290"/>
    <n v="107591"/>
    <x v="1"/>
    <x v="3"/>
    <x v="4"/>
    <x v="2"/>
    <x v="3"/>
    <x v="5"/>
    <n v="1"/>
    <n v="1"/>
    <n v="1"/>
    <n v="1"/>
    <n v="1"/>
    <n v="1"/>
    <n v="1"/>
    <n v="10"/>
    <n v="7"/>
    <n v="180"/>
    <n v="7"/>
    <n v="180"/>
    <n v="2375.6902773690445"/>
    <n v="322.77300000000002"/>
    <n v="16875.39864600209"/>
    <n v="2025.0478375202506"/>
    <n v="110"/>
    <n v="150"/>
    <n v="1E-3"/>
    <n v="107.59100000000001"/>
    <n v="11014.894292895029"/>
    <n v="11382.485292895029"/>
    <n v="3180.9641611183101"/>
    <n v="5467.6147426912794"/>
    <n v="0.08"/>
    <n v="738.68585333544263"/>
    <n v="0.12"/>
    <n v="1365.8982351474035"/>
    <n v="15"/>
    <n v="1"/>
  </r>
  <r>
    <n v="16"/>
    <d v="2022-12-31T00:00:00"/>
    <x v="2"/>
    <s v="CLI5"/>
    <s v="CLI5"/>
    <s v="MANAUS"/>
    <s v="AM"/>
    <s v="CLI747"/>
    <s v="SANTO ANDRE"/>
    <s v="SP"/>
    <n v="3948.1803130000003"/>
    <n v="0"/>
    <n v="2897.4957230000005"/>
    <n v="7000"/>
    <n v="0"/>
    <x v="0"/>
    <x v="2"/>
    <s v="BRMAOTK01"/>
    <s v="BRMAOCHI"/>
    <n v="11.436796000000001"/>
    <n v="36.4315"/>
    <n v="150"/>
    <n v="786.54238908544005"/>
    <n v="0"/>
    <n v="832"/>
    <n v="7"/>
    <n v="0"/>
    <n v="0"/>
    <n v="832"/>
    <m/>
    <m/>
    <n v="0"/>
    <x v="1"/>
    <s v="BRSSZTK01"/>
    <s v="BRSSZTCO"/>
    <n v="70.140299999999996"/>
    <n v="36.4315"/>
    <n v="150"/>
    <n v="1656.3310745919998"/>
    <n v="298.1395934265599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277"/>
    <n v="7286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48.1803130000003"/>
    <n v="218.589"/>
    <n v="27449.931578370484"/>
    <n v="3293.9917894044579"/>
    <n v="110"/>
    <n v="150"/>
    <n v="1E-3"/>
    <n v="72.863"/>
    <n v="19214.952104859338"/>
    <n v="19547.815104859339"/>
    <n v="3180.9641611183101"/>
    <n v="12156.97748006359"/>
    <n v="0.08"/>
    <n v="1344.5441638204272"/>
    <n v="0.12"/>
    <n v="2345.7378125831206"/>
    <n v="15"/>
    <n v="1"/>
  </r>
  <r>
    <n v="17"/>
    <d v="2022-12-31T00:00:00"/>
    <x v="3"/>
    <s v="CLI5"/>
    <s v="CLI5"/>
    <s v="MANAUS"/>
    <s v="AM"/>
    <s v="CLI499"/>
    <s v="IPOJUCA"/>
    <s v="PE"/>
    <n v="3513.7510560000001"/>
    <n v="0"/>
    <n v="2060.3329469999999"/>
    <n v="7000"/>
    <n v="0"/>
    <x v="0"/>
    <x v="2"/>
    <s v="BRMAOTK01"/>
    <s v="BRMAOCHI"/>
    <n v="11.436796000000001"/>
    <n v="28.956"/>
    <n v="150"/>
    <n v="779.06688908544004"/>
    <n v="0"/>
    <n v="832"/>
    <n v="7"/>
    <n v="0"/>
    <n v="0"/>
    <n v="832"/>
    <m/>
    <m/>
    <n v="0"/>
    <x v="2"/>
    <s v="BRSUATK01S"/>
    <s v="BRSUATCO"/>
    <n v="23.753726"/>
    <n v="28.956"/>
    <n v="150"/>
    <n v="961.56240680064002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22"/>
    <n v="5791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3.7510560000001"/>
    <n v="173.73599999999999"/>
    <n v="24454.886871253762"/>
    <n v="2934.5864245504513"/>
    <n v="110"/>
    <n v="150"/>
    <n v="1E-3"/>
    <n v="57.911999999999999"/>
    <n v="16445.327125117186"/>
    <n v="16763.239125117187"/>
    <n v="3180.9641611183101"/>
    <n v="10332.208074913437"/>
    <n v="0.08"/>
    <n v="1201.8087863384885"/>
    <n v="0.12"/>
    <n v="2011.5886950140623"/>
    <n v="15"/>
    <n v="1"/>
  </r>
  <r>
    <n v="18"/>
    <d v="2022-12-31T00:00:00"/>
    <x v="2"/>
    <s v="CLI5"/>
    <s v="CLI5"/>
    <s v="MANAUS"/>
    <s v="AM"/>
    <s v="CLI550"/>
    <s v="GUARULHOS"/>
    <s v="SP"/>
    <n v="3939.5816420000001"/>
    <n v="0"/>
    <n v="2887.376076"/>
    <n v="7000"/>
    <n v="0"/>
    <x v="0"/>
    <x v="2"/>
    <s v="BRMAOTK01"/>
    <s v="BRMAOCHI"/>
    <n v="11.436796000000001"/>
    <n v="105.3455"/>
    <n v="150"/>
    <n v="855.45638908544004"/>
    <n v="0"/>
    <n v="832"/>
    <n v="7"/>
    <n v="0"/>
    <n v="0"/>
    <n v="832"/>
    <m/>
    <m/>
    <n v="0"/>
    <x v="1"/>
    <s v="BRSSZTK01"/>
    <s v="BRSSZTCO"/>
    <n v="96.951807000000002"/>
    <n v="105.3455"/>
    <n v="150"/>
    <n v="2122.5015216684797"/>
    <n v="382.0502739003263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331"/>
    <n v="21069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39.5816420000001"/>
    <n v="632.07299999999998"/>
    <n v="27805.022347556325"/>
    <n v="3336.6026817067591"/>
    <n v="110"/>
    <n v="150"/>
    <n v="1E-3"/>
    <n v="210.691"/>
    <n v="19463.515643289425"/>
    <n v="19934.206643289424"/>
    <n v="3180.9641611183101"/>
    <n v="12008.284571417193"/>
    <n v="0.08"/>
    <n v="1325.935876690814"/>
    <n v="0.12"/>
    <n v="2392.104797194731"/>
    <n v="15"/>
    <n v="1"/>
  </r>
  <r>
    <n v="19"/>
    <d v="2022-12-31T00:00:00"/>
    <x v="2"/>
    <s v="CLI6"/>
    <s v="CLI6"/>
    <s v="AMPARO"/>
    <s v="SP"/>
    <s v="CLI1038"/>
    <s v="MANAUS"/>
    <s v="AM"/>
    <n v="2598.5185258345741"/>
    <n v="2810.4979069999999"/>
    <n v="0"/>
    <n v="7000"/>
    <n v="0"/>
    <x v="0"/>
    <x v="0"/>
    <s v="BRSSZTK01"/>
    <s v="BRSSZTCO"/>
    <n v="205.98463899999999"/>
    <n v="60.820500000000003"/>
    <n v="150"/>
    <n v="3693.47674159296"/>
    <n v="664.82581348673273"/>
    <n v="640"/>
    <n v="7"/>
    <n v="0"/>
    <n v="0"/>
    <n v="640"/>
    <m/>
    <m/>
    <n v="0"/>
    <x v="0"/>
    <s v="BRMAOTK01"/>
    <s v="BRMAOCHI"/>
    <n v="11.436796000000001"/>
    <n v="60.820500000000003"/>
    <n v="150"/>
    <n v="810.9313890854400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744"/>
    <n v="12164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98.5185258345741"/>
    <n v="364.923"/>
    <n v="18430.766368201563"/>
    <n v="1290.1536457741095"/>
    <n v="110"/>
    <n v="150"/>
    <n v="1E-3"/>
    <n v="121.64100000000001"/>
    <n v="12901.536457741093"/>
    <n v="13283.177457741092"/>
    <n v="3180.9641611183101"/>
    <n v="3855.8051659443813"/>
    <n v="0.08"/>
    <n v="649.1154810860769"/>
    <n v="7.0000000000000007E-2"/>
    <n v="929.82242204187651"/>
    <n v="15"/>
    <n v="1"/>
  </r>
  <r>
    <n v="20"/>
    <d v="2022-12-31T00:00:00"/>
    <x v="2"/>
    <s v="CLI8"/>
    <s v="CLI8"/>
    <s v="MAUA"/>
    <s v="SP"/>
    <s v="CLI9"/>
    <s v="RECIFE"/>
    <s v="PE"/>
    <n v="2596.7396079999999"/>
    <n v="0"/>
    <n v="0"/>
    <n v="0"/>
    <n v="0"/>
    <x v="0"/>
    <x v="0"/>
    <s v="BRSSZTK01"/>
    <s v="BRSSZTCO"/>
    <n v="77.880668999999997"/>
    <n v="51.338999999999999"/>
    <n v="150"/>
    <n v="1785.9248355321599"/>
    <n v="321.4664703957888"/>
    <n v="640"/>
    <n v="7"/>
    <n v="0"/>
    <n v="0"/>
    <n v="640"/>
    <m/>
    <m/>
    <n v="0"/>
    <x v="2"/>
    <s v="BRSUATK01"/>
    <s v="BRSUATCO"/>
    <n v="51.681188999999996"/>
    <n v="51.338999999999999"/>
    <n v="150"/>
    <n v="1397.7365721849599"/>
    <n v="251.5925829932927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565"/>
    <n v="102678"/>
    <x v="1"/>
    <x v="5"/>
    <x v="5"/>
    <x v="4"/>
    <x v="0"/>
    <x v="0"/>
    <n v="4"/>
    <n v="4"/>
    <n v="4"/>
    <n v="4"/>
    <n v="4"/>
    <n v="4"/>
    <n v="4"/>
    <n v="44"/>
    <n v="7"/>
    <n v="180"/>
    <n v="7"/>
    <n v="180"/>
    <n v="2596.7396079999999"/>
    <n v="308.03399999999999"/>
    <n v="18361.796808343683"/>
    <n v="1285.3257765840578"/>
    <n v="110"/>
    <n v="150"/>
    <n v="1E-3"/>
    <n v="102.678"/>
    <n v="12853.257765840577"/>
    <n v="13215.935765840577"/>
    <n v="3180.9641611183101"/>
    <n v="4597.3101970051466"/>
    <n v="0.08"/>
    <n v="756.73722437874994"/>
    <n v="7.0000000000000007E-2"/>
    <n v="925.11550360884053"/>
    <n v="15"/>
    <n v="4"/>
  </r>
  <r>
    <n v="21"/>
    <d v="2022-12-31T00:00:00"/>
    <x v="2"/>
    <s v="CLI9"/>
    <s v="CLI9"/>
    <s v="RECIFE"/>
    <s v="PE"/>
    <s v="CLI1307"/>
    <s v="BOA VISTA"/>
    <s v="RR"/>
    <n v="3105.6850965386675"/>
    <n v="2054.4430109999998"/>
    <n v="0"/>
    <n v="7000"/>
    <n v="0"/>
    <x v="0"/>
    <x v="3"/>
    <s v="BRSUATK01"/>
    <s v="BRSUATCO"/>
    <n v="51.681188999999996"/>
    <n v="75.660499999999999"/>
    <n v="150"/>
    <n v="1422.0580721849599"/>
    <n v="255.97045299329278"/>
    <n v="1344"/>
    <n v="7"/>
    <n v="0"/>
    <n v="0"/>
    <n v="1344"/>
    <m/>
    <m/>
    <n v="0"/>
    <x v="0"/>
    <s v="BRMAOTK01"/>
    <s v="BRMAOCHI"/>
    <n v="745.73917200000005"/>
    <n v="75.660499999999999"/>
    <n v="150"/>
    <n v="11705.665345422081"/>
    <n v="1404.6798414506497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55"/>
    <n v="151321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3105.6850965386675"/>
    <n v="453.96300000000002"/>
    <n v="21963.954263190233"/>
    <n v="2635.674511582828"/>
    <n v="110"/>
    <n v="150"/>
    <n v="1E-3"/>
    <n v="151.321"/>
    <n v="15374.767984233162"/>
    <n v="15786.088984233162"/>
    <n v="3180.9641611183101"/>
    <n v="-2958.5985944921899"/>
    <n v="0.08"/>
    <n v="79.817221774574179"/>
    <n v="0.12"/>
    <n v="1894.3306781079793"/>
    <n v="15"/>
    <n v="2"/>
  </r>
  <r>
    <n v="22"/>
    <d v="2022-12-31T00:00:00"/>
    <x v="2"/>
    <s v="CLI9"/>
    <s v="CLI9"/>
    <s v="RECIFE"/>
    <s v="PE"/>
    <s v="CLI872"/>
    <s v="MANAUS"/>
    <s v="AM"/>
    <n v="2837.7155170247038"/>
    <n v="2054.4430109999998"/>
    <n v="0"/>
    <n v="7000"/>
    <n v="0"/>
    <x v="0"/>
    <x v="3"/>
    <s v="BRSUATK01"/>
    <s v="BRSUATCO"/>
    <n v="51.681188999999996"/>
    <n v="113.75700000000001"/>
    <n v="150"/>
    <n v="1460.15457218496"/>
    <n v="262.82782299329278"/>
    <n v="1344"/>
    <n v="7"/>
    <n v="0"/>
    <n v="0"/>
    <n v="1344"/>
    <m/>
    <m/>
    <n v="0"/>
    <x v="0"/>
    <s v="BRMAOTK01"/>
    <s v="BRMAOCHI"/>
    <n v="11.436796000000001"/>
    <n v="113.75700000000001"/>
    <n v="150"/>
    <n v="863.8678890854400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099"/>
    <n v="22751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7.7155170247038"/>
    <n v="682.54200000000003"/>
    <n v="20372.762567494086"/>
    <n v="2444.7315080992903"/>
    <n v="110"/>
    <n v="150"/>
    <n v="1E-3"/>
    <n v="227.51400000000001"/>
    <n v="14260.93379724586"/>
    <n v="14748.447797245859"/>
    <n v="3180.9641611183101"/>
    <n v="6807.4611748571479"/>
    <n v="0.08"/>
    <n v="972.92780103857331"/>
    <n v="0.12"/>
    <n v="1769.8137356695031"/>
    <n v="15"/>
    <n v="1"/>
  </r>
  <r>
    <n v="23"/>
    <d v="2022-12-31T00:00:00"/>
    <x v="0"/>
    <s v="CLI10"/>
    <s v="CLI10"/>
    <s v="CAUCAIA"/>
    <s v="CE"/>
    <s v="CLI347"/>
    <s v="PINDAMONHANGABA"/>
    <s v="SP"/>
    <n v="2723.4118829999998"/>
    <n v="0"/>
    <n v="0"/>
    <n v="0"/>
    <n v="0"/>
    <x v="0"/>
    <x v="1"/>
    <s v="BRPECTK01S"/>
    <s v="BRPECAPM"/>
    <n v="34.109209"/>
    <n v="68.932000000000002"/>
    <n v="150"/>
    <n v="1154.9718704377601"/>
    <n v="207.89493667879682"/>
    <n v="768"/>
    <n v="7"/>
    <n v="0"/>
    <n v="0"/>
    <n v="768"/>
    <m/>
    <m/>
    <n v="0"/>
    <x v="1"/>
    <s v="BRSSZTK01S"/>
    <s v="BRSSZTCO"/>
    <n v="196.61712800000001"/>
    <n v="68.932000000000002"/>
    <n v="150"/>
    <n v="3562.7932034099199"/>
    <n v="641.30277661378557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038"/>
    <n v="137864"/>
    <x v="0"/>
    <x v="0"/>
    <x v="5"/>
    <x v="4"/>
    <x v="5"/>
    <x v="6"/>
    <n v="4"/>
    <n v="4"/>
    <n v="4"/>
    <n v="4"/>
    <n v="4"/>
    <n v="3"/>
    <n v="3"/>
    <n v="43"/>
    <n v="7"/>
    <n v="110"/>
    <n v="7"/>
    <n v="110"/>
    <n v="2723.4118829999998"/>
    <n v="413.59199999999998"/>
    <n v="19327.581160977679"/>
    <n v="2319.3097393173216"/>
    <n v="75"/>
    <n v="150"/>
    <n v="1E-3"/>
    <n v="137.864"/>
    <n v="10226.871260991"/>
    <n v="10589.735260990999"/>
    <n v="3180.9641611183101"/>
    <n v="5670.7710998726889"/>
    <n v="0.08"/>
    <n v="401.82179790805895"/>
    <n v="0.12"/>
    <n v="1270.7682313189198"/>
    <n v="15"/>
    <n v="4"/>
  </r>
  <r>
    <n v="24"/>
    <d v="2022-12-31T00:00:00"/>
    <x v="3"/>
    <s v="CLI11"/>
    <s v="CLI11"/>
    <s v="ITAPISSUMA"/>
    <s v="PE"/>
    <s v="CLI671"/>
    <s v="MANAUS"/>
    <s v="AM"/>
    <n v="2831.5585336825884"/>
    <n v="2068.4793920000002"/>
    <n v="0"/>
    <n v="7000"/>
    <n v="0"/>
    <x v="0"/>
    <x v="3"/>
    <s v="BRSUATK01"/>
    <s v="BRSUATCO"/>
    <n v="85.549986000000004"/>
    <n v="35.269500000000001"/>
    <n v="150"/>
    <n v="1883.4888445670404"/>
    <n v="339.02799202206722"/>
    <n v="1344"/>
    <n v="7"/>
    <n v="0"/>
    <n v="0"/>
    <n v="1344"/>
    <m/>
    <m/>
    <n v="0"/>
    <x v="0"/>
    <s v="BRMAOTK01S"/>
    <s v="BRMAOCHI"/>
    <n v="11.436796000000001"/>
    <n v="35.269500000000001"/>
    <n v="150"/>
    <n v="785.3803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200"/>
    <n v="70539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831.5585336825884"/>
    <n v="211.61699999999999"/>
    <n v="19860.025739897112"/>
    <n v="2383.2030887876531"/>
    <n v="110"/>
    <n v="150"/>
    <n v="1E-3"/>
    <n v="70.539000000000001"/>
    <n v="13352.25174556817"/>
    <n v="13682.790745568171"/>
    <n v="3180.9641611183101"/>
    <n v="6182.3377398828197"/>
    <n v="0.08"/>
    <n v="853.9914815914899"/>
    <n v="0.12"/>
    <n v="1641.9348894681805"/>
    <n v="15"/>
    <n v="3"/>
  </r>
  <r>
    <n v="25"/>
    <d v="2022-12-31T00:00:00"/>
    <x v="3"/>
    <s v="CLI11"/>
    <s v="CLI11"/>
    <s v="ITAPISSUMA"/>
    <s v="PE"/>
    <s v="CLI823"/>
    <s v="MANAUS"/>
    <s v="AM"/>
    <n v="2831.5585336825884"/>
    <n v="2068.4793920000002"/>
    <n v="0"/>
    <n v="7000"/>
    <n v="0"/>
    <x v="0"/>
    <x v="3"/>
    <s v="BRSUATK01"/>
    <s v="BRSUATCO"/>
    <n v="85.549986000000004"/>
    <n v="39.541000000000004"/>
    <n v="150"/>
    <n v="1887.7603445670402"/>
    <n v="339.79686202206722"/>
    <n v="1344"/>
    <n v="7"/>
    <n v="0"/>
    <n v="0"/>
    <n v="1344"/>
    <m/>
    <m/>
    <n v="0"/>
    <x v="0"/>
    <s v="BRMAOTK01S"/>
    <s v="BRMAOCHI"/>
    <n v="11.436796000000001"/>
    <n v="39.541000000000004"/>
    <n v="150"/>
    <n v="789.6518890854400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059"/>
    <n v="79082"/>
    <x v="1"/>
    <x v="2"/>
    <x v="2"/>
    <x v="0"/>
    <x v="3"/>
    <x v="3"/>
    <n v="2"/>
    <n v="2"/>
    <n v="2"/>
    <n v="2"/>
    <n v="2"/>
    <n v="2"/>
    <n v="2"/>
    <n v="21"/>
    <n v="7"/>
    <n v="180"/>
    <n v="7"/>
    <n v="180"/>
    <n v="2831.5585336825884"/>
    <n v="237.24600000000001"/>
    <n v="19885.654739897112"/>
    <n v="2386.2785687876535"/>
    <n v="110"/>
    <n v="150"/>
    <n v="1E-3"/>
    <n v="79.082000000000008"/>
    <n v="13367.201995568172"/>
    <n v="13706.283995568172"/>
    <n v="3180.9641611183101"/>
    <n v="6201.5594898828203"/>
    <n v="0.08"/>
    <n v="855.12599199148985"/>
    <n v="0.12"/>
    <n v="1644.7540794681806"/>
    <n v="15"/>
    <n v="2"/>
  </r>
  <r>
    <n v="26"/>
    <d v="2022-12-31T00:00:00"/>
    <x v="3"/>
    <s v="CLI11"/>
    <s v="CLI11"/>
    <s v="ITAPISSUMA"/>
    <s v="PE"/>
    <s v="CLI631"/>
    <s v="MANAUS"/>
    <s v="AM"/>
    <n v="2831.5585336825884"/>
    <n v="2068.4793920000002"/>
    <n v="0"/>
    <n v="7000"/>
    <n v="0"/>
    <x v="0"/>
    <x v="3"/>
    <s v="BRSUATK01"/>
    <s v="BRSUATCO"/>
    <n v="85.549986000000004"/>
    <n v="28.88"/>
    <n v="150"/>
    <n v="1877.0993445670404"/>
    <n v="337.87788202206724"/>
    <n v="1344"/>
    <n v="7"/>
    <n v="0"/>
    <n v="0"/>
    <n v="1344"/>
    <m/>
    <m/>
    <n v="0"/>
    <x v="0"/>
    <s v="BRMAOTK01S"/>
    <s v="BRMAOCHI"/>
    <n v="11.436796000000001"/>
    <n v="28.88"/>
    <n v="150"/>
    <n v="778.9908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792"/>
    <n v="5776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1.5585336825884"/>
    <n v="173.28"/>
    <n v="19821.688739897112"/>
    <n v="2378.6026487876534"/>
    <n v="110"/>
    <n v="150"/>
    <n v="1E-3"/>
    <n v="57.76"/>
    <n v="13329.888495568171"/>
    <n v="13647.648495568172"/>
    <n v="3180.9641611183101"/>
    <n v="6153.5849898828201"/>
    <n v="0.08"/>
    <n v="852.29443039148987"/>
    <n v="0.12"/>
    <n v="1637.7178194681806"/>
    <n v="15"/>
    <n v="1"/>
  </r>
  <r>
    <n v="27"/>
    <d v="2022-12-31T00:00:00"/>
    <x v="2"/>
    <s v="CLI11"/>
    <s v="CLI11"/>
    <s v="ITAPISSUMA"/>
    <s v="PE"/>
    <s v="CLI631"/>
    <s v="MANAUS"/>
    <s v="AM"/>
    <n v="2831.5585336825884"/>
    <n v="2068.4793920000002"/>
    <n v="0"/>
    <n v="7000"/>
    <n v="0"/>
    <x v="0"/>
    <x v="3"/>
    <s v="BRSUATK01"/>
    <s v="BRSUATCO"/>
    <n v="85.549986000000004"/>
    <n v="110.26650000000001"/>
    <n v="150"/>
    <n v="1958.4858445670402"/>
    <n v="352.52745202206722"/>
    <n v="1344"/>
    <n v="7"/>
    <n v="0"/>
    <n v="0"/>
    <n v="1344"/>
    <m/>
    <m/>
    <n v="0"/>
    <x v="0"/>
    <s v="BRMAOTK01"/>
    <s v="BRMAOCHI"/>
    <n v="11.436796000000001"/>
    <n v="110.26650000000001"/>
    <n v="150"/>
    <n v="860.3773890854399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917"/>
    <n v="22053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1.5585336825884"/>
    <n v="661.59900000000005"/>
    <n v="20310.007739897112"/>
    <n v="2437.2009287876531"/>
    <n v="110"/>
    <n v="150"/>
    <n v="1E-3"/>
    <n v="220.53300000000002"/>
    <n v="14217.005417927978"/>
    <n v="14697.538417927977"/>
    <n v="3180.9641611183101"/>
    <n v="6261.711023157186"/>
    <n v="0.08"/>
    <n v="922.09181858027443"/>
    <n v="0.12"/>
    <n v="1763.7046101513572"/>
    <n v="15"/>
    <n v="1"/>
  </r>
  <r>
    <n v="28"/>
    <d v="2022-12-31T00:00:00"/>
    <x v="2"/>
    <s v="CLI13"/>
    <s v="CLI13"/>
    <s v="GUARULHOS"/>
    <s v="SP"/>
    <s v="CLI806"/>
    <s v="MANAUS"/>
    <s v="AM"/>
    <n v="2680.9932138622717"/>
    <n v="2887.376076"/>
    <n v="0"/>
    <n v="7000"/>
    <n v="0"/>
    <x v="0"/>
    <x v="0"/>
    <s v="BRSSZTK01"/>
    <s v="BRSSZTCO"/>
    <n v="96.951807000000002"/>
    <n v="39.749000000000002"/>
    <n v="150"/>
    <n v="2056.90502166848"/>
    <n v="370.24290390032638"/>
    <n v="640"/>
    <n v="7"/>
    <n v="0"/>
    <n v="0"/>
    <n v="640"/>
    <m/>
    <m/>
    <n v="0"/>
    <x v="0"/>
    <s v="BRMAOTK01"/>
    <s v="BRMAOCHI"/>
    <n v="11.436796000000001"/>
    <n v="39.749000000000002"/>
    <n v="150"/>
    <n v="789.85988908544005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30"/>
    <n v="7949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80.9932138622717"/>
    <n v="238.494"/>
    <n v="18864.41967561013"/>
    <n v="1320.5093772927091"/>
    <n v="110"/>
    <n v="150"/>
    <n v="1E-3"/>
    <n v="79.498000000000005"/>
    <n v="13205.09377292709"/>
    <n v="13544.59177292709"/>
    <n v="3180.9641611183101"/>
    <n v="5774.8627010548589"/>
    <n v="0.08"/>
    <n v="826.2067166618275"/>
    <n v="7.0000000000000007E-2"/>
    <n v="948.12142410489639"/>
    <n v="15"/>
    <n v="1"/>
  </r>
  <r>
    <n v="29"/>
    <d v="2022-12-31T00:00:00"/>
    <x v="2"/>
    <s v="CLI15"/>
    <s v="CLI15"/>
    <s v="JABOATAO DOS GUARARAPES"/>
    <s v="PE"/>
    <s v="CLI770"/>
    <s v="MANAUS"/>
    <s v="AM"/>
    <n v="2824.724442364587"/>
    <n v="2038.9469220000001"/>
    <n v="0"/>
    <n v="7000"/>
    <n v="0"/>
    <x v="0"/>
    <x v="3"/>
    <s v="BRSUATK01"/>
    <s v="BRSUATCO"/>
    <n v="43.495365"/>
    <n v="121.1915"/>
    <n v="150"/>
    <n v="1346.3026648736"/>
    <n v="242.33447967724797"/>
    <n v="1344"/>
    <n v="7"/>
    <n v="0"/>
    <n v="0"/>
    <n v="1344"/>
    <m/>
    <m/>
    <n v="0"/>
    <x v="0"/>
    <s v="BRMAOTK01"/>
    <s v="BRMAOCHI"/>
    <n v="11.436796000000001"/>
    <n v="121.1915"/>
    <n v="150"/>
    <n v="871.3023890854400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605"/>
    <n v="24238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24442364587"/>
    <n v="727.149"/>
    <n v="20329.147699120218"/>
    <n v="2439.4977238944261"/>
    <n v="110"/>
    <n v="150"/>
    <n v="1E-3"/>
    <n v="242.38300000000001"/>
    <n v="14230.403389384152"/>
    <n v="14732.786389384151"/>
    <n v="3180.9641611183101"/>
    <n v="6898.2171743068011"/>
    <n v="0.08"/>
    <n v="981.82774845982919"/>
    <n v="0.12"/>
    <n v="1767.934366726098"/>
    <n v="15"/>
    <n v="1"/>
  </r>
  <r>
    <n v="30"/>
    <d v="2022-12-31T00:00:00"/>
    <x v="2"/>
    <s v="CLI17"/>
    <s v="CLI17"/>
    <s v="AQUIRAZ"/>
    <s v="CE"/>
    <s v="CLI551"/>
    <s v="MANAUS"/>
    <s v="AM"/>
    <n v="2404.9640417228306"/>
    <n v="1464.270084"/>
    <n v="0"/>
    <n v="7000"/>
    <n v="0"/>
    <x v="0"/>
    <x v="1"/>
    <s v="BRPECTK01"/>
    <s v="BRPECAPM"/>
    <n v="71.623824999999997"/>
    <n v="38.134500000000003"/>
    <n v="150"/>
    <n v="1680.0149304480001"/>
    <n v="302.40268748064"/>
    <n v="768"/>
    <n v="7"/>
    <n v="0"/>
    <n v="0"/>
    <n v="768"/>
    <m/>
    <m/>
    <n v="0"/>
    <x v="0"/>
    <s v="BRMAOTK01"/>
    <s v="BRMAOCHI"/>
    <n v="11.436796000000001"/>
    <n v="38.134500000000003"/>
    <n v="150"/>
    <n v="788.24538908544002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459"/>
    <n v="76269"/>
    <x v="1"/>
    <x v="0"/>
    <x v="0"/>
    <x v="4"/>
    <x v="2"/>
    <x v="2"/>
    <n v="3"/>
    <n v="3"/>
    <n v="3"/>
    <n v="3"/>
    <n v="3"/>
    <n v="3"/>
    <n v="3"/>
    <n v="33"/>
    <n v="7"/>
    <n v="180"/>
    <n v="7"/>
    <n v="180"/>
    <n v="2404.9640417228306"/>
    <n v="228.80700000000002"/>
    <n v="16980.229608778078"/>
    <n v="2037.6275530533692"/>
    <n v="110"/>
    <n v="150"/>
    <n v="1E-3"/>
    <n v="76.269000000000005"/>
    <n v="11886.160726144653"/>
    <n v="12222.429726144654"/>
    <n v="3180.9641611183101"/>
    <n v="4643.2052454929035"/>
    <n v="0.08"/>
    <n v="756.14133753044587"/>
    <n v="0.12"/>
    <n v="1466.6915671373583"/>
    <n v="15"/>
    <n v="3"/>
  </r>
  <r>
    <n v="31"/>
    <d v="2022-12-31T00:00:00"/>
    <x v="2"/>
    <s v="CLI17"/>
    <s v="CLI17"/>
    <s v="AQUIRAZ"/>
    <s v="CE"/>
    <s v="CLI529"/>
    <s v="JACAREI"/>
    <s v="SP"/>
    <n v="2760.8617129999998"/>
    <n v="0"/>
    <n v="0"/>
    <n v="0"/>
    <n v="0"/>
    <x v="0"/>
    <x v="1"/>
    <s v="BRPECTK01"/>
    <s v="BRPECAPM"/>
    <n v="71.623824999999997"/>
    <n v="38.416499999999999"/>
    <n v="150"/>
    <n v="1680.296930448"/>
    <n v="302.45344748063997"/>
    <n v="768"/>
    <n v="7"/>
    <n v="280"/>
    <n v="0"/>
    <n v="2728"/>
    <m/>
    <m/>
    <n v="0"/>
    <x v="1"/>
    <s v="BRSSZTK01"/>
    <s v="BRSSZTCO"/>
    <n v="125.620194"/>
    <n v="38.416499999999999"/>
    <n v="150"/>
    <n v="2480.3416912281596"/>
    <n v="446.4615044210687"/>
    <n v="640"/>
    <n v="7"/>
    <n v="160"/>
    <n v="0"/>
    <n v="1760"/>
    <s v="BRPECDP01"/>
    <n v="120"/>
    <n v="90"/>
    <n v="320"/>
    <n v="150"/>
    <n v="150"/>
    <n v="120"/>
    <n v="95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721"/>
    <n v="76833"/>
    <x v="2"/>
    <x v="3"/>
    <x v="2"/>
    <x v="2"/>
    <x v="3"/>
    <x v="3"/>
    <n v="1"/>
    <n v="1"/>
    <n v="2"/>
    <n v="2"/>
    <n v="2"/>
    <n v="1"/>
    <n v="2"/>
    <n v="16"/>
    <n v="7"/>
    <n v="380"/>
    <n v="7"/>
    <n v="380"/>
    <n v="2760.8617129999998"/>
    <n v="230.499"/>
    <n v="25441.037643009837"/>
    <n v="3052.9245171611801"/>
    <n v="180"/>
    <n v="150"/>
    <n v="1E-3"/>
    <n v="76.832999999999998"/>
    <n v="17808.726350106885"/>
    <n v="18215.559350106883"/>
    <n v="3180.9641611183101"/>
    <n v="5435.9565673124143"/>
    <n v="0.08"/>
    <n v="1064.4804621223211"/>
    <n v="0.12"/>
    <n v="2185.8671220128258"/>
    <n v="15"/>
    <n v="2"/>
  </r>
  <r>
    <n v="32"/>
    <d v="2022-12-31T00:00:00"/>
    <x v="2"/>
    <s v="CLI17"/>
    <s v="CLI17"/>
    <s v="AQUIRAZ"/>
    <s v="CE"/>
    <s v="CLI551"/>
    <s v="MANAUS"/>
    <s v="AM"/>
    <n v="2404.9640417228306"/>
    <n v="1464.270084"/>
    <n v="0"/>
    <n v="7000"/>
    <n v="0"/>
    <x v="0"/>
    <x v="1"/>
    <s v="BRPECTK01"/>
    <s v="BRPECAPM"/>
    <n v="71.623824999999997"/>
    <n v="108.148"/>
    <n v="150"/>
    <n v="1750.0284304479999"/>
    <n v="315.00511748063997"/>
    <n v="768"/>
    <n v="7"/>
    <n v="280"/>
    <n v="0"/>
    <n v="2728"/>
    <m/>
    <m/>
    <n v="0"/>
    <x v="0"/>
    <s v="BRMAOTK01"/>
    <s v="BRMAOCHI"/>
    <n v="11.436796000000001"/>
    <n v="108.148"/>
    <n v="150"/>
    <n v="858.25888908544005"/>
    <n v="0"/>
    <n v="832"/>
    <n v="7"/>
    <n v="480"/>
    <n v="0"/>
    <n v="4192"/>
    <s v="BRPECDP01"/>
    <n v="120"/>
    <n v="90"/>
    <n v="320"/>
    <n v="150"/>
    <n v="150"/>
    <n v="120"/>
    <n v="95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786"/>
    <n v="216296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404.9640417228306"/>
    <n v="648.88800000000003"/>
    <n v="22668.562009593545"/>
    <n v="2720.2274411512253"/>
    <n v="180"/>
    <n v="150"/>
    <n v="1E-3"/>
    <n v="216.29599999999999"/>
    <n v="15867.993406715481"/>
    <n v="16414.289406715481"/>
    <n v="3180.9641611183101"/>
    <n v="2755.0379260637314"/>
    <n v="0.08"/>
    <n v="1079.2797575761122"/>
    <n v="0.12"/>
    <n v="1969.7147288058577"/>
    <n v="15"/>
    <n v="1"/>
  </r>
  <r>
    <n v="33"/>
    <d v="2022-12-31T00:00:00"/>
    <x v="2"/>
    <s v="CLI18"/>
    <s v="CLI18"/>
    <s v="JAGUARIUNA"/>
    <s v="SP"/>
    <s v="CLI19"/>
    <s v="JOAO PESSOA"/>
    <s v="PB"/>
    <n v="2622.8716830000003"/>
    <n v="0"/>
    <n v="0"/>
    <n v="0"/>
    <n v="0"/>
    <x v="0"/>
    <x v="0"/>
    <s v="BRSSZTK01"/>
    <s v="BRSSZTCO"/>
    <n v="202.37585999999999"/>
    <n v="91.769000000000005"/>
    <n v="150"/>
    <n v="3670.9552623104"/>
    <n v="660.77194721587193"/>
    <n v="640"/>
    <n v="7"/>
    <n v="0"/>
    <n v="0"/>
    <n v="640"/>
    <m/>
    <m/>
    <n v="0"/>
    <x v="2"/>
    <s v="BRSUATK01"/>
    <s v="BRSUATCO"/>
    <n v="167.74277900000001"/>
    <n v="91.769000000000005"/>
    <n v="150"/>
    <n v="3157.8093690425603"/>
    <n v="378.93712428510725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783"/>
    <n v="18353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22.8716830000003"/>
    <n v="550.61400000000003"/>
    <n v="18781.838684385686"/>
    <n v="1314.7287079069981"/>
    <n v="110"/>
    <n v="150"/>
    <n v="1E-3"/>
    <n v="183.53800000000001"/>
    <n v="13147.28707906998"/>
    <n v="13590.82507906998"/>
    <n v="3180.9641611183101"/>
    <n v="1327.096286598709"/>
    <n v="0.08"/>
    <n v="457.78811009728321"/>
    <n v="7.0000000000000007E-2"/>
    <n v="951.35775553489873"/>
    <n v="15"/>
    <n v="1"/>
  </r>
  <r>
    <n v="34"/>
    <d v="2022-12-31T00:00:00"/>
    <x v="2"/>
    <s v="CLI19"/>
    <s v="CLI19"/>
    <s v="JOAO PESSOA"/>
    <s v="PB"/>
    <s v="CLI18"/>
    <s v="JAGUARIUNA"/>
    <s v="SP"/>
    <n v="2623.3448469999998"/>
    <n v="0"/>
    <n v="0"/>
    <n v="0"/>
    <n v="0"/>
    <x v="0"/>
    <x v="3"/>
    <s v="BRSUATK01"/>
    <s v="BRSUATCO"/>
    <n v="167.74277900000001"/>
    <n v="61.041499999999999"/>
    <n v="150"/>
    <n v="3127.0818690425604"/>
    <n v="375.24982428510725"/>
    <n v="1344"/>
    <n v="7"/>
    <n v="480"/>
    <n v="0"/>
    <n v="4704"/>
    <m/>
    <m/>
    <n v="0"/>
    <x v="1"/>
    <s v="BRSSZTK01"/>
    <s v="BRSSZTCO"/>
    <n v="202.37585999999999"/>
    <n v="61.041499999999999"/>
    <n v="150"/>
    <n v="3640.2277623103996"/>
    <n v="655.24099721587186"/>
    <n v="640"/>
    <n v="7"/>
    <n v="160"/>
    <n v="0"/>
    <n v="1760"/>
    <s v="BRSUADP01"/>
    <n v="95"/>
    <n v="70"/>
    <n v="290"/>
    <n v="150"/>
    <n v="150"/>
    <n v="95"/>
    <n v="85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767"/>
    <n v="122083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623.3448469999998"/>
    <n v="366.24900000000002"/>
    <n v="24343.855427850955"/>
    <n v="2921.2626513421146"/>
    <n v="180"/>
    <n v="150"/>
    <n v="1E-3"/>
    <n v="122.083"/>
    <n v="17040.698799495669"/>
    <n v="17492.781799495668"/>
    <n v="3180.9641611183101"/>
    <n v="230.5080070243971"/>
    <n v="0.08"/>
    <n v="775.59850773133837"/>
    <n v="0.12"/>
    <n v="2099.13381593948"/>
    <n v="15"/>
    <n v="1"/>
  </r>
  <r>
    <n v="35"/>
    <d v="2022-12-31T00:00:00"/>
    <x v="2"/>
    <s v="CLI20"/>
    <s v="CLI20"/>
    <s v="MANAUS"/>
    <s v="AM"/>
    <s v="CLI17"/>
    <s v="AQUIRAZ"/>
    <s v="CE"/>
    <n v="3050.6203810000002"/>
    <n v="0"/>
    <n v="1464.270084"/>
    <n v="7000"/>
    <n v="0"/>
    <x v="0"/>
    <x v="2"/>
    <s v="BRMAOTK01"/>
    <s v="BRMAOCHI"/>
    <n v="11.436796000000001"/>
    <n v="49.472000000000001"/>
    <n v="150"/>
    <n v="799.58288908544"/>
    <n v="0"/>
    <n v="832"/>
    <n v="7"/>
    <n v="0"/>
    <n v="0"/>
    <n v="832"/>
    <m/>
    <m/>
    <n v="0"/>
    <x v="3"/>
    <s v="BRPECTK01"/>
    <s v="BRPECAPM"/>
    <n v="71.623824999999997"/>
    <n v="49.472000000000001"/>
    <n v="150"/>
    <n v="1691.352430448"/>
    <n v="304.44343748064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03"/>
    <n v="98944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050.6203810000002"/>
    <n v="296.83199999999999"/>
    <n v="21432.880982555758"/>
    <n v="2571.9457179066908"/>
    <n v="110"/>
    <n v="150"/>
    <n v="1E-3"/>
    <n v="98.944000000000003"/>
    <n v="15003.01668778903"/>
    <n v="15361.960687789029"/>
    <n v="3180.9641611183101"/>
    <n v="7795.0612071372798"/>
    <n v="0.08"/>
    <n v="1005.326554461996"/>
    <n v="0.12"/>
    <n v="1843.4352825346834"/>
    <n v="15"/>
    <n v="2"/>
  </r>
  <r>
    <n v="36"/>
    <d v="2022-12-31T00:00:00"/>
    <x v="2"/>
    <s v="CLI20"/>
    <s v="CLI20"/>
    <s v="MANAUS"/>
    <s v="AM"/>
    <s v="CLI21"/>
    <s v="RIO DE JANEIRO"/>
    <s v="RJ"/>
    <n v="4144.4069500000005"/>
    <n v="0"/>
    <n v="3090.4427809999997"/>
    <n v="7000"/>
    <n v="0"/>
    <x v="0"/>
    <x v="2"/>
    <s v="BRMAOTK01"/>
    <s v="BRMAOCHI"/>
    <n v="11.436796000000001"/>
    <n v="26.261500000000002"/>
    <n v="150"/>
    <n v="776.37238908543998"/>
    <n v="0"/>
    <n v="832"/>
    <n v="7"/>
    <n v="0"/>
    <n v="0"/>
    <n v="832"/>
    <m/>
    <m/>
    <n v="0"/>
    <x v="4"/>
    <s v="BRIGITK01"/>
    <s v="BRIGITCO"/>
    <n v="78.029871"/>
    <n v="26.261500000000002"/>
    <n v="150"/>
    <n v="1763.0580078534401"/>
    <n v="352.61160157068804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125"/>
    <n v="52523"/>
    <x v="1"/>
    <x v="3"/>
    <x v="2"/>
    <x v="2"/>
    <x v="3"/>
    <x v="3"/>
    <n v="2"/>
    <n v="1"/>
    <n v="2"/>
    <n v="2"/>
    <n v="2"/>
    <n v="1"/>
    <n v="2"/>
    <n v="17"/>
    <n v="7"/>
    <n v="180"/>
    <n v="7"/>
    <n v="180"/>
    <n v="4144.4069500000005"/>
    <n v="157.56900000000002"/>
    <n v="28721.478821172004"/>
    <n v="3446.5774585406402"/>
    <n v="110"/>
    <n v="150"/>
    <n v="1E-3"/>
    <n v="52.523000000000003"/>
    <n v="20105.035174820401"/>
    <n v="20417.558174820402"/>
    <n v="3180.9641611183101"/>
    <n v="12866.16361676321"/>
    <n v="0.08"/>
    <n v="1402.0412941048667"/>
    <n v="0.12"/>
    <n v="2450.1069809784481"/>
    <n v="15"/>
    <n v="2"/>
  </r>
  <r>
    <n v="37"/>
    <d v="2022-12-31T00:00:00"/>
    <x v="2"/>
    <s v="CLI20"/>
    <s v="CLI20"/>
    <s v="MANAUS"/>
    <s v="AM"/>
    <s v="CLI963"/>
    <s v="PIRAI"/>
    <s v="RJ"/>
    <n v="4083.8708080000001"/>
    <n v="0"/>
    <n v="3030.8395129999999"/>
    <n v="7000"/>
    <n v="0"/>
    <x v="0"/>
    <x v="2"/>
    <s v="BRMAOTK01"/>
    <s v="BRMAOCHI"/>
    <n v="11.436796000000001"/>
    <n v="39.035499999999999"/>
    <n v="150"/>
    <n v="789.14638908543998"/>
    <n v="0"/>
    <n v="832"/>
    <n v="7"/>
    <n v="0"/>
    <n v="0"/>
    <n v="832"/>
    <m/>
    <m/>
    <n v="0"/>
    <x v="4"/>
    <s v="BRIGITK01"/>
    <s v="BRIGITCO"/>
    <n v="60.702476000000004"/>
    <n v="39.035499999999999"/>
    <n v="150"/>
    <n v="1519.0982340006399"/>
    <n v="303.819646800128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366"/>
    <n v="7807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4083.8708080000001"/>
    <n v="234.21299999999999"/>
    <n v="28387.024302295682"/>
    <n v="3406.4429162754818"/>
    <n v="110"/>
    <n v="150"/>
    <n v="1E-3"/>
    <n v="78.070999999999998"/>
    <n v="19870.917011606976"/>
    <n v="20208.988011606976"/>
    <n v="3180.9641611183101"/>
    <n v="12888.779227402585"/>
    <n v="0.08"/>
    <n v="1407.7538993376613"/>
    <n v="0.12"/>
    <n v="2425.0785613928369"/>
    <n v="15"/>
    <n v="1"/>
  </r>
  <r>
    <n v="38"/>
    <d v="2022-12-31T00:00:00"/>
    <x v="2"/>
    <s v="CLI21"/>
    <s v="CLI21"/>
    <s v="RIO DE JANEIRO"/>
    <s v="RJ"/>
    <s v="CLI19"/>
    <s v="JOAO PESSOA"/>
    <s v="PB"/>
    <n v="2364.5162620000001"/>
    <n v="0"/>
    <n v="0"/>
    <n v="0"/>
    <n v="0"/>
    <x v="0"/>
    <x v="4"/>
    <s v="BRIGITK01"/>
    <s v="BRIGITCO"/>
    <n v="78.029871"/>
    <n v="53.851500000000001"/>
    <n v="150"/>
    <n v="1790.64800785344"/>
    <n v="358.12960157068801"/>
    <n v="704"/>
    <n v="7"/>
    <n v="0"/>
    <n v="0"/>
    <n v="704"/>
    <m/>
    <m/>
    <n v="0"/>
    <x v="2"/>
    <s v="BRSUATK01"/>
    <s v="BRSUATCO"/>
    <n v="167.74277900000001"/>
    <n v="53.851500000000001"/>
    <n v="150"/>
    <n v="3119.8918690425608"/>
    <n v="374.38702428510726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496"/>
    <n v="107703"/>
    <x v="1"/>
    <x v="5"/>
    <x v="6"/>
    <x v="5"/>
    <x v="5"/>
    <x v="6"/>
    <n v="4"/>
    <n v="4"/>
    <n v="4"/>
    <n v="4"/>
    <n v="5"/>
    <n v="4"/>
    <n v="4"/>
    <n v="49"/>
    <n v="7"/>
    <n v="180"/>
    <n v="7"/>
    <n v="180"/>
    <n v="2364.5162620000001"/>
    <n v="323.10899999999998"/>
    <n v="16799.852354591523"/>
    <n v="1175.9896648214067"/>
    <n v="110"/>
    <n v="150"/>
    <n v="1E-3"/>
    <n v="107.703"/>
    <n v="11759.896648214066"/>
    <n v="12127.599648214065"/>
    <n v="3180.9641611183101"/>
    <n v="1698.095610199754"/>
    <n v="0.08"/>
    <n v="518.76345163698147"/>
    <n v="7.0000000000000007E-2"/>
    <n v="848.93197537498463"/>
    <n v="15"/>
    <n v="5"/>
  </r>
  <r>
    <n v="39"/>
    <d v="2022-12-31T00:00:00"/>
    <x v="2"/>
    <s v="CLI22"/>
    <s v="CLI22"/>
    <s v="JUNDIAI"/>
    <s v="SP"/>
    <s v="CLI23"/>
    <s v="MANAUS"/>
    <s v="AM"/>
    <n v="2635.1127671331219"/>
    <n v="2826.507944"/>
    <n v="0"/>
    <n v="7000"/>
    <n v="0"/>
    <x v="0"/>
    <x v="0"/>
    <s v="BRSSZTK01"/>
    <s v="BRSSZTCO"/>
    <n v="139.13710800000001"/>
    <n v="90.271500000000003"/>
    <n v="150"/>
    <n v="2732.4719398771199"/>
    <n v="491.84494917788157"/>
    <n v="640"/>
    <n v="7"/>
    <n v="0"/>
    <n v="0"/>
    <n v="640"/>
    <m/>
    <m/>
    <n v="0"/>
    <x v="0"/>
    <s v="BRMAOTK01"/>
    <s v="BRMAOCHI"/>
    <n v="11.436796000000001"/>
    <n v="90.271500000000003"/>
    <n v="150"/>
    <n v="840.3823890854400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441"/>
    <n v="18054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35.1127671331219"/>
    <n v="541.62900000000002"/>
    <n v="18855.982397090349"/>
    <n v="1319.9187677963246"/>
    <n v="110"/>
    <n v="150"/>
    <n v="1E-3"/>
    <n v="180.54300000000001"/>
    <n v="13199.187677963244"/>
    <n v="13639.730677963244"/>
    <n v="3180.9641611183101"/>
    <n v="5143.9121878823735"/>
    <n v="0.08"/>
    <n v="766.0025119858243"/>
    <n v="7.0000000000000007E-2"/>
    <n v="954.7811474574271"/>
    <n v="15"/>
    <n v="1"/>
  </r>
  <r>
    <n v="40"/>
    <d v="2022-12-31T00:00:00"/>
    <x v="2"/>
    <s v="CLI23"/>
    <s v="CLI23"/>
    <s v="MANAUS"/>
    <s v="AM"/>
    <s v="CLI22"/>
    <s v="JUNDIAI"/>
    <s v="SP"/>
    <n v="3878.5104309999997"/>
    <n v="0"/>
    <n v="2826.507944"/>
    <n v="7000"/>
    <n v="0"/>
    <x v="0"/>
    <x v="2"/>
    <s v="BRMAOTK01"/>
    <s v="BRMAOCHI"/>
    <n v="11.436796000000001"/>
    <n v="28.332000000000001"/>
    <n v="150"/>
    <n v="778.44288908544002"/>
    <n v="0"/>
    <n v="832"/>
    <n v="7"/>
    <n v="0"/>
    <n v="0"/>
    <n v="832"/>
    <m/>
    <m/>
    <n v="0"/>
    <x v="1"/>
    <s v="BRSSZTK01"/>
    <s v="BRSSZTCO"/>
    <n v="139.13710800000001"/>
    <n v="28.332000000000001"/>
    <n v="150"/>
    <n v="2670.5324398771199"/>
    <n v="480.6958391778815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602"/>
    <n v="56664"/>
    <x v="1"/>
    <x v="6"/>
    <x v="7"/>
    <x v="6"/>
    <x v="6"/>
    <x v="7"/>
    <n v="26"/>
    <n v="25"/>
    <n v="28"/>
    <n v="28"/>
    <n v="28"/>
    <n v="26"/>
    <n v="28"/>
    <n v="309"/>
    <n v="7"/>
    <n v="180"/>
    <n v="7"/>
    <n v="180"/>
    <n v="3878.5104309999997"/>
    <n v="169.99199999999999"/>
    <n v="26928.209196503758"/>
    <n v="3231.385103580451"/>
    <n v="110"/>
    <n v="150"/>
    <n v="1E-3"/>
    <n v="56.664000000000001"/>
    <n v="18849.746437552629"/>
    <n v="19166.410437552629"/>
    <n v="3180.9641611183101"/>
    <n v="10769.47094747176"/>
    <n v="0.08"/>
    <n v="1218.9391415529751"/>
    <n v="0.12"/>
    <n v="2299.9692525063156"/>
    <n v="15"/>
    <n v="28"/>
  </r>
  <r>
    <n v="41"/>
    <d v="2022-12-31T00:00:00"/>
    <x v="2"/>
    <s v="CLI23"/>
    <s v="CLI23"/>
    <s v="MANAUS"/>
    <s v="AM"/>
    <s v="CLI1236"/>
    <s v="JUNDIAI"/>
    <s v="SP"/>
    <n v="3878.5104309999997"/>
    <n v="0"/>
    <n v="2826.507944"/>
    <n v="7000"/>
    <n v="0"/>
    <x v="0"/>
    <x v="2"/>
    <s v="BRMAOTK01"/>
    <s v="BRMAOCHI"/>
    <n v="11.436796000000001"/>
    <n v="56.020499999999998"/>
    <n v="150"/>
    <n v="806.13138908543999"/>
    <n v="0"/>
    <n v="832"/>
    <n v="7"/>
    <n v="0"/>
    <n v="0"/>
    <n v="832"/>
    <m/>
    <m/>
    <n v="0"/>
    <x v="1"/>
    <s v="BRSSZTK01"/>
    <s v="BRSSZTCO"/>
    <n v="139.13710800000001"/>
    <n v="56.020499999999998"/>
    <n v="150"/>
    <n v="2698.2209398771201"/>
    <n v="485.6797691778816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273"/>
    <n v="112041"/>
    <x v="1"/>
    <x v="4"/>
    <x v="3"/>
    <x v="3"/>
    <x v="7"/>
    <x v="4"/>
    <n v="8"/>
    <n v="8"/>
    <n v="9"/>
    <n v="9"/>
    <n v="9"/>
    <n v="8"/>
    <n v="9"/>
    <n v="97"/>
    <n v="7"/>
    <n v="180"/>
    <n v="7"/>
    <n v="180"/>
    <n v="3878.5104309999997"/>
    <n v="336.12299999999999"/>
    <n v="27094.340196503759"/>
    <n v="3251.3208235804509"/>
    <n v="110"/>
    <n v="150"/>
    <n v="1E-3"/>
    <n v="112.041"/>
    <n v="18966.03813755263"/>
    <n v="19338.079137552631"/>
    <n v="3180.9641611183101"/>
    <n v="10885.762647471762"/>
    <n v="0.08"/>
    <n v="1227.8437631529753"/>
    <n v="0.12"/>
    <n v="2320.5694965063158"/>
    <n v="15"/>
    <n v="9"/>
  </r>
  <r>
    <n v="42"/>
    <d v="2022-12-31T00:00:00"/>
    <x v="2"/>
    <s v="CLI23"/>
    <s v="CLI23"/>
    <s v="MANAUS"/>
    <s v="AM"/>
    <s v="CLI537"/>
    <s v="ITUPEVA"/>
    <s v="SP"/>
    <n v="3872.5097559999999"/>
    <n v="0"/>
    <n v="2821.0130429999999"/>
    <n v="7000"/>
    <n v="0"/>
    <x v="0"/>
    <x v="2"/>
    <s v="BRMAOTK01"/>
    <s v="BRMAOCHI"/>
    <n v="11.436796000000001"/>
    <n v="46.689"/>
    <n v="150"/>
    <n v="796.79988908543999"/>
    <n v="0"/>
    <n v="832"/>
    <n v="7"/>
    <n v="0"/>
    <n v="0"/>
    <n v="832"/>
    <m/>
    <m/>
    <n v="0"/>
    <x v="1"/>
    <s v="BRSSZTK01"/>
    <s v="BRSSZTCO"/>
    <n v="154.896703"/>
    <n v="46.689"/>
    <n v="150"/>
    <n v="2922.3936855379197"/>
    <n v="526.0308633968255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863"/>
    <n v="9337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72.5097559999999"/>
    <n v="280.13400000000001"/>
    <n v="26997.600852605763"/>
    <n v="3239.7121023126915"/>
    <n v="110"/>
    <n v="150"/>
    <n v="1E-3"/>
    <n v="93.378"/>
    <n v="18898.320596824033"/>
    <n v="19251.698596824033"/>
    <n v="3180.9641611183101"/>
    <n v="10584.540861082363"/>
    <n v="0.08"/>
    <n v="1200.5179327043079"/>
    <n v="0.12"/>
    <n v="2310.2038316188841"/>
    <n v="15"/>
    <n v="1"/>
  </r>
  <r>
    <n v="43"/>
    <d v="2022-12-31T00:00:00"/>
    <x v="2"/>
    <s v="CLI24"/>
    <s v="CLI24"/>
    <s v="MANAUS"/>
    <s v="AM"/>
    <s v="CLI1091"/>
    <s v="MARACANAU"/>
    <s v="CE"/>
    <n v="3026.293353"/>
    <n v="0"/>
    <n v="1441.5450940000001"/>
    <n v="7000"/>
    <n v="0"/>
    <x v="0"/>
    <x v="2"/>
    <s v="BRMAOTK01"/>
    <s v="BRMAOCHI"/>
    <n v="11.436796000000001"/>
    <n v="81.573999999999998"/>
    <n v="150"/>
    <n v="831.68488908543998"/>
    <n v="0"/>
    <n v="832"/>
    <n v="7"/>
    <n v="0"/>
    <n v="0"/>
    <n v="832"/>
    <m/>
    <m/>
    <n v="0"/>
    <x v="3"/>
    <s v="BRPECTK01"/>
    <s v="BRPECAPM"/>
    <n v="52.945568000000002"/>
    <n v="81.573999999999998"/>
    <n v="150"/>
    <n v="1446.7054206515202"/>
    <n v="260.4069757172736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230"/>
    <n v="16314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26.293353"/>
    <n v="489.44400000000002"/>
    <n v="21460.289108488883"/>
    <n v="2575.2346930186659"/>
    <n v="110"/>
    <n v="150"/>
    <n v="1E-3"/>
    <n v="163.148"/>
    <n v="15022.202375942217"/>
    <n v="15445.350375942216"/>
    <n v="3180.9641611183101"/>
    <n v="8090.9959050869456"/>
    <n v="0.08"/>
    <n v="1032.5242472390387"/>
    <n v="0.12"/>
    <n v="1853.4420451130659"/>
    <n v="15"/>
    <n v="1"/>
  </r>
  <r>
    <n v="44"/>
    <d v="2022-12-31T00:00:00"/>
    <x v="2"/>
    <s v="CLI24"/>
    <s v="CLI24"/>
    <s v="MANAUS"/>
    <s v="AM"/>
    <s v="CLI1091"/>
    <s v="MARACANAU"/>
    <s v="CE"/>
    <n v="3026.293353"/>
    <n v="0"/>
    <n v="1441.5450940000001"/>
    <n v="7000"/>
    <n v="0"/>
    <x v="0"/>
    <x v="2"/>
    <s v="BRMAOTK01"/>
    <s v="BRMAOCHI"/>
    <n v="11.436796000000001"/>
    <n v="37.585000000000001"/>
    <n v="150"/>
    <n v="787.69588908544006"/>
    <n v="0"/>
    <n v="832"/>
    <n v="7"/>
    <n v="0"/>
    <n v="0"/>
    <n v="832"/>
    <m/>
    <m/>
    <n v="0"/>
    <x v="3"/>
    <s v="BRPECTK01"/>
    <s v="BRPECAPM"/>
    <n v="52.945568000000002"/>
    <n v="37.585000000000001"/>
    <n v="150"/>
    <n v="1402.7164206515201"/>
    <n v="252.48895571727363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350"/>
    <n v="751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26.293353"/>
    <n v="225.51"/>
    <n v="21196.355108488882"/>
    <n v="2543.5626130186656"/>
    <n v="110"/>
    <n v="150"/>
    <n v="1E-3"/>
    <n v="75.17"/>
    <n v="14837.448575942217"/>
    <n v="15172.618575942217"/>
    <n v="3180.9641611183101"/>
    <n v="7906.2421050869452"/>
    <n v="0.08"/>
    <n v="1018.3773848390385"/>
    <n v="0.12"/>
    <n v="1820.714229113066"/>
    <n v="15"/>
    <n v="1"/>
  </r>
  <r>
    <n v="45"/>
    <d v="2022-12-31T00:00:00"/>
    <x v="2"/>
    <s v="CLI25"/>
    <s v="CLI25"/>
    <s v="CAMPINAS"/>
    <s v="SP"/>
    <s v="CLI875"/>
    <s v="MANAUS"/>
    <s v="AM"/>
    <n v="2599.0868537985457"/>
    <n v="2789.9946060000002"/>
    <n v="0"/>
    <n v="7000"/>
    <n v="0"/>
    <x v="0"/>
    <x v="0"/>
    <s v="BRSSZTK01"/>
    <s v="BRSSZTCO"/>
    <n v="176.124787"/>
    <n v="54.365000000000002"/>
    <n v="150"/>
    <n v="3244.5985640556801"/>
    <n v="584.02774153002235"/>
    <n v="640"/>
    <n v="7"/>
    <n v="0"/>
    <n v="0"/>
    <n v="640"/>
    <m/>
    <m/>
    <n v="0"/>
    <x v="0"/>
    <s v="BRMAOTK01"/>
    <s v="BRMAOCHI"/>
    <n v="11.436796000000001"/>
    <n v="54.365000000000002"/>
    <n v="150"/>
    <n v="804.47588908544003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953"/>
    <n v="10873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99.0868537985457"/>
    <n v="326.19"/>
    <n v="18395.892860671775"/>
    <n v="1287.7125002470243"/>
    <n v="110"/>
    <n v="150"/>
    <n v="1E-3"/>
    <n v="108.73"/>
    <n v="12877.125002470242"/>
    <n v="13245.855002470242"/>
    <n v="3180.9641611183101"/>
    <n v="4273.8163882108129"/>
    <n v="0.08"/>
    <n v="689.02022462392813"/>
    <n v="7.0000000000000007E-2"/>
    <n v="927.20985017291696"/>
    <n v="15"/>
    <n v="2"/>
  </r>
  <r>
    <n v="46"/>
    <d v="2022-12-31T00:00:00"/>
    <x v="2"/>
    <s v="CLI25"/>
    <s v="CLI25"/>
    <s v="CAMPINAS"/>
    <s v="SP"/>
    <s v="CLI875"/>
    <s v="MANAUS"/>
    <s v="AM"/>
    <n v="2599.0868537985457"/>
    <n v="2789.9946060000002"/>
    <n v="0"/>
    <n v="7000"/>
    <n v="0"/>
    <x v="0"/>
    <x v="0"/>
    <s v="BRSSZTK01"/>
    <s v="BRSSZTCO"/>
    <n v="176.124787"/>
    <n v="47.1875"/>
    <n v="150"/>
    <n v="3237.4210640556803"/>
    <n v="582.73579153002242"/>
    <n v="640"/>
    <n v="7"/>
    <n v="0"/>
    <n v="0"/>
    <n v="640"/>
    <m/>
    <m/>
    <n v="0"/>
    <x v="0"/>
    <s v="BRMAOTK01"/>
    <s v="BRMAOCHI"/>
    <n v="11.436796000000001"/>
    <n v="47.1875"/>
    <n v="150"/>
    <n v="797.29838908544002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086"/>
    <n v="9437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99.0868537985457"/>
    <n v="283.125"/>
    <n v="18352.827860671776"/>
    <n v="1284.6979502470244"/>
    <n v="110"/>
    <n v="150"/>
    <n v="1E-3"/>
    <n v="94.375"/>
    <n v="12846.979502470242"/>
    <n v="13201.354502470242"/>
    <n v="3180.9641611183101"/>
    <n v="4243.6708882108123"/>
    <n v="0.08"/>
    <n v="686.71194062392806"/>
    <n v="7.0000000000000007E-2"/>
    <n v="924.09481517291704"/>
    <n v="15"/>
    <n v="1"/>
  </r>
  <r>
    <n v="47"/>
    <d v="2022-12-31T00:00:00"/>
    <x v="2"/>
    <s v="CLI26"/>
    <s v="CLI26"/>
    <s v="BARUERI"/>
    <s v="SP"/>
    <s v="CLI61"/>
    <s v="CAMACARI"/>
    <s v="BA"/>
    <n v="1903.3825630000001"/>
    <n v="0"/>
    <n v="0"/>
    <n v="0"/>
    <n v="0"/>
    <x v="0"/>
    <x v="0"/>
    <s v="BRSSZTK01"/>
    <s v="BRSSZTCO"/>
    <n v="108.985372"/>
    <n v="27.8445"/>
    <n v="150"/>
    <n v="2223.2975221900801"/>
    <n v="400.19355399421443"/>
    <n v="640"/>
    <n v="7"/>
    <n v="0"/>
    <n v="0"/>
    <n v="640"/>
    <m/>
    <m/>
    <n v="0"/>
    <x v="5"/>
    <s v="BRSSATK01"/>
    <s v="BRSSATCO"/>
    <n v="43.370353000000001"/>
    <n v="27.8445"/>
    <n v="150"/>
    <n v="1251.1034070739199"/>
    <n v="225.19861327330557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443"/>
    <n v="5568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903.3825630000001"/>
    <n v="167.06700000000001"/>
    <n v="13512.269850030483"/>
    <n v="945.85888950213393"/>
    <n v="110"/>
    <n v="150"/>
    <n v="1E-3"/>
    <n v="55.689"/>
    <n v="9458.5888950213375"/>
    <n v="9774.2778950213378"/>
    <n v="3180.9641611183101"/>
    <n v="1504.9128046390283"/>
    <n v="0.08"/>
    <n v="453.95878387918549"/>
    <n v="7.0000000000000007E-2"/>
    <n v="684.19945265149374"/>
    <n v="15"/>
    <n v="1"/>
  </r>
  <r>
    <n v="48"/>
    <d v="2022-12-31T00:00:00"/>
    <x v="2"/>
    <s v="CLI27"/>
    <s v="CLI27"/>
    <s v="SUMARE"/>
    <s v="SP"/>
    <s v="CLI61"/>
    <s v="CAMACARI"/>
    <s v="BA"/>
    <n v="1866.2076689999999"/>
    <n v="0"/>
    <n v="0"/>
    <n v="0"/>
    <n v="0"/>
    <x v="0"/>
    <x v="0"/>
    <s v="BRSSZTK01"/>
    <s v="BRSSZTCO"/>
    <n v="197.46013600000001"/>
    <n v="35.491500000000002"/>
    <n v="150"/>
    <n v="3541.8432494630401"/>
    <n v="637.53178490334722"/>
    <n v="640"/>
    <n v="7"/>
    <n v="0"/>
    <n v="0"/>
    <n v="640"/>
    <m/>
    <m/>
    <n v="0"/>
    <x v="5"/>
    <s v="BRSSATK01"/>
    <s v="BRSSATCO"/>
    <n v="43.370353000000001"/>
    <n v="35.491500000000002"/>
    <n v="150"/>
    <n v="1258.7504070739201"/>
    <n v="226.57507327330561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504"/>
    <n v="7098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866.2076689999999"/>
    <n v="212.94900000000001"/>
    <n v="13305.698631872243"/>
    <n v="931.39890423105714"/>
    <n v="110"/>
    <n v="150"/>
    <n v="1E-3"/>
    <n v="70.983000000000004"/>
    <n v="9313.9890423105699"/>
    <n v="9644.97204231057"/>
    <n v="3180.9641611183101"/>
    <n v="49.414224655300586"/>
    <n v="0.08"/>
    <n v="318.42172220775666"/>
    <n v="7.0000000000000007E-2"/>
    <n v="675.14804296173997"/>
    <n v="15"/>
    <n v="1"/>
  </r>
  <r>
    <n v="49"/>
    <d v="2022-12-31T00:00:00"/>
    <x v="1"/>
    <s v="CLI32"/>
    <s v="CLI32"/>
    <s v="BARRA MANSA"/>
    <s v="RJ"/>
    <s v="CLI545"/>
    <s v="MANAUS"/>
    <s v="AM"/>
    <n v="2748.8236929996983"/>
    <n v="2995.5885669999998"/>
    <n v="0"/>
    <n v="7000"/>
    <n v="0"/>
    <x v="0"/>
    <x v="4"/>
    <s v="BRIGITK01S"/>
    <s v="BRIGITCO"/>
    <n v="96.040109999999999"/>
    <n v="87.19"/>
    <n v="150"/>
    <n v="2090.8377354303998"/>
    <n v="418.16754708607999"/>
    <n v="704"/>
    <n v="7"/>
    <n v="0"/>
    <n v="0"/>
    <n v="704"/>
    <m/>
    <m/>
    <n v="0"/>
    <x v="0"/>
    <s v="BRMAOTK01"/>
    <s v="BRMAOCHI"/>
    <n v="11.436796000000001"/>
    <n v="87.19"/>
    <n v="150"/>
    <n v="837.30088908544008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467"/>
    <n v="174380"/>
    <x v="1"/>
    <x v="1"/>
    <x v="1"/>
    <x v="1"/>
    <x v="8"/>
    <x v="1"/>
    <n v="5"/>
    <n v="5"/>
    <n v="6"/>
    <n v="6"/>
    <n v="6"/>
    <n v="5"/>
    <n v="6"/>
    <n v="64"/>
    <n v="7"/>
    <n v="180"/>
    <n v="7"/>
    <n v="180"/>
    <n v="2748.8236929996983"/>
    <n v="523.14"/>
    <n v="19609.699746213231"/>
    <n v="1372.6789822349263"/>
    <n v="110"/>
    <n v="150"/>
    <n v="1E-3"/>
    <n v="174.38"/>
    <n v="12263.203407547982"/>
    <n v="12697.583407547982"/>
    <n v="3180.9641611183101"/>
    <n v="6853.3183573442311"/>
    <n v="0.08"/>
    <n v="748.10217887568513"/>
    <n v="7.0000000000000007E-2"/>
    <n v="888.83083852835875"/>
    <n v="15"/>
    <n v="6"/>
  </r>
  <r>
    <n v="50"/>
    <d v="2022-12-31T00:00:00"/>
    <x v="2"/>
    <s v="CLI32"/>
    <s v="CLI32"/>
    <s v="BARRA MANSA"/>
    <s v="RJ"/>
    <s v="CLI545"/>
    <s v="MANAUS"/>
    <s v="AM"/>
    <n v="2748.8236929996983"/>
    <n v="2995.5885669999998"/>
    <n v="0"/>
    <n v="7000"/>
    <n v="0"/>
    <x v="0"/>
    <x v="4"/>
    <s v="BRIGITK01"/>
    <s v="BRIGITCO"/>
    <n v="96.040109999999999"/>
    <n v="107.8535"/>
    <n v="150"/>
    <n v="2111.5012354303999"/>
    <n v="422.30024708607999"/>
    <n v="704"/>
    <n v="7"/>
    <n v="0"/>
    <n v="0"/>
    <n v="704"/>
    <m/>
    <m/>
    <n v="0"/>
    <x v="0"/>
    <s v="BRMAOTK01"/>
    <s v="BRMAOCHI"/>
    <n v="11.436796000000001"/>
    <n v="107.8535"/>
    <n v="150"/>
    <n v="857.96438908543996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011"/>
    <n v="215707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2748.8236929996983"/>
    <n v="647.12099999999998"/>
    <n v="19733.680746213231"/>
    <n v="1381.3576522349263"/>
    <n v="110"/>
    <n v="150"/>
    <n v="1E-3"/>
    <n v="215.70699999999999"/>
    <n v="13813.576522349262"/>
    <n v="14289.283522349262"/>
    <n v="3180.9641611183101"/>
    <n v="6312.8537367151112"/>
    <n v="0.08"/>
    <n v="871.80141205978737"/>
    <n v="7.0000000000000007E-2"/>
    <n v="1000.2498465644485"/>
    <n v="15"/>
    <n v="5"/>
  </r>
  <r>
    <n v="51"/>
    <d v="2022-12-31T00:00:00"/>
    <x v="2"/>
    <s v="CLI32"/>
    <s v="CLI32"/>
    <s v="BARRA MANSA"/>
    <s v="RJ"/>
    <s v="CLI543"/>
    <s v="JABOATAO DOS GUARARAPES"/>
    <s v="PE"/>
    <n v="2288.2457919999997"/>
    <n v="0"/>
    <n v="0"/>
    <n v="0"/>
    <n v="0"/>
    <x v="0"/>
    <x v="4"/>
    <s v="BRIGITK01"/>
    <s v="BRIGITCO"/>
    <n v="96.040109999999999"/>
    <n v="55.987000000000002"/>
    <n v="150"/>
    <n v="2059.6347354303998"/>
    <n v="411.92694708607996"/>
    <n v="704"/>
    <n v="7"/>
    <n v="0"/>
    <n v="0"/>
    <n v="704"/>
    <m/>
    <m/>
    <n v="0"/>
    <x v="2"/>
    <s v="BRSUATK01"/>
    <s v="BRSUATCO"/>
    <n v="43.495365"/>
    <n v="55.987000000000002"/>
    <n v="150"/>
    <n v="1281.0981648736001"/>
    <n v="230.59766967724801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904"/>
    <n v="111974"/>
    <x v="1"/>
    <x v="5"/>
    <x v="5"/>
    <x v="5"/>
    <x v="5"/>
    <x v="0"/>
    <n v="4"/>
    <n v="4"/>
    <n v="4"/>
    <n v="4"/>
    <n v="4"/>
    <n v="4"/>
    <n v="4"/>
    <n v="46"/>
    <n v="7"/>
    <n v="180"/>
    <n v="7"/>
    <n v="180"/>
    <n v="2288.2457919999997"/>
    <n v="335.92200000000003"/>
    <n v="16294.715643640322"/>
    <n v="1140.6300950548227"/>
    <n v="110"/>
    <n v="150"/>
    <n v="1E-3"/>
    <n v="111.974"/>
    <n v="11406.300950548224"/>
    <n v="11778.274950548224"/>
    <n v="3180.9641611183101"/>
    <n v="2918.5778891259147"/>
    <n v="0.08"/>
    <n v="623.60139467847182"/>
    <n v="7.0000000000000007E-2"/>
    <n v="824.47924653837583"/>
    <n v="15"/>
    <n v="4"/>
  </r>
  <r>
    <n v="52"/>
    <d v="2022-12-31T00:00:00"/>
    <x v="1"/>
    <s v="CLI32"/>
    <s v="CLI32"/>
    <s v="BARRA MANSA"/>
    <s v="RJ"/>
    <s v="CLI543"/>
    <s v="JABOATAO DOS GUARARAPES"/>
    <s v="PE"/>
    <n v="2288.2457919999997"/>
    <n v="0"/>
    <n v="0"/>
    <n v="0"/>
    <n v="0"/>
    <x v="0"/>
    <x v="4"/>
    <s v="BRIGITK01S"/>
    <s v="BRIGITCO"/>
    <n v="96.040109999999999"/>
    <n v="30.305500000000002"/>
    <n v="150"/>
    <n v="2033.9532354303997"/>
    <n v="406.79064708607996"/>
    <n v="704"/>
    <n v="7"/>
    <n v="0"/>
    <n v="0"/>
    <n v="704"/>
    <m/>
    <m/>
    <n v="0"/>
    <x v="2"/>
    <s v="BRSUATK01"/>
    <s v="BRSUATCO"/>
    <n v="43.495365"/>
    <n v="30.305500000000002"/>
    <n v="150"/>
    <n v="1255.4166648736"/>
    <n v="225.97499967724798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886"/>
    <n v="60611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288.2457919999997"/>
    <n v="181.833"/>
    <n v="16140.626643640322"/>
    <n v="1129.8438650548226"/>
    <n v="110"/>
    <n v="150"/>
    <n v="1E-3"/>
    <n v="60.611000000000004"/>
    <n v="9874.6713857469458"/>
    <n v="10195.282385746947"/>
    <n v="3180.9641611183101"/>
    <n v="3420.9015597550356"/>
    <n v="0.08"/>
    <n v="501.85174709436956"/>
    <n v="7.0000000000000007E-2"/>
    <n v="713.66976700228633"/>
    <n v="15"/>
    <n v="3"/>
  </r>
  <r>
    <n v="53"/>
    <d v="2022-12-31T00:00:00"/>
    <x v="2"/>
    <s v="CLI32"/>
    <s v="CLI32"/>
    <s v="BARRA MANSA"/>
    <s v="RJ"/>
    <s v="CLI546"/>
    <s v="MARACANAU"/>
    <s v="CE"/>
    <n v="2566.9405389999997"/>
    <n v="0"/>
    <n v="0"/>
    <n v="0"/>
    <n v="0"/>
    <x v="0"/>
    <x v="4"/>
    <s v="BRIGITK01"/>
    <s v="BRIGITCO"/>
    <n v="96.040109999999999"/>
    <n v="109.825"/>
    <n v="150"/>
    <n v="2113.4727354303996"/>
    <n v="422.69454708607992"/>
    <n v="704"/>
    <n v="7"/>
    <n v="0"/>
    <n v="0"/>
    <n v="704"/>
    <m/>
    <m/>
    <n v="0"/>
    <x v="3"/>
    <s v="BRPECTK01"/>
    <s v="BRPECAPM"/>
    <n v="52.945568000000002"/>
    <n v="109.825"/>
    <n v="150"/>
    <n v="1474.9564206515201"/>
    <n v="265.49215571727359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780"/>
    <n v="21965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66.9405389999997"/>
    <n v="658.95"/>
    <n v="18510.348522727443"/>
    <n v="1295.7243965909211"/>
    <n v="110"/>
    <n v="150"/>
    <n v="1E-3"/>
    <n v="219.65"/>
    <n v="12957.243965909209"/>
    <n v="13436.893965909208"/>
    <n v="3180.9641611183101"/>
    <n v="4905.5006487089777"/>
    <n v="0.08"/>
    <n v="732.82224856191488"/>
    <n v="7.0000000000000007E-2"/>
    <n v="940.58257761364473"/>
    <n v="15"/>
    <n v="2"/>
  </r>
  <r>
    <n v="54"/>
    <d v="2022-12-31T00:00:00"/>
    <x v="1"/>
    <s v="CLI32"/>
    <s v="CLI32"/>
    <s v="BARRA MANSA"/>
    <s v="RJ"/>
    <s v="CLI546"/>
    <s v="MARACANAU"/>
    <s v="CE"/>
    <n v="2566.9405389999997"/>
    <n v="0"/>
    <n v="0"/>
    <n v="0"/>
    <n v="0"/>
    <x v="0"/>
    <x v="4"/>
    <s v="BRIGITK01S"/>
    <s v="BRIGITCO"/>
    <n v="96.040109999999999"/>
    <n v="27.271000000000001"/>
    <n v="150"/>
    <n v="2030.9187354303997"/>
    <n v="406.18374708607996"/>
    <n v="704"/>
    <n v="7"/>
    <n v="0"/>
    <n v="0"/>
    <n v="704"/>
    <m/>
    <m/>
    <n v="0"/>
    <x v="3"/>
    <s v="BRPECTK01"/>
    <s v="BRPECAPM"/>
    <n v="52.945568000000002"/>
    <n v="27.271000000000001"/>
    <n v="150"/>
    <n v="1392.4024206515201"/>
    <n v="250.63243571727361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743"/>
    <n v="54542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566.9405389999997"/>
    <n v="163.626"/>
    <n v="18015.024522727443"/>
    <n v="1261.0517165909212"/>
    <n v="110"/>
    <n v="150"/>
    <n v="1E-3"/>
    <n v="54.542000000000002"/>
    <n v="11188.87405110793"/>
    <n v="11503.41605110793"/>
    <n v="3180.9641611183101"/>
    <n v="5168.0494693380988"/>
    <n v="0.08"/>
    <n v="593.86229697781255"/>
    <n v="7.0000000000000007E-2"/>
    <n v="805.23912357755512"/>
    <n v="15"/>
    <n v="2"/>
  </r>
  <r>
    <n v="55"/>
    <d v="2022-12-31T00:00:00"/>
    <x v="2"/>
    <s v="CLI34"/>
    <s v="CLI34"/>
    <s v="CAMPINAS"/>
    <s v="SP"/>
    <s v="CLI547"/>
    <s v="IPOJUCA"/>
    <s v="PE"/>
    <n v="2507.9562579999997"/>
    <n v="0"/>
    <n v="0"/>
    <n v="0"/>
    <n v="0"/>
    <x v="0"/>
    <x v="0"/>
    <s v="BRJNDTK01"/>
    <s v="BRSSZTCO"/>
    <n v="176.124787"/>
    <n v="94.072500000000005"/>
    <n v="150"/>
    <n v="3284.3060640556805"/>
    <n v="591.17509153002243"/>
    <n v="640"/>
    <n v="7"/>
    <n v="0"/>
    <n v="0"/>
    <n v="640"/>
    <m/>
    <m/>
    <n v="0"/>
    <x v="2"/>
    <s v="BRSUATK01"/>
    <s v="BRSUATCO"/>
    <n v="23.753726"/>
    <n v="94.072500000000005"/>
    <n v="150"/>
    <n v="1026.6789068006401"/>
    <n v="0"/>
    <n v="1344"/>
    <n v="7"/>
    <n v="0"/>
    <n v="0"/>
    <n v="1344"/>
    <s v="BRJNDDP01"/>
    <n v="110"/>
    <n v="40"/>
    <n v="0"/>
    <n v="0"/>
    <n v="0"/>
    <n v="110"/>
    <n v="26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RT01"/>
    <n v="42.263237000000004"/>
    <n v="94.072500000000005"/>
    <n v="150"/>
    <n v="1300.92766786368"/>
    <n v="234.16698021546239"/>
    <n v="900"/>
    <s v="RS01"/>
    <n v="0"/>
    <n v="1613.8215"/>
    <n v="0"/>
    <n v="290.48786999999999"/>
    <n v="224"/>
    <n v="4563.4040180791426"/>
    <m/>
    <n v="0"/>
    <n v="0"/>
    <n v="0"/>
    <n v="0"/>
    <n v="0"/>
    <n v="0"/>
    <m/>
    <n v="0"/>
    <n v="0"/>
    <n v="0"/>
    <n v="0"/>
    <n v="0"/>
    <n v="0"/>
    <s v="COMMODITY"/>
    <n v="25655"/>
    <n v="188145"/>
    <x v="1"/>
    <x v="5"/>
    <x v="6"/>
    <x v="5"/>
    <x v="5"/>
    <x v="6"/>
    <n v="4"/>
    <n v="4"/>
    <n v="4"/>
    <n v="4"/>
    <n v="4"/>
    <n v="4"/>
    <n v="4"/>
    <n v="48"/>
    <n v="7"/>
    <n v="180"/>
    <n v="7"/>
    <n v="180"/>
    <n v="2507.9562579999997"/>
    <n v="564.43500000000006"/>
    <n v="18015.273629827683"/>
    <n v="1261.0691540879379"/>
    <n v="110"/>
    <n v="150"/>
    <n v="1E-3"/>
    <n v="188.14500000000001"/>
    <n v="12610.691540879377"/>
    <n v="13058.836540879378"/>
    <n v="3180.9641611183101"/>
    <n v="-1240.5166091743963"/>
    <n v="0.08"/>
    <n v="287.46179683311129"/>
    <n v="7.0000000000000007E-2"/>
    <n v="914.1185578615565"/>
    <n v="15"/>
    <n v="4"/>
  </r>
  <r>
    <n v="56"/>
    <d v="2022-12-31T00:00:00"/>
    <x v="2"/>
    <s v="CLI34"/>
    <s v="CLI34"/>
    <s v="CAMPINAS"/>
    <s v="SP"/>
    <s v="CLI585"/>
    <s v="IPOJUCA"/>
    <s v="PE"/>
    <n v="2507.9562579999997"/>
    <n v="0"/>
    <n v="0"/>
    <n v="0"/>
    <n v="0"/>
    <x v="0"/>
    <x v="0"/>
    <s v="BRSSZTK01"/>
    <s v="BRSSZTCO"/>
    <n v="176.124787"/>
    <n v="46.033999999999999"/>
    <n v="150"/>
    <n v="3236.2675640556804"/>
    <n v="582.52816153002243"/>
    <n v="640"/>
    <n v="7"/>
    <n v="0"/>
    <n v="0"/>
    <n v="640"/>
    <m/>
    <m/>
    <n v="0"/>
    <x v="2"/>
    <s v="BRSUATK01"/>
    <s v="BRSUATCO"/>
    <n v="23.753726"/>
    <n v="46.033999999999999"/>
    <n v="150"/>
    <n v="978.64040680063999"/>
    <n v="0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568"/>
    <n v="9206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07.9562579999997"/>
    <n v="276.20400000000001"/>
    <n v="17727.042629827683"/>
    <n v="1240.892984087938"/>
    <n v="110"/>
    <n v="150"/>
    <n v="1E-3"/>
    <n v="92.067999999999998"/>
    <n v="12408.929840879378"/>
    <n v="12760.997840879378"/>
    <n v="3180.9641611183101"/>
    <n v="3111.1257089047472"/>
    <n v="0.08"/>
    <n v="637.08493667944276"/>
    <n v="7.0000000000000007E-2"/>
    <n v="893.26984886155651"/>
    <n v="15"/>
    <n v="1"/>
  </r>
  <r>
    <n v="57"/>
    <d v="2022-12-31T00:00:00"/>
    <x v="2"/>
    <s v="CLI38"/>
    <s v="CLI38"/>
    <s v="ESTANCIA"/>
    <s v="SE"/>
    <s v="CLI17"/>
    <s v="AQUIRAZ"/>
    <s v="CE"/>
    <n v="1033.243275"/>
    <n v="0"/>
    <n v="0"/>
    <n v="0"/>
    <n v="0"/>
    <x v="0"/>
    <x v="5"/>
    <s v="BRSSATK01"/>
    <s v="BRSSATCO"/>
    <n v="256.479536"/>
    <n v="108.39150000000001"/>
    <n v="150"/>
    <n v="4489.21245227904"/>
    <n v="538.70549427348476"/>
    <n v="704"/>
    <n v="7"/>
    <n v="0"/>
    <n v="0"/>
    <n v="704"/>
    <m/>
    <m/>
    <n v="0"/>
    <x v="3"/>
    <s v="BRPECTK01"/>
    <s v="BRPECAPM"/>
    <n v="71.623824999999997"/>
    <n v="108.39150000000001"/>
    <n v="150"/>
    <n v="1750.2719304479999"/>
    <n v="315.04894748063998"/>
    <n v="768"/>
    <n v="7"/>
    <n v="0"/>
    <n v="0"/>
    <n v="768"/>
    <s v="BRSSADP01"/>
    <n v="110"/>
    <n v="75"/>
    <n v="0"/>
    <n v="0"/>
    <n v="0"/>
    <n v="11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764"/>
    <n v="216783"/>
    <x v="1"/>
    <x v="4"/>
    <x v="3"/>
    <x v="3"/>
    <x v="4"/>
    <x v="4"/>
    <n v="8"/>
    <n v="8"/>
    <n v="9"/>
    <n v="9"/>
    <n v="9"/>
    <n v="8"/>
    <n v="9"/>
    <n v="98"/>
    <n v="7"/>
    <n v="180"/>
    <n v="7"/>
    <n v="180"/>
    <n v="1033.243275"/>
    <n v="650.34900000000005"/>
    <n v="8086.4707507940011"/>
    <n v="970.37649009528013"/>
    <n v="110"/>
    <n v="150"/>
    <n v="1E-3"/>
    <n v="216.78300000000002"/>
    <n v="5660.5295255558003"/>
    <n v="6137.3125255558007"/>
    <n v="3180.9641611183101"/>
    <n v="-5050.1360182895496"/>
    <n v="0.08"/>
    <n v="-76.474103914029129"/>
    <n v="0.12"/>
    <n v="736.47750306669604"/>
    <n v="15"/>
    <n v="9"/>
  </r>
  <r>
    <n v="58"/>
    <d v="2022-12-31T00:00:00"/>
    <x v="2"/>
    <s v="CLI41"/>
    <s v="CLI41"/>
    <s v="MANAUS"/>
    <s v="AM"/>
    <s v="CLI1265"/>
    <s v="SAO BERNARDO DO CAMPO"/>
    <s v="SP"/>
    <n v="3949.4356050000001"/>
    <n v="0"/>
    <n v="2897.2868149999999"/>
    <n v="7000"/>
    <n v="0"/>
    <x v="0"/>
    <x v="2"/>
    <s v="BRMAOTK01"/>
    <s v="BRMAOCHI"/>
    <n v="11.436796000000001"/>
    <n v="56.669499999999999"/>
    <n v="150"/>
    <n v="806.78038908543999"/>
    <n v="0"/>
    <n v="832"/>
    <n v="7"/>
    <n v="0"/>
    <n v="0"/>
    <n v="832"/>
    <m/>
    <m/>
    <n v="0"/>
    <x v="1"/>
    <s v="BRSSZTK01"/>
    <s v="BRSSZTCO"/>
    <n v="66.511209000000008"/>
    <n v="56.669499999999999"/>
    <n v="150"/>
    <n v="1622.79813971776"/>
    <n v="292.1036651491967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385"/>
    <n v="113339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3949.4356050000001"/>
    <n v="340.017"/>
    <n v="27579.884216130806"/>
    <n v="3309.5861059356967"/>
    <n v="75"/>
    <n v="150"/>
    <n v="1E-3"/>
    <n v="113.339"/>
    <n v="19305.918951291562"/>
    <n v="19644.257951291562"/>
    <n v="3180.9641611183101"/>
    <n v="12266.715261370049"/>
    <n v="0.08"/>
    <n v="1353.8060605871331"/>
    <n v="0.12"/>
    <n v="2357.3109541549875"/>
    <n v="15"/>
    <n v="1"/>
  </r>
  <r>
    <n v="59"/>
    <d v="2022-12-31T00:00:00"/>
    <x v="2"/>
    <s v="CLI41"/>
    <s v="CLI41"/>
    <s v="MANAUS"/>
    <s v="AM"/>
    <s v="CLI1265"/>
    <s v="SAO BERNARDO DO CAMPO"/>
    <s v="SP"/>
    <n v="3949.4356050000001"/>
    <n v="0"/>
    <n v="2897.2868149999999"/>
    <n v="7000"/>
    <n v="0"/>
    <x v="0"/>
    <x v="2"/>
    <s v="BRMAOTK01"/>
    <s v="BRMAOCHI"/>
    <n v="11.436796000000001"/>
    <n v="87.183999999999997"/>
    <n v="150"/>
    <n v="837.29488908543999"/>
    <n v="0"/>
    <n v="832"/>
    <n v="7"/>
    <n v="0"/>
    <n v="0"/>
    <n v="832"/>
    <m/>
    <m/>
    <n v="0"/>
    <x v="1"/>
    <s v="BRSSZTK01"/>
    <s v="BRSSZTCO"/>
    <n v="66.511209000000008"/>
    <n v="87.183999999999997"/>
    <n v="150"/>
    <n v="1653.31263971776"/>
    <n v="297.596275149196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464"/>
    <n v="174368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49.4356050000001"/>
    <n v="523.10400000000004"/>
    <n v="27762.971216130805"/>
    <n v="3331.5565459356967"/>
    <n v="110"/>
    <n v="150"/>
    <n v="1E-3"/>
    <n v="174.36799999999999"/>
    <n v="19434.079851291561"/>
    <n v="19868.447851291559"/>
    <n v="3180.9641611183101"/>
    <n v="12429.876161370052"/>
    <n v="0.08"/>
    <n v="1366.4195237871334"/>
    <n v="0.12"/>
    <n v="2384.2137421549869"/>
    <n v="15"/>
    <n v="2"/>
  </r>
  <r>
    <n v="60"/>
    <d v="2022-12-31T00:00:00"/>
    <x v="2"/>
    <s v="CLI41"/>
    <s v="CLI41"/>
    <s v="MANAUS"/>
    <s v="AM"/>
    <s v="CLI1264"/>
    <s v="DIADEMA"/>
    <s v="SP"/>
    <n v="3943.754328"/>
    <n v="0"/>
    <n v="2891.7324800000001"/>
    <n v="7000"/>
    <n v="0"/>
    <x v="0"/>
    <x v="2"/>
    <s v="BRMAOTK01"/>
    <s v="BRMAOCHI"/>
    <n v="11.436796000000001"/>
    <n v="54.243500000000004"/>
    <n v="150"/>
    <n v="804.35438908544006"/>
    <n v="0"/>
    <n v="832"/>
    <n v="7"/>
    <n v="0"/>
    <n v="0"/>
    <n v="832"/>
    <m/>
    <m/>
    <n v="0"/>
    <x v="1"/>
    <s v="BRSSZTK01"/>
    <s v="BRSSZTCO"/>
    <n v="72.836216000000007"/>
    <n v="54.243500000000004"/>
    <n v="150"/>
    <n v="1714.0874914342401"/>
    <n v="308.535748458163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051"/>
    <n v="108487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43.754328"/>
    <n v="325.46100000000001"/>
    <n v="27526.746891274881"/>
    <n v="3303.2096269529857"/>
    <n v="110"/>
    <n v="150"/>
    <n v="1E-3"/>
    <n v="108.48700000000001"/>
    <n v="19268.722823892414"/>
    <n v="19637.209823892415"/>
    <n v="3180.9641611183101"/>
    <n v="12170.803782254425"/>
    <n v="0.08"/>
    <n v="1344.8185755931659"/>
    <n v="0.12"/>
    <n v="2356.4651788670899"/>
    <n v="15"/>
    <n v="2"/>
  </r>
  <r>
    <n v="61"/>
    <d v="2022-12-31T00:00:00"/>
    <x v="2"/>
    <s v="CLI41"/>
    <s v="CLI41"/>
    <s v="MANAUS"/>
    <s v="AM"/>
    <s v="CLI929"/>
    <s v="DIADEMA"/>
    <s v="SP"/>
    <n v="3943.754328"/>
    <n v="0"/>
    <n v="2891.7324800000001"/>
    <n v="7000"/>
    <n v="0"/>
    <x v="0"/>
    <x v="2"/>
    <s v="BRMAOTK01"/>
    <s v="BRMAOCHI"/>
    <n v="11.436796000000001"/>
    <n v="71.424000000000007"/>
    <n v="150"/>
    <n v="821.53488908544"/>
    <n v="0"/>
    <n v="832"/>
    <n v="7"/>
    <n v="0"/>
    <n v="0"/>
    <n v="832"/>
    <m/>
    <m/>
    <n v="0"/>
    <x v="1"/>
    <s v="BRSSZTK01"/>
    <s v="BRSSZTCO"/>
    <n v="72.836216000000007"/>
    <n v="71.424000000000007"/>
    <n v="150"/>
    <n v="1731.26799143424"/>
    <n v="311.628238458163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470"/>
    <n v="14284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43.754328"/>
    <n v="428.54399999999998"/>
    <n v="27629.829891274883"/>
    <n v="3315.5795869529857"/>
    <n v="110"/>
    <n v="150"/>
    <n v="1E-3"/>
    <n v="142.84800000000001"/>
    <n v="19340.880923892419"/>
    <n v="19743.72892389242"/>
    <n v="3180.9641611183101"/>
    <n v="12242.961882254429"/>
    <n v="0.08"/>
    <n v="1350.343824393166"/>
    <n v="0.12"/>
    <n v="2369.2474708670902"/>
    <n v="15"/>
    <n v="1"/>
  </r>
  <r>
    <n v="62"/>
    <d v="2022-12-31T00:00:00"/>
    <x v="2"/>
    <s v="CLI41"/>
    <s v="CLI41"/>
    <s v="MANAUS"/>
    <s v="AM"/>
    <s v="CLI1177"/>
    <s v="SAO PAULO"/>
    <s v="SP"/>
    <n v="3929.9226880000001"/>
    <n v="0"/>
    <n v="2877.9279630000001"/>
    <n v="7000"/>
    <n v="0"/>
    <x v="0"/>
    <x v="2"/>
    <s v="BRMAOTK01"/>
    <s v="BRMAOCHI"/>
    <n v="11.436796000000001"/>
    <n v="103.205"/>
    <n v="150"/>
    <n v="853.31588908544006"/>
    <n v="0"/>
    <n v="832"/>
    <n v="7"/>
    <n v="0"/>
    <n v="0"/>
    <n v="832"/>
    <m/>
    <m/>
    <n v="0"/>
    <x v="1"/>
    <s v="BRSSZTK01"/>
    <s v="BRSSZTCO"/>
    <n v="85.841132000000002"/>
    <n v="103.205"/>
    <n v="150"/>
    <n v="1955.73815003648"/>
    <n v="352.0328670065663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149"/>
    <n v="20641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29.9226880000001"/>
    <n v="619.23"/>
    <n v="27726.585777300483"/>
    <n v="3327.1902932760577"/>
    <n v="110"/>
    <n v="150"/>
    <n v="1E-3"/>
    <n v="206.41"/>
    <n v="19408.610044110337"/>
    <n v="19875.020044110337"/>
    <n v="3180.9641611183101"/>
    <n v="12118.001843870108"/>
    <n v="0.08"/>
    <n v="1337.1146510385483"/>
    <n v="0.12"/>
    <n v="2385.0024052932404"/>
    <n v="15"/>
    <n v="1"/>
  </r>
  <r>
    <n v="63"/>
    <d v="2022-12-31T00:00:00"/>
    <x v="2"/>
    <s v="CLI41"/>
    <s v="CLI41"/>
    <s v="MANAUS"/>
    <s v="AM"/>
    <s v="CLI1167"/>
    <s v="DIADEMA"/>
    <s v="SP"/>
    <n v="3943.754328"/>
    <n v="0"/>
    <n v="2891.7324800000001"/>
    <n v="7000"/>
    <n v="0"/>
    <x v="0"/>
    <x v="2"/>
    <s v="BRMAOTK01"/>
    <s v="BRMAOCHI"/>
    <n v="11.436796000000001"/>
    <n v="84.099500000000006"/>
    <n v="150"/>
    <n v="834.21038908544006"/>
    <n v="0"/>
    <n v="832"/>
    <n v="7"/>
    <n v="0"/>
    <n v="0"/>
    <n v="832"/>
    <m/>
    <m/>
    <n v="0"/>
    <x v="1"/>
    <s v="BRSSZTK01"/>
    <s v="BRSSZTCO"/>
    <n v="72.836216000000007"/>
    <n v="84.099500000000006"/>
    <n v="150"/>
    <n v="1743.9434914342401"/>
    <n v="313.9098284581631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003"/>
    <n v="16819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43.754328"/>
    <n v="504.59700000000004"/>
    <n v="27705.882891274883"/>
    <n v="3324.7059469529859"/>
    <n v="110"/>
    <n v="150"/>
    <n v="1E-3"/>
    <n v="168.19900000000001"/>
    <n v="19394.118023892417"/>
    <n v="19822.317023892418"/>
    <n v="3180.9641611183101"/>
    <n v="12296.198982254427"/>
    <n v="0.08"/>
    <n v="1354.420265193166"/>
    <n v="0.12"/>
    <n v="2378.67804286709"/>
    <n v="15"/>
    <n v="1"/>
  </r>
  <r>
    <n v="64"/>
    <d v="2022-12-31T00:00:00"/>
    <x v="2"/>
    <s v="CLI42"/>
    <s v="CLI42"/>
    <s v="VINHEDO"/>
    <s v="SP"/>
    <s v="CLI576"/>
    <s v="JABOATAO DOS GUARARAPES"/>
    <s v="PE"/>
    <n v="2562.3603319999997"/>
    <n v="0"/>
    <n v="0"/>
    <n v="0"/>
    <n v="0"/>
    <x v="0"/>
    <x v="0"/>
    <s v="BRSSZTK01"/>
    <s v="BRSSZTCO"/>
    <n v="159.85296299999999"/>
    <n v="31.682000000000002"/>
    <n v="150"/>
    <n v="2980.82180570432"/>
    <n v="536.54792502677753"/>
    <n v="640"/>
    <n v="7"/>
    <n v="0"/>
    <n v="0"/>
    <n v="640"/>
    <m/>
    <m/>
    <n v="0"/>
    <x v="2"/>
    <s v="BRSUATK01"/>
    <s v="BRSUATCO"/>
    <n v="43.495365"/>
    <n v="31.682000000000002"/>
    <n v="150"/>
    <n v="1256.7931648736001"/>
    <n v="226.2227696772480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35"/>
    <n v="63364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562.3603319999997"/>
    <n v="190.09200000000001"/>
    <n v="18010.386520198721"/>
    <n v="1260.7270564139105"/>
    <n v="110"/>
    <n v="150"/>
    <n v="1E-3"/>
    <n v="63.364000000000004"/>
    <n v="12607.270564139104"/>
    <n v="12930.634564139104"/>
    <n v="3180.9641611183101"/>
    <n v="3258.0554324428745"/>
    <n v="0.08"/>
    <n v="634.41991190857266"/>
    <n v="7.0000000000000007E-2"/>
    <n v="905.14441948973729"/>
    <n v="15"/>
    <n v="3"/>
  </r>
  <r>
    <n v="65"/>
    <d v="2022-12-31T00:00:00"/>
    <x v="2"/>
    <s v="CLI43"/>
    <s v="CLI43"/>
    <s v="SAO BERNARDO DO CAMPO"/>
    <s v="SP"/>
    <s v="CLI583"/>
    <s v="CABO DE SANTO AGOSTINHO"/>
    <s v="PE"/>
    <n v="2573.6042259999999"/>
    <n v="0"/>
    <n v="0"/>
    <n v="0"/>
    <n v="0"/>
    <x v="0"/>
    <x v="0"/>
    <s v="BRSSZTK01"/>
    <s v="BRSSZTCO"/>
    <n v="66.511209000000008"/>
    <n v="58.514499999999998"/>
    <n v="150"/>
    <n v="1624.6431397177601"/>
    <n v="292.43576514919681"/>
    <n v="640"/>
    <n v="7"/>
    <n v="0"/>
    <n v="0"/>
    <n v="640"/>
    <m/>
    <m/>
    <n v="0"/>
    <x v="2"/>
    <s v="BRSUATK01"/>
    <s v="BRSUATCO"/>
    <n v="23.080721"/>
    <n v="58.514499999999998"/>
    <n v="150"/>
    <n v="981.14923399744009"/>
    <n v="176.6068621195392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806"/>
    <n v="117029"/>
    <x v="1"/>
    <x v="1"/>
    <x v="1"/>
    <x v="1"/>
    <x v="8"/>
    <x v="1"/>
    <n v="5"/>
    <n v="5"/>
    <n v="6"/>
    <n v="6"/>
    <n v="6"/>
    <n v="5"/>
    <n v="6"/>
    <n v="64"/>
    <n v="7"/>
    <n v="180"/>
    <n v="7"/>
    <n v="180"/>
    <n v="2573.6042259999999"/>
    <n v="351.08699999999999"/>
    <n v="18247.738354596961"/>
    <n v="1277.3416848217873"/>
    <n v="110"/>
    <n v="150"/>
    <n v="1E-3"/>
    <n v="117.029"/>
    <n v="12773.416848217872"/>
    <n v="13150.445848217872"/>
    <n v="3180.9641611183101"/>
    <n v="5109.6893133843623"/>
    <n v="0.08"/>
    <n v="806.04886777871491"/>
    <n v="7.0000000000000007E-2"/>
    <n v="920.53120937525114"/>
    <n v="15"/>
    <n v="6"/>
  </r>
  <r>
    <n v="66"/>
    <d v="2022-12-31T00:00:00"/>
    <x v="0"/>
    <s v="CLI44"/>
    <s v="CLI44"/>
    <s v="CUBATAO"/>
    <s v="SP"/>
    <s v="CLI1304"/>
    <s v="CAUCAIA"/>
    <s v="CE"/>
    <n v="2856.0981889999998"/>
    <n v="0"/>
    <n v="0"/>
    <n v="0"/>
    <n v="0"/>
    <x v="0"/>
    <x v="0"/>
    <s v="BRSSZTK01S"/>
    <s v="BRSSZTCO"/>
    <n v="28.273662000000002"/>
    <n v="36.438000000000002"/>
    <n v="150"/>
    <n v="1036.0146713356801"/>
    <n v="186.48264084042242"/>
    <n v="640"/>
    <n v="7"/>
    <n v="0"/>
    <n v="0"/>
    <n v="640"/>
    <m/>
    <m/>
    <n v="0"/>
    <x v="3"/>
    <s v="BRPECTK01S"/>
    <s v="BRPECAPM"/>
    <n v="34.109209"/>
    <n v="36.438000000000002"/>
    <n v="150"/>
    <n v="1122.47787043776"/>
    <n v="202.04601667879678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639"/>
    <n v="72876"/>
    <x v="0"/>
    <x v="0"/>
    <x v="5"/>
    <x v="4"/>
    <x v="0"/>
    <x v="0"/>
    <n v="3"/>
    <n v="3"/>
    <n v="4"/>
    <n v="4"/>
    <n v="3"/>
    <n v="3"/>
    <n v="3"/>
    <n v="38"/>
    <n v="7"/>
    <n v="110"/>
    <n v="7"/>
    <n v="110"/>
    <n v="2856.0981889999998"/>
    <n v="218.62800000000001"/>
    <n v="20033.68455757144"/>
    <n v="1402.3579190300009"/>
    <n v="75"/>
    <n v="150"/>
    <n v="1E-3"/>
    <n v="72.876000000000005"/>
    <n v="12512.634411058598"/>
    <n v="12810.510411058598"/>
    <n v="3180.9641611183101"/>
    <n v="7951.5462499402875"/>
    <n v="0.08"/>
    <n v="821.07913694127512"/>
    <n v="7.0000000000000007E-2"/>
    <n v="896.73572877410197"/>
    <n v="15"/>
    <n v="4"/>
  </r>
  <r>
    <n v="67"/>
    <d v="2022-12-31T00:00:00"/>
    <x v="2"/>
    <s v="CLI45"/>
    <s v="CLI45"/>
    <s v="JABOATAO DOS GUARARAPES"/>
    <s v="PE"/>
    <s v="CLI588"/>
    <s v="SAO BERNARDO DO CAMPO"/>
    <s v="SP"/>
    <n v="2594.3975419999997"/>
    <n v="0"/>
    <n v="0"/>
    <n v="0"/>
    <n v="0"/>
    <x v="0"/>
    <x v="3"/>
    <s v="BRSUATK01"/>
    <s v="BRSUATCO"/>
    <n v="43.495365"/>
    <n v="97.717500000000001"/>
    <n v="150"/>
    <n v="1322.8286648736"/>
    <n v="238.10915967724799"/>
    <n v="1344"/>
    <n v="7"/>
    <n v="0"/>
    <n v="0"/>
    <n v="1344"/>
    <m/>
    <m/>
    <n v="0"/>
    <x v="1"/>
    <s v="BRSSZTK01"/>
    <s v="BRSSZTCO"/>
    <n v="66.511209000000008"/>
    <n v="97.717500000000001"/>
    <n v="150"/>
    <n v="1663.84613971776"/>
    <n v="299.4923051491968"/>
    <n v="640"/>
    <n v="7"/>
    <n v="0"/>
    <n v="0"/>
    <n v="640"/>
    <s v="BRSUADP01"/>
    <n v="95"/>
    <n v="70"/>
    <n v="0"/>
    <n v="0"/>
    <n v="0"/>
    <n v="95"/>
    <n v="26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490"/>
    <n v="19543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94.3975419999997"/>
    <n v="586.30500000000006"/>
    <n v="18624.162931820319"/>
    <n v="2234.8995518184383"/>
    <n v="110"/>
    <n v="150"/>
    <n v="1E-3"/>
    <n v="195.435"/>
    <n v="13036.914052274224"/>
    <n v="13492.349052274223"/>
    <n v="3180.9641611183101"/>
    <n v="5080.7100865645534"/>
    <n v="0.08"/>
    <n v="797.44582262851361"/>
    <n v="0.12"/>
    <n v="1619.0818862729068"/>
    <n v="15"/>
    <n v="1"/>
  </r>
  <r>
    <n v="68"/>
    <d v="2022-12-31T00:00:00"/>
    <x v="2"/>
    <s v="CLI46"/>
    <s v="CLI46"/>
    <s v="SIMOES FILHO"/>
    <s v="BA"/>
    <s v="CLI1007"/>
    <s v="MANAUS"/>
    <s v="AM"/>
    <n v="2610.3853225311195"/>
    <n v="2050.9635060000001"/>
    <n v="0"/>
    <n v="7000"/>
    <n v="0"/>
    <x v="0"/>
    <x v="5"/>
    <s v="BRSSATK01"/>
    <s v="BRSSATCO"/>
    <n v="26.551053"/>
    <n v="49.3735"/>
    <n v="150"/>
    <n v="1023.4268939219201"/>
    <n v="184.21684090594562"/>
    <n v="704"/>
    <n v="7"/>
    <n v="0"/>
    <n v="0"/>
    <n v="704"/>
    <m/>
    <m/>
    <n v="0"/>
    <x v="0"/>
    <s v="BRMAOTK01"/>
    <s v="BRMAOCHI"/>
    <n v="11.436796000000001"/>
    <n v="49.3735"/>
    <n v="150"/>
    <n v="799.48438908544006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915"/>
    <n v="98747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610.3853225311195"/>
    <n v="296.24099999999999"/>
    <n v="18442.67130989593"/>
    <n v="2213.1205571875116"/>
    <n v="110"/>
    <n v="150"/>
    <n v="1E-3"/>
    <n v="98.747"/>
    <n v="12909.869916927149"/>
    <n v="13268.616916927149"/>
    <n v="3180.9641611183101"/>
    <n v="6433.7414728014774"/>
    <n v="0.08"/>
    <n v="900.9191034411075"/>
    <n v="0.12"/>
    <n v="1592.2340300312578"/>
    <n v="15"/>
    <n v="2"/>
  </r>
  <r>
    <n v="69"/>
    <d v="2022-12-31T00:00:00"/>
    <x v="1"/>
    <s v="CLI47"/>
    <s v="CLI47"/>
    <s v="FEIRA DE SANTANA"/>
    <s v="BA"/>
    <s v="CLI545"/>
    <s v="MANAUS"/>
    <s v="AM"/>
    <n v="2532.3139994572889"/>
    <n v="1962.873523"/>
    <n v="0"/>
    <n v="7000"/>
    <n v="0"/>
    <x v="0"/>
    <x v="5"/>
    <s v="BRSSATK01S"/>
    <s v="BRSSATCO"/>
    <n v="112.075299"/>
    <n v="81.333500000000001"/>
    <n v="150"/>
    <n v="2322.5688581753602"/>
    <n v="418.0623944715648"/>
    <n v="704"/>
    <n v="7"/>
    <n v="0"/>
    <n v="0"/>
    <n v="704"/>
    <m/>
    <m/>
    <n v="0"/>
    <x v="0"/>
    <s v="BRMAOTK01"/>
    <s v="BRMAOCHI"/>
    <n v="11.436796000000001"/>
    <n v="81.333500000000001"/>
    <n v="150"/>
    <n v="831.44438908543998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31"/>
    <n v="16266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2.3139994572889"/>
    <n v="488.00100000000003"/>
    <n v="18104.252077754474"/>
    <n v="2172.5102493305367"/>
    <n v="110"/>
    <n v="150"/>
    <n v="1E-3"/>
    <n v="162.667"/>
    <n v="11047.178253705379"/>
    <n v="11469.845253705378"/>
    <n v="3180.9641611183101"/>
    <n v="5626.4367035016276"/>
    <n v="0.08"/>
    <n v="631.82156895784112"/>
    <n v="0.12"/>
    <n v="1376.3814304446453"/>
    <n v="15"/>
    <n v="1"/>
  </r>
  <r>
    <n v="70"/>
    <d v="2022-12-31T00:00:00"/>
    <x v="2"/>
    <s v="CLI47"/>
    <s v="CLI47"/>
    <s v="FEIRA DE SANTANA"/>
    <s v="BA"/>
    <s v="CLI545"/>
    <s v="MANAUS"/>
    <s v="AM"/>
    <n v="2532.3139994572889"/>
    <n v="1962.873523"/>
    <n v="0"/>
    <n v="7000"/>
    <n v="0"/>
    <x v="0"/>
    <x v="5"/>
    <s v="BRSSATK01"/>
    <s v="BRSSATCO"/>
    <n v="112.075299"/>
    <n v="112.297"/>
    <n v="150"/>
    <n v="2353.5323581753601"/>
    <n v="423.63582447156477"/>
    <n v="704"/>
    <n v="7"/>
    <n v="0"/>
    <n v="0"/>
    <n v="704"/>
    <m/>
    <m/>
    <n v="0"/>
    <x v="0"/>
    <s v="BRMAOTK01"/>
    <s v="BRMAOCHI"/>
    <n v="11.436796000000001"/>
    <n v="112.297"/>
    <n v="150"/>
    <n v="862.40788908544005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393"/>
    <n v="22459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2.3139994572889"/>
    <n v="673.78200000000004"/>
    <n v="18290.033077754473"/>
    <n v="2194.8039693305368"/>
    <n v="110"/>
    <n v="150"/>
    <n v="1E-3"/>
    <n v="224.59399999999999"/>
    <n v="12803.023154428131"/>
    <n v="13287.61715442813"/>
    <n v="3180.9641611183101"/>
    <n v="5059.7127460490192"/>
    <n v="0.08"/>
    <n v="771.84328661566121"/>
    <n v="0.12"/>
    <n v="1594.5140585313754"/>
    <n v="15"/>
    <n v="1"/>
  </r>
  <r>
    <n v="71"/>
    <d v="2022-12-31T00:00:00"/>
    <x v="0"/>
    <s v="CLI53"/>
    <s v="CLI53"/>
    <s v="MANAUS"/>
    <s v="AM"/>
    <s v="CLI763"/>
    <s v="CAUCAIA"/>
    <s v="CE"/>
    <n v="3014.7999490000002"/>
    <n v="0"/>
    <n v="1428.051281"/>
    <n v="7000"/>
    <n v="0"/>
    <x v="0"/>
    <x v="2"/>
    <s v="BRMAOTK01S"/>
    <s v="BRMAOCHI"/>
    <n v="11.436796000000001"/>
    <n v="118.1825"/>
    <n v="150"/>
    <n v="868.29338908544003"/>
    <n v="0"/>
    <n v="832"/>
    <n v="7"/>
    <n v="0"/>
    <n v="0"/>
    <n v="832"/>
    <m/>
    <m/>
    <n v="0"/>
    <x v="3"/>
    <s v="BRPECTK01S"/>
    <s v="BRPECAPM"/>
    <n v="34.109209"/>
    <n v="118.1825"/>
    <n v="150"/>
    <n v="1204.22237043776"/>
    <n v="216.7600266787967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184"/>
    <n v="23636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709.09500000000003"/>
    <n v="21601.888861661046"/>
    <n v="2592.2266633993254"/>
    <n v="110"/>
    <n v="150"/>
    <n v="1E-3"/>
    <n v="236.36500000000001"/>
    <n v="13670.561171496491"/>
    <n v="14166.92617149649"/>
    <n v="3180.9641611183101"/>
    <n v="9090.9620103781799"/>
    <n v="0.08"/>
    <n v="950.21203082355953"/>
    <n v="0.12"/>
    <n v="1700.0311405795787"/>
    <n v="15"/>
    <n v="1"/>
  </r>
  <r>
    <n v="72"/>
    <d v="2022-12-31T00:00:00"/>
    <x v="0"/>
    <s v="CLI53"/>
    <s v="CLI53"/>
    <s v="MANAUS"/>
    <s v="AM"/>
    <s v="CLI805"/>
    <s v="CAUCAIA"/>
    <s v="CE"/>
    <n v="3014.7999490000002"/>
    <n v="0"/>
    <n v="1428.051281"/>
    <n v="7000"/>
    <n v="0"/>
    <x v="0"/>
    <x v="2"/>
    <s v="BRMAOTK01S"/>
    <s v="BRMAOCHI"/>
    <n v="11.436796000000001"/>
    <n v="73.514499999999998"/>
    <n v="150"/>
    <n v="823.62538908544002"/>
    <n v="0"/>
    <n v="832"/>
    <n v="7"/>
    <n v="0"/>
    <n v="0"/>
    <n v="832"/>
    <m/>
    <m/>
    <n v="0"/>
    <x v="3"/>
    <s v="BRPECTK01S"/>
    <s v="BRPECAPM"/>
    <n v="34.109209"/>
    <n v="73.514499999999998"/>
    <n v="150"/>
    <n v="1159.5543704377601"/>
    <n v="208.71978667879682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944"/>
    <n v="14702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441.08699999999999"/>
    <n v="21333.880861661044"/>
    <n v="2560.0657033993252"/>
    <n v="110"/>
    <n v="150"/>
    <n v="1E-3"/>
    <n v="147.029"/>
    <n v="13545.490771496492"/>
    <n v="13952.519771496492"/>
    <n v="3180.9641611183101"/>
    <n v="8876.5556103781819"/>
    <n v="0.08"/>
    <n v="940.84961802355963"/>
    <n v="0.12"/>
    <n v="1674.302372579579"/>
    <n v="15"/>
    <n v="1"/>
  </r>
  <r>
    <n v="73"/>
    <d v="2022-12-31T00:00:00"/>
    <x v="0"/>
    <s v="CLI53"/>
    <s v="CLI53"/>
    <s v="MANAUS"/>
    <s v="AM"/>
    <s v="CLI1287"/>
    <s v="CAUCAIA"/>
    <s v="CE"/>
    <n v="3014.7999490000002"/>
    <n v="0"/>
    <n v="1428.051281"/>
    <n v="7000"/>
    <n v="0"/>
    <x v="0"/>
    <x v="2"/>
    <s v="BRMAOTK01S"/>
    <s v="BRMAOCHI"/>
    <n v="11.436796000000001"/>
    <n v="108.123"/>
    <n v="150"/>
    <n v="858.23388908544007"/>
    <n v="0"/>
    <n v="832"/>
    <n v="7"/>
    <n v="0"/>
    <n v="0"/>
    <n v="832"/>
    <m/>
    <m/>
    <n v="0"/>
    <x v="3"/>
    <s v="BRPECTK01S"/>
    <s v="BRPECAPM"/>
    <n v="34.109209"/>
    <n v="108.123"/>
    <n v="150"/>
    <n v="1194.1628704377599"/>
    <n v="214.9493166787967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421"/>
    <n v="21624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648.73800000000006"/>
    <n v="21541.531861661046"/>
    <n v="2584.9838233993255"/>
    <n v="110"/>
    <n v="150"/>
    <n v="1E-3"/>
    <n v="216.24600000000001"/>
    <n v="13642.39457149649"/>
    <n v="14118.640571496489"/>
    <n v="3180.9641611183101"/>
    <n v="9042.6764103781788"/>
    <n v="0.08"/>
    <n v="948.10355962355948"/>
    <n v="0.12"/>
    <n v="1694.2368685795786"/>
    <n v="15"/>
    <n v="1"/>
  </r>
  <r>
    <n v="74"/>
    <d v="2022-12-31T00:00:00"/>
    <x v="0"/>
    <s v="CLI53"/>
    <s v="CLI53"/>
    <s v="MANAUS"/>
    <s v="AM"/>
    <s v="CLI1052"/>
    <s v="IPOJUCA"/>
    <s v="PE"/>
    <n v="3513.7510560000001"/>
    <n v="0"/>
    <n v="2060.3329469999999"/>
    <n v="7000"/>
    <n v="0"/>
    <x v="0"/>
    <x v="2"/>
    <s v="BRMAOTK01S"/>
    <s v="BRMAOCHI"/>
    <n v="11.436796000000001"/>
    <n v="118.91850000000001"/>
    <n v="150"/>
    <n v="869.02938908544002"/>
    <n v="0"/>
    <n v="832"/>
    <n v="7"/>
    <n v="0"/>
    <n v="0"/>
    <n v="832"/>
    <m/>
    <m/>
    <n v="0"/>
    <x v="2"/>
    <s v="BRSUATK01S"/>
    <s v="BRSUATCO"/>
    <n v="23.753726"/>
    <n v="118.91850000000001"/>
    <n v="150"/>
    <n v="1051.5249068006401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69"/>
    <n v="23783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3.7510560000001"/>
    <n v="713.51099999999997"/>
    <n v="24994.66187125376"/>
    <n v="2999.359424550451"/>
    <n v="110"/>
    <n v="150"/>
    <n v="1E-3"/>
    <n v="237.83700000000002"/>
    <n v="16151.875302757373"/>
    <n v="16649.712302757373"/>
    <n v="3180.9641611183101"/>
    <n v="10997.748141639062"/>
    <n v="0.08"/>
    <n v="1178.3326405497035"/>
    <n v="0.12"/>
    <n v="1997.9654763308847"/>
    <n v="15"/>
    <n v="1"/>
  </r>
  <r>
    <n v="75"/>
    <d v="2022-12-31T00:00:00"/>
    <x v="0"/>
    <s v="CLI53"/>
    <s v="CLI53"/>
    <s v="MANAUS"/>
    <s v="AM"/>
    <s v="CLI492"/>
    <s v="IPOJUCA"/>
    <s v="PE"/>
    <n v="3513.7510560000001"/>
    <n v="0"/>
    <n v="2060.3329469999999"/>
    <n v="7000"/>
    <n v="0"/>
    <x v="0"/>
    <x v="2"/>
    <s v="BRMAOTK01S"/>
    <s v="BRMAOCHI"/>
    <n v="11.436796000000001"/>
    <n v="73.966000000000008"/>
    <n v="150"/>
    <n v="824.07688908544003"/>
    <n v="0"/>
    <n v="832"/>
    <n v="7"/>
    <n v="0"/>
    <n v="0"/>
    <n v="832"/>
    <m/>
    <m/>
    <n v="0"/>
    <x v="2"/>
    <s v="BRSUATK01S"/>
    <s v="BRSUATCO"/>
    <n v="23.753726"/>
    <n v="73.966000000000008"/>
    <n v="150"/>
    <n v="1006.57240680064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049"/>
    <n v="14793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3.7510560000001"/>
    <n v="443.79599999999999"/>
    <n v="24724.94687125376"/>
    <n v="2966.9936245504509"/>
    <n v="110"/>
    <n v="150"/>
    <n v="1E-3"/>
    <n v="147.93200000000002"/>
    <n v="16026.008302757375"/>
    <n v="16433.940302757375"/>
    <n v="3180.9641611183101"/>
    <n v="10781.976141639065"/>
    <n v="0.08"/>
    <n v="1168.2632805497037"/>
    <n v="0.12"/>
    <n v="1972.0728363308849"/>
    <n v="15"/>
    <n v="1"/>
  </r>
  <r>
    <n v="76"/>
    <d v="2022-12-31T00:00:00"/>
    <x v="0"/>
    <s v="CLI53"/>
    <s v="CLI53"/>
    <s v="MANAUS"/>
    <s v="AM"/>
    <s v="CLI912"/>
    <s v="IPOJUCA"/>
    <s v="PE"/>
    <n v="3513.7510560000001"/>
    <n v="0"/>
    <n v="2060.3329469999999"/>
    <n v="7000"/>
    <n v="0"/>
    <x v="0"/>
    <x v="2"/>
    <s v="BRMAOTK01S"/>
    <s v="BRMAOCHI"/>
    <n v="11.436796000000001"/>
    <n v="79.697000000000003"/>
    <n v="150"/>
    <n v="829.80788908544002"/>
    <n v="0"/>
    <n v="832"/>
    <n v="7"/>
    <n v="0"/>
    <n v="0"/>
    <n v="832"/>
    <m/>
    <m/>
    <n v="0"/>
    <x v="2"/>
    <s v="BRSUATK01S"/>
    <s v="BRSUATCO"/>
    <n v="23.753726"/>
    <n v="79.697000000000003"/>
    <n v="150"/>
    <n v="1012.30340680064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724"/>
    <n v="15939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3.7510560000001"/>
    <n v="478.18200000000002"/>
    <n v="24759.332871253762"/>
    <n v="2971.1199445504512"/>
    <n v="110"/>
    <n v="150"/>
    <n v="1E-3"/>
    <n v="159.39400000000001"/>
    <n v="16042.055102757375"/>
    <n v="16461.449102757375"/>
    <n v="3180.9641611183101"/>
    <n v="10809.484941639064"/>
    <n v="0.08"/>
    <n v="1169.5470245497036"/>
    <n v="0.12"/>
    <n v="1975.3738923308849"/>
    <n v="15"/>
    <n v="1"/>
  </r>
  <r>
    <n v="77"/>
    <d v="2022-12-31T00:00:00"/>
    <x v="2"/>
    <s v="CLI57"/>
    <s v="CLI57"/>
    <s v="ABREU E LIMA"/>
    <s v="PE"/>
    <s v="CLI780"/>
    <s v="MANAUS"/>
    <s v="AM"/>
    <n v="2832.967448884865"/>
    <n v="2065.6376880000003"/>
    <n v="0"/>
    <n v="7000"/>
    <n v="0"/>
    <x v="0"/>
    <x v="3"/>
    <s v="BRSUATK01"/>
    <s v="BRSUATCO"/>
    <n v="68.774317999999994"/>
    <n v="88.596000000000004"/>
    <n v="150"/>
    <n v="1688.25631105152"/>
    <n v="303.88613598927361"/>
    <n v="1344"/>
    <n v="7"/>
    <n v="0"/>
    <n v="0"/>
    <n v="1344"/>
    <m/>
    <m/>
    <n v="0"/>
    <x v="0"/>
    <s v="BRMAOTK01"/>
    <s v="BRMAOCHI"/>
    <n v="11.436796000000001"/>
    <n v="88.596000000000004"/>
    <n v="150"/>
    <n v="838.7068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887"/>
    <n v="177192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2832.967448884865"/>
    <n v="531.57600000000002"/>
    <n v="20189.552626679168"/>
    <n v="2422.7463152015002"/>
    <n v="110"/>
    <n v="150"/>
    <n v="1E-3"/>
    <n v="177.19200000000001"/>
    <n v="14132.686838675416"/>
    <n v="14569.878838675417"/>
    <n v="3180.9641611183101"/>
    <n v="6425.9514774201452"/>
    <n v="0.08"/>
    <n v="939.12236020393448"/>
    <n v="0.12"/>
    <n v="1748.38546064105"/>
    <n v="15"/>
    <n v="5"/>
  </r>
  <r>
    <n v="78"/>
    <d v="2022-12-31T00:00:00"/>
    <x v="2"/>
    <s v="CLI57"/>
    <s v="CLI57"/>
    <s v="ABREU E LIMA"/>
    <s v="PE"/>
    <s v="CLI1244"/>
    <s v="MANAUS"/>
    <s v="AM"/>
    <n v="2832.967448884865"/>
    <n v="2065.6376880000003"/>
    <n v="0"/>
    <n v="7000"/>
    <n v="0"/>
    <x v="0"/>
    <x v="3"/>
    <s v="BRSUATK01"/>
    <s v="BRSUATCO"/>
    <n v="68.774317999999994"/>
    <n v="90.836500000000001"/>
    <n v="150"/>
    <n v="1690.4968110515201"/>
    <n v="304.28942598927364"/>
    <n v="1344"/>
    <n v="7"/>
    <n v="0"/>
    <n v="0"/>
    <n v="1344"/>
    <m/>
    <m/>
    <n v="0"/>
    <x v="0"/>
    <s v="BRMAOTK01"/>
    <s v="BRMAOCHI"/>
    <n v="11.436796000000001"/>
    <n v="90.836500000000001"/>
    <n v="150"/>
    <n v="840.9473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954"/>
    <n v="181673"/>
    <x v="1"/>
    <x v="0"/>
    <x v="5"/>
    <x v="4"/>
    <x v="0"/>
    <x v="0"/>
    <n v="3"/>
    <n v="3"/>
    <n v="4"/>
    <n v="4"/>
    <n v="4"/>
    <n v="3"/>
    <n v="4"/>
    <n v="40"/>
    <n v="7"/>
    <n v="180"/>
    <n v="7"/>
    <n v="180"/>
    <n v="2832.967448884865"/>
    <n v="545.01900000000001"/>
    <n v="20202.995626679167"/>
    <n v="2424.3594752015001"/>
    <n v="110"/>
    <n v="150"/>
    <n v="1E-3"/>
    <n v="181.673"/>
    <n v="14142.096938675417"/>
    <n v="14583.769938675418"/>
    <n v="3180.9641611183101"/>
    <n v="6435.3615774201462"/>
    <n v="0.08"/>
    <n v="939.84290500393479"/>
    <n v="0.12"/>
    <n v="1750.0523926410501"/>
    <n v="15"/>
    <n v="4"/>
  </r>
  <r>
    <n v="79"/>
    <d v="2022-12-31T00:00:00"/>
    <x v="2"/>
    <s v="CLI57"/>
    <s v="CLI57"/>
    <s v="ABREU E LIMA"/>
    <s v="PE"/>
    <s v="CLI753"/>
    <s v="BOA VISTA"/>
    <s v="RR"/>
    <n v="3097.9224144068276"/>
    <n v="2065.6376880000003"/>
    <n v="0"/>
    <n v="7000"/>
    <n v="0"/>
    <x v="0"/>
    <x v="3"/>
    <s v="BRSUATK01"/>
    <s v="BRSUATCO"/>
    <n v="68.774317999999994"/>
    <n v="25.2605"/>
    <n v="150"/>
    <n v="1624.9208110515201"/>
    <n v="292.4857459892736"/>
    <n v="1344"/>
    <n v="7"/>
    <n v="0"/>
    <n v="0"/>
    <n v="1344"/>
    <m/>
    <m/>
    <n v="0"/>
    <x v="0"/>
    <s v="BRMAOTK01"/>
    <s v="BRMAOCHI"/>
    <n v="745.73917200000005"/>
    <n v="25.2605"/>
    <n v="150"/>
    <n v="11655.265345422082"/>
    <n v="1398.6318414506497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520"/>
    <n v="50521"/>
    <x v="1"/>
    <x v="0"/>
    <x v="5"/>
    <x v="4"/>
    <x v="0"/>
    <x v="0"/>
    <n v="3"/>
    <n v="3"/>
    <n v="4"/>
    <n v="4"/>
    <n v="4"/>
    <n v="3"/>
    <n v="4"/>
    <n v="40"/>
    <n v="7"/>
    <n v="180"/>
    <n v="7"/>
    <n v="180"/>
    <n v="3097.9224144068276"/>
    <n v="151.56300000000002"/>
    <n v="21608.838199340189"/>
    <n v="2593.0605839208224"/>
    <n v="110"/>
    <n v="150"/>
    <n v="1E-3"/>
    <n v="50.521000000000001"/>
    <n v="15126.18673953813"/>
    <n v="15436.707739538131"/>
    <n v="3180.9641611183101"/>
    <n v="-3460.4425780537817"/>
    <n v="0.08"/>
    <n v="37.232319649968396"/>
    <n v="0.12"/>
    <n v="1852.4049287445757"/>
    <n v="15"/>
    <n v="4"/>
  </r>
  <r>
    <n v="80"/>
    <d v="2022-12-31T00:00:00"/>
    <x v="2"/>
    <s v="CLI57"/>
    <s v="CLI57"/>
    <s v="ABREU E LIMA"/>
    <s v="PE"/>
    <s v="CLI1038"/>
    <s v="MANAUS"/>
    <s v="AM"/>
    <n v="2832.967448884865"/>
    <n v="2065.6376880000003"/>
    <n v="0"/>
    <n v="7000"/>
    <n v="0"/>
    <x v="0"/>
    <x v="3"/>
    <s v="BRSUATK01"/>
    <s v="BRSUATCO"/>
    <n v="68.774317999999994"/>
    <n v="113.0175"/>
    <n v="150"/>
    <n v="1712.6778110515199"/>
    <n v="308.28200598927356"/>
    <n v="1344"/>
    <n v="7"/>
    <n v="0"/>
    <n v="0"/>
    <n v="1344"/>
    <m/>
    <m/>
    <n v="0"/>
    <x v="0"/>
    <s v="BRMAOTK01"/>
    <s v="BRMAOCHI"/>
    <n v="11.436796000000001"/>
    <n v="113.0175"/>
    <n v="150"/>
    <n v="863.12838908544006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37"/>
    <n v="226035"/>
    <x v="1"/>
    <x v="0"/>
    <x v="5"/>
    <x v="4"/>
    <x v="0"/>
    <x v="0"/>
    <n v="3"/>
    <n v="3"/>
    <n v="4"/>
    <n v="4"/>
    <n v="4"/>
    <n v="3"/>
    <n v="4"/>
    <n v="40"/>
    <n v="7"/>
    <n v="180"/>
    <n v="7"/>
    <n v="180"/>
    <n v="2832.967448884865"/>
    <n v="678.10500000000002"/>
    <n v="20336.081626679166"/>
    <n v="2440.3297952015"/>
    <n v="110"/>
    <n v="150"/>
    <n v="1E-3"/>
    <n v="226.035"/>
    <n v="14235.257138675415"/>
    <n v="14721.292138675415"/>
    <n v="3180.9641611183101"/>
    <n v="6528.5217774201446"/>
    <n v="0.08"/>
    <n v="946.97631460393461"/>
    <n v="0.12"/>
    <n v="1766.5550566410498"/>
    <n v="15"/>
    <n v="4"/>
  </r>
  <r>
    <n v="81"/>
    <d v="2022-12-31T00:00:00"/>
    <x v="2"/>
    <s v="CLI57"/>
    <s v="CLI57"/>
    <s v="ABREU E LIMA"/>
    <s v="PE"/>
    <s v="CLI1005"/>
    <s v="MANAUS"/>
    <s v="AM"/>
    <n v="2832.967448884865"/>
    <n v="2065.6376880000003"/>
    <n v="0"/>
    <n v="7000"/>
    <n v="0"/>
    <x v="0"/>
    <x v="3"/>
    <s v="BRSUATK01"/>
    <s v="BRSUATCO"/>
    <n v="68.774317999999994"/>
    <n v="97.905000000000001"/>
    <n v="150"/>
    <n v="1697.56531105152"/>
    <n v="305.56175598927359"/>
    <n v="1344"/>
    <n v="7"/>
    <n v="0"/>
    <n v="0"/>
    <n v="1344"/>
    <m/>
    <m/>
    <n v="0"/>
    <x v="0"/>
    <s v="BRMAOTK01"/>
    <s v="BRMAOCHI"/>
    <n v="11.436796000000001"/>
    <n v="97.905000000000001"/>
    <n v="150"/>
    <n v="848.01588908543999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09"/>
    <n v="19581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32.967448884865"/>
    <n v="587.43000000000006"/>
    <n v="20245.406626679167"/>
    <n v="2429.4487952015002"/>
    <n v="110"/>
    <n v="150"/>
    <n v="1E-3"/>
    <n v="195.81"/>
    <n v="14171.784638675415"/>
    <n v="14627.594638675415"/>
    <n v="3180.9641611183101"/>
    <n v="6465.0492774201448"/>
    <n v="0.08"/>
    <n v="942.11613460393448"/>
    <n v="0.12"/>
    <n v="1755.3113566410498"/>
    <n v="15"/>
    <n v="2"/>
  </r>
  <r>
    <n v="82"/>
    <d v="2022-12-31T00:00:00"/>
    <x v="2"/>
    <s v="CLI57"/>
    <s v="CLI57"/>
    <s v="ABREU E LIMA"/>
    <s v="PE"/>
    <s v="CLI1280"/>
    <s v="MANAUS"/>
    <s v="AM"/>
    <n v="2832.967448884865"/>
    <n v="2065.6376880000003"/>
    <n v="0"/>
    <n v="7000"/>
    <n v="0"/>
    <x v="0"/>
    <x v="3"/>
    <s v="BRSUATK01"/>
    <s v="BRSUATCO"/>
    <n v="68.774317999999994"/>
    <n v="71.885000000000005"/>
    <n v="150"/>
    <n v="1671.54531105152"/>
    <n v="300.87815598927358"/>
    <n v="1344"/>
    <n v="7"/>
    <n v="0"/>
    <n v="0"/>
    <n v="1344"/>
    <m/>
    <m/>
    <n v="0"/>
    <x v="0"/>
    <s v="BRMAOTK01"/>
    <s v="BRMAOCHI"/>
    <n v="11.436796000000001"/>
    <n v="71.885000000000005"/>
    <n v="150"/>
    <n v="821.99588908544001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345"/>
    <n v="14377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32.967448884865"/>
    <n v="431.31"/>
    <n v="20089.286626679168"/>
    <n v="2410.7143952014999"/>
    <n v="110"/>
    <n v="150"/>
    <n v="1E-3"/>
    <n v="143.77000000000001"/>
    <n v="14062.500638675418"/>
    <n v="14466.270638675418"/>
    <n v="3180.9641611183101"/>
    <n v="6355.7652774201488"/>
    <n v="0.08"/>
    <n v="933.74810260393485"/>
    <n v="0.12"/>
    <n v="1735.95247664105"/>
    <n v="15"/>
    <n v="2"/>
  </r>
  <r>
    <n v="83"/>
    <d v="2022-12-31T00:00:00"/>
    <x v="2"/>
    <s v="CLI57"/>
    <s v="CLI57"/>
    <s v="ABREU E LIMA"/>
    <s v="PE"/>
    <s v="CLI1045"/>
    <s v="MANAUS"/>
    <s v="AM"/>
    <n v="2832.967448884865"/>
    <n v="2065.6376880000003"/>
    <n v="0"/>
    <n v="7000"/>
    <n v="0"/>
    <x v="0"/>
    <x v="3"/>
    <s v="BRSUATK01"/>
    <s v="BRSUATCO"/>
    <n v="68.774317999999994"/>
    <n v="124.0825"/>
    <n v="150"/>
    <n v="1723.74281105152"/>
    <n v="310.27370598927359"/>
    <n v="1344"/>
    <n v="7"/>
    <n v="0"/>
    <n v="0"/>
    <n v="1344"/>
    <m/>
    <m/>
    <n v="0"/>
    <x v="0"/>
    <s v="BRMAOTK01"/>
    <s v="BRMAOCHI"/>
    <n v="11.436796000000001"/>
    <n v="124.0825"/>
    <n v="150"/>
    <n v="874.1933890854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71"/>
    <n v="24816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32.967448884865"/>
    <n v="744.495"/>
    <n v="20402.471626679166"/>
    <n v="2448.2965952014997"/>
    <n v="110"/>
    <n v="150"/>
    <n v="1E-3"/>
    <n v="248.16499999999999"/>
    <n v="14281.730138675415"/>
    <n v="14789.895138675416"/>
    <n v="3180.9641611183101"/>
    <n v="6574.9947774201464"/>
    <n v="0.08"/>
    <n v="950.5348186039347"/>
    <n v="0.12"/>
    <n v="1774.78741664105"/>
    <n v="15"/>
    <n v="2"/>
  </r>
  <r>
    <n v="84"/>
    <d v="2022-12-31T00:00:00"/>
    <x v="2"/>
    <s v="CLI57"/>
    <s v="CLI57"/>
    <s v="ABREU E LIMA"/>
    <s v="PE"/>
    <s v="CLI659"/>
    <s v="MANAUS"/>
    <s v="AM"/>
    <n v="2832.967448884865"/>
    <n v="2065.6376880000003"/>
    <n v="0"/>
    <n v="7000"/>
    <n v="0"/>
    <x v="0"/>
    <x v="3"/>
    <s v="BRSUATK01"/>
    <s v="BRSUATCO"/>
    <n v="68.774317999999994"/>
    <n v="111.12950000000001"/>
    <n v="150"/>
    <n v="1710.78981105152"/>
    <n v="307.94216598927358"/>
    <n v="1344"/>
    <n v="7"/>
    <n v="0"/>
    <n v="0"/>
    <n v="1344"/>
    <m/>
    <m/>
    <n v="0"/>
    <x v="0"/>
    <s v="BRMAOTK01"/>
    <s v="BRMAOCHI"/>
    <n v="11.436796000000001"/>
    <n v="111.12950000000001"/>
    <n v="150"/>
    <n v="861.2403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267"/>
    <n v="222259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832.967448884865"/>
    <n v="666.77700000000004"/>
    <n v="20324.753626679165"/>
    <n v="2438.9704352014996"/>
    <n v="110"/>
    <n v="150"/>
    <n v="1E-3"/>
    <n v="222.25900000000001"/>
    <n v="14227.327538675414"/>
    <n v="14709.586538675414"/>
    <n v="3180.9641611183101"/>
    <n v="6520.5921774201433"/>
    <n v="0.08"/>
    <n v="946.36913380393435"/>
    <n v="0.12"/>
    <n v="1765.1503846410496"/>
    <n v="15"/>
    <n v="2"/>
  </r>
  <r>
    <n v="85"/>
    <d v="2022-12-31T00:00:00"/>
    <x v="2"/>
    <s v="CLI57"/>
    <s v="CLI57"/>
    <s v="ABREU E LIMA"/>
    <s v="PE"/>
    <s v="CLI491"/>
    <s v="MANAUS"/>
    <s v="AM"/>
    <n v="2832.967448884865"/>
    <n v="2065.6376880000003"/>
    <n v="0"/>
    <n v="7000"/>
    <n v="0"/>
    <x v="0"/>
    <x v="3"/>
    <s v="BRSUATK01"/>
    <s v="BRSUATCO"/>
    <n v="68.774317999999994"/>
    <n v="63.030999999999999"/>
    <n v="150"/>
    <n v="1662.69131105152"/>
    <n v="299.28443598927356"/>
    <n v="1344"/>
    <n v="7"/>
    <n v="0"/>
    <n v="0"/>
    <n v="1344"/>
    <m/>
    <m/>
    <n v="0"/>
    <x v="0"/>
    <s v="BRMAOTK01"/>
    <s v="BRMAOCHI"/>
    <n v="11.436796000000001"/>
    <n v="63.030999999999999"/>
    <n v="150"/>
    <n v="813.1418890854399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058"/>
    <n v="12606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2.967448884865"/>
    <n v="378.18600000000004"/>
    <n v="20036.162626679168"/>
    <n v="2404.3395152015"/>
    <n v="110"/>
    <n v="150"/>
    <n v="1E-3"/>
    <n v="126.062"/>
    <n v="14025.313838675416"/>
    <n v="14411.375838675416"/>
    <n v="3180.9641611183101"/>
    <n v="6318.5784774201456"/>
    <n v="0.08"/>
    <n v="930.90065620393466"/>
    <n v="0.12"/>
    <n v="1729.3651006410498"/>
    <n v="15"/>
    <n v="1"/>
  </r>
  <r>
    <n v="86"/>
    <d v="2022-12-31T00:00:00"/>
    <x v="2"/>
    <s v="CLI57"/>
    <s v="CLI57"/>
    <s v="ABREU E LIMA"/>
    <s v="PE"/>
    <s v="CLI598"/>
    <s v="MANAUS"/>
    <s v="AM"/>
    <n v="2832.967448884865"/>
    <n v="2065.6376880000003"/>
    <n v="0"/>
    <n v="7000"/>
    <n v="0"/>
    <x v="0"/>
    <x v="3"/>
    <s v="BRSUATK01"/>
    <s v="BRSUATCO"/>
    <n v="68.774317999999994"/>
    <n v="89.169499999999999"/>
    <n v="150"/>
    <n v="1688.82981105152"/>
    <n v="303.98936598927361"/>
    <n v="1344"/>
    <n v="7"/>
    <n v="0"/>
    <n v="0"/>
    <n v="1344"/>
    <m/>
    <m/>
    <n v="0"/>
    <x v="0"/>
    <s v="BRMAOTK01"/>
    <s v="BRMAOCHI"/>
    <n v="11.436796000000001"/>
    <n v="89.169499999999999"/>
    <n v="150"/>
    <n v="839.28038908543999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457"/>
    <n v="17833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2.967448884865"/>
    <n v="535.01700000000005"/>
    <n v="20192.993626679166"/>
    <n v="2423.1592352015"/>
    <n v="110"/>
    <n v="150"/>
    <n v="1E-3"/>
    <n v="178.339"/>
    <n v="14135.095538675416"/>
    <n v="14573.434538675416"/>
    <n v="3180.9641611183101"/>
    <n v="6428.3601774201452"/>
    <n v="0.08"/>
    <n v="939.30679780393461"/>
    <n v="0.12"/>
    <n v="1748.8121446410498"/>
    <n v="15"/>
    <n v="1"/>
  </r>
  <r>
    <n v="87"/>
    <d v="2022-12-31T00:00:00"/>
    <x v="2"/>
    <s v="CLI57"/>
    <s v="CLI57"/>
    <s v="ABREU E LIMA"/>
    <s v="PE"/>
    <s v="CLI902"/>
    <s v="MANAUS"/>
    <s v="AM"/>
    <n v="2832.967448884865"/>
    <n v="2065.6376880000003"/>
    <n v="0"/>
    <n v="7000"/>
    <n v="0"/>
    <x v="0"/>
    <x v="3"/>
    <s v="BRSUATK01"/>
    <s v="BRSUATCO"/>
    <n v="68.774317999999994"/>
    <n v="27.442"/>
    <n v="150"/>
    <n v="1627.10231105152"/>
    <n v="292.87841598927361"/>
    <n v="1344"/>
    <n v="7"/>
    <n v="0"/>
    <n v="0"/>
    <n v="1344"/>
    <m/>
    <m/>
    <n v="0"/>
    <x v="0"/>
    <s v="BRMAOTK01"/>
    <s v="BRMAOCHI"/>
    <n v="11.436796000000001"/>
    <n v="27.442"/>
    <n v="150"/>
    <n v="777.5528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92"/>
    <n v="5488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2.967448884865"/>
    <n v="164.65200000000002"/>
    <n v="19822.628626679165"/>
    <n v="2378.7154352014995"/>
    <n v="110"/>
    <n v="150"/>
    <n v="1E-3"/>
    <n v="54.884"/>
    <n v="13875.840038675415"/>
    <n v="14190.724038675415"/>
    <n v="3180.9641611183101"/>
    <n v="6169.1046774201441"/>
    <n v="0.08"/>
    <n v="919.45523380393456"/>
    <n v="0.12"/>
    <n v="1702.8868846410496"/>
    <n v="15"/>
    <n v="1"/>
  </r>
  <r>
    <n v="88"/>
    <d v="2022-12-31T00:00:00"/>
    <x v="2"/>
    <s v="CLI57"/>
    <s v="CLI57"/>
    <s v="ABREU E LIMA"/>
    <s v="PE"/>
    <s v="CLI1086"/>
    <s v="MANAUS"/>
    <s v="AM"/>
    <n v="2832.967448884865"/>
    <n v="2065.6376880000003"/>
    <n v="0"/>
    <n v="7000"/>
    <n v="0"/>
    <x v="0"/>
    <x v="3"/>
    <s v="BRSUATK01"/>
    <s v="BRSUATCO"/>
    <n v="68.774317999999994"/>
    <n v="117.61"/>
    <n v="150"/>
    <n v="1717.2703110515199"/>
    <n v="309.10865598927359"/>
    <n v="1344"/>
    <n v="7"/>
    <n v="0"/>
    <n v="0"/>
    <n v="1344"/>
    <m/>
    <m/>
    <n v="0"/>
    <x v="0"/>
    <s v="BRMAOTK01"/>
    <s v="BRMAOCHI"/>
    <n v="11.436796000000001"/>
    <n v="117.61"/>
    <n v="150"/>
    <n v="867.7208890854400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118"/>
    <n v="23522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2.967448884865"/>
    <n v="705.66"/>
    <n v="20363.636626679167"/>
    <n v="2443.6363952014999"/>
    <n v="110"/>
    <n v="150"/>
    <n v="1E-3"/>
    <n v="235.22"/>
    <n v="14254.545638675416"/>
    <n v="14749.765638675415"/>
    <n v="3180.9641611183101"/>
    <n v="6547.8102774201452"/>
    <n v="0.08"/>
    <n v="948.4532626039346"/>
    <n v="0.12"/>
    <n v="1769.9718766410497"/>
    <n v="15"/>
    <n v="1"/>
  </r>
  <r>
    <n v="89"/>
    <d v="2022-12-31T00:00:00"/>
    <x v="2"/>
    <s v="CLI57"/>
    <s v="CLI57"/>
    <s v="ABREU E LIMA"/>
    <s v="PE"/>
    <s v="CLI646"/>
    <s v="MANAUS"/>
    <s v="AM"/>
    <n v="2832.967448884865"/>
    <n v="2065.6376880000003"/>
    <n v="0"/>
    <n v="7000"/>
    <n v="0"/>
    <x v="0"/>
    <x v="3"/>
    <s v="BRSUATK01"/>
    <s v="BRSUATCO"/>
    <n v="68.774317999999994"/>
    <n v="51.037500000000001"/>
    <n v="150"/>
    <n v="1650.6978110515199"/>
    <n v="297.12560598927359"/>
    <n v="1344"/>
    <n v="7"/>
    <n v="0"/>
    <n v="0"/>
    <n v="1344"/>
    <m/>
    <m/>
    <n v="0"/>
    <x v="0"/>
    <s v="BRMAOTK01"/>
    <s v="BRMAOCHI"/>
    <n v="11.436796000000001"/>
    <n v="51.037500000000001"/>
    <n v="150"/>
    <n v="801.1483890854400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680"/>
    <n v="10207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2.967448884865"/>
    <n v="306.22500000000002"/>
    <n v="19964.201626679165"/>
    <n v="2395.7041952014997"/>
    <n v="110"/>
    <n v="150"/>
    <n v="1E-3"/>
    <n v="102.075"/>
    <n v="13974.941138675415"/>
    <n v="14337.016138675415"/>
    <n v="3180.9641611183101"/>
    <n v="6268.2057774201458"/>
    <n v="0.08"/>
    <n v="927.04354660393471"/>
    <n v="0.12"/>
    <n v="1720.4419366410498"/>
    <n v="15"/>
    <n v="1"/>
  </r>
  <r>
    <n v="90"/>
    <d v="2022-12-31T00:00:00"/>
    <x v="2"/>
    <s v="CLI57"/>
    <s v="CLI57"/>
    <s v="ABREU E LIMA"/>
    <s v="PE"/>
    <s v="CLI561"/>
    <s v="MANAUS"/>
    <s v="AM"/>
    <n v="2832.967448884865"/>
    <n v="2065.6376880000003"/>
    <n v="0"/>
    <n v="7000"/>
    <n v="0"/>
    <x v="0"/>
    <x v="3"/>
    <s v="BRSUATK01"/>
    <s v="BRSUATCO"/>
    <n v="68.774317999999994"/>
    <n v="32.0505"/>
    <n v="150"/>
    <n v="1631.7108110515201"/>
    <n v="293.70794598927358"/>
    <n v="1344"/>
    <n v="7"/>
    <n v="0"/>
    <n v="0"/>
    <n v="1344"/>
    <m/>
    <m/>
    <n v="0"/>
    <x v="0"/>
    <s v="BRMAOTK01"/>
    <s v="BRMAOCHI"/>
    <n v="11.436796000000001"/>
    <n v="32.0505"/>
    <n v="150"/>
    <n v="782.1613890854400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119"/>
    <n v="6410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2.967448884865"/>
    <n v="192.303"/>
    <n v="19850.279626679167"/>
    <n v="2382.0335552014999"/>
    <n v="110"/>
    <n v="150"/>
    <n v="1E-3"/>
    <n v="64.100999999999999"/>
    <n v="13895.195738675417"/>
    <n v="14219.296738675417"/>
    <n v="3180.9641611183101"/>
    <n v="6188.460377420146"/>
    <n v="0.08"/>
    <n v="920.93732740393466"/>
    <n v="0.12"/>
    <n v="1706.3156086410499"/>
    <n v="15"/>
    <n v="1"/>
  </r>
  <r>
    <n v="91"/>
    <d v="2022-12-31T00:00:00"/>
    <x v="2"/>
    <s v="CLI58"/>
    <s v="CLI58"/>
    <s v="SAO BERNARDO DO CAMPO"/>
    <s v="SP"/>
    <s v="CLI57"/>
    <s v="ABREU E LIMA"/>
    <s v="PE"/>
    <n v="2622.5214940000001"/>
    <n v="0"/>
    <n v="0"/>
    <n v="0"/>
    <n v="0"/>
    <x v="0"/>
    <x v="0"/>
    <s v="BRSSZTK01"/>
    <s v="BRSSZTCO"/>
    <n v="66.511209000000008"/>
    <n v="96.332499999999996"/>
    <n v="150"/>
    <n v="1662.46113971776"/>
    <n v="299.24300514919679"/>
    <n v="640"/>
    <n v="7"/>
    <n v="0"/>
    <n v="0"/>
    <n v="640"/>
    <m/>
    <m/>
    <n v="0"/>
    <x v="2"/>
    <s v="BRSUATK01"/>
    <s v="BRSUATCO"/>
    <n v="68.774317999999994"/>
    <n v="96.332499999999996"/>
    <n v="150"/>
    <n v="1695.99281105152"/>
    <n v="305.2787059892735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059"/>
    <n v="192665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2622.5214940000001"/>
    <n v="577.995"/>
    <n v="18806.841564894243"/>
    <n v="1316.4789095425972"/>
    <n v="110"/>
    <n v="150"/>
    <n v="1E-3"/>
    <n v="192.66499999999999"/>
    <n v="13164.789095425969"/>
    <n v="13617.45409542597"/>
    <n v="3180.9641611183101"/>
    <n v="4824.0359835383806"/>
    <n v="0.08"/>
    <n v="772.3582746814576"/>
    <n v="7.0000000000000007E-2"/>
    <n v="953.22178667981802"/>
    <n v="15"/>
    <n v="5"/>
  </r>
  <r>
    <n v="92"/>
    <d v="2022-12-31T00:00:00"/>
    <x v="2"/>
    <s v="CLI59"/>
    <s v="CLI59"/>
    <s v="SOROCABA"/>
    <s v="SP"/>
    <s v="CLI1081"/>
    <s v="MANAUS"/>
    <s v="AM"/>
    <n v="2632.3499142956061"/>
    <n v="2842.3073469999999"/>
    <n v="0"/>
    <n v="7000"/>
    <n v="0"/>
    <x v="0"/>
    <x v="0"/>
    <s v="BRSSZTK01"/>
    <s v="BRSSZTCO"/>
    <n v="174.993404"/>
    <n v="101.9355"/>
    <n v="150"/>
    <n v="3275.4057694425601"/>
    <n v="589.57303849966081"/>
    <n v="640"/>
    <n v="7"/>
    <n v="0"/>
    <n v="0"/>
    <n v="640"/>
    <m/>
    <m/>
    <n v="0"/>
    <x v="0"/>
    <s v="BRMAOTK01"/>
    <s v="BRMAOCHI"/>
    <n v="11.436796000000001"/>
    <n v="101.9355"/>
    <n v="150"/>
    <n v="852.0463890854400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761"/>
    <n v="20387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32.3499142956061"/>
    <n v="611.61300000000006"/>
    <n v="18907.203973984891"/>
    <n v="1323.5042781789425"/>
    <n v="110"/>
    <n v="150"/>
    <n v="1E-3"/>
    <n v="203.87100000000001"/>
    <n v="13235.042781789423"/>
    <n v="13698.913781789423"/>
    <n v="3180.9641611183101"/>
    <n v="4648.4974621431102"/>
    <n v="0.08"/>
    <n v="718.55108678094086"/>
    <n v="7.0000000000000007E-2"/>
    <n v="958.92396472525968"/>
    <n v="15"/>
    <n v="1"/>
  </r>
  <r>
    <n v="93"/>
    <d v="2022-12-31T00:00:00"/>
    <x v="2"/>
    <s v="CLI60"/>
    <s v="CLI60"/>
    <s v="MANAUS"/>
    <s v="AM"/>
    <s v="CLI609"/>
    <s v="SAO PAULO"/>
    <s v="SP"/>
    <n v="3929.9226880000001"/>
    <n v="0"/>
    <n v="2877.9279630000001"/>
    <n v="7000"/>
    <n v="0"/>
    <x v="0"/>
    <x v="2"/>
    <s v="BRMAOTK01"/>
    <s v="BRMAOCHI"/>
    <n v="11.436796000000001"/>
    <n v="34.6905"/>
    <n v="150"/>
    <n v="784.80138908544006"/>
    <n v="0"/>
    <n v="832"/>
    <n v="7"/>
    <n v="0"/>
    <n v="0"/>
    <n v="832"/>
    <m/>
    <m/>
    <n v="0"/>
    <x v="1"/>
    <s v="BRSSZTK01"/>
    <s v="BRSSZTCO"/>
    <n v="85.841132000000002"/>
    <n v="34.6905"/>
    <n v="150"/>
    <n v="1887.22365003648"/>
    <n v="339.70025700656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253"/>
    <n v="69381"/>
    <x v="1"/>
    <x v="2"/>
    <x v="0"/>
    <x v="0"/>
    <x v="2"/>
    <x v="2"/>
    <n v="3"/>
    <n v="2"/>
    <n v="3"/>
    <n v="3"/>
    <n v="3"/>
    <n v="3"/>
    <n v="3"/>
    <n v="30"/>
    <n v="7"/>
    <n v="180"/>
    <n v="7"/>
    <n v="180"/>
    <n v="3929.9226880000001"/>
    <n v="208.143"/>
    <n v="27315.498777300483"/>
    <n v="3277.8598532760579"/>
    <n v="110"/>
    <n v="150"/>
    <n v="1E-3"/>
    <n v="69.381"/>
    <n v="19120.849144110336"/>
    <n v="19450.230144110337"/>
    <n v="3180.9641611183101"/>
    <n v="11830.240943870103"/>
    <n v="0.08"/>
    <n v="1315.0803878385477"/>
    <n v="0.12"/>
    <n v="2334.0276172932404"/>
    <n v="15"/>
    <n v="3"/>
  </r>
  <r>
    <n v="94"/>
    <d v="2022-12-31T00:00:00"/>
    <x v="2"/>
    <s v="CLI61"/>
    <s v="CLI61"/>
    <s v="CAMACARI"/>
    <s v="BA"/>
    <s v="CLI469"/>
    <s v="MANAUS"/>
    <s v="AM"/>
    <n v="2614.6546466064642"/>
    <n v="2060.860854"/>
    <n v="0"/>
    <n v="7000"/>
    <n v="0"/>
    <x v="0"/>
    <x v="5"/>
    <s v="BRSSATK01"/>
    <s v="BRSSATCO"/>
    <n v="43.370353000000001"/>
    <n v="25.403500000000001"/>
    <n v="150"/>
    <n v="1248.6624070739199"/>
    <n v="224.75923327330557"/>
    <n v="704"/>
    <n v="7"/>
    <n v="0"/>
    <n v="0"/>
    <n v="704"/>
    <m/>
    <m/>
    <n v="0"/>
    <x v="0"/>
    <s v="BRMAOTK01"/>
    <s v="BRMAOCHI"/>
    <n v="11.436796000000001"/>
    <n v="25.403500000000001"/>
    <n v="150"/>
    <n v="775.51438908544003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138"/>
    <n v="50807"/>
    <x v="1"/>
    <x v="4"/>
    <x v="3"/>
    <x v="3"/>
    <x v="7"/>
    <x v="4"/>
    <n v="8"/>
    <n v="8"/>
    <n v="9"/>
    <n v="9"/>
    <n v="9"/>
    <n v="8"/>
    <n v="9"/>
    <n v="97"/>
    <n v="7"/>
    <n v="180"/>
    <n v="7"/>
    <n v="180"/>
    <n v="2614.6546466064642"/>
    <n v="152.42099999999999"/>
    <n v="18327.844118918634"/>
    <n v="2199.3412942702362"/>
    <n v="110"/>
    <n v="150"/>
    <n v="1E-3"/>
    <n v="50.807000000000002"/>
    <n v="12829.490883243043"/>
    <n v="13140.297883243044"/>
    <n v="3180.9641611183101"/>
    <n v="6104.1569259653734"/>
    <n v="0.08"/>
    <n v="871.30894830483032"/>
    <n v="0.12"/>
    <n v="1576.8357459891652"/>
    <n v="15"/>
    <n v="9"/>
  </r>
  <r>
    <n v="95"/>
    <d v="2022-12-31T00:00:00"/>
    <x v="2"/>
    <s v="CLI61"/>
    <s v="CLI61"/>
    <s v="CAMACARI"/>
    <s v="BA"/>
    <s v="CLI469"/>
    <s v="MANAUS"/>
    <s v="AM"/>
    <n v="2614.6546466064642"/>
    <n v="2060.860854"/>
    <n v="0"/>
    <n v="7000"/>
    <n v="0"/>
    <x v="0"/>
    <x v="5"/>
    <s v="BRSSATK01"/>
    <s v="BRSSATCO"/>
    <n v="43.370353000000001"/>
    <n v="65.345500000000001"/>
    <n v="150"/>
    <n v="1288.6044070739199"/>
    <n v="231.94879327330557"/>
    <n v="704"/>
    <n v="7"/>
    <n v="0"/>
    <n v="0"/>
    <n v="704"/>
    <m/>
    <m/>
    <n v="0"/>
    <x v="0"/>
    <s v="BRMAOTK01"/>
    <s v="BRMAOCHI"/>
    <n v="11.436796000000001"/>
    <n v="65.345500000000001"/>
    <n v="150"/>
    <n v="815.45638908544004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223"/>
    <n v="130691"/>
    <x v="1"/>
    <x v="1"/>
    <x v="6"/>
    <x v="1"/>
    <x v="8"/>
    <x v="6"/>
    <n v="5"/>
    <n v="5"/>
    <n v="5"/>
    <n v="5"/>
    <n v="5"/>
    <n v="5"/>
    <n v="5"/>
    <n v="58"/>
    <n v="7"/>
    <n v="180"/>
    <n v="7"/>
    <n v="180"/>
    <n v="2614.6546466064642"/>
    <n v="392.07300000000004"/>
    <n v="18567.496118918636"/>
    <n v="2228.0995342702363"/>
    <n v="110"/>
    <n v="150"/>
    <n v="1E-3"/>
    <n v="130.691"/>
    <n v="12997.247283243045"/>
    <n v="13387.938283243046"/>
    <n v="3180.9641611183101"/>
    <n v="6271.9133259653754"/>
    <n v="0.08"/>
    <n v="884.15429550483043"/>
    <n v="0.12"/>
    <n v="1606.5525939891654"/>
    <n v="15"/>
    <n v="5"/>
  </r>
  <r>
    <n v="96"/>
    <d v="2022-12-31T00:00:00"/>
    <x v="2"/>
    <s v="CLI61"/>
    <s v="CLI61"/>
    <s v="CAMACARI"/>
    <s v="BA"/>
    <s v="CLI469"/>
    <s v="MANAUS"/>
    <s v="AM"/>
    <n v="2614.6546466064642"/>
    <n v="2060.860854"/>
    <n v="0"/>
    <n v="7000"/>
    <n v="0"/>
    <x v="0"/>
    <x v="5"/>
    <s v="BRSSATK01"/>
    <s v="BRSSATCO"/>
    <n v="43.370353000000001"/>
    <n v="56.131999999999998"/>
    <n v="150"/>
    <n v="1279.3909070739201"/>
    <n v="230.29036327330562"/>
    <n v="704"/>
    <n v="7"/>
    <n v="0"/>
    <n v="0"/>
    <n v="704"/>
    <m/>
    <m/>
    <n v="0"/>
    <x v="0"/>
    <s v="BRMAOTK01"/>
    <s v="BRMAOCHI"/>
    <n v="11.436796000000001"/>
    <n v="56.131999999999998"/>
    <n v="150"/>
    <n v="806.24288908543997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247"/>
    <n v="112264"/>
    <x v="1"/>
    <x v="0"/>
    <x v="5"/>
    <x v="4"/>
    <x v="0"/>
    <x v="0"/>
    <n v="3"/>
    <n v="3"/>
    <n v="4"/>
    <n v="4"/>
    <n v="4"/>
    <n v="3"/>
    <n v="4"/>
    <n v="40"/>
    <n v="7"/>
    <n v="180"/>
    <n v="7"/>
    <n v="180"/>
    <n v="2614.6546466064642"/>
    <n v="336.79200000000003"/>
    <n v="18512.215118918637"/>
    <n v="2221.4658142702365"/>
    <n v="110"/>
    <n v="150"/>
    <n v="1E-3"/>
    <n v="112.264"/>
    <n v="12958.550583243044"/>
    <n v="13330.814583243044"/>
    <n v="3180.9641611183101"/>
    <n v="6233.2166259653732"/>
    <n v="0.08"/>
    <n v="881.19123390483037"/>
    <n v="0.12"/>
    <n v="1599.6977499891652"/>
    <n v="15"/>
    <n v="4"/>
  </r>
  <r>
    <n v="97"/>
    <d v="2022-12-31T00:00:00"/>
    <x v="2"/>
    <s v="CLI61"/>
    <s v="CLI61"/>
    <s v="CAMACARI"/>
    <s v="BA"/>
    <s v="CLI1221"/>
    <s v="MANAUS"/>
    <s v="AM"/>
    <n v="2614.6546466064642"/>
    <n v="2060.860854"/>
    <n v="0"/>
    <n v="7000"/>
    <n v="0"/>
    <x v="0"/>
    <x v="5"/>
    <s v="BRSSATK01"/>
    <s v="BRSSATCO"/>
    <n v="43.370353000000001"/>
    <n v="28.544"/>
    <n v="150"/>
    <n v="1251.8029070739201"/>
    <n v="225.3245232733056"/>
    <n v="704"/>
    <n v="7"/>
    <n v="0"/>
    <n v="0"/>
    <n v="704"/>
    <m/>
    <m/>
    <n v="0"/>
    <x v="0"/>
    <s v="BRMAOTK01"/>
    <s v="BRMAOCHI"/>
    <n v="11.436796000000001"/>
    <n v="28.544"/>
    <n v="150"/>
    <n v="778.65488908544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895"/>
    <n v="5708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4.6546466064642"/>
    <n v="171.26400000000001"/>
    <n v="18346.687118918635"/>
    <n v="2201.6024542702362"/>
    <n v="110"/>
    <n v="150"/>
    <n v="1E-3"/>
    <n v="57.088000000000001"/>
    <n v="12842.680983243044"/>
    <n v="13159.768983243044"/>
    <n v="3180.9641611183101"/>
    <n v="6117.347025965375"/>
    <n v="0.08"/>
    <n v="872.31893310483042"/>
    <n v="0.12"/>
    <n v="1579.1722779891652"/>
    <n v="15"/>
    <n v="1"/>
  </r>
  <r>
    <n v="98"/>
    <d v="2022-12-31T00:00:00"/>
    <x v="2"/>
    <s v="CLI61"/>
    <s v="CLI61"/>
    <s v="CAMACARI"/>
    <s v="BA"/>
    <s v="CLI539"/>
    <s v="MANAUS"/>
    <s v="AM"/>
    <n v="2614.6546466064642"/>
    <n v="2060.860854"/>
    <n v="0"/>
    <n v="7000"/>
    <n v="0"/>
    <x v="0"/>
    <x v="5"/>
    <s v="BRSSATK01"/>
    <s v="BRSSATCO"/>
    <n v="43.370353000000001"/>
    <n v="97.739000000000004"/>
    <n v="150"/>
    <n v="1320.99790707392"/>
    <n v="237.77962327330559"/>
    <n v="704"/>
    <n v="7"/>
    <n v="0"/>
    <n v="0"/>
    <n v="704"/>
    <m/>
    <m/>
    <n v="0"/>
    <x v="0"/>
    <s v="BRMAOTK01"/>
    <s v="BRMAOCHI"/>
    <n v="11.436796000000001"/>
    <n v="97.739000000000004"/>
    <n v="150"/>
    <n v="847.84988908544005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409"/>
    <n v="19547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4.6546466064642"/>
    <n v="586.43399999999997"/>
    <n v="18761.857118918637"/>
    <n v="2251.4228542702363"/>
    <n v="110"/>
    <n v="150"/>
    <n v="1E-3"/>
    <n v="195.47800000000001"/>
    <n v="13133.299983243045"/>
    <n v="13588.777983243044"/>
    <n v="3180.9641611183101"/>
    <n v="6407.9660259653738"/>
    <n v="0.08"/>
    <n v="894.57204510483029"/>
    <n v="0.12"/>
    <n v="1630.6533579891652"/>
    <n v="15"/>
    <n v="1"/>
  </r>
  <r>
    <n v="99"/>
    <d v="2022-12-31T00:00:00"/>
    <x v="2"/>
    <s v="CLI61"/>
    <s v="CLI61"/>
    <s v="CAMACARI"/>
    <s v="BA"/>
    <s v="CLI1221"/>
    <s v="MANAUS"/>
    <s v="AM"/>
    <n v="2614.6546466064642"/>
    <n v="2060.860854"/>
    <n v="0"/>
    <n v="7000"/>
    <n v="0"/>
    <x v="0"/>
    <x v="5"/>
    <s v="BRSSATK01"/>
    <s v="BRSSATCO"/>
    <n v="43.370353000000001"/>
    <n v="62.722999999999999"/>
    <n v="150"/>
    <n v="1285.98190707392"/>
    <n v="231.47674327330557"/>
    <n v="704"/>
    <n v="7"/>
    <n v="0"/>
    <n v="0"/>
    <n v="704"/>
    <m/>
    <m/>
    <n v="0"/>
    <x v="0"/>
    <s v="BRMAOTK01"/>
    <s v="BRMAOCHI"/>
    <n v="11.436796000000001"/>
    <n v="62.722999999999999"/>
    <n v="150"/>
    <n v="812.83388908543998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620"/>
    <n v="12544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4.6546466064642"/>
    <n v="376.33800000000002"/>
    <n v="18551.761118918635"/>
    <n v="2226.211334270236"/>
    <n v="110"/>
    <n v="150"/>
    <n v="1E-3"/>
    <n v="125.446"/>
    <n v="12986.232783243044"/>
    <n v="13371.678783243044"/>
    <n v="3180.9641611183101"/>
    <n v="6260.8988259653743"/>
    <n v="0.08"/>
    <n v="883.31089950483033"/>
    <n v="0.12"/>
    <n v="1604.6014539891651"/>
    <n v="15"/>
    <n v="1"/>
  </r>
  <r>
    <n v="100"/>
    <d v="2022-12-31T00:00:00"/>
    <x v="2"/>
    <s v="CLI61"/>
    <s v="CLI61"/>
    <s v="CAMACARI"/>
    <s v="BA"/>
    <s v="CLI490"/>
    <s v="MANAUS"/>
    <s v="AM"/>
    <n v="2614.6546466064642"/>
    <n v="2060.860854"/>
    <n v="0"/>
    <n v="7000"/>
    <n v="0"/>
    <x v="0"/>
    <x v="5"/>
    <s v="BRSSATK01"/>
    <s v="BRSSATCO"/>
    <n v="43.370353000000001"/>
    <n v="69.662000000000006"/>
    <n v="150"/>
    <n v="1292.92090707392"/>
    <n v="232.7257632733056"/>
    <n v="704"/>
    <n v="7"/>
    <n v="0"/>
    <n v="0"/>
    <n v="704"/>
    <m/>
    <m/>
    <n v="0"/>
    <x v="0"/>
    <s v="BRMAOTK01"/>
    <s v="BRMAOCHI"/>
    <n v="11.436796000000001"/>
    <n v="69.662000000000006"/>
    <n v="150"/>
    <n v="819.77288908544006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352"/>
    <n v="13932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4.6546466064642"/>
    <n v="417.97200000000004"/>
    <n v="18593.395118918637"/>
    <n v="2231.2074142702363"/>
    <n v="110"/>
    <n v="150"/>
    <n v="1E-3"/>
    <n v="139.32400000000001"/>
    <n v="13015.376583243045"/>
    <n v="13414.700583243046"/>
    <n v="3180.9641611183101"/>
    <n v="6290.0426259653759"/>
    <n v="0.08"/>
    <n v="885.54248190483054"/>
    <n v="0.12"/>
    <n v="1609.7640699891654"/>
    <n v="15"/>
    <n v="1"/>
  </r>
  <r>
    <n v="101"/>
    <d v="2022-12-31T00:00:00"/>
    <x v="2"/>
    <s v="CLI62"/>
    <s v="CLI62"/>
    <s v="DUQUE DE CAXIAS"/>
    <s v="RJ"/>
    <s v="CLI1083"/>
    <s v="CAMACARI"/>
    <s v="BA"/>
    <n v="1553.920842"/>
    <n v="0"/>
    <n v="0"/>
    <n v="0"/>
    <n v="0"/>
    <x v="0"/>
    <x v="4"/>
    <s v="BRIGITK01"/>
    <s v="BRIGITCO"/>
    <n v="68.801226"/>
    <n v="63.338000000000001"/>
    <n v="150"/>
    <n v="1663.3969972006398"/>
    <n v="332.67939944012801"/>
    <n v="704"/>
    <n v="7"/>
    <n v="0"/>
    <n v="0"/>
    <n v="704"/>
    <m/>
    <m/>
    <n v="0"/>
    <x v="5"/>
    <s v="BRSSATK01"/>
    <s v="BRSSATCO"/>
    <n v="43.370353000000001"/>
    <n v="63.338000000000001"/>
    <n v="150"/>
    <n v="1286.59690707392"/>
    <n v="231.58744327330558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310"/>
    <n v="126676"/>
    <x v="1"/>
    <x v="0"/>
    <x v="5"/>
    <x v="4"/>
    <x v="0"/>
    <x v="0"/>
    <n v="3"/>
    <n v="3"/>
    <n v="4"/>
    <n v="4"/>
    <n v="4"/>
    <n v="3"/>
    <n v="4"/>
    <n v="40"/>
    <n v="7"/>
    <n v="180"/>
    <n v="7"/>
    <n v="180"/>
    <n v="1553.920842"/>
    <n v="380.02800000000002"/>
    <n v="11352.050281188322"/>
    <n v="794.6435196831826"/>
    <n v="110"/>
    <n v="150"/>
    <n v="1E-3"/>
    <n v="126.676"/>
    <n v="7946.4351968318242"/>
    <n v="8333.1111968318255"/>
    <n v="3180.9641611183101"/>
    <n v="504.15313143895537"/>
    <n v="0.08"/>
    <n v="385.50803598750662"/>
    <n v="7.0000000000000007E-2"/>
    <n v="583.31778377822786"/>
    <n v="15"/>
    <n v="4"/>
  </r>
  <r>
    <n v="102"/>
    <d v="2022-12-31T00:00:00"/>
    <x v="2"/>
    <s v="CLI62"/>
    <s v="CLI62"/>
    <s v="DUQUE DE CAXIAS"/>
    <s v="RJ"/>
    <s v="CLI61"/>
    <s v="CAMACARI"/>
    <s v="BA"/>
    <n v="1553.920842"/>
    <n v="0"/>
    <n v="0"/>
    <n v="0"/>
    <n v="0"/>
    <x v="0"/>
    <x v="4"/>
    <s v="BRIGITK01"/>
    <s v="BRIGITCO"/>
    <n v="68.801226"/>
    <n v="101.7085"/>
    <n v="150"/>
    <n v="1701.7674972006398"/>
    <n v="340.35349944012796"/>
    <n v="704"/>
    <n v="7"/>
    <n v="0"/>
    <n v="0"/>
    <n v="704"/>
    <m/>
    <m/>
    <n v="0"/>
    <x v="5"/>
    <s v="BRSSATK01"/>
    <s v="BRSSATCO"/>
    <n v="43.370353000000001"/>
    <n v="101.7085"/>
    <n v="150"/>
    <n v="1324.96740707392"/>
    <n v="238.49413327330558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742"/>
    <n v="203417"/>
    <x v="1"/>
    <x v="0"/>
    <x v="0"/>
    <x v="0"/>
    <x v="2"/>
    <x v="2"/>
    <n v="3"/>
    <n v="2"/>
    <n v="3"/>
    <n v="3"/>
    <n v="3"/>
    <n v="3"/>
    <n v="3"/>
    <n v="31"/>
    <n v="7"/>
    <n v="180"/>
    <n v="7"/>
    <n v="180"/>
    <n v="1553.920842"/>
    <n v="610.25099999999998"/>
    <n v="11582.273281188322"/>
    <n v="810.75912968318255"/>
    <n v="110"/>
    <n v="150"/>
    <n v="1E-3"/>
    <n v="203.417"/>
    <n v="8107.5912968318244"/>
    <n v="8571.0082968318238"/>
    <n v="3180.9641611183101"/>
    <n v="665.3092314389537"/>
    <n v="0.08"/>
    <n v="397.23406078750645"/>
    <n v="7.0000000000000007E-2"/>
    <n v="599.97058077822771"/>
    <n v="15"/>
    <n v="3"/>
  </r>
  <r>
    <n v="103"/>
    <d v="2022-12-31T00:00:00"/>
    <x v="2"/>
    <s v="CLI62"/>
    <s v="CLI62"/>
    <s v="DUQUE DE CAXIAS"/>
    <s v="RJ"/>
    <s v="CLI454"/>
    <s v="RECIFE"/>
    <s v="PE"/>
    <n v="2256.9392659999999"/>
    <n v="0"/>
    <n v="0"/>
    <n v="0"/>
    <n v="0"/>
    <x v="0"/>
    <x v="4"/>
    <s v="BRIGITK01"/>
    <s v="BRIGITCO"/>
    <n v="68.801226"/>
    <n v="48.274500000000003"/>
    <n v="150"/>
    <n v="1648.3334972006398"/>
    <n v="329.66669944012801"/>
    <n v="704"/>
    <n v="7"/>
    <n v="0"/>
    <n v="0"/>
    <n v="704"/>
    <m/>
    <m/>
    <n v="0"/>
    <x v="2"/>
    <s v="BRSUATK01"/>
    <s v="BRSUATCO"/>
    <n v="51.681188999999996"/>
    <n v="48.274500000000003"/>
    <n v="150"/>
    <n v="1394.6720721849599"/>
    <n v="251.04097299329277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058"/>
    <n v="96549"/>
    <x v="1"/>
    <x v="2"/>
    <x v="0"/>
    <x v="0"/>
    <x v="2"/>
    <x v="2"/>
    <n v="3"/>
    <n v="2"/>
    <n v="3"/>
    <n v="3"/>
    <n v="3"/>
    <n v="2"/>
    <n v="3"/>
    <n v="29"/>
    <n v="7"/>
    <n v="180"/>
    <n v="7"/>
    <n v="180"/>
    <n v="2256.9392659999999"/>
    <n v="289.64699999999999"/>
    <n v="16035.839277835363"/>
    <n v="1122.5087494484756"/>
    <n v="110"/>
    <n v="150"/>
    <n v="1E-3"/>
    <n v="96.549000000000007"/>
    <n v="11225.087494484753"/>
    <n v="11581.636494484754"/>
    <n v="3180.9641611183101"/>
    <n v="3019.6667639808443"/>
    <n v="0.08"/>
    <n v="636.6338602132588"/>
    <n v="7.0000000000000007E-2"/>
    <n v="810.71455461393282"/>
    <n v="15"/>
    <n v="3"/>
  </r>
  <r>
    <n v="104"/>
    <d v="2022-12-31T00:00:00"/>
    <x v="2"/>
    <s v="CLI62"/>
    <s v="CLI62"/>
    <s v="DUQUE DE CAXIAS"/>
    <s v="RJ"/>
    <s v="CLI61"/>
    <s v="CAMACARI"/>
    <s v="BA"/>
    <n v="1553.920842"/>
    <n v="0"/>
    <n v="0"/>
    <n v="0"/>
    <n v="0"/>
    <x v="0"/>
    <x v="4"/>
    <s v="BRIGITK01"/>
    <s v="BRIGITCO"/>
    <n v="68.801226"/>
    <n v="92.97"/>
    <n v="150"/>
    <n v="1693.0289972006399"/>
    <n v="338.60579944012801"/>
    <n v="704"/>
    <n v="7"/>
    <n v="0"/>
    <n v="0"/>
    <n v="704"/>
    <m/>
    <m/>
    <n v="0"/>
    <x v="5"/>
    <s v="BRSSATK01"/>
    <s v="BRSSATCO"/>
    <n v="43.370353000000001"/>
    <n v="92.97"/>
    <n v="150"/>
    <n v="1316.22890707392"/>
    <n v="236.92120327330559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900"/>
    <n v="18594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1553.920842"/>
    <n v="557.82000000000005"/>
    <n v="11529.842281188321"/>
    <n v="807.08895968318257"/>
    <n v="110"/>
    <n v="150"/>
    <n v="1E-3"/>
    <n v="185.94"/>
    <n v="8070.8895968318238"/>
    <n v="8516.8295968318234"/>
    <n v="3180.9641611183101"/>
    <n v="628.60753143895408"/>
    <n v="0.08"/>
    <n v="394.56357518750644"/>
    <n v="7.0000000000000007E-2"/>
    <n v="596.17807177822772"/>
    <n v="15"/>
    <n v="2"/>
  </r>
  <r>
    <n v="105"/>
    <d v="2022-12-31T00:00:00"/>
    <x v="2"/>
    <s v="CLI62"/>
    <s v="CLI62"/>
    <s v="DUQUE DE CAXIAS"/>
    <s v="RJ"/>
    <s v="CLI1083"/>
    <s v="CAMACARI"/>
    <s v="BA"/>
    <n v="1553.920842"/>
    <n v="0"/>
    <n v="0"/>
    <n v="0"/>
    <n v="0"/>
    <x v="0"/>
    <x v="4"/>
    <s v="BRIGITK01"/>
    <s v="BRIGITCO"/>
    <n v="68.801226"/>
    <n v="121.97150000000001"/>
    <n v="150"/>
    <n v="1722.03049720064"/>
    <n v="344.406099440128"/>
    <n v="704"/>
    <n v="7"/>
    <n v="0"/>
    <n v="0"/>
    <n v="704"/>
    <m/>
    <m/>
    <n v="0"/>
    <x v="5"/>
    <s v="BRSSATK01"/>
    <s v="BRSSATCO"/>
    <n v="43.370353000000001"/>
    <n v="121.97150000000001"/>
    <n v="150"/>
    <n v="1345.2304070739201"/>
    <n v="242.14147327330562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911"/>
    <n v="24394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553.920842"/>
    <n v="731.82900000000006"/>
    <n v="11703.851281188321"/>
    <n v="819.26958968318252"/>
    <n v="110"/>
    <n v="150"/>
    <n v="1E-3"/>
    <n v="243.94300000000001"/>
    <n v="8192.6958968318249"/>
    <n v="8696.6388968318242"/>
    <n v="3180.9641611183101"/>
    <n v="750.41383143895428"/>
    <n v="0.08"/>
    <n v="403.42643358750649"/>
    <n v="7.0000000000000007E-2"/>
    <n v="608.76472277822779"/>
    <n v="15"/>
    <n v="1"/>
  </r>
  <r>
    <n v="106"/>
    <d v="2022-12-31T00:00:00"/>
    <x v="2"/>
    <s v="CLI63"/>
    <s v="CLI63"/>
    <s v="MARECHAL DEODORO"/>
    <s v="AL"/>
    <s v="CLI539"/>
    <s v="MANAUS"/>
    <s v="AM"/>
    <n v="2766.1692390567487"/>
    <n v="2024.7039380000001"/>
    <n v="0"/>
    <n v="7000"/>
    <n v="0"/>
    <x v="0"/>
    <x v="3"/>
    <s v="BRSUATK01"/>
    <s v="BRSUATCO"/>
    <n v="235.919387"/>
    <n v="89.9315"/>
    <n v="150"/>
    <n v="4166.1201261996803"/>
    <n v="499.93441514396159"/>
    <n v="1344"/>
    <n v="7"/>
    <n v="0"/>
    <n v="0"/>
    <n v="1344"/>
    <m/>
    <m/>
    <n v="0"/>
    <x v="0"/>
    <s v="BRMAOTK01"/>
    <s v="BRMAOCHI"/>
    <n v="11.436796000000001"/>
    <n v="89.9315"/>
    <n v="150"/>
    <n v="840.04238908544005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809"/>
    <n v="179863"/>
    <x v="1"/>
    <x v="5"/>
    <x v="6"/>
    <x v="5"/>
    <x v="5"/>
    <x v="6"/>
    <n v="4"/>
    <n v="4"/>
    <n v="4"/>
    <n v="4"/>
    <n v="4"/>
    <n v="4"/>
    <n v="4"/>
    <n v="48"/>
    <n v="7"/>
    <n v="180"/>
    <n v="7"/>
    <n v="180"/>
    <n v="2766.1692390567487"/>
    <n v="539.58900000000006"/>
    <n v="19743.941655664818"/>
    <n v="2369.2729986797781"/>
    <n v="110"/>
    <n v="150"/>
    <n v="1E-3"/>
    <n v="179.863"/>
    <n v="13820.759158965371"/>
    <n v="14260.622158965371"/>
    <n v="3180.9641611183101"/>
    <n v="3637.4954825619393"/>
    <n v="0.08"/>
    <n v="700.36201828290302"/>
    <n v="0.12"/>
    <n v="1711.2746590758445"/>
    <n v="15"/>
    <n v="4"/>
  </r>
  <r>
    <n v="107"/>
    <d v="2022-12-31T00:00:00"/>
    <x v="2"/>
    <s v="CLI63"/>
    <s v="CLI63"/>
    <s v="MARECHAL DEODORO"/>
    <s v="AL"/>
    <s v="CLI1221"/>
    <s v="MANAUS"/>
    <s v="AM"/>
    <n v="2766.1692390567487"/>
    <n v="2024.7039380000001"/>
    <n v="0"/>
    <n v="7000"/>
    <n v="0"/>
    <x v="0"/>
    <x v="3"/>
    <s v="BRSUATK01"/>
    <s v="BRSUATCO"/>
    <n v="235.919387"/>
    <n v="89.177999999999997"/>
    <n v="150"/>
    <n v="4165.3666261996805"/>
    <n v="499.84399514396165"/>
    <n v="1344"/>
    <n v="7"/>
    <n v="0"/>
    <n v="0"/>
    <n v="1344"/>
    <m/>
    <m/>
    <n v="0"/>
    <x v="0"/>
    <s v="BRMAOTK01"/>
    <s v="BRMAOCHI"/>
    <n v="11.436796000000001"/>
    <n v="89.177999999999997"/>
    <n v="150"/>
    <n v="839.2888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67"/>
    <n v="178356"/>
    <x v="1"/>
    <x v="5"/>
    <x v="6"/>
    <x v="5"/>
    <x v="5"/>
    <x v="6"/>
    <n v="4"/>
    <n v="4"/>
    <n v="4"/>
    <n v="4"/>
    <n v="4"/>
    <n v="4"/>
    <n v="4"/>
    <n v="48"/>
    <n v="7"/>
    <n v="180"/>
    <n v="7"/>
    <n v="180"/>
    <n v="2766.1692390567487"/>
    <n v="535.06799999999998"/>
    <n v="19739.420655664817"/>
    <n v="2368.7304786797781"/>
    <n v="110"/>
    <n v="150"/>
    <n v="1E-3"/>
    <n v="178.35599999999999"/>
    <n v="13817.594458965372"/>
    <n v="14255.950458965372"/>
    <n v="3180.9641611183101"/>
    <n v="3634.3307825619418"/>
    <n v="0.08"/>
    <n v="700.11607588290326"/>
    <n v="0.12"/>
    <n v="1710.7140550758445"/>
    <n v="15"/>
    <n v="4"/>
  </r>
  <r>
    <n v="108"/>
    <d v="2022-12-31T00:00:00"/>
    <x v="2"/>
    <s v="CLI63"/>
    <s v="CLI63"/>
    <s v="MARECHAL DEODORO"/>
    <s v="AL"/>
    <s v="CLI943"/>
    <s v="MANAUS"/>
    <s v="AM"/>
    <n v="2766.1692390567487"/>
    <n v="2024.7039380000001"/>
    <n v="0"/>
    <n v="7000"/>
    <n v="0"/>
    <x v="0"/>
    <x v="3"/>
    <s v="BRSUATK01"/>
    <s v="BRSUATCO"/>
    <n v="235.919387"/>
    <n v="115.961"/>
    <n v="150"/>
    <n v="4192.1496261996799"/>
    <n v="503.05795514396158"/>
    <n v="1344"/>
    <n v="7"/>
    <n v="0"/>
    <n v="0"/>
    <n v="1344"/>
    <m/>
    <m/>
    <n v="0"/>
    <x v="0"/>
    <s v="BRMAOTK01"/>
    <s v="BRMAOCHI"/>
    <n v="11.436796000000001"/>
    <n v="115.961"/>
    <n v="150"/>
    <n v="866.0718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335"/>
    <n v="231922"/>
    <x v="1"/>
    <x v="5"/>
    <x v="5"/>
    <x v="5"/>
    <x v="0"/>
    <x v="0"/>
    <n v="4"/>
    <n v="4"/>
    <n v="4"/>
    <n v="4"/>
    <n v="4"/>
    <n v="4"/>
    <n v="4"/>
    <n v="45"/>
    <n v="7"/>
    <n v="180"/>
    <n v="7"/>
    <n v="180"/>
    <n v="2766.1692390567487"/>
    <n v="695.76599999999996"/>
    <n v="19900.118655664817"/>
    <n v="2388.0142386797779"/>
    <n v="110"/>
    <n v="150"/>
    <n v="1E-3"/>
    <n v="231.922"/>
    <n v="13930.083058965371"/>
    <n v="14422.005058965371"/>
    <n v="3180.9641611183101"/>
    <n v="3746.8193825619405"/>
    <n v="0.08"/>
    <n v="708.85804708290311"/>
    <n v="0.12"/>
    <n v="1730.6406070758444"/>
    <n v="15"/>
    <n v="4"/>
  </r>
  <r>
    <n v="109"/>
    <d v="2022-12-31T00:00:00"/>
    <x v="2"/>
    <s v="CLI63"/>
    <s v="CLI63"/>
    <s v="MARECHAL DEODORO"/>
    <s v="AL"/>
    <s v="CLI943"/>
    <s v="MANAUS"/>
    <s v="AM"/>
    <n v="2766.1692390567487"/>
    <n v="2024.7039380000001"/>
    <n v="0"/>
    <n v="7000"/>
    <n v="0"/>
    <x v="0"/>
    <x v="3"/>
    <s v="BRSUATK01"/>
    <s v="BRSUATCO"/>
    <n v="235.919387"/>
    <n v="35.854500000000002"/>
    <n v="150"/>
    <n v="4112.04312619968"/>
    <n v="493.44517514396159"/>
    <n v="1344"/>
    <n v="7"/>
    <n v="0"/>
    <n v="0"/>
    <n v="1344"/>
    <m/>
    <m/>
    <n v="0"/>
    <x v="0"/>
    <s v="BRMAOTK01"/>
    <s v="BRMAOCHI"/>
    <n v="11.436796000000001"/>
    <n v="35.854500000000002"/>
    <n v="150"/>
    <n v="785.96538908544005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243"/>
    <n v="71709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2766.1692390567487"/>
    <n v="215.12700000000001"/>
    <n v="19419.479655664818"/>
    <n v="2330.3375586797779"/>
    <n v="110"/>
    <n v="150"/>
    <n v="1E-3"/>
    <n v="71.709000000000003"/>
    <n v="13593.635758965373"/>
    <n v="13925.344758965373"/>
    <n v="3180.9641611183101"/>
    <n v="3410.3720825619425"/>
    <n v="0.08"/>
    <n v="682.71128548290335"/>
    <n v="0.12"/>
    <n v="1671.0413710758448"/>
    <n v="15"/>
    <n v="3"/>
  </r>
  <r>
    <n v="110"/>
    <d v="2022-12-31T00:00:00"/>
    <x v="2"/>
    <s v="CLI63"/>
    <s v="CLI63"/>
    <s v="MARECHAL DEODORO"/>
    <s v="AL"/>
    <s v="CLI1178"/>
    <s v="MANAUS"/>
    <s v="AM"/>
    <n v="2766.1692390567487"/>
    <n v="2024.7039380000001"/>
    <n v="0"/>
    <n v="7000"/>
    <n v="0"/>
    <x v="0"/>
    <x v="3"/>
    <s v="BRSUATK01"/>
    <s v="BRSUATCO"/>
    <n v="235.919387"/>
    <n v="35.330500000000001"/>
    <n v="150"/>
    <n v="4111.5191261996806"/>
    <n v="493.38229514396164"/>
    <n v="1344"/>
    <n v="7"/>
    <n v="0"/>
    <n v="0"/>
    <n v="1344"/>
    <m/>
    <m/>
    <n v="0"/>
    <x v="0"/>
    <s v="BRMAOTK01"/>
    <s v="BRMAOCHI"/>
    <n v="11.436796000000001"/>
    <n v="35.330500000000001"/>
    <n v="150"/>
    <n v="785.44138908544005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784"/>
    <n v="7066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66.1692390567487"/>
    <n v="211.983"/>
    <n v="19416.335655664818"/>
    <n v="2329.9602786797782"/>
    <n v="110"/>
    <n v="150"/>
    <n v="1E-3"/>
    <n v="70.661000000000001"/>
    <n v="13591.434958965372"/>
    <n v="13922.095958965372"/>
    <n v="3180.9641611183101"/>
    <n v="3408.171282561942"/>
    <n v="0.08"/>
    <n v="682.54025188290325"/>
    <n v="0.12"/>
    <n v="1670.6515150758446"/>
    <n v="15"/>
    <n v="1"/>
  </r>
  <r>
    <n v="111"/>
    <d v="2022-12-31T00:00:00"/>
    <x v="2"/>
    <s v="CLI63"/>
    <s v="CLI63"/>
    <s v="MARECHAL DEODORO"/>
    <s v="AL"/>
    <s v="CLI1013"/>
    <s v="MANAUS"/>
    <s v="AM"/>
    <n v="2766.1692390567487"/>
    <n v="2024.7039380000001"/>
    <n v="0"/>
    <n v="7000"/>
    <n v="0"/>
    <x v="0"/>
    <x v="3"/>
    <s v="BRSUATK01"/>
    <s v="BRSUATCO"/>
    <n v="235.919387"/>
    <n v="73.349500000000006"/>
    <n v="150"/>
    <n v="4149.5381261996799"/>
    <n v="497.94457514396157"/>
    <n v="1344"/>
    <n v="7"/>
    <n v="0"/>
    <n v="0"/>
    <n v="1344"/>
    <m/>
    <m/>
    <n v="0"/>
    <x v="0"/>
    <s v="BRMAOTK01"/>
    <s v="BRMAOCHI"/>
    <n v="11.436796000000001"/>
    <n v="73.349500000000006"/>
    <n v="150"/>
    <n v="823.46038908544006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381"/>
    <n v="14669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66.1692390567487"/>
    <n v="440.09700000000004"/>
    <n v="19644.449655664819"/>
    <n v="2357.3339586797783"/>
    <n v="110"/>
    <n v="150"/>
    <n v="1E-3"/>
    <n v="146.69900000000001"/>
    <n v="13751.114758965372"/>
    <n v="14157.813758965372"/>
    <n v="3180.9641611183101"/>
    <n v="3567.8510825619437"/>
    <n v="0.08"/>
    <n v="694.94965348290339"/>
    <n v="0.12"/>
    <n v="1698.9376510758445"/>
    <n v="15"/>
    <n v="1"/>
  </r>
  <r>
    <n v="112"/>
    <d v="2022-12-31T00:00:00"/>
    <x v="2"/>
    <s v="CLI64"/>
    <s v="CLI64"/>
    <s v="SUMARE"/>
    <s v="SP"/>
    <s v="CLI61"/>
    <s v="CAMACARI"/>
    <s v="BA"/>
    <n v="1866.2076689999999"/>
    <n v="0"/>
    <n v="0"/>
    <n v="0"/>
    <n v="0"/>
    <x v="0"/>
    <x v="0"/>
    <s v="BRSSZTK01"/>
    <s v="BRSSZTCO"/>
    <n v="197.46013600000001"/>
    <n v="35.204999999999998"/>
    <n v="150"/>
    <n v="3541.55674946304"/>
    <n v="637.48021490334713"/>
    <n v="640"/>
    <n v="7"/>
    <n v="0"/>
    <n v="0"/>
    <n v="640"/>
    <m/>
    <m/>
    <n v="0"/>
    <x v="5"/>
    <s v="BRSSATK01"/>
    <s v="BRSSATCO"/>
    <n v="43.370353000000001"/>
    <n v="35.204999999999998"/>
    <n v="150"/>
    <n v="1258.4639070739199"/>
    <n v="226.52350327330558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86"/>
    <n v="7041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866.2076689999999"/>
    <n v="211.23000000000002"/>
    <n v="13303.979631872242"/>
    <n v="931.27857423105706"/>
    <n v="110"/>
    <n v="150"/>
    <n v="1E-3"/>
    <n v="70.41"/>
    <n v="9312.7857423105688"/>
    <n v="9643.1957423105687"/>
    <n v="3180.9641611183101"/>
    <n v="48.21092465529955"/>
    <n v="0.08"/>
    <n v="318.33370940775649"/>
    <n v="7.0000000000000007E-2"/>
    <n v="675.0237019617399"/>
    <n v="15"/>
    <n v="1"/>
  </r>
  <r>
    <n v="113"/>
    <d v="2022-12-31T00:00:00"/>
    <x v="2"/>
    <s v="CLI66"/>
    <s v="CLI66"/>
    <s v="BALSAMO"/>
    <s v="SP"/>
    <s v="CLI1081"/>
    <s v="MANAUS"/>
    <s v="AM"/>
    <n v="2255.5476408237782"/>
    <n v="2520.0339610000001"/>
    <n v="0"/>
    <n v="7000"/>
    <n v="0"/>
    <x v="0"/>
    <x v="0"/>
    <s v="BRSSZTK01"/>
    <s v="BRSSZTCO"/>
    <n v="543.32884899999999"/>
    <n v="114.24550000000001"/>
    <n v="150"/>
    <n v="8745.2094572473616"/>
    <n v="1574.137702304525"/>
    <n v="640"/>
    <n v="7"/>
    <n v="0"/>
    <n v="0"/>
    <n v="640"/>
    <m/>
    <m/>
    <n v="0"/>
    <x v="0"/>
    <s v="BRMAOTK01"/>
    <s v="BRMAOCHI"/>
    <n v="11.436796000000001"/>
    <n v="114.24550000000001"/>
    <n v="150"/>
    <n v="864.35638908544001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693"/>
    <n v="22849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255.5476408237782"/>
    <n v="685.47300000000007"/>
    <n v="16422.214806928649"/>
    <n v="1149.5550364850055"/>
    <n v="110"/>
    <n v="150"/>
    <n v="1E-3"/>
    <n v="228.49100000000001"/>
    <n v="11495.550364850053"/>
    <n v="11984.041364850053"/>
    <n v="3180.9641611183101"/>
    <n v="-2548.4886426010594"/>
    <n v="0.08"/>
    <n v="64.027025297018085"/>
    <n v="7.0000000000000007E-2"/>
    <n v="838.88289553950381"/>
    <n v="15"/>
    <n v="1"/>
  </r>
  <r>
    <n v="114"/>
    <d v="2022-12-31T00:00:00"/>
    <x v="2"/>
    <s v="CLI67"/>
    <s v="CLI67"/>
    <s v="ITAPEVI"/>
    <s v="SP"/>
    <s v="CLI423"/>
    <s v="IGARASSU"/>
    <s v="PE"/>
    <n v="2639.8631320000004"/>
    <n v="0"/>
    <n v="0"/>
    <n v="0"/>
    <n v="0"/>
    <x v="0"/>
    <x v="0"/>
    <s v="BRSSZTK01"/>
    <s v="BRSSZTCO"/>
    <n v="115.56559200000001"/>
    <n v="33.194499999999998"/>
    <n v="150"/>
    <n v="2326.1442730508802"/>
    <n v="418.70596914915842"/>
    <n v="640"/>
    <n v="7"/>
    <n v="0"/>
    <n v="0"/>
    <n v="640"/>
    <m/>
    <m/>
    <n v="0"/>
    <x v="2"/>
    <s v="BRSUATK01"/>
    <s v="BRSUATCO"/>
    <n v="78.551428999999999"/>
    <n v="33.194499999999998"/>
    <n v="150"/>
    <n v="1777.7187449785602"/>
    <n v="319.9893740961408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661"/>
    <n v="66389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639.8631320000004"/>
    <n v="199.167"/>
    <n v="18545.779934886727"/>
    <n v="1298.204595442071"/>
    <n v="110"/>
    <n v="150"/>
    <n v="1E-3"/>
    <n v="66.388999999999996"/>
    <n v="12982.045954420708"/>
    <n v="13308.434954420707"/>
    <n v="3180.9641611183101"/>
    <n v="3769.6077752729566"/>
    <n v="0.08"/>
    <n v="677.27012745167747"/>
    <n v="7.0000000000000007E-2"/>
    <n v="931.59044680944953"/>
    <n v="15"/>
    <n v="3"/>
  </r>
  <r>
    <n v="115"/>
    <d v="2022-12-31T00:00:00"/>
    <x v="2"/>
    <s v="CLI67"/>
    <s v="CLI67"/>
    <s v="ITAPEVI"/>
    <s v="SP"/>
    <s v="CLI594"/>
    <s v="MANAUS"/>
    <s v="AM"/>
    <n v="2665.2544069675459"/>
    <n v="2875.0867360000002"/>
    <n v="0"/>
    <n v="7000"/>
    <n v="0"/>
    <x v="0"/>
    <x v="0"/>
    <s v="BRSSZTK01"/>
    <s v="BRSSZTCO"/>
    <n v="115.56559200000001"/>
    <n v="72.959500000000006"/>
    <n v="150"/>
    <n v="2365.9092730508801"/>
    <n v="425.8636691491584"/>
    <n v="640"/>
    <n v="7"/>
    <n v="0"/>
    <n v="0"/>
    <n v="640"/>
    <m/>
    <m/>
    <n v="0"/>
    <x v="0"/>
    <s v="BRMAOTK01"/>
    <s v="BRMAOCHI"/>
    <n v="11.436796000000001"/>
    <n v="72.959500000000006"/>
    <n v="150"/>
    <n v="823.0703890854400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67"/>
    <n v="14591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65.2544069675459"/>
    <n v="437.75700000000001"/>
    <n v="18956.801067540327"/>
    <n v="1326.9760747278231"/>
    <n v="110"/>
    <n v="150"/>
    <n v="1E-3"/>
    <n v="145.91900000000001"/>
    <n v="13269.760747278229"/>
    <n v="13675.679747278229"/>
    <n v="3180.9641611183101"/>
    <n v="5563.7359240235983"/>
    <n v="0.08"/>
    <n v="804.86691327942003"/>
    <n v="7.0000000000000007E-2"/>
    <n v="957.29758230947618"/>
    <n v="15"/>
    <n v="1"/>
  </r>
  <r>
    <n v="116"/>
    <d v="2022-12-31T00:00:00"/>
    <x v="2"/>
    <s v="CLI67"/>
    <s v="CLI67"/>
    <s v="ITAPEVI"/>
    <s v="SP"/>
    <s v="CLI1312"/>
    <s v="MANAUS"/>
    <s v="AM"/>
    <n v="2665.2544069675459"/>
    <n v="2875.0867360000002"/>
    <n v="0"/>
    <n v="7000"/>
    <n v="0"/>
    <x v="0"/>
    <x v="0"/>
    <s v="BRSSZTK01"/>
    <s v="BRSSZTCO"/>
    <n v="115.56559200000001"/>
    <n v="71.918999999999997"/>
    <n v="150"/>
    <n v="2364.86877305088"/>
    <n v="425.67637914915838"/>
    <n v="640"/>
    <n v="7"/>
    <n v="0"/>
    <n v="0"/>
    <n v="640"/>
    <m/>
    <m/>
    <n v="0"/>
    <x v="0"/>
    <s v="BRMAOTK01"/>
    <s v="BRMAOCHI"/>
    <n v="11.436796000000001"/>
    <n v="71.918999999999997"/>
    <n v="150"/>
    <n v="822.0298890854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135"/>
    <n v="14383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65.2544069675459"/>
    <n v="431.51400000000001"/>
    <n v="18950.558067540325"/>
    <n v="1326.539064727823"/>
    <n v="110"/>
    <n v="150"/>
    <n v="1E-3"/>
    <n v="143.83799999999999"/>
    <n v="13265.390647278227"/>
    <n v="13669.228647278227"/>
    <n v="3180.9641611183101"/>
    <n v="5559.3658240235964"/>
    <n v="0.08"/>
    <n v="804.53228847942"/>
    <n v="7.0000000000000007E-2"/>
    <n v="956.84600530947603"/>
    <n v="15"/>
    <n v="1"/>
  </r>
  <r>
    <n v="117"/>
    <d v="2022-12-31T00:00:00"/>
    <x v="2"/>
    <s v="CLI67"/>
    <s v="CLI67"/>
    <s v="ITAPEVI"/>
    <s v="SP"/>
    <s v="CLI1312"/>
    <s v="MANAUS"/>
    <s v="AM"/>
    <n v="2665.2544069675459"/>
    <n v="2875.0867360000002"/>
    <n v="0"/>
    <n v="7000"/>
    <n v="0"/>
    <x v="0"/>
    <x v="0"/>
    <s v="BRSSZTK01"/>
    <s v="BRSSZTCO"/>
    <n v="115.56559200000001"/>
    <n v="73.06"/>
    <n v="150"/>
    <n v="2366.0097730508801"/>
    <n v="425.88175914915843"/>
    <n v="640"/>
    <n v="7"/>
    <n v="0"/>
    <n v="0"/>
    <n v="640"/>
    <m/>
    <m/>
    <n v="0"/>
    <x v="0"/>
    <s v="BRMAOTK01"/>
    <s v="BRMAOCHI"/>
    <n v="11.436796000000001"/>
    <n v="73.06"/>
    <n v="150"/>
    <n v="823.1708890854399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525"/>
    <n v="14612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65.2544069675459"/>
    <n v="438.36"/>
    <n v="18957.404067540327"/>
    <n v="1327.0182847278229"/>
    <n v="110"/>
    <n v="150"/>
    <n v="1E-3"/>
    <n v="146.12"/>
    <n v="13270.182847278227"/>
    <n v="13676.302847278228"/>
    <n v="3180.9641611183101"/>
    <n v="5564.1580240235962"/>
    <n v="0.08"/>
    <n v="804.8992340794199"/>
    <n v="7.0000000000000007E-2"/>
    <n v="957.341199309476"/>
    <n v="15"/>
    <n v="1"/>
  </r>
  <r>
    <n v="118"/>
    <d v="2022-12-31T00:00:00"/>
    <x v="0"/>
    <s v="CLI68"/>
    <s v="CLI68"/>
    <s v="CUBATAO"/>
    <s v="SP"/>
    <s v="CLI1244"/>
    <s v="MANAUS"/>
    <s v="AM"/>
    <n v="2726.5742032108928"/>
    <n v="2934.8554440000003"/>
    <n v="0"/>
    <n v="7000"/>
    <n v="0"/>
    <x v="0"/>
    <x v="0"/>
    <s v="BRSSZTK01S"/>
    <s v="BRSSZTCO"/>
    <n v="28.273662000000002"/>
    <n v="123.43600000000001"/>
    <n v="150"/>
    <n v="1123.0126713356801"/>
    <n v="202.14228084042242"/>
    <n v="640"/>
    <n v="7"/>
    <n v="160"/>
    <n v="0"/>
    <n v="1760"/>
    <m/>
    <m/>
    <n v="0"/>
    <x v="0"/>
    <s v="BRMAOTK01S"/>
    <s v="BRMAOCHI"/>
    <n v="11.436796000000001"/>
    <n v="123.43600000000001"/>
    <n v="150"/>
    <n v="873.54688908544006"/>
    <n v="0"/>
    <n v="832"/>
    <n v="7"/>
    <n v="480"/>
    <n v="0"/>
    <n v="4192"/>
    <s v="BRSSZDP01"/>
    <n v="110"/>
    <n v="50"/>
    <n v="250"/>
    <n v="120"/>
    <n v="120"/>
    <n v="110"/>
    <n v="7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29"/>
    <n v="246872"/>
    <x v="2"/>
    <x v="0"/>
    <x v="5"/>
    <x v="4"/>
    <x v="0"/>
    <x v="0"/>
    <n v="3"/>
    <n v="3"/>
    <n v="3"/>
    <n v="3"/>
    <n v="3"/>
    <n v="3"/>
    <n v="3"/>
    <n v="36"/>
    <n v="7"/>
    <n v="380"/>
    <n v="7"/>
    <n v="380"/>
    <n v="2726.5742032108928"/>
    <n v="740.61599999999999"/>
    <n v="25643.743802243836"/>
    <n v="1795.0620661570688"/>
    <n v="180"/>
    <n v="150"/>
    <n v="1E-3"/>
    <n v="246.87200000000001"/>
    <n v="16553.0289692759"/>
    <n v="17129.900969275899"/>
    <n v="3180.9641611183101"/>
    <n v="7236.9368081575885"/>
    <n v="0.08"/>
    <n v="1194.4959302411485"/>
    <n v="7.0000000000000007E-2"/>
    <n v="1199.093067849313"/>
    <n v="15"/>
    <n v="3"/>
  </r>
  <r>
    <n v="119"/>
    <d v="2022-12-31T00:00:00"/>
    <x v="0"/>
    <s v="CLI68"/>
    <s v="CLI68"/>
    <s v="CUBATAO"/>
    <s v="SP"/>
    <s v="CLI622"/>
    <s v="SALVADOR"/>
    <s v="BA"/>
    <n v="1896.8596729999999"/>
    <n v="0"/>
    <n v="0"/>
    <n v="0"/>
    <n v="0"/>
    <x v="0"/>
    <x v="0"/>
    <s v="BRSSZTK01S"/>
    <s v="BRSSZTCO"/>
    <n v="28.273662000000002"/>
    <n v="74.801500000000004"/>
    <n v="150"/>
    <n v="1074.3781713356802"/>
    <n v="193.38807084042244"/>
    <n v="640"/>
    <n v="7"/>
    <n v="160"/>
    <n v="0"/>
    <n v="1760"/>
    <m/>
    <m/>
    <n v="0"/>
    <x v="5"/>
    <s v="BRSSATK01S"/>
    <s v="BRSSATCO"/>
    <n v="2.2452209999999999"/>
    <n v="74.801500000000004"/>
    <n v="150"/>
    <n v="688.72413127743994"/>
    <n v="0"/>
    <n v="704"/>
    <n v="7"/>
    <n v="74.400000000000006"/>
    <n v="0"/>
    <n v="1224.8000000000002"/>
    <s v="BRSSZDP01"/>
    <n v="110"/>
    <n v="50"/>
    <n v="250"/>
    <n v="120"/>
    <n v="120"/>
    <n v="110"/>
    <n v="76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825"/>
    <n v="149603"/>
    <x v="2"/>
    <x v="0"/>
    <x v="5"/>
    <x v="4"/>
    <x v="0"/>
    <x v="0"/>
    <n v="3"/>
    <n v="3"/>
    <n v="3"/>
    <n v="3"/>
    <n v="3"/>
    <n v="3"/>
    <n v="3"/>
    <n v="36"/>
    <n v="7"/>
    <n v="380"/>
    <n v="7"/>
    <n v="380"/>
    <n v="1896.8596729999999"/>
    <n v="448.80900000000003"/>
    <n v="17912.981833022641"/>
    <n v="1253.908728311585"/>
    <n v="180"/>
    <n v="150"/>
    <n v="1E-3"/>
    <n v="149.60300000000001"/>
    <n v="11304.915671286664"/>
    <n v="11784.518671286663"/>
    <n v="3180.9641611183101"/>
    <n v="4858.7545101683536"/>
    <n v="0.08"/>
    <n v="786.24226382664961"/>
    <n v="7.0000000000000007E-2"/>
    <n v="824.91630699006657"/>
    <n v="15"/>
    <n v="3"/>
  </r>
  <r>
    <n v="120"/>
    <d v="2022-12-31T00:00:00"/>
    <x v="0"/>
    <s v="CLI68"/>
    <s v="CLI68"/>
    <s v="CUBATAO"/>
    <s v="SP"/>
    <s v="CLI1005"/>
    <s v="MANAUS"/>
    <s v="AM"/>
    <n v="2726.5742032108928"/>
    <n v="2934.8554440000003"/>
    <n v="0"/>
    <n v="7000"/>
    <n v="0"/>
    <x v="0"/>
    <x v="0"/>
    <s v="BRSSZTK01S"/>
    <s v="BRSSZTCO"/>
    <n v="28.273662000000002"/>
    <n v="88.638000000000005"/>
    <n v="150"/>
    <n v="1088.2146713356801"/>
    <n v="195.87864084042241"/>
    <n v="640"/>
    <n v="7"/>
    <n v="160"/>
    <n v="0"/>
    <n v="1760"/>
    <m/>
    <m/>
    <n v="0"/>
    <x v="0"/>
    <s v="BRMAOTK01S"/>
    <s v="BRMAOCHI"/>
    <n v="11.436796000000001"/>
    <n v="88.638000000000005"/>
    <n v="150"/>
    <n v="838.74888908544006"/>
    <n v="0"/>
    <n v="832"/>
    <n v="7"/>
    <n v="480"/>
    <n v="0"/>
    <n v="4192"/>
    <s v="BRSSZDP01"/>
    <n v="110"/>
    <n v="50"/>
    <n v="250"/>
    <n v="120"/>
    <n v="120"/>
    <n v="110"/>
    <n v="7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33"/>
    <n v="177276"/>
    <x v="2"/>
    <x v="2"/>
    <x v="0"/>
    <x v="0"/>
    <x v="2"/>
    <x v="2"/>
    <n v="3"/>
    <n v="2"/>
    <n v="3"/>
    <n v="3"/>
    <n v="3"/>
    <n v="3"/>
    <n v="3"/>
    <n v="30"/>
    <n v="7"/>
    <n v="380"/>
    <n v="7"/>
    <n v="380"/>
    <n v="2726.5742032108928"/>
    <n v="531.82799999999997"/>
    <n v="25434.95580224384"/>
    <n v="1780.446906157069"/>
    <n v="180"/>
    <n v="150"/>
    <n v="1E-3"/>
    <n v="177.27600000000001"/>
    <n v="16455.594569275901"/>
    <n v="16962.870569275903"/>
    <n v="3180.9641611183101"/>
    <n v="7069.9064081575925"/>
    <n v="0.08"/>
    <n v="1187.2022694411489"/>
    <n v="7.0000000000000007E-2"/>
    <n v="1187.4009398493133"/>
    <n v="15"/>
    <n v="3"/>
  </r>
  <r>
    <n v="121"/>
    <d v="2022-12-31T00:00:00"/>
    <x v="0"/>
    <s v="CLI68"/>
    <s v="CLI68"/>
    <s v="CUBATAO"/>
    <s v="SP"/>
    <s v="CLI622"/>
    <s v="SALVADOR"/>
    <s v="BA"/>
    <n v="1896.8596729999999"/>
    <n v="0"/>
    <n v="0"/>
    <n v="0"/>
    <n v="0"/>
    <x v="0"/>
    <x v="0"/>
    <s v="BRSSZTK01S"/>
    <s v="BRSSZTCO"/>
    <n v="28.273662000000002"/>
    <n v="102.102"/>
    <n v="150"/>
    <n v="1101.6786713356801"/>
    <n v="198.3021608404224"/>
    <n v="640"/>
    <n v="7"/>
    <n v="160"/>
    <n v="0"/>
    <n v="1760"/>
    <m/>
    <m/>
    <n v="0"/>
    <x v="5"/>
    <s v="BRSSATK01S"/>
    <s v="BRSSATCO"/>
    <n v="2.2452209999999999"/>
    <n v="102.102"/>
    <n v="150"/>
    <n v="716.02463127743999"/>
    <n v="0"/>
    <n v="704"/>
    <n v="7"/>
    <n v="74.400000000000006"/>
    <n v="0"/>
    <n v="1224.8000000000002"/>
    <s v="BRSSZDP01"/>
    <n v="110"/>
    <n v="50"/>
    <n v="250"/>
    <n v="120"/>
    <n v="120"/>
    <n v="110"/>
    <n v="76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889"/>
    <n v="204204"/>
    <x v="2"/>
    <x v="2"/>
    <x v="0"/>
    <x v="0"/>
    <x v="2"/>
    <x v="2"/>
    <n v="2"/>
    <n v="2"/>
    <n v="2"/>
    <n v="2"/>
    <n v="2"/>
    <n v="2"/>
    <n v="2"/>
    <n v="24"/>
    <n v="7"/>
    <n v="380"/>
    <n v="7"/>
    <n v="380"/>
    <n v="1896.8596729999999"/>
    <n v="612.61199999999997"/>
    <n v="18076.784833022641"/>
    <n v="1265.3749383115849"/>
    <n v="180"/>
    <n v="150"/>
    <n v="1E-3"/>
    <n v="204.20400000000001"/>
    <n v="11381.357071286662"/>
    <n v="11915.561071286662"/>
    <n v="3180.9641611183101"/>
    <n v="4989.796910168352"/>
    <n v="0.08"/>
    <n v="791.96444862664976"/>
    <n v="7.0000000000000007E-2"/>
    <n v="834.08927499006643"/>
    <n v="15"/>
    <n v="2"/>
  </r>
  <r>
    <n v="122"/>
    <d v="2022-12-31T00:00:00"/>
    <x v="0"/>
    <s v="CLI68"/>
    <s v="CLI68"/>
    <s v="CUBATAO"/>
    <s v="SP"/>
    <s v="CLI707"/>
    <s v="MANAUS"/>
    <s v="AM"/>
    <n v="2726.5742032108928"/>
    <n v="2934.8554440000003"/>
    <n v="0"/>
    <n v="7000"/>
    <n v="0"/>
    <x v="0"/>
    <x v="0"/>
    <s v="BRSSZTK01S"/>
    <s v="BRSSZTCO"/>
    <n v="28.273662000000002"/>
    <n v="71.850499999999997"/>
    <n v="150"/>
    <n v="1071.4271713356802"/>
    <n v="192.85689084042244"/>
    <n v="640"/>
    <n v="7"/>
    <n v="160"/>
    <n v="0"/>
    <n v="1760"/>
    <m/>
    <m/>
    <n v="0"/>
    <x v="0"/>
    <s v="BRMAOTK01S"/>
    <s v="BRMAOCHI"/>
    <n v="11.436796000000001"/>
    <n v="71.850499999999997"/>
    <n v="150"/>
    <n v="821.96138908544003"/>
    <n v="0"/>
    <n v="832"/>
    <n v="7"/>
    <n v="480"/>
    <n v="0"/>
    <n v="4192"/>
    <s v="BRSSZDP01"/>
    <n v="110"/>
    <n v="50"/>
    <n v="250"/>
    <n v="120"/>
    <n v="120"/>
    <n v="110"/>
    <n v="7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309"/>
    <n v="143701"/>
    <x v="2"/>
    <x v="2"/>
    <x v="0"/>
    <x v="0"/>
    <x v="2"/>
    <x v="2"/>
    <n v="2"/>
    <n v="2"/>
    <n v="2"/>
    <n v="2"/>
    <n v="2"/>
    <n v="2"/>
    <n v="2"/>
    <n v="24"/>
    <n v="7"/>
    <n v="380"/>
    <n v="7"/>
    <n v="380"/>
    <n v="2726.5742032108928"/>
    <n v="431.10300000000001"/>
    <n v="25334.230802243837"/>
    <n v="1773.3961561570688"/>
    <n v="180"/>
    <n v="150"/>
    <n v="1E-3"/>
    <n v="143.70099999999999"/>
    <n v="16408.5895692759"/>
    <n v="16882.290569275901"/>
    <n v="3180.9641611183101"/>
    <n v="6989.3264081575908"/>
    <n v="0.08"/>
    <n v="1183.6836094411487"/>
    <n v="7.0000000000000007E-2"/>
    <n v="1181.7603398493131"/>
    <n v="15"/>
    <n v="2"/>
  </r>
  <r>
    <n v="123"/>
    <d v="2022-12-31T00:00:00"/>
    <x v="0"/>
    <s v="CLI68"/>
    <s v="CLI68"/>
    <s v="CUBATAO"/>
    <s v="SP"/>
    <s v="CLI659"/>
    <s v="MANAUS"/>
    <s v="AM"/>
    <n v="2726.5742032108928"/>
    <n v="2934.8554440000003"/>
    <n v="0"/>
    <n v="7000"/>
    <n v="0"/>
    <x v="0"/>
    <x v="0"/>
    <s v="BRSSZTK01S"/>
    <s v="BRSSZTCO"/>
    <n v="28.273662000000002"/>
    <n v="75.522500000000008"/>
    <n v="150"/>
    <n v="1075.0991713356802"/>
    <n v="193.51785084042243"/>
    <n v="640"/>
    <n v="7"/>
    <n v="160"/>
    <n v="0"/>
    <n v="1760"/>
    <m/>
    <m/>
    <n v="0"/>
    <x v="0"/>
    <s v="BRMAOTK01S"/>
    <s v="BRMAOCHI"/>
    <n v="11.436796000000001"/>
    <n v="75.522500000000008"/>
    <n v="150"/>
    <n v="825.63338908544006"/>
    <n v="0"/>
    <n v="832"/>
    <n v="7"/>
    <n v="480"/>
    <n v="0"/>
    <n v="4192"/>
    <s v="BRSSZDP01"/>
    <n v="110"/>
    <n v="50"/>
    <n v="250"/>
    <n v="120"/>
    <n v="120"/>
    <n v="110"/>
    <n v="7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351"/>
    <n v="151045"/>
    <x v="2"/>
    <x v="2"/>
    <x v="0"/>
    <x v="0"/>
    <x v="2"/>
    <x v="2"/>
    <n v="2"/>
    <n v="2"/>
    <n v="2"/>
    <n v="2"/>
    <n v="2"/>
    <n v="2"/>
    <n v="2"/>
    <n v="24"/>
    <n v="7"/>
    <n v="380"/>
    <n v="7"/>
    <n v="380"/>
    <n v="2726.5742032108928"/>
    <n v="453.13499999999999"/>
    <n v="25356.262802243837"/>
    <n v="1774.9383961570688"/>
    <n v="180"/>
    <n v="150"/>
    <n v="1E-3"/>
    <n v="151.04500000000002"/>
    <n v="16418.871169275899"/>
    <n v="16899.916169275897"/>
    <n v="3180.9641611183101"/>
    <n v="7006.9520081575865"/>
    <n v="0.08"/>
    <n v="1184.4532606411483"/>
    <n v="7.0000000000000007E-2"/>
    <n v="1182.9941318493129"/>
    <n v="15"/>
    <n v="2"/>
  </r>
  <r>
    <n v="124"/>
    <d v="2022-12-31T00:00:00"/>
    <x v="0"/>
    <s v="CLI68"/>
    <s v="CLI68"/>
    <s v="CUBATAO"/>
    <s v="SP"/>
    <s v="CLI621"/>
    <s v="MANAUS"/>
    <s v="AM"/>
    <n v="2726.5742032108928"/>
    <n v="2934.8554440000003"/>
    <n v="0"/>
    <n v="7000"/>
    <n v="0"/>
    <x v="0"/>
    <x v="0"/>
    <s v="BRSSZTK01S"/>
    <s v="BRSSZTCO"/>
    <n v="28.273662000000002"/>
    <n v="106.9485"/>
    <n v="150"/>
    <n v="1106.5251713356802"/>
    <n v="199.17453084042242"/>
    <n v="640"/>
    <n v="7"/>
    <n v="160"/>
    <n v="0"/>
    <n v="1760"/>
    <m/>
    <m/>
    <n v="0"/>
    <x v="0"/>
    <s v="BRMAOTK01S"/>
    <s v="BRMAOCHI"/>
    <n v="11.436796000000001"/>
    <n v="106.9485"/>
    <n v="150"/>
    <n v="857.05938908543999"/>
    <n v="0"/>
    <n v="832"/>
    <n v="7"/>
    <n v="480"/>
    <n v="0"/>
    <n v="4192"/>
    <s v="BRSSZDP01"/>
    <n v="110"/>
    <n v="50"/>
    <n v="250"/>
    <n v="120"/>
    <n v="120"/>
    <n v="110"/>
    <n v="7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007"/>
    <n v="213897"/>
    <x v="2"/>
    <x v="2"/>
    <x v="2"/>
    <x v="0"/>
    <x v="2"/>
    <x v="3"/>
    <n v="2"/>
    <n v="2"/>
    <n v="2"/>
    <n v="2"/>
    <n v="2"/>
    <n v="2"/>
    <n v="2"/>
    <n v="22"/>
    <n v="7"/>
    <n v="380"/>
    <n v="7"/>
    <n v="380"/>
    <n v="2726.5742032108928"/>
    <n v="641.69100000000003"/>
    <n v="25544.818802243837"/>
    <n v="1788.1373161570689"/>
    <n v="180"/>
    <n v="150"/>
    <n v="1E-3"/>
    <n v="213.89699999999999"/>
    <n v="16506.863969275899"/>
    <n v="17050.7609692759"/>
    <n v="3180.9641611183101"/>
    <n v="7157.7968081575891"/>
    <n v="0.08"/>
    <n v="1191.0401502411485"/>
    <n v="7.0000000000000007E-2"/>
    <n v="1193.553267849313"/>
    <n v="15"/>
    <n v="2"/>
  </r>
  <r>
    <n v="125"/>
    <d v="2022-12-31T00:00:00"/>
    <x v="0"/>
    <s v="CLI68"/>
    <s v="CLI68"/>
    <s v="CUBATAO"/>
    <s v="SP"/>
    <s v="CLI836"/>
    <s v="MANAUS"/>
    <s v="AM"/>
    <n v="2726.5742032108928"/>
    <n v="2934.8554440000003"/>
    <n v="0"/>
    <n v="7000"/>
    <n v="0"/>
    <x v="0"/>
    <x v="0"/>
    <s v="BRSSZTK01S"/>
    <s v="BRSSZTCO"/>
    <n v="28.273662000000002"/>
    <n v="57.045500000000004"/>
    <n v="150"/>
    <n v="1056.6221713356802"/>
    <n v="190.19199084042242"/>
    <n v="640"/>
    <n v="7"/>
    <n v="160"/>
    <n v="0"/>
    <n v="1760"/>
    <m/>
    <m/>
    <n v="0"/>
    <x v="0"/>
    <s v="BRMAOTK01S"/>
    <s v="BRMAOCHI"/>
    <n v="11.436796000000001"/>
    <n v="57.045500000000004"/>
    <n v="150"/>
    <n v="807.15638908543997"/>
    <n v="0"/>
    <n v="832"/>
    <n v="7"/>
    <n v="480"/>
    <n v="0"/>
    <n v="4192"/>
    <s v="BRSSZDP01"/>
    <n v="110"/>
    <n v="50"/>
    <n v="250"/>
    <n v="120"/>
    <n v="120"/>
    <n v="110"/>
    <n v="7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94"/>
    <n v="114091"/>
    <x v="2"/>
    <x v="2"/>
    <x v="2"/>
    <x v="0"/>
    <x v="2"/>
    <x v="3"/>
    <n v="2"/>
    <n v="2"/>
    <n v="2"/>
    <n v="2"/>
    <n v="2"/>
    <n v="2"/>
    <n v="2"/>
    <n v="22"/>
    <n v="7"/>
    <n v="380"/>
    <n v="7"/>
    <n v="380"/>
    <n v="2726.5742032108928"/>
    <n v="342.27300000000002"/>
    <n v="25245.400802243839"/>
    <n v="1767.178056157069"/>
    <n v="180"/>
    <n v="150"/>
    <n v="1E-3"/>
    <n v="114.09100000000001"/>
    <n v="16367.135569275903"/>
    <n v="16811.226569275903"/>
    <n v="3180.9641611183101"/>
    <n v="6918.2624081575923"/>
    <n v="0.08"/>
    <n v="1180.580481441149"/>
    <n v="7.0000000000000007E-2"/>
    <n v="1176.7858598493133"/>
    <n v="15"/>
    <n v="2"/>
  </r>
  <r>
    <n v="126"/>
    <d v="2022-12-31T00:00:00"/>
    <x v="0"/>
    <s v="CLI68"/>
    <s v="CLI68"/>
    <s v="CUBATAO"/>
    <s v="SP"/>
    <s v="CLI69"/>
    <s v="IPOJUCA"/>
    <s v="PE"/>
    <n v="2592.1723980000002"/>
    <n v="0"/>
    <n v="0"/>
    <n v="0"/>
    <n v="0"/>
    <x v="0"/>
    <x v="0"/>
    <s v="BRSSZTK01S"/>
    <s v="BRSSZTCO"/>
    <n v="28.273662000000002"/>
    <n v="57.331499999999998"/>
    <n v="150"/>
    <n v="1056.90817133568"/>
    <n v="190.24347084042239"/>
    <n v="640"/>
    <n v="7"/>
    <n v="160"/>
    <n v="0"/>
    <n v="1760"/>
    <m/>
    <m/>
    <n v="0"/>
    <x v="2"/>
    <s v="BRSUATK01S"/>
    <s v="BRSUATCO"/>
    <n v="23.753726"/>
    <n v="57.331499999999998"/>
    <n v="150"/>
    <n v="989.93790680064001"/>
    <n v="0"/>
    <n v="1344"/>
    <n v="7"/>
    <n v="480"/>
    <n v="0"/>
    <n v="4704"/>
    <s v="BRSSZDP01"/>
    <n v="110"/>
    <n v="50"/>
    <n v="250"/>
    <n v="120"/>
    <n v="120"/>
    <n v="110"/>
    <n v="76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823"/>
    <n v="114663"/>
    <x v="2"/>
    <x v="2"/>
    <x v="2"/>
    <x v="0"/>
    <x v="3"/>
    <x v="3"/>
    <n v="2"/>
    <n v="2"/>
    <n v="2"/>
    <n v="2"/>
    <n v="2"/>
    <n v="2"/>
    <n v="2"/>
    <n v="21"/>
    <n v="7"/>
    <n v="380"/>
    <n v="7"/>
    <n v="380"/>
    <n v="2592.1723980000002"/>
    <n v="343.98900000000003"/>
    <n v="24042.11322530064"/>
    <n v="1682.947925771045"/>
    <n v="180"/>
    <n v="150"/>
    <n v="1E-3"/>
    <n v="114.663"/>
    <n v="15396.687003015024"/>
    <n v="15841.350003015024"/>
    <n v="3180.9641611183101"/>
    <n v="5436.3858418967138"/>
    <n v="0.08"/>
    <n v="1088.3408363230626"/>
    <n v="7.0000000000000007E-2"/>
    <n v="1108.8945002110518"/>
    <n v="15"/>
    <n v="2"/>
  </r>
  <r>
    <n v="127"/>
    <d v="2022-12-31T00:00:00"/>
    <x v="0"/>
    <s v="CLI68"/>
    <s v="CLI68"/>
    <s v="CUBATAO"/>
    <s v="SP"/>
    <s v="CLI622"/>
    <s v="SALVADOR"/>
    <s v="BA"/>
    <n v="1896.8596729999999"/>
    <n v="0"/>
    <n v="0"/>
    <n v="0"/>
    <n v="0"/>
    <x v="0"/>
    <x v="0"/>
    <s v="BRSSZTK01S"/>
    <s v="BRSSZTCO"/>
    <n v="28.273662000000002"/>
    <n v="100.85550000000001"/>
    <n v="150"/>
    <n v="1100.4321713356801"/>
    <n v="198.07779084042241"/>
    <n v="640"/>
    <n v="7"/>
    <n v="160"/>
    <n v="0"/>
    <n v="1760"/>
    <m/>
    <m/>
    <n v="0"/>
    <x v="5"/>
    <s v="BRSSATK01S"/>
    <s v="BRSSATCO"/>
    <n v="2.2452209999999999"/>
    <n v="100.85550000000001"/>
    <n v="150"/>
    <n v="714.77813127744002"/>
    <n v="0"/>
    <n v="704"/>
    <n v="7"/>
    <n v="74.400000000000006"/>
    <n v="0"/>
    <n v="1224.8000000000002"/>
    <s v="BRSSZDP01"/>
    <n v="110"/>
    <n v="50"/>
    <n v="250"/>
    <n v="120"/>
    <n v="120"/>
    <n v="110"/>
    <n v="76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241"/>
    <n v="201711"/>
    <x v="2"/>
    <x v="3"/>
    <x v="2"/>
    <x v="2"/>
    <x v="3"/>
    <x v="3"/>
    <n v="2"/>
    <n v="1"/>
    <n v="2"/>
    <n v="2"/>
    <n v="2"/>
    <n v="2"/>
    <n v="2"/>
    <n v="18"/>
    <n v="7"/>
    <n v="380"/>
    <n v="7"/>
    <n v="380"/>
    <n v="1896.8596729999999"/>
    <n v="605.13300000000004"/>
    <n v="18069.305833022641"/>
    <n v="1264.8514083115849"/>
    <n v="180"/>
    <n v="150"/>
    <n v="1E-3"/>
    <n v="201.71100000000001"/>
    <n v="11377.866871286664"/>
    <n v="11909.577871286663"/>
    <n v="3180.9641611183101"/>
    <n v="4983.8137101683533"/>
    <n v="0.08"/>
    <n v="791.70318222664969"/>
    <n v="7.0000000000000007E-2"/>
    <n v="833.67045099006646"/>
    <n v="15"/>
    <n v="2"/>
  </r>
  <r>
    <n v="128"/>
    <d v="2022-12-31T00:00:00"/>
    <x v="0"/>
    <s v="CLI68"/>
    <s v="CLI68"/>
    <s v="CUBATAO"/>
    <s v="SP"/>
    <s v="CLI561"/>
    <s v="MANAUS"/>
    <s v="AM"/>
    <n v="2726.5742032108928"/>
    <n v="2934.8554440000003"/>
    <n v="0"/>
    <n v="7000"/>
    <n v="0"/>
    <x v="0"/>
    <x v="0"/>
    <s v="BRSSZTK01S"/>
    <s v="BRSSZTCO"/>
    <n v="28.273662000000002"/>
    <n v="58.01"/>
    <n v="150"/>
    <n v="1057.58667133568"/>
    <n v="190.36560084042239"/>
    <n v="640"/>
    <n v="7"/>
    <n v="160"/>
    <n v="0"/>
    <n v="1760"/>
    <m/>
    <m/>
    <n v="0"/>
    <x v="0"/>
    <s v="BRMAOTK01S"/>
    <s v="BRMAOCHI"/>
    <n v="11.436796000000001"/>
    <n v="58.01"/>
    <n v="150"/>
    <n v="808.12088908544001"/>
    <n v="0"/>
    <n v="832"/>
    <n v="7"/>
    <n v="480"/>
    <n v="0"/>
    <n v="4192"/>
    <s v="BRSSZDP01"/>
    <n v="110"/>
    <n v="50"/>
    <n v="250"/>
    <n v="120"/>
    <n v="120"/>
    <n v="110"/>
    <n v="7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959"/>
    <n v="116020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726.5742032108928"/>
    <n v="348.06"/>
    <n v="25251.18780224384"/>
    <n v="1767.583146157069"/>
    <n v="180"/>
    <n v="150"/>
    <n v="1E-3"/>
    <n v="116.02"/>
    <n v="16369.836169275903"/>
    <n v="16815.856169275903"/>
    <n v="3180.9641611183101"/>
    <n v="6922.8920081575925"/>
    <n v="0.08"/>
    <n v="1180.7826406411489"/>
    <n v="7.0000000000000007E-2"/>
    <n v="1177.1099318493134"/>
    <n v="15"/>
    <n v="1"/>
  </r>
  <r>
    <n v="129"/>
    <d v="2022-12-31T00:00:00"/>
    <x v="0"/>
    <s v="CLI68"/>
    <s v="CLI68"/>
    <s v="CUBATAO"/>
    <s v="SP"/>
    <s v="CLI1005"/>
    <s v="MANAUS"/>
    <s v="AM"/>
    <n v="2726.5742032108928"/>
    <n v="2934.8554440000003"/>
    <n v="0"/>
    <n v="7000"/>
    <n v="0"/>
    <x v="0"/>
    <x v="0"/>
    <s v="BRSSZTK01S"/>
    <s v="BRSSZTCO"/>
    <n v="28.273662000000002"/>
    <n v="92.827500000000001"/>
    <n v="150"/>
    <n v="1092.4041713356801"/>
    <n v="196.6327508404224"/>
    <n v="640"/>
    <n v="7"/>
    <n v="160"/>
    <n v="0"/>
    <n v="1760"/>
    <m/>
    <m/>
    <n v="0"/>
    <x v="0"/>
    <s v="BRMAOTK01S"/>
    <s v="BRMAOCHI"/>
    <n v="11.436796000000001"/>
    <n v="92.827500000000001"/>
    <n v="150"/>
    <n v="842.93838908544001"/>
    <n v="0"/>
    <n v="832"/>
    <n v="7"/>
    <n v="480"/>
    <n v="0"/>
    <n v="4192"/>
    <s v="BRSSZDP01"/>
    <n v="110"/>
    <n v="50"/>
    <n v="250"/>
    <n v="120"/>
    <n v="120"/>
    <n v="110"/>
    <n v="7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921"/>
    <n v="185655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726.5742032108928"/>
    <n v="556.96500000000003"/>
    <n v="25460.092802243838"/>
    <n v="1782.2064961570688"/>
    <n v="180"/>
    <n v="150"/>
    <n v="1E-3"/>
    <n v="185.655"/>
    <n v="16467.325169275904"/>
    <n v="16982.980169275903"/>
    <n v="3180.9641611183101"/>
    <n v="7090.0160081575923"/>
    <n v="0.08"/>
    <n v="1188.0803886411488"/>
    <n v="7.0000000000000007E-2"/>
    <n v="1188.8086118493134"/>
    <n v="15"/>
    <n v="1"/>
  </r>
  <r>
    <n v="130"/>
    <d v="2022-12-31T00:00:00"/>
    <x v="0"/>
    <s v="CLI68"/>
    <s v="CLI68"/>
    <s v="CUBATAO"/>
    <s v="SP"/>
    <s v="CLI1005"/>
    <s v="MANAUS"/>
    <s v="AM"/>
    <n v="2726.5742032108928"/>
    <n v="2934.8554440000003"/>
    <n v="0"/>
    <n v="7000"/>
    <n v="0"/>
    <x v="0"/>
    <x v="0"/>
    <s v="BRSSZTK01S"/>
    <s v="BRSSZTCO"/>
    <n v="28.273662000000002"/>
    <n v="35.349000000000004"/>
    <n v="150"/>
    <n v="1034.9256713356801"/>
    <n v="186.28662084042242"/>
    <n v="640"/>
    <n v="7"/>
    <n v="160"/>
    <n v="0"/>
    <n v="1760"/>
    <m/>
    <m/>
    <n v="0"/>
    <x v="0"/>
    <s v="BRMAOTK01S"/>
    <s v="BRMAOCHI"/>
    <n v="11.436796000000001"/>
    <n v="35.349000000000004"/>
    <n v="150"/>
    <n v="785.45988908544007"/>
    <n v="0"/>
    <n v="832"/>
    <n v="7"/>
    <n v="480"/>
    <n v="0"/>
    <n v="4192"/>
    <s v="BRSSZDP01"/>
    <n v="110"/>
    <n v="50"/>
    <n v="250"/>
    <n v="120"/>
    <n v="120"/>
    <n v="110"/>
    <n v="7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314"/>
    <n v="70698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726.5742032108928"/>
    <n v="212.09399999999999"/>
    <n v="25115.221802243839"/>
    <n v="1758.0655261570689"/>
    <n v="180"/>
    <n v="150"/>
    <n v="1E-3"/>
    <n v="70.698000000000008"/>
    <n v="16306.385369275902"/>
    <n v="16707.083369275904"/>
    <n v="3180.9641611183101"/>
    <n v="6814.1192081575937"/>
    <n v="0.08"/>
    <n v="1176.032895041149"/>
    <n v="7.0000000000000007E-2"/>
    <n v="1169.4958358493134"/>
    <n v="15"/>
    <n v="1"/>
  </r>
  <r>
    <n v="131"/>
    <d v="2022-12-31T00:00:00"/>
    <x v="0"/>
    <s v="CLI69"/>
    <s v="CLI69"/>
    <s v="IPOJUCA"/>
    <s v="PE"/>
    <s v="CLI621"/>
    <s v="MANAUS"/>
    <s v="AM"/>
    <n v="2824.7841972531837"/>
    <n v="2060.3329469999999"/>
    <n v="0"/>
    <n v="7000"/>
    <n v="0"/>
    <x v="0"/>
    <x v="3"/>
    <s v="BRSUATK01S"/>
    <s v="BRSUATCO"/>
    <n v="23.753726"/>
    <n v="117.491"/>
    <n v="150"/>
    <n v="1050.0974068006399"/>
    <n v="0"/>
    <n v="1344"/>
    <n v="7"/>
    <n v="480"/>
    <n v="0"/>
    <n v="4704"/>
    <m/>
    <m/>
    <n v="0"/>
    <x v="0"/>
    <s v="BRMAOTK01S"/>
    <s v="BRMAOCHI"/>
    <n v="11.436796000000001"/>
    <n v="117.491"/>
    <n v="150"/>
    <n v="867.60188908544001"/>
    <n v="0"/>
    <n v="832"/>
    <n v="7"/>
    <n v="480"/>
    <n v="0"/>
    <n v="4192"/>
    <s v="BRSUADP01"/>
    <n v="95"/>
    <n v="70"/>
    <n v="290"/>
    <n v="150"/>
    <n v="150"/>
    <n v="95"/>
    <n v="85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165"/>
    <n v="234982"/>
    <x v="2"/>
    <x v="2"/>
    <x v="0"/>
    <x v="0"/>
    <x v="2"/>
    <x v="2"/>
    <n v="2"/>
    <n v="2"/>
    <n v="2"/>
    <n v="2"/>
    <n v="2"/>
    <n v="2"/>
    <n v="2"/>
    <n v="24"/>
    <n v="7"/>
    <n v="380"/>
    <n v="7"/>
    <n v="380"/>
    <n v="2824.7841972531837"/>
    <n v="704.94600000000003"/>
    <n v="26488.593181628923"/>
    <n v="3178.6311817954706"/>
    <n v="180"/>
    <n v="150"/>
    <n v="1E-3"/>
    <n v="234.982"/>
    <n v="17199.625720019991"/>
    <n v="17764.607720019991"/>
    <n v="3180.9641611183101"/>
    <n v="4837.6435589016801"/>
    <n v="0.08"/>
    <n v="1267.7526739307129"/>
    <n v="0.12"/>
    <n v="2131.7529264023988"/>
    <n v="15"/>
    <n v="2"/>
  </r>
  <r>
    <n v="132"/>
    <d v="2022-12-31T00:00:00"/>
    <x v="0"/>
    <s v="CLI69"/>
    <s v="CLI69"/>
    <s v="IPOJUCA"/>
    <s v="PE"/>
    <s v="CLI1244"/>
    <s v="MANAUS"/>
    <s v="AM"/>
    <n v="2824.7841972531837"/>
    <n v="2060.3329469999999"/>
    <n v="0"/>
    <n v="7000"/>
    <n v="0"/>
    <x v="0"/>
    <x v="3"/>
    <s v="BRSUATK01S"/>
    <s v="BRSUATCO"/>
    <n v="23.753726"/>
    <n v="30.356000000000002"/>
    <n v="150"/>
    <n v="962.96240680064"/>
    <n v="0"/>
    <n v="1344"/>
    <n v="7"/>
    <n v="0"/>
    <n v="0"/>
    <n v="1344"/>
    <m/>
    <m/>
    <n v="0"/>
    <x v="0"/>
    <s v="BRMAOTK01S"/>
    <s v="BRMAOCHI"/>
    <n v="11.436796000000001"/>
    <n v="30.356000000000002"/>
    <n v="150"/>
    <n v="780.4668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951"/>
    <n v="60712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24.7841972531837"/>
    <n v="182.136"/>
    <n v="19784.540492178483"/>
    <n v="2374.1448590614177"/>
    <n v="110"/>
    <n v="150"/>
    <n v="1E-3"/>
    <n v="60.712000000000003"/>
    <n v="12628.777837404679"/>
    <n v="12949.489837404679"/>
    <n v="3180.9641611183101"/>
    <n v="7332.5256762863683"/>
    <n v="0.08"/>
    <n v="896.48484332148803"/>
    <n v="0.12"/>
    <n v="1553.9387804885614"/>
    <n v="15"/>
    <n v="2"/>
  </r>
  <r>
    <n v="133"/>
    <d v="2022-12-31T00:00:00"/>
    <x v="0"/>
    <s v="CLI69"/>
    <s v="CLI69"/>
    <s v="IPOJUCA"/>
    <s v="PE"/>
    <s v="CLI561"/>
    <s v="MANAUS"/>
    <s v="AM"/>
    <n v="2824.7841972531837"/>
    <n v="2060.3329469999999"/>
    <n v="0"/>
    <n v="7000"/>
    <n v="0"/>
    <x v="0"/>
    <x v="3"/>
    <s v="BRSUATK01S"/>
    <s v="BRSUATCO"/>
    <n v="23.753726"/>
    <n v="33.996000000000002"/>
    <n v="150"/>
    <n v="966.60240680063998"/>
    <n v="0"/>
    <n v="1344"/>
    <n v="7"/>
    <n v="480"/>
    <n v="0"/>
    <n v="4704"/>
    <m/>
    <m/>
    <n v="0"/>
    <x v="0"/>
    <s v="BRMAOTK01S"/>
    <s v="BRMAOCHI"/>
    <n v="11.436796000000001"/>
    <n v="33.996000000000002"/>
    <n v="150"/>
    <n v="784.10688908544"/>
    <n v="0"/>
    <n v="832"/>
    <n v="7"/>
    <n v="480"/>
    <n v="0"/>
    <n v="4192"/>
    <s v="BRSUADP01"/>
    <n v="95"/>
    <n v="70"/>
    <n v="290"/>
    <n v="150"/>
    <n v="150"/>
    <n v="95"/>
    <n v="85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240"/>
    <n v="67992"/>
    <x v="2"/>
    <x v="2"/>
    <x v="2"/>
    <x v="0"/>
    <x v="2"/>
    <x v="3"/>
    <n v="2"/>
    <n v="2"/>
    <n v="2"/>
    <n v="2"/>
    <n v="2"/>
    <n v="2"/>
    <n v="2"/>
    <n v="22"/>
    <n v="7"/>
    <n v="380"/>
    <n v="7"/>
    <n v="380"/>
    <n v="2824.7841972531837"/>
    <n v="203.976"/>
    <n v="25987.623181628922"/>
    <n v="3118.5147817954703"/>
    <n v="180"/>
    <n v="150"/>
    <n v="1E-3"/>
    <n v="67.992000000000004"/>
    <n v="16965.839720019987"/>
    <n v="17363.831720019985"/>
    <n v="3180.9641611183101"/>
    <n v="4436.8675589016748"/>
    <n v="0.08"/>
    <n v="1249.0497939307124"/>
    <n v="0.12"/>
    <n v="2083.6598064023983"/>
    <n v="15"/>
    <n v="2"/>
  </r>
  <r>
    <n v="134"/>
    <d v="2022-12-31T00:00:00"/>
    <x v="0"/>
    <s v="CLI69"/>
    <s v="CLI69"/>
    <s v="IPOJUCA"/>
    <s v="PE"/>
    <s v="CLI561"/>
    <s v="MANAUS"/>
    <s v="AM"/>
    <n v="2824.7841972531837"/>
    <n v="2060.3329469999999"/>
    <n v="0"/>
    <n v="7000"/>
    <n v="0"/>
    <x v="0"/>
    <x v="3"/>
    <s v="BRSUATK01S"/>
    <s v="BRSUATCO"/>
    <n v="23.753726"/>
    <n v="111.55"/>
    <n v="150"/>
    <n v="1044.1564068006401"/>
    <n v="0"/>
    <n v="1344"/>
    <n v="7"/>
    <n v="480"/>
    <n v="0"/>
    <n v="4704"/>
    <m/>
    <m/>
    <n v="0"/>
    <x v="0"/>
    <s v="BRMAOTK01S"/>
    <s v="BRMAOCHI"/>
    <n v="11.436796000000001"/>
    <n v="111.55"/>
    <n v="150"/>
    <n v="861.66088908543998"/>
    <n v="0"/>
    <n v="832"/>
    <n v="7"/>
    <n v="480"/>
    <n v="0"/>
    <n v="4192"/>
    <s v="BRSUADP01"/>
    <n v="95"/>
    <n v="70"/>
    <n v="290"/>
    <n v="150"/>
    <n v="150"/>
    <n v="95"/>
    <n v="85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265"/>
    <n v="223100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824.7841972531837"/>
    <n v="669.30000000000007"/>
    <n v="26452.947181628922"/>
    <n v="3174.3536617954705"/>
    <n v="180"/>
    <n v="150"/>
    <n v="1E-3"/>
    <n v="223.1"/>
    <n v="17182.990920019987"/>
    <n v="17736.090920019986"/>
    <n v="3180.9641611183101"/>
    <n v="4809.1267589016752"/>
    <n v="0.08"/>
    <n v="1266.4218899307123"/>
    <n v="0.12"/>
    <n v="2128.3309104023983"/>
    <n v="15"/>
    <n v="1"/>
  </r>
  <r>
    <n v="135"/>
    <d v="2022-12-31T00:00:00"/>
    <x v="0"/>
    <s v="CLI69"/>
    <s v="CLI69"/>
    <s v="IPOJUCA"/>
    <s v="PE"/>
    <s v="CLI1244"/>
    <s v="MANAUS"/>
    <s v="AM"/>
    <n v="2824.7841972531837"/>
    <n v="2060.3329469999999"/>
    <n v="0"/>
    <n v="7000"/>
    <n v="0"/>
    <x v="0"/>
    <x v="3"/>
    <s v="BRSUATK01S"/>
    <s v="BRSUATCO"/>
    <n v="23.753726"/>
    <n v="32.655000000000001"/>
    <n v="150"/>
    <n v="965.26140680063997"/>
    <n v="0"/>
    <n v="1344"/>
    <n v="7"/>
    <n v="480"/>
    <n v="0"/>
    <n v="4704"/>
    <m/>
    <m/>
    <n v="0"/>
    <x v="0"/>
    <s v="BRMAOTK01S"/>
    <s v="BRMAOCHI"/>
    <n v="11.436796000000001"/>
    <n v="32.655000000000001"/>
    <n v="150"/>
    <n v="782.76588908543999"/>
    <n v="0"/>
    <n v="832"/>
    <n v="7"/>
    <n v="480"/>
    <n v="0"/>
    <n v="4192"/>
    <s v="BRSUADP01"/>
    <n v="95"/>
    <n v="70"/>
    <n v="290"/>
    <n v="150"/>
    <n v="150"/>
    <n v="95"/>
    <n v="85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294"/>
    <n v="65310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824.7841972531837"/>
    <n v="195.93"/>
    <n v="25979.577181628923"/>
    <n v="3117.5492617954706"/>
    <n v="180"/>
    <n v="150"/>
    <n v="1E-3"/>
    <n v="65.31"/>
    <n v="16962.084920019988"/>
    <n v="17357.39492001999"/>
    <n v="3180.9641611183101"/>
    <n v="4430.4307589016789"/>
    <n v="0.08"/>
    <n v="1248.7494099307128"/>
    <n v="0.12"/>
    <n v="2082.8873904023985"/>
    <n v="15"/>
    <n v="1"/>
  </r>
  <r>
    <n v="136"/>
    <d v="2022-12-31T00:00:00"/>
    <x v="0"/>
    <s v="CLI69"/>
    <s v="CLI69"/>
    <s v="IPOJUCA"/>
    <s v="PE"/>
    <s v="CLI561"/>
    <s v="MANAUS"/>
    <s v="AM"/>
    <n v="2824.7841972531837"/>
    <n v="2060.3329469999999"/>
    <n v="0"/>
    <n v="7000"/>
    <n v="0"/>
    <x v="0"/>
    <x v="3"/>
    <s v="BRSUATK01S"/>
    <s v="BRSUATCO"/>
    <n v="23.753726"/>
    <n v="57.605000000000004"/>
    <n v="150"/>
    <n v="990.21140680064002"/>
    <n v="0"/>
    <n v="1344"/>
    <n v="7"/>
    <n v="480"/>
    <n v="0"/>
    <n v="4704"/>
    <m/>
    <m/>
    <n v="0"/>
    <x v="0"/>
    <s v="BRMAOTK01S"/>
    <s v="BRMAOCHI"/>
    <n v="11.436796000000001"/>
    <n v="57.605000000000004"/>
    <n v="150"/>
    <n v="807.71588908544004"/>
    <n v="0"/>
    <n v="832"/>
    <n v="7"/>
    <n v="480"/>
    <n v="0"/>
    <n v="4192"/>
    <s v="BRSUADP01"/>
    <n v="95"/>
    <n v="70"/>
    <n v="290"/>
    <n v="150"/>
    <n v="150"/>
    <n v="95"/>
    <n v="85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560"/>
    <n v="115210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824.7841972531837"/>
    <n v="345.63"/>
    <n v="26129.277181628924"/>
    <n v="3135.513261795471"/>
    <n v="180"/>
    <n v="150"/>
    <n v="1E-3"/>
    <n v="115.21000000000001"/>
    <n v="17031.944920019989"/>
    <n v="17477.154920019988"/>
    <n v="3180.9641611183101"/>
    <n v="4550.1907589016773"/>
    <n v="0.08"/>
    <n v="1254.3382099307125"/>
    <n v="0.12"/>
    <n v="2097.2585904023986"/>
    <n v="15"/>
    <n v="1"/>
  </r>
  <r>
    <n v="137"/>
    <d v="2022-12-31T00:00:00"/>
    <x v="0"/>
    <s v="CLI69"/>
    <s v="CLI69"/>
    <s v="IPOJUCA"/>
    <s v="PE"/>
    <s v="CLI561"/>
    <s v="MANAUS"/>
    <s v="AM"/>
    <n v="2824.7841972531837"/>
    <n v="2060.3329469999999"/>
    <n v="0"/>
    <n v="7000"/>
    <n v="0"/>
    <x v="0"/>
    <x v="3"/>
    <s v="BRSUATK01S"/>
    <s v="BRSUATCO"/>
    <n v="23.753726"/>
    <n v="96.731000000000009"/>
    <n v="150"/>
    <n v="1029.3374068006401"/>
    <n v="0"/>
    <n v="1344"/>
    <n v="7"/>
    <n v="0"/>
    <n v="0"/>
    <n v="1344"/>
    <m/>
    <m/>
    <n v="0"/>
    <x v="0"/>
    <s v="BRMAOTK01S"/>
    <s v="BRMAOCHI"/>
    <n v="11.436796000000001"/>
    <n v="96.731000000000009"/>
    <n v="150"/>
    <n v="846.8418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61"/>
    <n v="19346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580.38599999999997"/>
    <n v="20182.790492178483"/>
    <n v="2421.9348590614177"/>
    <n v="110"/>
    <n v="150"/>
    <n v="1E-3"/>
    <n v="193.46200000000002"/>
    <n v="12814.62783740468"/>
    <n v="13268.089837404679"/>
    <n v="3180.9641611183101"/>
    <n v="7651.1256762863686"/>
    <n v="0.08"/>
    <n v="911.35284332148785"/>
    <n v="0.12"/>
    <n v="1592.1707804885614"/>
    <n v="15"/>
    <n v="1"/>
  </r>
  <r>
    <n v="138"/>
    <d v="2022-12-31T00:00:00"/>
    <x v="0"/>
    <s v="CLI69"/>
    <s v="CLI69"/>
    <s v="IPOJUCA"/>
    <s v="PE"/>
    <s v="CLI659"/>
    <s v="MANAUS"/>
    <s v="AM"/>
    <n v="2824.7841972531837"/>
    <n v="2060.3329469999999"/>
    <n v="0"/>
    <n v="7000"/>
    <n v="0"/>
    <x v="0"/>
    <x v="3"/>
    <s v="BRSUATK01S"/>
    <s v="BRSUATCO"/>
    <n v="23.753726"/>
    <n v="72.4465"/>
    <n v="150"/>
    <n v="1005.05290680064"/>
    <n v="0"/>
    <n v="1344"/>
    <n v="7"/>
    <n v="480"/>
    <n v="0"/>
    <n v="4704"/>
    <m/>
    <m/>
    <n v="0"/>
    <x v="0"/>
    <s v="BRMAOTK01S"/>
    <s v="BRMAOCHI"/>
    <n v="11.436796000000001"/>
    <n v="72.4465"/>
    <n v="150"/>
    <n v="822.55738908544004"/>
    <n v="0"/>
    <n v="832"/>
    <n v="7"/>
    <n v="480"/>
    <n v="0"/>
    <n v="4192"/>
    <s v="BRSUADP01"/>
    <n v="95"/>
    <n v="70"/>
    <n v="290"/>
    <n v="150"/>
    <n v="150"/>
    <n v="95"/>
    <n v="85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983"/>
    <n v="144893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824.7841972531837"/>
    <n v="434.67900000000003"/>
    <n v="26218.326181628923"/>
    <n v="3146.1991417954705"/>
    <n v="180"/>
    <n v="150"/>
    <n v="1E-3"/>
    <n v="144.893"/>
    <n v="17073.501120019992"/>
    <n v="17548.394120019992"/>
    <n v="3180.9641611183101"/>
    <n v="4621.4299589016809"/>
    <n v="0.08"/>
    <n v="1257.6627059307129"/>
    <n v="0.12"/>
    <n v="2105.8072944023988"/>
    <n v="15"/>
    <n v="1"/>
  </r>
  <r>
    <n v="139"/>
    <d v="2022-12-31T00:00:00"/>
    <x v="2"/>
    <s v="CLI72"/>
    <s v="CLI72"/>
    <s v="RIO DE JANEIRO"/>
    <s v="RJ"/>
    <s v="CLI824"/>
    <s v="FORTALEZA"/>
    <s v="CE"/>
    <n v="2556.8287030000001"/>
    <n v="0"/>
    <n v="0"/>
    <n v="0"/>
    <n v="0"/>
    <x v="0"/>
    <x v="4"/>
    <s v="BRIGITK01"/>
    <s v="BRIGITCO"/>
    <n v="78.029871"/>
    <n v="91.99"/>
    <n v="150"/>
    <n v="1828.7865078534401"/>
    <n v="365.75730157068801"/>
    <n v="704"/>
    <n v="7"/>
    <n v="0"/>
    <n v="0"/>
    <n v="704"/>
    <m/>
    <m/>
    <n v="0"/>
    <x v="3"/>
    <s v="BRPECTK01"/>
    <s v="BRPECAPM"/>
    <n v="42.140103000000003"/>
    <n v="91.99"/>
    <n v="150"/>
    <n v="1297.02073571392"/>
    <n v="233.46373242850558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12"/>
    <n v="18398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56.8287030000001"/>
    <n v="551.94000000000005"/>
    <n v="18334.66944892488"/>
    <n v="1283.4268614247417"/>
    <n v="110"/>
    <n v="150"/>
    <n v="1E-3"/>
    <n v="183.98"/>
    <n v="12834.268614247416"/>
    <n v="13278.248614247415"/>
    <n v="3180.9641611183101"/>
    <n v="5209.4772095617445"/>
    <n v="0.08"/>
    <n v="764.25762693446904"/>
    <n v="7.0000000000000007E-2"/>
    <n v="929.47740299731913"/>
    <n v="15"/>
    <n v="2"/>
  </r>
  <r>
    <n v="140"/>
    <d v="2022-12-31T00:00:00"/>
    <x v="2"/>
    <s v="CLI73"/>
    <s v="CLI73"/>
    <s v="MAUA"/>
    <s v="SP"/>
    <s v="CLI737"/>
    <s v="SIMOES FILHO"/>
    <s v="BA"/>
    <n v="1877.689934"/>
    <n v="0"/>
    <n v="0"/>
    <n v="0"/>
    <n v="0"/>
    <x v="0"/>
    <x v="0"/>
    <s v="BRSSZTK01"/>
    <s v="BRSSZTCO"/>
    <n v="77.880668999999997"/>
    <n v="61.523000000000003"/>
    <n v="150"/>
    <n v="1796.1088355321599"/>
    <n v="323.29959039578875"/>
    <n v="640"/>
    <n v="7"/>
    <n v="0"/>
    <n v="0"/>
    <n v="640"/>
    <m/>
    <m/>
    <n v="0"/>
    <x v="5"/>
    <s v="BRSSATK01"/>
    <s v="BRSSATCO"/>
    <n v="26.551053"/>
    <n v="61.523000000000003"/>
    <n v="150"/>
    <n v="1035.57639392192"/>
    <n v="186.4037509059456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063"/>
    <n v="12304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1877.689934"/>
    <n v="369.13800000000003"/>
    <n v="13539.863234196644"/>
    <n v="947.79042639376519"/>
    <n v="110"/>
    <n v="150"/>
    <n v="1E-3"/>
    <n v="123.04600000000001"/>
    <n v="9477.9042639376494"/>
    <n v="9860.9502639376497"/>
    <n v="3180.9641611183101"/>
    <n v="2234.3008733652591"/>
    <n v="0.08"/>
    <n v="521.5649354545468"/>
    <n v="7.0000000000000007E-2"/>
    <n v="690.26651847563551"/>
    <n v="15"/>
    <n v="2"/>
  </r>
  <r>
    <n v="141"/>
    <d v="2022-12-31T00:00:00"/>
    <x v="0"/>
    <s v="CLI74"/>
    <s v="CLI74"/>
    <s v="SANTOS"/>
    <s v="SP"/>
    <s v="CLI632"/>
    <s v="MANAUS"/>
    <s v="AM"/>
    <n v="2738.1624465451514"/>
    <n v="2948.3907220000001"/>
    <n v="0"/>
    <n v="7000"/>
    <n v="0"/>
    <x v="0"/>
    <x v="0"/>
    <s v="BRSSZTK01S"/>
    <s v="BRSSZTCO"/>
    <n v="14.583465"/>
    <n v="84.024500000000003"/>
    <n v="150"/>
    <n v="880.7584508576"/>
    <n v="158.53652115436799"/>
    <n v="640"/>
    <n v="7"/>
    <n v="0"/>
    <n v="0"/>
    <n v="640"/>
    <m/>
    <m/>
    <n v="0"/>
    <x v="0"/>
    <s v="BRMAOTK01S"/>
    <s v="BRMAOCHI"/>
    <n v="11.436796000000001"/>
    <n v="84.024500000000003"/>
    <n v="150"/>
    <n v="834.13538908544001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661"/>
    <n v="168049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738.1624465451514"/>
    <n v="504.14699999999999"/>
    <n v="19518.306647990266"/>
    <n v="1366.2814653593189"/>
    <n v="110"/>
    <n v="150"/>
    <n v="1E-3"/>
    <n v="168.04900000000001"/>
    <n v="12462.388965633058"/>
    <n v="12890.437965633058"/>
    <n v="3180.9641611183101"/>
    <n v="7967.4738045147478"/>
    <n v="0.08"/>
    <n v="881.36060836285196"/>
    <n v="7.0000000000000007E-2"/>
    <n v="902.33065759431418"/>
    <n v="15"/>
    <n v="3"/>
  </r>
  <r>
    <n v="142"/>
    <d v="2022-12-31T00:00:00"/>
    <x v="2"/>
    <s v="CLI77"/>
    <s v="CLI77"/>
    <s v="MANAUS"/>
    <s v="AM"/>
    <s v="CLI656"/>
    <s v="SAO PAULO"/>
    <s v="SP"/>
    <n v="3929.9226880000001"/>
    <n v="0"/>
    <n v="2877.9279630000001"/>
    <n v="7000"/>
    <n v="0"/>
    <x v="0"/>
    <x v="2"/>
    <s v="BRMAOTK01"/>
    <s v="BRMAOCHI"/>
    <n v="11.436796000000001"/>
    <n v="67.281999999999996"/>
    <n v="150"/>
    <n v="817.39288908544006"/>
    <n v="0"/>
    <n v="832"/>
    <n v="7"/>
    <n v="0"/>
    <n v="0"/>
    <n v="832"/>
    <m/>
    <m/>
    <n v="0"/>
    <x v="1"/>
    <s v="BRSSZTK01"/>
    <s v="BRSSZTCO"/>
    <n v="85.841132000000002"/>
    <n v="67.281999999999996"/>
    <n v="150"/>
    <n v="1919.81515003648"/>
    <n v="345.56672700656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812"/>
    <n v="13456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29.9226880000001"/>
    <n v="403.69200000000001"/>
    <n v="27511.047777300482"/>
    <n v="3301.3257332760577"/>
    <n v="110"/>
    <n v="150"/>
    <n v="1E-3"/>
    <n v="134.56399999999999"/>
    <n v="19257.733444110338"/>
    <n v="19652.297444110336"/>
    <n v="3180.9641611183101"/>
    <n v="11967.125243870105"/>
    <n v="0.08"/>
    <n v="1325.5618142385479"/>
    <n v="0.12"/>
    <n v="2358.2756932932402"/>
    <n v="15"/>
    <n v="1"/>
  </r>
  <r>
    <n v="143"/>
    <d v="2022-12-31T00:00:00"/>
    <x v="2"/>
    <s v="CLI77"/>
    <s v="CLI77"/>
    <s v="MANAUS"/>
    <s v="AM"/>
    <s v="CLI957"/>
    <s v="SALTO"/>
    <s v="SP"/>
    <n v="3863.2648119999999"/>
    <n v="0"/>
    <n v="2810.096646"/>
    <n v="7000"/>
    <n v="0"/>
    <x v="0"/>
    <x v="2"/>
    <s v="BRMAOTK01"/>
    <s v="BRMAOCHI"/>
    <n v="11.436796000000001"/>
    <n v="69.766999999999996"/>
    <n v="150"/>
    <n v="819.87788908544007"/>
    <n v="0"/>
    <n v="832"/>
    <n v="7"/>
    <n v="0"/>
    <n v="0"/>
    <n v="832"/>
    <m/>
    <m/>
    <n v="0"/>
    <x v="1"/>
    <s v="BRSSZTK01"/>
    <s v="BRSSZTCO"/>
    <n v="180.47000800000001"/>
    <n v="69.766999999999996"/>
    <n v="150"/>
    <n v="3324.38213933312"/>
    <n v="598.3887850799616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476"/>
    <n v="13953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63.2648119999999"/>
    <n v="418.60200000000003"/>
    <n v="27073.286807699522"/>
    <n v="3248.7944169239427"/>
    <n v="110"/>
    <n v="150"/>
    <n v="1E-3"/>
    <n v="139.53399999999999"/>
    <n v="18951.300765389664"/>
    <n v="19350.834765389664"/>
    <n v="3180.9641611183101"/>
    <n v="10258.610575852792"/>
    <n v="0.08"/>
    <n v="1168.6548761512913"/>
    <n v="0.12"/>
    <n v="2322.1001718467596"/>
    <n v="15"/>
    <n v="1"/>
  </r>
  <r>
    <n v="144"/>
    <d v="2022-12-31T00:00:00"/>
    <x v="2"/>
    <s v="CLI77"/>
    <s v="CLI77"/>
    <s v="MANAUS"/>
    <s v="AM"/>
    <s v="CLI882"/>
    <s v="EMBU SAO PAULO"/>
    <s v="SP"/>
    <n v="3938.014424"/>
    <n v="0"/>
    <n v="2887.7782900000002"/>
    <n v="7000"/>
    <n v="0"/>
    <x v="0"/>
    <x v="2"/>
    <s v="BRMAOTK01"/>
    <s v="BRMAOCHI"/>
    <n v="11.436796000000001"/>
    <n v="97.969000000000008"/>
    <n v="150"/>
    <n v="848.07988908544007"/>
    <n v="0"/>
    <n v="832"/>
    <n v="7"/>
    <n v="0"/>
    <n v="0"/>
    <n v="832"/>
    <m/>
    <m/>
    <n v="0"/>
    <x v="1"/>
    <s v="BRSSZTK01"/>
    <s v="BRSSZTCO"/>
    <n v="100.40395600000001"/>
    <n v="97.969000000000008"/>
    <n v="150"/>
    <n v="2166.2742706278405"/>
    <n v="389.9293687130112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787"/>
    <n v="19593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38.014424"/>
    <n v="587.81399999999996"/>
    <n v="27750.120432807042"/>
    <n v="3330.014451936845"/>
    <n v="110"/>
    <n v="150"/>
    <n v="1E-3"/>
    <n v="195.93800000000002"/>
    <n v="19425.08430296493"/>
    <n v="19881.022302964928"/>
    <n v="3180.9641611183101"/>
    <n v="11918.703982133338"/>
    <n v="0.08"/>
    <n v="1318.139101963091"/>
    <n v="0.12"/>
    <n v="2385.7226763557915"/>
    <n v="15"/>
    <n v="1"/>
  </r>
  <r>
    <n v="145"/>
    <d v="2022-12-31T00:00:00"/>
    <x v="0"/>
    <s v="CLI79"/>
    <s v="CLI79"/>
    <s v="SANTOS"/>
    <s v="SP"/>
    <s v="CLI638"/>
    <s v="IPOJUCA"/>
    <s v="PE"/>
    <n v="2605.707676"/>
    <n v="0"/>
    <n v="0"/>
    <n v="0"/>
    <n v="0"/>
    <x v="0"/>
    <x v="0"/>
    <s v="BRSSZTK01S"/>
    <s v="BRSSZTCO"/>
    <n v="14.583465"/>
    <n v="107.303"/>
    <n v="150"/>
    <n v="904.0369508576"/>
    <n v="162.726651154368"/>
    <n v="640"/>
    <n v="7"/>
    <n v="0"/>
    <n v="0"/>
    <n v="640"/>
    <m/>
    <m/>
    <n v="0"/>
    <x v="2"/>
    <s v="BRSUATK01S"/>
    <s v="BRSUATCO"/>
    <n v="23.753726"/>
    <n v="107.303"/>
    <n v="150"/>
    <n v="1039.90940680064"/>
    <n v="0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956"/>
    <n v="214606"/>
    <x v="0"/>
    <x v="2"/>
    <x v="0"/>
    <x v="0"/>
    <x v="2"/>
    <x v="2"/>
    <n v="2"/>
    <n v="2"/>
    <n v="3"/>
    <n v="3"/>
    <n v="2"/>
    <n v="2"/>
    <n v="2"/>
    <n v="26"/>
    <n v="7"/>
    <n v="110"/>
    <n v="7"/>
    <n v="110"/>
    <n v="2605.707676"/>
    <n v="643.81799999999998"/>
    <n v="18758.482599408962"/>
    <n v="1313.0937819586275"/>
    <n v="75"/>
    <n v="150"/>
    <n v="1E-3"/>
    <n v="214.60599999999999"/>
    <n v="11770.175369225504"/>
    <n v="12209.781369225504"/>
    <n v="3180.9641611183101"/>
    <n v="6774.8172081071934"/>
    <n v="0.08"/>
    <n v="808.24866883303173"/>
    <n v="7.0000000000000007E-2"/>
    <n v="854.68469584578531"/>
    <n v="15"/>
    <n v="3"/>
  </r>
  <r>
    <n v="146"/>
    <d v="2022-12-31T00:00:00"/>
    <x v="0"/>
    <s v="CLI79"/>
    <s v="CLI79"/>
    <s v="SANTOS"/>
    <s v="SP"/>
    <s v="CLI640"/>
    <s v="SALVADOR"/>
    <s v="BA"/>
    <n v="1910.3949520000001"/>
    <n v="0"/>
    <n v="0"/>
    <n v="0"/>
    <n v="0"/>
    <x v="0"/>
    <x v="0"/>
    <s v="BRSSZTK01S"/>
    <s v="BRSSZTCO"/>
    <n v="14.583465"/>
    <n v="29.327999999999999"/>
    <n v="150"/>
    <n v="826.06195085759998"/>
    <n v="148.69115115436799"/>
    <n v="640"/>
    <n v="7"/>
    <n v="0"/>
    <n v="0"/>
    <n v="640"/>
    <m/>
    <m/>
    <n v="0"/>
    <x v="5"/>
    <s v="BRSSATK01S"/>
    <s v="BRSSATCO"/>
    <n v="2.2452209999999999"/>
    <n v="29.327999999999999"/>
    <n v="150"/>
    <n v="643.25063127743988"/>
    <n v="0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252"/>
    <n v="58656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1910.3949520000001"/>
    <n v="175.96800000000002"/>
    <n v="13568.791703233925"/>
    <n v="949.81541922637484"/>
    <n v="75"/>
    <n v="150"/>
    <n v="1E-3"/>
    <n v="58.655999999999999"/>
    <n v="8469.6353847692189"/>
    <n v="8753.2913847692198"/>
    <n v="3180.9641611183101"/>
    <n v="3958.3272236509097"/>
    <n v="0.08"/>
    <n v="570.82301211838501"/>
    <n v="7.0000000000000007E-2"/>
    <n v="612.73039693384544"/>
    <n v="15"/>
    <n v="2"/>
  </r>
  <r>
    <n v="147"/>
    <d v="2022-12-31T00:00:00"/>
    <x v="0"/>
    <s v="CLI79"/>
    <s v="CLI79"/>
    <s v="SANTOS"/>
    <s v="SP"/>
    <s v="CLI637"/>
    <s v="CAUCAIA"/>
    <s v="CE"/>
    <n v="2869.633468"/>
    <n v="0"/>
    <n v="0"/>
    <n v="0"/>
    <n v="0"/>
    <x v="0"/>
    <x v="0"/>
    <s v="BRSSZTK01S"/>
    <s v="BRSSZTCO"/>
    <n v="14.583465"/>
    <n v="47.027000000000001"/>
    <n v="150"/>
    <n v="843.76095085760005"/>
    <n v="151.87697115436799"/>
    <n v="640"/>
    <n v="7"/>
    <n v="0"/>
    <n v="0"/>
    <n v="640"/>
    <m/>
    <m/>
    <n v="0"/>
    <x v="3"/>
    <s v="BRPECTK01S"/>
    <s v="BRPECAPM"/>
    <n v="34.109209"/>
    <n v="47.027000000000001"/>
    <n v="150"/>
    <n v="1133.0668704377599"/>
    <n v="203.9520366787967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318"/>
    <n v="94054"/>
    <x v="0"/>
    <x v="3"/>
    <x v="2"/>
    <x v="2"/>
    <x v="3"/>
    <x v="3"/>
    <n v="1"/>
    <n v="1"/>
    <n v="2"/>
    <n v="1"/>
    <n v="1"/>
    <n v="1"/>
    <n v="1"/>
    <n v="13"/>
    <n v="7"/>
    <n v="110"/>
    <n v="7"/>
    <n v="110"/>
    <n v="2869.633468"/>
    <n v="282.16199999999998"/>
    <n v="20189.136095849281"/>
    <n v="1413.2395267094498"/>
    <n v="75"/>
    <n v="150"/>
    <n v="1E-3"/>
    <n v="94.054000000000002"/>
    <n v="12748.615792187744"/>
    <n v="13067.669792187744"/>
    <n v="3180.9641611183101"/>
    <n v="8208.7056310694334"/>
    <n v="0.08"/>
    <n v="858.80103704473743"/>
    <n v="7.0000000000000007E-2"/>
    <n v="914.73688545314212"/>
    <n v="15"/>
    <n v="2"/>
  </r>
  <r>
    <n v="148"/>
    <d v="2022-12-31T00:00:00"/>
    <x v="2"/>
    <s v="CLI80"/>
    <s v="CLI80"/>
    <s v="SOROCABA"/>
    <s v="SP"/>
    <s v="CLI642"/>
    <s v="CABO DE SANTO AGOSTINHO"/>
    <s v="PE"/>
    <n v="2607.925753"/>
    <n v="0"/>
    <n v="0"/>
    <n v="0"/>
    <n v="0"/>
    <x v="0"/>
    <x v="0"/>
    <s v="BRSSZTK01"/>
    <s v="BRSSZTCO"/>
    <n v="174.993404"/>
    <n v="123.7175"/>
    <n v="150"/>
    <n v="3297.1877694425602"/>
    <n v="593.49379849966078"/>
    <n v="640"/>
    <n v="7"/>
    <n v="0"/>
    <n v="0"/>
    <n v="640"/>
    <m/>
    <m/>
    <n v="0"/>
    <x v="2"/>
    <s v="BRSUATK01"/>
    <s v="BRSUATCO"/>
    <n v="23.080721"/>
    <n v="123.7175"/>
    <n v="150"/>
    <n v="1046.3522339974402"/>
    <n v="188.34340211953923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760"/>
    <n v="247435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607.925753"/>
    <n v="742.30500000000006"/>
    <n v="18872.03247159288"/>
    <n v="1321.0422730115017"/>
    <n v="110"/>
    <n v="150"/>
    <n v="1E-3"/>
    <n v="247.435"/>
    <n v="13210.422730115015"/>
    <n v="13717.857730115014"/>
    <n v="3180.9641611183101"/>
    <n v="3939.3535655567034"/>
    <n v="0.08"/>
    <n v="687.39844208446505"/>
    <n v="7.0000000000000007E-2"/>
    <n v="960.25004110805105"/>
    <n v="15"/>
    <n v="3"/>
  </r>
  <r>
    <n v="149"/>
    <d v="2022-12-31T00:00:00"/>
    <x v="2"/>
    <s v="CLI81"/>
    <s v="CLI81"/>
    <s v="TAUBATE"/>
    <s v="SP"/>
    <s v="CLI1103"/>
    <s v="MARACANAU"/>
    <s v="CE"/>
    <n v="2723.9178059999999"/>
    <n v="0"/>
    <n v="0"/>
    <n v="0"/>
    <n v="0"/>
    <x v="0"/>
    <x v="0"/>
    <s v="BRSSZTK01"/>
    <s v="BRSSZTCO"/>
    <n v="179.798866"/>
    <n v="103.065"/>
    <n v="150"/>
    <n v="3347.7360699302403"/>
    <n v="602.59249258744319"/>
    <n v="640"/>
    <n v="7"/>
    <n v="0"/>
    <n v="0"/>
    <n v="640"/>
    <m/>
    <m/>
    <n v="0"/>
    <x v="3"/>
    <s v="BRPECTK01"/>
    <s v="BRPECAPM"/>
    <n v="52.945568000000002"/>
    <n v="103.065"/>
    <n v="150"/>
    <n v="1468.1964206515202"/>
    <n v="264.27535571727361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17"/>
    <n v="20613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23.9178059999999"/>
    <n v="618.39"/>
    <n v="19535.814863833759"/>
    <n v="1367.5070404683634"/>
    <n v="110"/>
    <n v="150"/>
    <n v="1E-3"/>
    <n v="206.13"/>
    <n v="13675.070404683631"/>
    <n v="14141.20040468363"/>
    <n v="3180.9641611183101"/>
    <n v="4466.3037529835583"/>
    <n v="0.08"/>
    <n v="676.67200526377235"/>
    <n v="7.0000000000000007E-2"/>
    <n v="989.88402832785425"/>
    <n v="15"/>
    <n v="1"/>
  </r>
  <r>
    <n v="150"/>
    <d v="2022-12-31T00:00:00"/>
    <x v="2"/>
    <s v="CLI82"/>
    <s v="CLI82"/>
    <s v="SANTOS"/>
    <s v="SP"/>
    <s v="CLI645"/>
    <s v="JABOATAO DOS GUARARAPES"/>
    <s v="PE"/>
    <n v="2646.8009040000002"/>
    <n v="0"/>
    <n v="0"/>
    <n v="0"/>
    <n v="0"/>
    <x v="0"/>
    <x v="0"/>
    <s v="BRSSZTK01"/>
    <s v="BRSSZTCO"/>
    <n v="14.583465"/>
    <n v="119.23050000000001"/>
    <n v="150"/>
    <n v="915.96445085760001"/>
    <n v="164.873601154368"/>
    <n v="640"/>
    <n v="7"/>
    <n v="160"/>
    <n v="0"/>
    <n v="1760"/>
    <m/>
    <m/>
    <n v="0"/>
    <x v="2"/>
    <s v="BRSUATK01"/>
    <s v="BRSUATCO"/>
    <n v="43.495365"/>
    <n v="119.23050000000001"/>
    <n v="150"/>
    <n v="1344.3416648736002"/>
    <n v="241.98149967724802"/>
    <n v="1344"/>
    <n v="7"/>
    <n v="480"/>
    <n v="0"/>
    <n v="4704"/>
    <s v="BRSSZDP01"/>
    <n v="110"/>
    <n v="50"/>
    <n v="250"/>
    <n v="120"/>
    <n v="120"/>
    <n v="110"/>
    <n v="76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002"/>
    <n v="238461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646.8009040000002"/>
    <n v="715.38300000000004"/>
    <n v="24903.288928974722"/>
    <n v="1743.2302250282307"/>
    <n v="180"/>
    <n v="150"/>
    <n v="1E-3"/>
    <n v="238.46100000000001"/>
    <n v="17432.302250282304"/>
    <n v="18000.763250282303"/>
    <n v="3180.9641611183101"/>
    <n v="5335.4929734327943"/>
    <n v="0.08"/>
    <n v="1226.6881626975589"/>
    <n v="7.0000000000000007E-2"/>
    <n v="1260.0534275197613"/>
    <n v="15"/>
    <n v="1"/>
  </r>
  <r>
    <n v="151"/>
    <d v="2022-12-31T00:00:00"/>
    <x v="1"/>
    <s v="CLI82"/>
    <s v="CLI82"/>
    <s v="SANTOS"/>
    <s v="SP"/>
    <s v="CLI355"/>
    <s v="MANAUS"/>
    <s v="AM"/>
    <n v="2738.1624465451514"/>
    <n v="2948.3907220000001"/>
    <n v="0"/>
    <n v="7000"/>
    <n v="0"/>
    <x v="0"/>
    <x v="0"/>
    <s v="BRSSZTK01S"/>
    <s v="BRSSZTCO"/>
    <n v="14.583465"/>
    <n v="78.466999999999999"/>
    <n v="150"/>
    <n v="875.20095085759999"/>
    <n v="157.53617115436799"/>
    <n v="640"/>
    <n v="7"/>
    <n v="0"/>
    <n v="0"/>
    <n v="640"/>
    <m/>
    <m/>
    <n v="0"/>
    <x v="0"/>
    <s v="BRMAOTK01"/>
    <s v="BRMAOCHI"/>
    <n v="11.436796000000001"/>
    <n v="78.466999999999999"/>
    <n v="150"/>
    <n v="828.57788908544001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165"/>
    <n v="15693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38.1624465451514"/>
    <n v="470.80200000000002"/>
    <n v="19484.961647990265"/>
    <n v="1363.9473153593187"/>
    <n v="110"/>
    <n v="150"/>
    <n v="1E-3"/>
    <n v="156.934"/>
    <n v="13026.832487992864"/>
    <n v="13443.766487992863"/>
    <n v="3180.9641611183101"/>
    <n v="7692.2244377891129"/>
    <n v="0.08"/>
    <n v="926.59611815163646"/>
    <n v="7.0000000000000007E-2"/>
    <n v="941.06365415950052"/>
    <n v="15"/>
    <n v="1"/>
  </r>
  <r>
    <n v="152"/>
    <d v="2022-12-31T00:00:00"/>
    <x v="2"/>
    <s v="CLI83"/>
    <s v="CLI83"/>
    <s v="GUARULHOS"/>
    <s v="SP"/>
    <s v="CLI1098"/>
    <s v="FEIRA DE SANTANA"/>
    <s v="BA"/>
    <n v="1797.5854410000002"/>
    <n v="0"/>
    <n v="0"/>
    <n v="0"/>
    <n v="0"/>
    <x v="0"/>
    <x v="0"/>
    <s v="BRSSZTK01"/>
    <s v="BRSSZTCO"/>
    <n v="96.951807000000002"/>
    <n v="79.080500000000001"/>
    <n v="150"/>
    <n v="2096.2365216684802"/>
    <n v="377.3225739003264"/>
    <n v="640"/>
    <n v="7"/>
    <n v="0"/>
    <n v="0"/>
    <n v="640"/>
    <m/>
    <m/>
    <n v="0"/>
    <x v="5"/>
    <s v="BRSSATK01"/>
    <s v="BRSSATCO"/>
    <n v="112.075299"/>
    <n v="79.080500000000001"/>
    <n v="150"/>
    <n v="2320.3158581753601"/>
    <n v="417.65685447156477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61"/>
    <n v="158161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1797.5854410000002"/>
    <n v="474.483"/>
    <n v="13101.221826413364"/>
    <n v="917.08552784893561"/>
    <n v="110"/>
    <n v="150"/>
    <n v="1E-3"/>
    <n v="158.161"/>
    <n v="9170.8552784893545"/>
    <n v="9589.0162784893546"/>
    <n v="3180.9641611183101"/>
    <n v="377.49973752720371"/>
    <n v="0.08"/>
    <n v="350.1987576218898"/>
    <n v="7.0000000000000007E-2"/>
    <n v="671.23113949425488"/>
    <n v="15"/>
    <n v="2"/>
  </r>
  <r>
    <n v="153"/>
    <d v="2022-12-31T00:00:00"/>
    <x v="1"/>
    <s v="CLI86"/>
    <s v="CLI86"/>
    <s v="CUBATAO"/>
    <s v="SP"/>
    <s v="CLI1011"/>
    <s v="LAGARTO"/>
    <s v="SE"/>
    <n v="2110.0443790000004"/>
    <n v="0"/>
    <n v="0"/>
    <n v="0"/>
    <n v="0"/>
    <x v="0"/>
    <x v="0"/>
    <s v="BRSSZTK01S"/>
    <s v="BRSSZTCO"/>
    <n v="28.273662000000002"/>
    <n v="42.685000000000002"/>
    <n v="150"/>
    <n v="1042.2616713356801"/>
    <n v="187.60710084042242"/>
    <n v="640"/>
    <n v="7"/>
    <n v="0"/>
    <n v="0"/>
    <n v="640"/>
    <m/>
    <m/>
    <n v="0"/>
    <x v="5"/>
    <s v="BRSSATK01"/>
    <s v="BRSSATCO"/>
    <n v="283.507518"/>
    <n v="42.685000000000002"/>
    <n v="150"/>
    <n v="4823.9698314995212"/>
    <n v="578.87637977994257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826"/>
    <n v="853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110.0443790000004"/>
    <n v="256.11"/>
    <n v="15004.744976013846"/>
    <n v="1050.3321483209693"/>
    <n v="110"/>
    <n v="150"/>
    <n v="1E-3"/>
    <n v="85.37"/>
    <n v="9773.7383132747163"/>
    <n v="10119.108313274717"/>
    <n v="3180.9641611183101"/>
    <n v="500.17432065688581"/>
    <n v="0.08"/>
    <n v="278.91146638553204"/>
    <n v="7.0000000000000007E-2"/>
    <n v="708.33758192923028"/>
    <n v="15"/>
    <n v="1"/>
  </r>
  <r>
    <n v="154"/>
    <d v="2022-12-31T00:00:00"/>
    <x v="0"/>
    <s v="CLI87"/>
    <s v="CLI87"/>
    <s v="MOSSORO"/>
    <s v="RN"/>
    <s v="CLI932"/>
    <s v="SANTO ANDRE"/>
    <s v="SP"/>
    <n v="2698.7791729999999"/>
    <n v="0"/>
    <n v="0"/>
    <n v="0"/>
    <n v="0"/>
    <x v="0"/>
    <x v="1"/>
    <s v="BRPECTK01S"/>
    <s v="BRPECAPM"/>
    <n v="278.70183199999997"/>
    <n v="112.706"/>
    <n v="150"/>
    <n v="4822.7867120844803"/>
    <n v="578.73440545013761"/>
    <n v="768"/>
    <n v="7"/>
    <n v="0"/>
    <n v="0"/>
    <n v="768"/>
    <m/>
    <m/>
    <n v="0"/>
    <x v="1"/>
    <s v="BRSSZTK01S"/>
    <s v="BRSSZTCO"/>
    <n v="70.140299999999996"/>
    <n v="112.706"/>
    <n v="150"/>
    <n v="1732.6055745919998"/>
    <n v="311.86900342655997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735"/>
    <n v="225412"/>
    <x v="0"/>
    <x v="2"/>
    <x v="0"/>
    <x v="0"/>
    <x v="2"/>
    <x v="2"/>
    <n v="2"/>
    <n v="2"/>
    <n v="3"/>
    <n v="3"/>
    <n v="2"/>
    <n v="2"/>
    <n v="2"/>
    <n v="26"/>
    <n v="7"/>
    <n v="110"/>
    <n v="7"/>
    <n v="110"/>
    <n v="2698.7791729999999"/>
    <n v="676.23599999999999"/>
    <n v="19422.945412676083"/>
    <n v="2330.7534495211298"/>
    <n v="75"/>
    <n v="150"/>
    <n v="1E-3"/>
    <n v="225.41200000000001"/>
    <n v="9007.2871881997216"/>
    <n v="9457.6991881997219"/>
    <n v="3180.9641611183101"/>
    <n v="4538.7350270814113"/>
    <n v="0.08"/>
    <n v="160.93627941172352"/>
    <n v="0.12"/>
    <n v="1134.9239025839665"/>
    <n v="15"/>
    <n v="3"/>
  </r>
  <r>
    <n v="155"/>
    <d v="2022-12-31T00:00:00"/>
    <x v="2"/>
    <s v="CLI88"/>
    <s v="CLI88"/>
    <s v="GOIANA"/>
    <s v="PE"/>
    <s v="CLI658"/>
    <s v="SAO VICENTE"/>
    <s v="SP"/>
    <n v="2685.1699160000003"/>
    <n v="0"/>
    <n v="0"/>
    <n v="0"/>
    <n v="0"/>
    <x v="0"/>
    <x v="3"/>
    <s v="BRSUATK01"/>
    <s v="BRSUATCO"/>
    <n v="112.63067699999999"/>
    <n v="90.567999999999998"/>
    <n v="150"/>
    <n v="2340.0321940652802"/>
    <n v="421.2057949317504"/>
    <n v="1344"/>
    <n v="7"/>
    <n v="0"/>
    <n v="0"/>
    <n v="1344"/>
    <m/>
    <m/>
    <n v="0"/>
    <x v="1"/>
    <s v="BRSSZTK01"/>
    <s v="BRSSZTCO"/>
    <n v="19.906849999999999"/>
    <n v="90.567999999999998"/>
    <n v="150"/>
    <n v="966.17662998399999"/>
    <n v="173.91179339711999"/>
    <n v="640"/>
    <n v="7"/>
    <n v="0"/>
    <n v="0"/>
    <n v="640"/>
    <s v="BRSUADP01"/>
    <n v="95"/>
    <n v="70"/>
    <n v="0"/>
    <n v="0"/>
    <n v="0"/>
    <n v="95"/>
    <n v="26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619"/>
    <n v="181136"/>
    <x v="0"/>
    <x v="1"/>
    <x v="1"/>
    <x v="1"/>
    <x v="1"/>
    <x v="1"/>
    <n v="6"/>
    <n v="6"/>
    <n v="6"/>
    <n v="6"/>
    <n v="6"/>
    <n v="5"/>
    <n v="5"/>
    <n v="66"/>
    <n v="7"/>
    <n v="110"/>
    <n v="7"/>
    <n v="110"/>
    <n v="2685.1699160000003"/>
    <n v="543.40800000000002"/>
    <n v="19197.697492759362"/>
    <n v="2303.7236991311233"/>
    <n v="75"/>
    <n v="150"/>
    <n v="1E-3"/>
    <n v="181.136"/>
    <n v="13438.388244931553"/>
    <n v="13844.524244931554"/>
    <n v="3180.9641611183101"/>
    <n v="5113.3512597639619"/>
    <n v="0.08"/>
    <n v="795.45582660427226"/>
    <n v="0.12"/>
    <n v="1661.3429093917864"/>
    <n v="15"/>
    <n v="6"/>
  </r>
  <r>
    <n v="156"/>
    <d v="2022-12-31T00:00:00"/>
    <x v="3"/>
    <s v="CLI88"/>
    <s v="CLI88"/>
    <s v="GOIANA"/>
    <s v="PE"/>
    <s v="CLI1305"/>
    <s v="MANAUS"/>
    <s v="AM"/>
    <n v="2815.9583485990656"/>
    <n v="2035.8442130000001"/>
    <n v="0"/>
    <n v="7000"/>
    <n v="0"/>
    <x v="0"/>
    <x v="3"/>
    <s v="BRSUATK01"/>
    <s v="BRSUATCO"/>
    <n v="112.63067699999999"/>
    <n v="58.365500000000004"/>
    <n v="150"/>
    <n v="2307.8296940652799"/>
    <n v="415.40934493175035"/>
    <n v="1344"/>
    <n v="7"/>
    <n v="0"/>
    <n v="0"/>
    <n v="1344"/>
    <m/>
    <m/>
    <n v="0"/>
    <x v="0"/>
    <s v="BRMAOTK01S"/>
    <s v="BRMAOCHI"/>
    <n v="11.436796000000001"/>
    <n v="58.365500000000004"/>
    <n v="150"/>
    <n v="808.4763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528"/>
    <n v="116731"/>
    <x v="0"/>
    <x v="2"/>
    <x v="0"/>
    <x v="0"/>
    <x v="2"/>
    <x v="2"/>
    <n v="2"/>
    <n v="2"/>
    <n v="2"/>
    <n v="2"/>
    <n v="2"/>
    <n v="1"/>
    <n v="2"/>
    <n v="23"/>
    <n v="7"/>
    <n v="110"/>
    <n v="7"/>
    <n v="110"/>
    <n v="2815.9583485990656"/>
    <n v="350.19299999999998"/>
    <n v="19892.661507002311"/>
    <n v="2387.1193808402772"/>
    <n v="75"/>
    <n v="150"/>
    <n v="1E-3"/>
    <n v="116.73100000000001"/>
    <n v="13358.929582541808"/>
    <n v="13700.660582541808"/>
    <n v="3180.9641611183101"/>
    <n v="5775.8667273582178"/>
    <n v="0.08"/>
    <n v="813.51561235674717"/>
    <n v="0.12"/>
    <n v="1644.0792699050169"/>
    <n v="15"/>
    <n v="2"/>
  </r>
  <r>
    <n v="157"/>
    <d v="2022-12-31T00:00:00"/>
    <x v="2"/>
    <s v="CLI89"/>
    <s v="CLI89"/>
    <s v="RIBEIRAO PRETO"/>
    <s v="SP"/>
    <s v="CLI1038"/>
    <s v="MANAUS"/>
    <s v="AM"/>
    <n v="2397.4644976466097"/>
    <n v="2578.277677"/>
    <n v="0"/>
    <n v="7000"/>
    <n v="0"/>
    <x v="0"/>
    <x v="0"/>
    <s v="BRSSZTK01"/>
    <s v="BRSSZTCO"/>
    <n v="394.54480899999999"/>
    <n v="88.123500000000007"/>
    <n v="150"/>
    <n v="6514.6078988217596"/>
    <n v="1172.6294217879167"/>
    <n v="640"/>
    <n v="7"/>
    <n v="0"/>
    <n v="0"/>
    <n v="640"/>
    <m/>
    <m/>
    <n v="0"/>
    <x v="0"/>
    <s v="BRMAOTK01"/>
    <s v="BRMAOCHI"/>
    <n v="11.436796000000001"/>
    <n v="88.123500000000007"/>
    <n v="150"/>
    <n v="838.2343890854400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308"/>
    <n v="17624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97.4644976466097"/>
    <n v="528.74099999999999"/>
    <n v="17229.234504938227"/>
    <n v="1206.046415345676"/>
    <n v="110"/>
    <n v="150"/>
    <n v="1E-3"/>
    <n v="176.24700000000001"/>
    <n v="12060.464153456758"/>
    <n v="12496.711153456758"/>
    <n v="3180.9641611183101"/>
    <n v="220.90470443124786"/>
    <n v="0.08"/>
    <n v="317.69915550093128"/>
    <n v="7.0000000000000007E-2"/>
    <n v="874.76978074197314"/>
    <n v="15"/>
    <n v="1"/>
  </r>
  <r>
    <n v="158"/>
    <d v="2022-12-31T00:00:00"/>
    <x v="1"/>
    <s v="CLI91"/>
    <s v="CLI91"/>
    <s v="CACAPAVA"/>
    <s v="SP"/>
    <s v="CLI665"/>
    <s v="FORTALEZA"/>
    <s v="CE"/>
    <n v="2747.5171620000001"/>
    <n v="0"/>
    <n v="0"/>
    <n v="0"/>
    <n v="0"/>
    <x v="0"/>
    <x v="0"/>
    <s v="BRSSZTK01S"/>
    <s v="BRSSZTCO"/>
    <n v="162.23717400000001"/>
    <n v="61.455500000000001"/>
    <n v="150"/>
    <n v="3045.9213017753605"/>
    <n v="548.26583431956487"/>
    <n v="640"/>
    <n v="7"/>
    <n v="0"/>
    <n v="0"/>
    <n v="640"/>
    <m/>
    <m/>
    <n v="0"/>
    <x v="3"/>
    <s v="BRPECTK01"/>
    <s v="BRPECAPM"/>
    <n v="42.140103000000003"/>
    <n v="61.455500000000001"/>
    <n v="150"/>
    <n v="1266.48623571392"/>
    <n v="227.9675224285055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218"/>
    <n v="122911"/>
    <x v="0"/>
    <x v="7"/>
    <x v="8"/>
    <x v="7"/>
    <x v="9"/>
    <x v="8"/>
    <n v="20"/>
    <n v="20"/>
    <n v="21"/>
    <n v="20"/>
    <n v="19"/>
    <n v="17"/>
    <n v="18"/>
    <n v="225"/>
    <n v="7"/>
    <n v="110"/>
    <n v="7"/>
    <n v="110"/>
    <n v="2747.5171620000001"/>
    <n v="368.733"/>
    <n v="19446.420146455523"/>
    <n v="1361.2494102518867"/>
    <n v="75"/>
    <n v="150"/>
    <n v="1E-3"/>
    <n v="122.911"/>
    <n v="11480.349191276113"/>
    <n v="11828.260191276113"/>
    <n v="3180.9641611183101"/>
    <n v="5702.8097944438814"/>
    <n v="0.08"/>
    <n v="539.16954376310093"/>
    <n v="7.0000000000000007E-2"/>
    <n v="827.97821338932795"/>
    <n v="15"/>
    <n v="21"/>
  </r>
  <r>
    <n v="159"/>
    <d v="2022-12-31T00:00:00"/>
    <x v="0"/>
    <s v="CLI91"/>
    <s v="CLI91"/>
    <s v="CACAPAVA"/>
    <s v="SP"/>
    <s v="CLI657"/>
    <s v="IPOJUCA"/>
    <s v="PE"/>
    <n v="2437.390793"/>
    <n v="0"/>
    <n v="0"/>
    <n v="0"/>
    <n v="0"/>
    <x v="0"/>
    <x v="0"/>
    <s v="BRSSZTK01S"/>
    <s v="BRSSZTCO"/>
    <n v="162.23717400000001"/>
    <n v="47.36"/>
    <n v="150"/>
    <n v="3031.8258017753606"/>
    <n v="545.72864431956486"/>
    <n v="640"/>
    <n v="7"/>
    <n v="0"/>
    <n v="0"/>
    <n v="640"/>
    <m/>
    <m/>
    <n v="0"/>
    <x v="2"/>
    <s v="BRSUATK01S"/>
    <s v="BRSUATCO"/>
    <n v="23.753726"/>
    <n v="47.36"/>
    <n v="150"/>
    <n v="979.96640680064002"/>
    <n v="0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07"/>
    <n v="94720"/>
    <x v="0"/>
    <x v="8"/>
    <x v="9"/>
    <x v="8"/>
    <x v="10"/>
    <x v="9"/>
    <n v="12"/>
    <n v="12"/>
    <n v="12"/>
    <n v="12"/>
    <n v="11"/>
    <n v="10"/>
    <n v="10"/>
    <n v="132"/>
    <n v="7"/>
    <n v="110"/>
    <n v="7"/>
    <n v="110"/>
    <n v="2437.390793"/>
    <n v="284.16000000000003"/>
    <n v="17255.791379631282"/>
    <n v="1207.9053965741898"/>
    <n v="75"/>
    <n v="150"/>
    <n v="1E-3"/>
    <n v="94.72"/>
    <n v="9270.7994197386961"/>
    <n v="9590.5194197386954"/>
    <n v="3180.9641611183101"/>
    <n v="4155.5552586203848"/>
    <n v="0.08"/>
    <n v="402.63988534745033"/>
    <n v="7.0000000000000007E-2"/>
    <n v="671.33635938170869"/>
    <n v="15"/>
    <n v="12"/>
  </r>
  <r>
    <n v="160"/>
    <d v="2022-12-31T00:00:00"/>
    <x v="1"/>
    <s v="CLI91"/>
    <s v="CLI91"/>
    <s v="CACAPAVA"/>
    <s v="SP"/>
    <s v="CLI653"/>
    <s v="SERRA TALHADA"/>
    <s v="PE"/>
    <n v="2251.4147050000001"/>
    <n v="0"/>
    <n v="0"/>
    <n v="0"/>
    <n v="0"/>
    <x v="0"/>
    <x v="0"/>
    <s v="BRSSZTK01S"/>
    <s v="BRSSZTCO"/>
    <n v="162.23717400000001"/>
    <n v="111.971"/>
    <n v="150"/>
    <n v="3096.4368017753604"/>
    <n v="557.35862431956491"/>
    <n v="640"/>
    <n v="7"/>
    <n v="0"/>
    <n v="0"/>
    <n v="640"/>
    <m/>
    <m/>
    <n v="0"/>
    <x v="2"/>
    <s v="BRSUATK01"/>
    <s v="BRSUATCO"/>
    <n v="436.558111"/>
    <n v="111.971"/>
    <n v="150"/>
    <n v="7160.9513697670409"/>
    <n v="1288.9712465580674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194"/>
    <n v="223942"/>
    <x v="0"/>
    <x v="9"/>
    <x v="10"/>
    <x v="9"/>
    <x v="11"/>
    <x v="10"/>
    <n v="10"/>
    <n v="10"/>
    <n v="10"/>
    <n v="10"/>
    <n v="9"/>
    <n v="8"/>
    <n v="9"/>
    <n v="110"/>
    <n v="7"/>
    <n v="110"/>
    <n v="7"/>
    <n v="110"/>
    <n v="2251.4147050000001"/>
    <n v="671.82600000000002"/>
    <n v="16380.501205066805"/>
    <n v="1146.6350843546763"/>
    <n v="75"/>
    <n v="150"/>
    <n v="1E-3"/>
    <n v="223.94200000000001"/>
    <n v="9298.8450823040112"/>
    <n v="9747.7870823040103"/>
    <n v="3180.9641611183101"/>
    <n v="-2848.1284485813408"/>
    <n v="0.08"/>
    <n v="-188.47447680928187"/>
    <n v="7.0000000000000007E-2"/>
    <n v="682.34509576128073"/>
    <n v="15"/>
    <n v="10"/>
  </r>
  <r>
    <n v="161"/>
    <d v="2022-12-31T00:00:00"/>
    <x v="1"/>
    <s v="CLI91"/>
    <s v="CLI91"/>
    <s v="CACAPAVA"/>
    <s v="SP"/>
    <s v="CLI666"/>
    <s v="SIMOES FILHO"/>
    <s v="BA"/>
    <n v="1766.8366780000001"/>
    <n v="0"/>
    <n v="0"/>
    <n v="0"/>
    <n v="0"/>
    <x v="0"/>
    <x v="0"/>
    <s v="BRSSZTK01S"/>
    <s v="BRSSZTCO"/>
    <n v="162.23717400000001"/>
    <n v="118.9295"/>
    <n v="150"/>
    <n v="3103.3953017753606"/>
    <n v="558.61115431956489"/>
    <n v="640"/>
    <n v="7"/>
    <n v="0"/>
    <n v="0"/>
    <n v="640"/>
    <m/>
    <m/>
    <n v="0"/>
    <x v="5"/>
    <s v="BRSSATK01"/>
    <s v="BRSSATCO"/>
    <n v="26.551053"/>
    <n v="118.9295"/>
    <n v="150"/>
    <n v="1092.9828939219201"/>
    <n v="196.73692090594562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038"/>
    <n v="237859"/>
    <x v="0"/>
    <x v="0"/>
    <x v="5"/>
    <x v="4"/>
    <x v="0"/>
    <x v="0"/>
    <n v="3"/>
    <n v="3"/>
    <n v="3"/>
    <n v="3"/>
    <n v="3"/>
    <n v="3"/>
    <n v="3"/>
    <n v="36"/>
    <n v="7"/>
    <n v="110"/>
    <n v="7"/>
    <n v="110"/>
    <n v="1766.8366780000001"/>
    <n v="713.577"/>
    <n v="13131.502206830883"/>
    <n v="919.20515447816183"/>
    <n v="75"/>
    <n v="150"/>
    <n v="1E-3"/>
    <n v="237.85900000000001"/>
    <n v="7019.6748335388647"/>
    <n v="7482.5338335388651"/>
    <n v="3180.9641611183101"/>
    <n v="1594.5867784986353"/>
    <n v="0.08"/>
    <n v="202.46460500928595"/>
    <n v="7.0000000000000007E-2"/>
    <n v="523.77736834772065"/>
    <n v="15"/>
    <n v="3"/>
  </r>
  <r>
    <n v="162"/>
    <d v="2022-12-31T00:00:00"/>
    <x v="1"/>
    <s v="CLI91"/>
    <s v="CLI91"/>
    <s v="CACAPAVA"/>
    <s v="SP"/>
    <s v="CLI954"/>
    <s v="MANAUS"/>
    <s v="AM"/>
    <n v="2698.4938530477298"/>
    <n v="2960.661267"/>
    <n v="0"/>
    <n v="7000"/>
    <n v="0"/>
    <x v="0"/>
    <x v="0"/>
    <s v="BRSSZTK01S"/>
    <s v="BRSSZTCO"/>
    <n v="162.23717400000001"/>
    <n v="75.588499999999996"/>
    <n v="150"/>
    <n v="3060.0543017753603"/>
    <n v="550.80977431956478"/>
    <n v="640"/>
    <n v="7"/>
    <n v="0"/>
    <n v="0"/>
    <n v="640"/>
    <m/>
    <m/>
    <n v="0"/>
    <x v="0"/>
    <s v="BRMAOTK01"/>
    <s v="BRMAOCHI"/>
    <n v="11.436796000000001"/>
    <n v="75.588499999999996"/>
    <n v="150"/>
    <n v="825.6993890854399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48"/>
    <n v="151177"/>
    <x v="0"/>
    <x v="3"/>
    <x v="2"/>
    <x v="2"/>
    <x v="2"/>
    <x v="3"/>
    <n v="2"/>
    <n v="2"/>
    <n v="2"/>
    <n v="2"/>
    <n v="2"/>
    <n v="1"/>
    <n v="1"/>
    <n v="18"/>
    <n v="7"/>
    <n v="110"/>
    <n v="7"/>
    <n v="110"/>
    <n v="2698.4938530477298"/>
    <n v="453.53100000000001"/>
    <n v="19198.30281629301"/>
    <n v="1343.8811971405107"/>
    <n v="75"/>
    <n v="150"/>
    <n v="1E-3"/>
    <n v="151.17699999999999"/>
    <n v="11296.773960162354"/>
    <n v="11672.950960162354"/>
    <n v="3180.9641611183101"/>
    <n v="5924.2874099586043"/>
    <n v="0.08"/>
    <n v="578.9109995985591"/>
    <n v="7.0000000000000007E-2"/>
    <n v="817.1065672113649"/>
    <n v="15"/>
    <n v="2"/>
  </r>
  <r>
    <n v="163"/>
    <d v="2022-12-31T00:00:00"/>
    <x v="2"/>
    <s v="CLI92"/>
    <s v="CLI92"/>
    <s v="JACAREI"/>
    <s v="SP"/>
    <s v="CLI666"/>
    <s v="SIMOES FILHO"/>
    <s v="BA"/>
    <n v="1802.6462469999999"/>
    <n v="0"/>
    <n v="0"/>
    <n v="0"/>
    <n v="0"/>
    <x v="0"/>
    <x v="0"/>
    <s v="BRSSZTK01"/>
    <s v="BRSSZTCO"/>
    <n v="125.620194"/>
    <n v="35.486000000000004"/>
    <n v="150"/>
    <n v="2477.4111912281596"/>
    <n v="445.9340144210687"/>
    <n v="640"/>
    <n v="7"/>
    <n v="0"/>
    <n v="0"/>
    <n v="640"/>
    <m/>
    <m/>
    <n v="0"/>
    <x v="5"/>
    <s v="BRSSATK01"/>
    <s v="BRSSATCO"/>
    <n v="26.551053"/>
    <n v="35.486000000000004"/>
    <n v="150"/>
    <n v="1009.53939392192"/>
    <n v="181.71709090594558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262"/>
    <n v="70972"/>
    <x v="0"/>
    <x v="2"/>
    <x v="0"/>
    <x v="0"/>
    <x v="2"/>
    <x v="2"/>
    <n v="3"/>
    <n v="3"/>
    <n v="3"/>
    <n v="3"/>
    <n v="3"/>
    <n v="2"/>
    <n v="2"/>
    <n v="29"/>
    <n v="7"/>
    <n v="110"/>
    <n v="7"/>
    <n v="110"/>
    <n v="1802.6462469999999"/>
    <n v="212.916"/>
    <n v="12874.022557527122"/>
    <n v="901.18157902689859"/>
    <n v="75"/>
    <n v="150"/>
    <n v="1E-3"/>
    <n v="70.972000000000008"/>
    <n v="9011.8157902689836"/>
    <n v="9307.7877902689834"/>
    <n v="3180.9641611183101"/>
    <n v="1025.8730440005934"/>
    <n v="0.08"/>
    <n v="415.45488798335117"/>
    <n v="7.0000000000000007E-2"/>
    <n v="651.54514531882887"/>
    <n v="15"/>
    <n v="3"/>
  </r>
  <r>
    <n v="164"/>
    <d v="2022-12-31T00:00:00"/>
    <x v="2"/>
    <s v="CLI92"/>
    <s v="CLI92"/>
    <s v="JACAREI"/>
    <s v="SP"/>
    <s v="CLI665"/>
    <s v="FORTALEZA"/>
    <s v="CE"/>
    <n v="2769.921844"/>
    <n v="0"/>
    <n v="0"/>
    <n v="0"/>
    <n v="0"/>
    <x v="0"/>
    <x v="0"/>
    <s v="BRSSZTK01"/>
    <s v="BRSSZTCO"/>
    <n v="125.620194"/>
    <n v="83.667000000000002"/>
    <n v="150"/>
    <n v="2525.5921912281597"/>
    <n v="454.60659442106873"/>
    <n v="640"/>
    <n v="7"/>
    <n v="0"/>
    <n v="0"/>
    <n v="640"/>
    <m/>
    <m/>
    <n v="0"/>
    <x v="3"/>
    <s v="BRPECTK01"/>
    <s v="BRPECAPM"/>
    <n v="42.140103000000003"/>
    <n v="83.667000000000002"/>
    <n v="150"/>
    <n v="1288.6977357139199"/>
    <n v="231.96559242850557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697"/>
    <n v="167334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769.921844"/>
    <n v="502.00200000000001"/>
    <n v="19731.838445730242"/>
    <n v="1381.228691201117"/>
    <n v="75"/>
    <n v="150"/>
    <n v="1E-3"/>
    <n v="167.334"/>
    <n v="13812.286912011168"/>
    <n v="14204.620912011169"/>
    <n v="3180.9641611183101"/>
    <n v="5531.3668239507788"/>
    <n v="0.08"/>
    <n v="776.30070385756119"/>
    <n v="7.0000000000000007E-2"/>
    <n v="994.32346384078187"/>
    <n v="15"/>
    <n v="2"/>
  </r>
  <r>
    <n v="165"/>
    <d v="2022-12-31T00:00:00"/>
    <x v="2"/>
    <s v="CLI93"/>
    <s v="CLI93"/>
    <s v="CORDEIROPOLIS"/>
    <s v="SP"/>
    <s v="CLI691"/>
    <s v="MANAUS"/>
    <s v="AM"/>
    <n v="2538.0562724788469"/>
    <n v="2723.9895970000002"/>
    <n v="0"/>
    <n v="7000"/>
    <n v="0"/>
    <x v="0"/>
    <x v="0"/>
    <s v="BRSSZTK01"/>
    <s v="BRSSZTCO"/>
    <n v="241.12192899999999"/>
    <n v="87.313000000000002"/>
    <n v="150"/>
    <n v="4240.5858180985597"/>
    <n v="763.30544725774075"/>
    <n v="640"/>
    <n v="7"/>
    <n v="0"/>
    <n v="0"/>
    <n v="640"/>
    <m/>
    <m/>
    <n v="0"/>
    <x v="0"/>
    <s v="BRMAOTK01"/>
    <s v="BRMAOCHI"/>
    <n v="11.436796000000001"/>
    <n v="87.313000000000002"/>
    <n v="150"/>
    <n v="837.42388908544001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98"/>
    <n v="17462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8.0562724788469"/>
    <n v="523.87800000000004"/>
    <n v="18179.124624152955"/>
    <n v="1272.538723690707"/>
    <n v="110"/>
    <n v="150"/>
    <n v="1E-3"/>
    <n v="174.626"/>
    <n v="12725.387236907069"/>
    <n v="13160.013236907069"/>
    <n v="3180.9641611183101"/>
    <n v="3159.0393686047587"/>
    <n v="0.08"/>
    <n v="585.49584659722632"/>
    <n v="7.0000000000000007E-2"/>
    <n v="921.20092658349495"/>
    <n v="15"/>
    <n v="1"/>
  </r>
  <r>
    <n v="166"/>
    <d v="2022-12-31T00:00:00"/>
    <x v="2"/>
    <s v="CLI94"/>
    <s v="CLI94"/>
    <s v="CONDE"/>
    <s v="PB"/>
    <s v="CLI691"/>
    <s v="MANAUS"/>
    <s v="AM"/>
    <n v="2822.0229016636422"/>
    <n v="2035.5422120000001"/>
    <n v="0"/>
    <n v="7000"/>
    <n v="0"/>
    <x v="0"/>
    <x v="3"/>
    <s v="BRSUATK01"/>
    <s v="BRSUATCO"/>
    <n v="152.64860899999999"/>
    <n v="40.868000000000002"/>
    <n v="150"/>
    <n v="2883.2634860537601"/>
    <n v="345.9916183264512"/>
    <n v="1344"/>
    <n v="7"/>
    <n v="0"/>
    <n v="0"/>
    <n v="1344"/>
    <m/>
    <m/>
    <n v="0"/>
    <x v="0"/>
    <s v="BRMAOTK01"/>
    <s v="BRMAOCHI"/>
    <n v="11.436796000000001"/>
    <n v="40.868000000000002"/>
    <n v="150"/>
    <n v="790.9788890854400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74"/>
    <n v="81736"/>
    <x v="0"/>
    <x v="3"/>
    <x v="2"/>
    <x v="2"/>
    <x v="3"/>
    <x v="3"/>
    <n v="1"/>
    <n v="1"/>
    <n v="2"/>
    <n v="2"/>
    <n v="1"/>
    <n v="1"/>
    <n v="1"/>
    <n v="14"/>
    <n v="7"/>
    <n v="110"/>
    <n v="7"/>
    <n v="110"/>
    <n v="2822.0229016636422"/>
    <n v="245.208"/>
    <n v="19828.860644281729"/>
    <n v="2379.4632773138073"/>
    <n v="75"/>
    <n v="150"/>
    <n v="1E-3"/>
    <n v="81.736000000000004"/>
    <n v="13880.202450997209"/>
    <n v="14186.93845099721"/>
    <n v="3180.9641611183101"/>
    <n v="4895.7319147396993"/>
    <n v="0.08"/>
    <n v="813.3363566025248"/>
    <n v="0.12"/>
    <n v="1702.432614119665"/>
    <n v="15"/>
    <n v="2"/>
  </r>
  <r>
    <n v="167"/>
    <d v="2022-12-31T00:00:00"/>
    <x v="2"/>
    <s v="CLI94"/>
    <s v="CLI94"/>
    <s v="CONDE"/>
    <s v="PB"/>
    <s v="CLI691"/>
    <s v="MANAUS"/>
    <s v="AM"/>
    <n v="2822.0229016636422"/>
    <n v="2035.5422120000001"/>
    <n v="0"/>
    <n v="7000"/>
    <n v="0"/>
    <x v="0"/>
    <x v="3"/>
    <s v="BRSUATK01"/>
    <s v="BRSUATCO"/>
    <n v="152.64860899999999"/>
    <n v="28.982500000000002"/>
    <n v="150"/>
    <n v="2871.3779860537602"/>
    <n v="344.56535832645119"/>
    <n v="1344"/>
    <n v="7"/>
    <n v="0"/>
    <n v="0"/>
    <n v="1344"/>
    <m/>
    <m/>
    <n v="0"/>
    <x v="0"/>
    <s v="BRMAOTK01"/>
    <s v="BRMAOCHI"/>
    <n v="11.436796000000001"/>
    <n v="28.982500000000002"/>
    <n v="150"/>
    <n v="779.0933890854399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82"/>
    <n v="57965"/>
    <x v="1"/>
    <x v="10"/>
    <x v="4"/>
    <x v="10"/>
    <x v="12"/>
    <x v="5"/>
    <n v="0"/>
    <n v="0"/>
    <n v="1"/>
    <n v="1"/>
    <n v="1"/>
    <n v="0"/>
    <n v="1"/>
    <n v="4"/>
    <n v="7"/>
    <n v="180"/>
    <n v="7"/>
    <n v="180"/>
    <n v="2822.0229016636422"/>
    <n v="173.89500000000001"/>
    <n v="19757.547644281731"/>
    <n v="2370.9057173138076"/>
    <n v="110"/>
    <n v="150"/>
    <n v="1E-3"/>
    <n v="57.965000000000003"/>
    <n v="13830.283350997212"/>
    <n v="14148.248350997212"/>
    <n v="3180.9641611183101"/>
    <n v="4880.8128147397019"/>
    <n v="0.08"/>
    <n v="812.25692940252486"/>
    <n v="0.12"/>
    <n v="1697.7898021196654"/>
    <n v="15"/>
    <n v="1"/>
  </r>
  <r>
    <n v="168"/>
    <d v="2022-12-31T00:00:00"/>
    <x v="2"/>
    <s v="CLI95"/>
    <s v="CLI95"/>
    <s v="JOAO PESSOA"/>
    <s v="PB"/>
    <s v="CLI691"/>
    <s v="MANAUS"/>
    <s v="AM"/>
    <n v="2824.1131625356697"/>
    <n v="2026.6121250000001"/>
    <n v="0"/>
    <n v="7000"/>
    <n v="0"/>
    <x v="0"/>
    <x v="3"/>
    <s v="BRSUATK01"/>
    <s v="BRSUATCO"/>
    <n v="167.74277900000001"/>
    <n v="101.745"/>
    <n v="150"/>
    <n v="3167.7853690425604"/>
    <n v="380.13424428510723"/>
    <n v="1344"/>
    <n v="7"/>
    <n v="0"/>
    <n v="0"/>
    <n v="1344"/>
    <m/>
    <m/>
    <n v="0"/>
    <x v="0"/>
    <s v="BRMAOTK01"/>
    <s v="BRMAOCHI"/>
    <n v="11.436796000000001"/>
    <n v="101.745"/>
    <n v="150"/>
    <n v="851.8558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745"/>
    <n v="203490"/>
    <x v="0"/>
    <x v="0"/>
    <x v="5"/>
    <x v="4"/>
    <x v="0"/>
    <x v="0"/>
    <n v="3"/>
    <n v="3"/>
    <n v="3"/>
    <n v="3"/>
    <n v="3"/>
    <n v="2"/>
    <n v="3"/>
    <n v="35"/>
    <n v="7"/>
    <n v="110"/>
    <n v="7"/>
    <n v="110"/>
    <n v="2824.1131625356697"/>
    <n v="610.47"/>
    <n v="20208.317522253234"/>
    <n v="2424.9981026703881"/>
    <n v="75"/>
    <n v="150"/>
    <n v="1E-3"/>
    <n v="203.49"/>
    <n v="14145.822265577262"/>
    <n v="14574.312265577262"/>
    <n v="3180.9641611183101"/>
    <n v="4937.7068463309515"/>
    <n v="0.08"/>
    <n v="813.96294105313245"/>
    <n v="0.12"/>
    <n v="1748.9174718692714"/>
    <n v="15"/>
    <n v="3"/>
  </r>
  <r>
    <n v="169"/>
    <d v="2022-12-31T00:00:00"/>
    <x v="2"/>
    <s v="CLI96"/>
    <s v="CLI96"/>
    <s v="SANTA GERTRUDES"/>
    <s v="SP"/>
    <s v="CLI688"/>
    <s v="MANAUS"/>
    <s v="AM"/>
    <n v="2530.6905541302044"/>
    <n v="2714.9531979999997"/>
    <n v="0"/>
    <n v="7000"/>
    <n v="0"/>
    <x v="0"/>
    <x v="0"/>
    <s v="BRSSZTK01"/>
    <s v="BRSSZTCO"/>
    <n v="247.601833"/>
    <n v="78.376999999999995"/>
    <n v="150"/>
    <n v="4327.6602229011205"/>
    <n v="778.97884012220163"/>
    <n v="640"/>
    <n v="7"/>
    <n v="0"/>
    <n v="0"/>
    <n v="640"/>
    <m/>
    <m/>
    <n v="0"/>
    <x v="0"/>
    <s v="BRMAOTK01"/>
    <s v="BRMAOCHI"/>
    <n v="11.436796000000001"/>
    <n v="78.376999999999995"/>
    <n v="150"/>
    <n v="828.4878890854399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274"/>
    <n v="156754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30.6905541302044"/>
    <n v="470.262"/>
    <n v="18075.488325476053"/>
    <n v="1265.2841827833238"/>
    <n v="110"/>
    <n v="150"/>
    <n v="1E-3"/>
    <n v="156.75399999999999"/>
    <n v="12652.841827833237"/>
    <n v="13069.595827833238"/>
    <n v="3180.9641611183101"/>
    <n v="2990.4835547283678"/>
    <n v="0.08"/>
    <n v="570.75751005795814"/>
    <n v="7.0000000000000007E-2"/>
    <n v="914.87170794832673"/>
    <n v="15"/>
    <n v="2"/>
  </r>
  <r>
    <n v="170"/>
    <d v="2022-12-31T00:00:00"/>
    <x v="2"/>
    <s v="CLI99"/>
    <s v="CLI99"/>
    <s v="ARARAQUARA"/>
    <s v="SP"/>
    <s v="CLI677"/>
    <s v="PACATUBA"/>
    <s v="CE"/>
    <n v="2653.074595"/>
    <n v="0"/>
    <n v="0"/>
    <n v="0"/>
    <n v="0"/>
    <x v="0"/>
    <x v="0"/>
    <s v="BRSSZTK01"/>
    <s v="BRSSZTCO"/>
    <n v="353.17718400000001"/>
    <n v="78.674499999999995"/>
    <n v="150"/>
    <n v="5892.2296915417601"/>
    <n v="1060.6013444775167"/>
    <n v="640"/>
    <n v="7"/>
    <n v="0"/>
    <n v="0"/>
    <n v="640"/>
    <m/>
    <m/>
    <n v="0"/>
    <x v="3"/>
    <s v="BRPECTK01"/>
    <s v="BRPECAPM"/>
    <n v="66.985500999999999"/>
    <n v="78.674499999999995"/>
    <n v="150"/>
    <n v="1651.8305535366401"/>
    <n v="297.3294996365951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894"/>
    <n v="157349"/>
    <x v="1"/>
    <x v="0"/>
    <x v="0"/>
    <x v="4"/>
    <x v="2"/>
    <x v="2"/>
    <n v="3"/>
    <n v="3"/>
    <n v="3"/>
    <n v="3"/>
    <n v="3"/>
    <n v="3"/>
    <n v="3"/>
    <n v="33"/>
    <n v="7"/>
    <n v="180"/>
    <n v="7"/>
    <n v="180"/>
    <n v="2653.074595"/>
    <n v="472.04700000000003"/>
    <n v="18908.3784516612"/>
    <n v="1323.5864916162841"/>
    <n v="110"/>
    <n v="150"/>
    <n v="1E-3"/>
    <n v="157.34899999999999"/>
    <n v="13235.864916162838"/>
    <n v="13653.213916162838"/>
    <n v="3180.9641611183101"/>
    <n v="1250.1895099661283"/>
    <n v="0.08"/>
    <n v="380.09782615762612"/>
    <n v="7.0000000000000007E-2"/>
    <n v="955.72497413139877"/>
    <n v="15"/>
    <n v="3"/>
  </r>
  <r>
    <n v="171"/>
    <d v="2022-12-31T00:00:00"/>
    <x v="2"/>
    <s v="CLI99"/>
    <s v="CLI99"/>
    <s v="ARARAQUARA"/>
    <s v="SP"/>
    <s v="CLI674"/>
    <s v="FEIRA DE SANTANA"/>
    <s v="BA"/>
    <n v="1739.795658"/>
    <n v="0"/>
    <n v="0"/>
    <n v="0"/>
    <n v="0"/>
    <x v="0"/>
    <x v="0"/>
    <s v="BRSSZTK01"/>
    <s v="BRSSZTCO"/>
    <n v="353.17718400000001"/>
    <n v="58.366"/>
    <n v="150"/>
    <n v="5871.92119154176"/>
    <n v="1056.9458144775167"/>
    <n v="640"/>
    <n v="7"/>
    <n v="0"/>
    <n v="0"/>
    <n v="640"/>
    <m/>
    <m/>
    <n v="0"/>
    <x v="5"/>
    <s v="BRSSATK01"/>
    <s v="BRSSATCO"/>
    <n v="112.075299"/>
    <n v="58.366"/>
    <n v="150"/>
    <n v="2299.60135817536"/>
    <n v="413.92824447156477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490"/>
    <n v="116732"/>
    <x v="1"/>
    <x v="0"/>
    <x v="0"/>
    <x v="4"/>
    <x v="2"/>
    <x v="2"/>
    <n v="3"/>
    <n v="3"/>
    <n v="3"/>
    <n v="3"/>
    <n v="3"/>
    <n v="3"/>
    <n v="3"/>
    <n v="33"/>
    <n v="7"/>
    <n v="180"/>
    <n v="7"/>
    <n v="180"/>
    <n v="1739.795658"/>
    <n v="350.19600000000003"/>
    <n v="12584.486721651683"/>
    <n v="880.91407051561794"/>
    <n v="110"/>
    <n v="150"/>
    <n v="1E-3"/>
    <n v="116.732"/>
    <n v="8809.1407051561782"/>
    <n v="9185.8727051561782"/>
    <n v="3180.9641611183101"/>
    <n v="-3780.6140056792519"/>
    <n v="0.08"/>
    <n v="-36.521912280801864"/>
    <n v="7.0000000000000007E-2"/>
    <n v="643.01108936093249"/>
    <n v="15"/>
    <n v="3"/>
  </r>
  <r>
    <n v="172"/>
    <d v="2022-12-31T00:00:00"/>
    <x v="2"/>
    <s v="CLI100"/>
    <s v="CLI100"/>
    <s v="FEIRA DE SANTANA"/>
    <s v="BA"/>
    <s v="CLI612"/>
    <s v="MANAUS"/>
    <s v="AM"/>
    <n v="2532.3139994572889"/>
    <n v="1962.873523"/>
    <n v="0"/>
    <n v="7000"/>
    <n v="0"/>
    <x v="0"/>
    <x v="5"/>
    <s v="BRSSATK01"/>
    <s v="BRSSATCO"/>
    <n v="112.075299"/>
    <n v="113.7705"/>
    <n v="150"/>
    <n v="2355.0058581753601"/>
    <n v="423.90105447156481"/>
    <n v="704"/>
    <n v="7"/>
    <n v="0"/>
    <n v="0"/>
    <n v="704"/>
    <m/>
    <m/>
    <n v="0"/>
    <x v="0"/>
    <s v="BRMAOTK01"/>
    <s v="BRMAOCHI"/>
    <n v="11.436796000000001"/>
    <n v="113.7705"/>
    <n v="150"/>
    <n v="863.88138908543999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178"/>
    <n v="227541"/>
    <x v="1"/>
    <x v="11"/>
    <x v="11"/>
    <x v="11"/>
    <x v="9"/>
    <x v="8"/>
    <n v="20"/>
    <n v="20"/>
    <n v="22"/>
    <n v="22"/>
    <n v="22"/>
    <n v="20"/>
    <n v="22"/>
    <n v="242"/>
    <n v="7"/>
    <n v="180"/>
    <n v="7"/>
    <n v="180"/>
    <n v="2532.3139994572889"/>
    <n v="682.62300000000005"/>
    <n v="18298.874077754474"/>
    <n v="2195.8648893305367"/>
    <n v="110"/>
    <n v="150"/>
    <n v="1E-3"/>
    <n v="227.541"/>
    <n v="12809.211854428131"/>
    <n v="13296.75285442813"/>
    <n v="3180.9641611183101"/>
    <n v="5065.9014460490198"/>
    <n v="0.08"/>
    <n v="772.31716421566125"/>
    <n v="0.12"/>
    <n v="1595.6103425313756"/>
    <n v="15"/>
    <n v="22"/>
  </r>
  <r>
    <n v="173"/>
    <d v="2022-12-31T00:00:00"/>
    <x v="2"/>
    <s v="CLI100"/>
    <s v="CLI100"/>
    <s v="FEIRA DE SANTANA"/>
    <s v="BA"/>
    <s v="CLI611"/>
    <s v="BOA VISTA"/>
    <s v="RR"/>
    <n v="2923.8073824192652"/>
    <n v="1962.873523"/>
    <n v="0"/>
    <n v="7000"/>
    <n v="0"/>
    <x v="0"/>
    <x v="5"/>
    <s v="BRSSATK01"/>
    <s v="BRSSATCO"/>
    <n v="112.075299"/>
    <n v="70.123500000000007"/>
    <n v="150"/>
    <n v="2311.3588581753602"/>
    <n v="416.04459447156484"/>
    <n v="704"/>
    <n v="7"/>
    <n v="0"/>
    <n v="0"/>
    <n v="704"/>
    <m/>
    <m/>
    <n v="0"/>
    <x v="0"/>
    <s v="BRMAOTK01"/>
    <s v="BRMAOCHI"/>
    <n v="745.73917200000005"/>
    <n v="70.123500000000007"/>
    <n v="150"/>
    <n v="11700.128345422081"/>
    <n v="1404.0154014506497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17"/>
    <n v="14024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923.8073824192652"/>
    <n v="420.74099999999999"/>
    <n v="20695.607981713933"/>
    <n v="2483.4729578056717"/>
    <n v="110"/>
    <n v="150"/>
    <n v="1E-3"/>
    <n v="140.24700000000001"/>
    <n v="14486.925587199752"/>
    <n v="14887.172587199751"/>
    <n v="3180.9641611183101"/>
    <n v="-4136.2787775160014"/>
    <n v="0.08"/>
    <n v="-75.549968985592429"/>
    <n v="0.12"/>
    <n v="1786.4607104639701"/>
    <n v="15"/>
    <n v="1"/>
  </r>
  <r>
    <n v="174"/>
    <d v="2022-12-31T00:00:00"/>
    <x v="2"/>
    <s v="CLI101"/>
    <s v="CLI101"/>
    <s v="JACAREI"/>
    <s v="SP"/>
    <s v="CLI612"/>
    <s v="MANAUS"/>
    <s v="AM"/>
    <n v="2700.4164323245382"/>
    <n v="2927.3519000000001"/>
    <n v="0"/>
    <n v="7000"/>
    <n v="0"/>
    <x v="0"/>
    <x v="0"/>
    <s v="BRSSZTK01"/>
    <s v="BRSSZTCO"/>
    <n v="125.620194"/>
    <n v="70.629500000000007"/>
    <n v="150"/>
    <n v="2512.5546912281598"/>
    <n v="452.25984442106875"/>
    <n v="640"/>
    <n v="7"/>
    <n v="0"/>
    <n v="0"/>
    <n v="640"/>
    <m/>
    <m/>
    <n v="0"/>
    <x v="0"/>
    <s v="BRMAOTK01"/>
    <s v="BRMAOCHI"/>
    <n v="11.436796000000001"/>
    <n v="70.629500000000007"/>
    <n v="150"/>
    <n v="820.74038908544003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845"/>
    <n v="141259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700.4164323245382"/>
    <n v="423.77699999999999"/>
    <n v="19181.604975258644"/>
    <n v="1342.7123482681052"/>
    <n v="110"/>
    <n v="150"/>
    <n v="1E-3"/>
    <n v="141.25900000000001"/>
    <n v="13427.123482681051"/>
    <n v="13828.382482681051"/>
    <n v="3180.9641611183101"/>
    <n v="5572.1232412491408"/>
    <n v="0.08"/>
    <n v="803.42620463571063"/>
    <n v="7.0000000000000007E-2"/>
    <n v="967.98677378767366"/>
    <n v="15"/>
    <n v="2"/>
  </r>
  <r>
    <n v="175"/>
    <d v="2022-12-31T00:00:00"/>
    <x v="0"/>
    <s v="CLI103"/>
    <s v="CLI103"/>
    <s v="CUBATAO"/>
    <s v="SP"/>
    <s v="CLI1048"/>
    <s v="MANAUS"/>
    <s v="AM"/>
    <n v="2726.5742032108928"/>
    <n v="2934.8554440000003"/>
    <n v="0"/>
    <n v="7000"/>
    <n v="0"/>
    <x v="0"/>
    <x v="0"/>
    <s v="BRSSZTK01S"/>
    <s v="BRSSZTCO"/>
    <n v="28.273662000000002"/>
    <n v="66.189499999999995"/>
    <n v="150"/>
    <n v="1065.7661713356802"/>
    <n v="191.83791084042241"/>
    <n v="640"/>
    <n v="7"/>
    <n v="0"/>
    <n v="0"/>
    <n v="640"/>
    <m/>
    <m/>
    <n v="0"/>
    <x v="0"/>
    <s v="BRMAOTK01S"/>
    <s v="BRMAOCHI"/>
    <n v="11.436796000000001"/>
    <n v="66.189499999999995"/>
    <n v="150"/>
    <n v="816.3003890854399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119"/>
    <n v="132379"/>
    <x v="0"/>
    <x v="0"/>
    <x v="5"/>
    <x v="4"/>
    <x v="0"/>
    <x v="0"/>
    <n v="3"/>
    <n v="3"/>
    <n v="3"/>
    <n v="3"/>
    <n v="3"/>
    <n v="3"/>
    <n v="3"/>
    <n v="36"/>
    <n v="7"/>
    <n v="110"/>
    <n v="7"/>
    <n v="110"/>
    <n v="2726.5742032108928"/>
    <n v="397.137"/>
    <n v="19332.601351037043"/>
    <n v="1353.2820945725932"/>
    <n v="75"/>
    <n v="150"/>
    <n v="1E-3"/>
    <n v="132.37899999999999"/>
    <n v="12215.374353431145"/>
    <n v="12572.753353431146"/>
    <n v="3180.9641611183101"/>
    <n v="7649.7891923128354"/>
    <n v="0.08"/>
    <n v="839.90791057356819"/>
    <n v="7.0000000000000007E-2"/>
    <n v="880.09273474018028"/>
    <n v="15"/>
    <n v="3"/>
  </r>
  <r>
    <n v="176"/>
    <d v="2022-12-31T00:00:00"/>
    <x v="0"/>
    <s v="CLI103"/>
    <s v="CLI103"/>
    <s v="CUBATAO"/>
    <s v="SP"/>
    <s v="CLI1048"/>
    <s v="MANAUS"/>
    <s v="AM"/>
    <n v="2726.5742032108928"/>
    <n v="2934.8554440000003"/>
    <n v="0"/>
    <n v="7000"/>
    <n v="0"/>
    <x v="0"/>
    <x v="0"/>
    <s v="BRSSZTK01S"/>
    <s v="BRSSZTCO"/>
    <n v="28.273662000000002"/>
    <n v="71.742000000000004"/>
    <n v="150"/>
    <n v="1071.3186713356799"/>
    <n v="192.83736084042238"/>
    <n v="640"/>
    <n v="7"/>
    <n v="0"/>
    <n v="0"/>
    <n v="640"/>
    <m/>
    <m/>
    <n v="0"/>
    <x v="0"/>
    <s v="BRMAOTK01S"/>
    <s v="BRMAOCHI"/>
    <n v="11.436796000000001"/>
    <n v="71.742000000000004"/>
    <n v="150"/>
    <n v="821.8528890854399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347"/>
    <n v="143484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726.5742032108928"/>
    <n v="430.452"/>
    <n v="19365.916351037045"/>
    <n v="1355.6141445725932"/>
    <n v="75"/>
    <n v="150"/>
    <n v="1E-3"/>
    <n v="143.48400000000001"/>
    <n v="12230.921353431148"/>
    <n v="12599.405353431148"/>
    <n v="3180.9641611183101"/>
    <n v="7676.4411923128373"/>
    <n v="0.08"/>
    <n v="841.07171457356867"/>
    <n v="7.0000000000000007E-2"/>
    <n v="881.95837474018049"/>
    <n v="15"/>
    <n v="1"/>
  </r>
  <r>
    <n v="177"/>
    <d v="2022-12-31T00:00:00"/>
    <x v="0"/>
    <s v="CLI103"/>
    <s v="CLI103"/>
    <s v="CUBATAO"/>
    <s v="SP"/>
    <s v="CLI1048"/>
    <s v="MANAUS"/>
    <s v="AM"/>
    <n v="2726.5742032108928"/>
    <n v="2934.8554440000003"/>
    <n v="0"/>
    <n v="7000"/>
    <n v="0"/>
    <x v="0"/>
    <x v="0"/>
    <s v="BRSSZTK01S"/>
    <s v="BRSSZTCO"/>
    <n v="28.273662000000002"/>
    <n v="113.23700000000001"/>
    <n v="150"/>
    <n v="1112.8136713356801"/>
    <n v="200.3064608404224"/>
    <n v="640"/>
    <n v="7"/>
    <n v="0"/>
    <n v="0"/>
    <n v="640"/>
    <m/>
    <m/>
    <n v="0"/>
    <x v="0"/>
    <s v="BRMAOTK01S"/>
    <s v="BRMAOCHI"/>
    <n v="11.436796000000001"/>
    <n v="113.23700000000001"/>
    <n v="150"/>
    <n v="863.34788908543999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15"/>
    <n v="226474"/>
    <x v="1"/>
    <x v="5"/>
    <x v="6"/>
    <x v="5"/>
    <x v="5"/>
    <x v="6"/>
    <n v="4"/>
    <n v="4"/>
    <n v="4"/>
    <n v="4"/>
    <n v="4"/>
    <n v="4"/>
    <n v="4"/>
    <n v="48"/>
    <n v="7"/>
    <n v="180"/>
    <n v="7"/>
    <n v="180"/>
    <n v="2726.5742032108928"/>
    <n v="679.42200000000003"/>
    <n v="19614.886351037043"/>
    <n v="1373.0420445725931"/>
    <n v="110"/>
    <n v="150"/>
    <n v="1E-3"/>
    <n v="226.47400000000002"/>
    <n v="12347.107353431147"/>
    <n v="12833.581353431147"/>
    <n v="3180.9641611183101"/>
    <n v="7910.6171923128368"/>
    <n v="0.08"/>
    <n v="852.56906657356842"/>
    <n v="7.0000000000000007E-2"/>
    <n v="898.35069474018042"/>
    <n v="15"/>
    <n v="4"/>
  </r>
  <r>
    <n v="178"/>
    <d v="2022-12-31T00:00:00"/>
    <x v="0"/>
    <s v="CLI104"/>
    <s v="CLI104"/>
    <s v="DUQUE DE CAXIAS"/>
    <s v="RJ"/>
    <s v="CLI875"/>
    <s v="MANAUS"/>
    <s v="AM"/>
    <n v="2827.2440195071563"/>
    <n v="3072.1998579999999"/>
    <n v="0"/>
    <n v="7000"/>
    <n v="0"/>
    <x v="0"/>
    <x v="4"/>
    <s v="BRIGITK01S"/>
    <s v="BRIGITCO"/>
    <n v="68.801226"/>
    <n v="61.802500000000002"/>
    <n v="150"/>
    <n v="1661.8614972006399"/>
    <n v="332.37229944012802"/>
    <n v="704"/>
    <n v="7"/>
    <n v="0"/>
    <n v="0"/>
    <n v="704"/>
    <m/>
    <m/>
    <n v="0"/>
    <x v="0"/>
    <s v="BRMAOTK01S"/>
    <s v="BRMAOCHI"/>
    <n v="11.436796000000001"/>
    <n v="61.802500000000002"/>
    <n v="150"/>
    <n v="811.91338908544003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516"/>
    <n v="123605"/>
    <x v="0"/>
    <x v="0"/>
    <x v="0"/>
    <x v="4"/>
    <x v="0"/>
    <x v="0"/>
    <n v="3"/>
    <n v="3"/>
    <n v="3"/>
    <n v="3"/>
    <n v="3"/>
    <n v="2"/>
    <n v="3"/>
    <n v="34"/>
    <n v="7"/>
    <n v="110"/>
    <n v="7"/>
    <n v="110"/>
    <n v="2827.2440195071563"/>
    <n v="370.815"/>
    <n v="19989.924046712316"/>
    <n v="1399.2946832698624"/>
    <n v="75"/>
    <n v="150"/>
    <n v="1E-3"/>
    <n v="123.605"/>
    <n v="12261.304412298365"/>
    <n v="12609.909412298364"/>
    <n v="3180.9641611183101"/>
    <n v="7602.9452511800537"/>
    <n v="0.08"/>
    <n v="784.30097812577242"/>
    <n v="7.0000000000000007E-2"/>
    <n v="882.69365886088553"/>
    <n v="15"/>
    <n v="3"/>
  </r>
  <r>
    <n v="179"/>
    <d v="2022-12-31T00:00:00"/>
    <x v="0"/>
    <s v="CLI105"/>
    <s v="CLI105"/>
    <s v="MANAUS"/>
    <s v="AM"/>
    <s v="CLI1049"/>
    <s v="SAO PAULO"/>
    <s v="SP"/>
    <n v="3929.9226880000001"/>
    <n v="0"/>
    <n v="2877.9279630000001"/>
    <n v="7000"/>
    <n v="0"/>
    <x v="0"/>
    <x v="2"/>
    <s v="BRMAOTK01S"/>
    <s v="BRMAOCHI"/>
    <n v="11.436796000000001"/>
    <n v="52.697000000000003"/>
    <n v="150"/>
    <n v="802.80788908544002"/>
    <n v="0"/>
    <n v="832"/>
    <n v="7"/>
    <n v="0"/>
    <n v="0"/>
    <n v="832"/>
    <m/>
    <m/>
    <n v="0"/>
    <x v="1"/>
    <s v="BRSSZTK01S"/>
    <s v="BRSSZTCO"/>
    <n v="85.841132000000002"/>
    <n v="52.697000000000003"/>
    <n v="150"/>
    <n v="1905.2301500364802"/>
    <n v="342.9414270065664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618"/>
    <n v="105394"/>
    <x v="0"/>
    <x v="12"/>
    <x v="11"/>
    <x v="11"/>
    <x v="13"/>
    <x v="11"/>
    <n v="21"/>
    <n v="21"/>
    <n v="23"/>
    <n v="22"/>
    <n v="20"/>
    <n v="18"/>
    <n v="19"/>
    <n v="239"/>
    <n v="7"/>
    <n v="110"/>
    <n v="7"/>
    <n v="110"/>
    <n v="3929.9226880000001"/>
    <n v="316.18200000000002"/>
    <n v="27423.537777300484"/>
    <n v="3290.824533276058"/>
    <n v="75"/>
    <n v="150"/>
    <n v="1E-3"/>
    <n v="105.39400000000001"/>
    <n v="17300.849816724993"/>
    <n v="17631.243816724993"/>
    <n v="3180.9641611183101"/>
    <n v="12683.279655606682"/>
    <n v="0.08"/>
    <n v="1166.4211480477204"/>
    <n v="0.12"/>
    <n v="2115.7492580069993"/>
    <n v="15"/>
    <n v="23"/>
  </r>
  <r>
    <n v="180"/>
    <d v="2022-12-31T00:00:00"/>
    <x v="0"/>
    <s v="CLI105"/>
    <s v="CLI105"/>
    <s v="MANAUS"/>
    <s v="AM"/>
    <s v="CLI679"/>
    <s v="ITAGUAI"/>
    <s v="RJ"/>
    <n v="4129.6512739999998"/>
    <n v="0"/>
    <n v="3075.8502579999999"/>
    <n v="7000"/>
    <n v="0"/>
    <x v="0"/>
    <x v="2"/>
    <s v="BRMAOTK01S"/>
    <s v="BRMAOCHI"/>
    <n v="11.436796000000001"/>
    <n v="117.36500000000001"/>
    <n v="150"/>
    <n v="867.47588908544003"/>
    <n v="0"/>
    <n v="832"/>
    <n v="7"/>
    <n v="0"/>
    <n v="0"/>
    <n v="832"/>
    <m/>
    <m/>
    <n v="0"/>
    <x v="4"/>
    <s v="BRIGITK01S"/>
    <s v="BRIGITCO"/>
    <n v="14.539448"/>
    <n v="117.36500000000001"/>
    <n v="150"/>
    <n v="913.44676681472004"/>
    <n v="0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368"/>
    <n v="234730"/>
    <x v="0"/>
    <x v="0"/>
    <x v="5"/>
    <x v="4"/>
    <x v="0"/>
    <x v="0"/>
    <n v="3"/>
    <n v="3"/>
    <n v="3"/>
    <n v="3"/>
    <n v="3"/>
    <n v="3"/>
    <n v="3"/>
    <n v="36"/>
    <n v="7"/>
    <n v="110"/>
    <n v="7"/>
    <n v="110"/>
    <n v="4129.6512739999998"/>
    <n v="704.19"/>
    <n v="29167.894615683039"/>
    <n v="3500.1473538819646"/>
    <n v="75"/>
    <n v="150"/>
    <n v="1E-3"/>
    <n v="234.73000000000002"/>
    <n v="19170.880371848016"/>
    <n v="19630.610371848015"/>
    <n v="3180.9641611183101"/>
    <n v="14618.646210729705"/>
    <n v="0.08"/>
    <n v="1427.9750172758286"/>
    <n v="0.12"/>
    <n v="2355.6732446217616"/>
    <n v="15"/>
    <n v="3"/>
  </r>
  <r>
    <n v="181"/>
    <d v="2022-12-31T00:00:00"/>
    <x v="2"/>
    <s v="CLI106"/>
    <s v="CLI106"/>
    <s v="MARANGUAPE"/>
    <s v="CE"/>
    <s v="CLI594"/>
    <s v="MANAUS"/>
    <s v="AM"/>
    <n v="2372.7374230045789"/>
    <n v="1443.4877839999999"/>
    <n v="0"/>
    <n v="7000"/>
    <n v="0"/>
    <x v="0"/>
    <x v="1"/>
    <s v="BRPECTK01"/>
    <s v="BRPECAPM"/>
    <n v="55.059947999999999"/>
    <n v="35.838000000000001"/>
    <n v="150"/>
    <n v="1432.29742793472"/>
    <n v="257.81353702824958"/>
    <n v="768"/>
    <n v="7"/>
    <n v="0"/>
    <n v="0"/>
    <n v="768"/>
    <m/>
    <m/>
    <n v="0"/>
    <x v="0"/>
    <s v="BRMAOTK01"/>
    <s v="BRMAOCHI"/>
    <n v="11.436796000000001"/>
    <n v="35.838000000000001"/>
    <n v="150"/>
    <n v="785.94888908543999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462"/>
    <n v="7167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2.7374230045789"/>
    <n v="215.02799999999999"/>
    <n v="16747.600930127177"/>
    <n v="2009.7121116152612"/>
    <n v="110"/>
    <n v="150"/>
    <n v="1E-3"/>
    <n v="71.676000000000002"/>
    <n v="11723.320651089023"/>
    <n v="12054.996651089023"/>
    <n v="3180.9641611183101"/>
    <n v="4725.786172950553"/>
    <n v="0.08"/>
    <n v="766.31494376324906"/>
    <n v="0.12"/>
    <n v="1446.5995981306826"/>
    <n v="15"/>
    <n v="1"/>
  </r>
  <r>
    <n v="182"/>
    <d v="2022-12-31T00:00:00"/>
    <x v="2"/>
    <s v="CLI107"/>
    <s v="CLI107"/>
    <s v="MARACANAU"/>
    <s v="CE"/>
    <s v="CLI704"/>
    <s v="MANAUS"/>
    <s v="AM"/>
    <n v="2379.3453616800616"/>
    <n v="1441.5450940000001"/>
    <n v="0"/>
    <n v="7000"/>
    <n v="0"/>
    <x v="0"/>
    <x v="1"/>
    <s v="BRPECTK01"/>
    <s v="BRPECAPM"/>
    <n v="52.945568000000002"/>
    <n v="50.451000000000001"/>
    <n v="150"/>
    <n v="1415.5824206515201"/>
    <n v="254.80483571727362"/>
    <n v="768"/>
    <n v="7"/>
    <n v="0"/>
    <n v="0"/>
    <n v="768"/>
    <m/>
    <m/>
    <n v="0"/>
    <x v="0"/>
    <s v="BRMAOTK01"/>
    <s v="BRMAOCHI"/>
    <n v="11.436796000000001"/>
    <n v="50.451000000000001"/>
    <n v="150"/>
    <n v="800.5618890854400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16"/>
    <n v="100902"/>
    <x v="0"/>
    <x v="0"/>
    <x v="5"/>
    <x v="4"/>
    <x v="0"/>
    <x v="0"/>
    <n v="3"/>
    <n v="3"/>
    <n v="3"/>
    <n v="3"/>
    <n v="3"/>
    <n v="2"/>
    <n v="3"/>
    <n v="35"/>
    <n v="7"/>
    <n v="110"/>
    <n v="7"/>
    <n v="110"/>
    <n v="2379.3453616800616"/>
    <n v="302.70600000000002"/>
    <n v="16880.153177354834"/>
    <n v="2025.61838128258"/>
    <n v="75"/>
    <n v="150"/>
    <n v="1E-3"/>
    <n v="100.902"/>
    <n v="11816.107224148383"/>
    <n v="12142.009224148384"/>
    <n v="3180.9641611183101"/>
    <n v="4814.9007532931118"/>
    <n v="0.08"/>
    <n v="773.68480629553187"/>
    <n v="0.12"/>
    <n v="1457.041106897806"/>
    <n v="15"/>
    <n v="3"/>
  </r>
  <r>
    <n v="183"/>
    <d v="2022-12-31T00:00:00"/>
    <x v="2"/>
    <s v="CLI107"/>
    <s v="CLI107"/>
    <s v="MARACANAU"/>
    <s v="CE"/>
    <s v="CLI908"/>
    <s v="MANAUS"/>
    <s v="AM"/>
    <n v="2379.3453616800616"/>
    <n v="1441.5450940000001"/>
    <n v="0"/>
    <n v="7000"/>
    <n v="0"/>
    <x v="0"/>
    <x v="1"/>
    <s v="BRPECTK01"/>
    <s v="BRPECAPM"/>
    <n v="52.945568000000002"/>
    <n v="121.512"/>
    <n v="150"/>
    <n v="1486.64342065152"/>
    <n v="267.59581571727358"/>
    <n v="768"/>
    <n v="7"/>
    <n v="0"/>
    <n v="0"/>
    <n v="768"/>
    <m/>
    <m/>
    <n v="0"/>
    <x v="0"/>
    <s v="BRMAOTK01"/>
    <s v="BRMAOCHI"/>
    <n v="11.436796000000001"/>
    <n v="121.512"/>
    <n v="150"/>
    <n v="871.6228890854399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788"/>
    <n v="243024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379.3453616800616"/>
    <n v="729.072"/>
    <n v="17306.519177354836"/>
    <n v="2076.7823012825802"/>
    <n v="75"/>
    <n v="150"/>
    <n v="1E-3"/>
    <n v="243.024"/>
    <n v="12114.563424148384"/>
    <n v="12582.587424148383"/>
    <n v="3180.9641611183101"/>
    <n v="5113.3569532931124"/>
    <n v="0.08"/>
    <n v="796.53802389553198"/>
    <n v="0.12"/>
    <n v="1509.9104908978059"/>
    <n v="15"/>
    <n v="2"/>
  </r>
  <r>
    <n v="184"/>
    <d v="2022-12-31T00:00:00"/>
    <x v="2"/>
    <s v="CLI108"/>
    <s v="CLI108"/>
    <s v="DUQUE DE CAXIAS"/>
    <s v="RJ"/>
    <s v="CLI1012"/>
    <s v="MANAUS"/>
    <s v="AM"/>
    <n v="2827.2440195071563"/>
    <n v="3072.1998579999999"/>
    <n v="0"/>
    <n v="7000"/>
    <n v="0"/>
    <x v="0"/>
    <x v="4"/>
    <s v="BRIGITK01"/>
    <s v="BRIGITCO"/>
    <n v="68.801226"/>
    <n v="77.123500000000007"/>
    <n v="150"/>
    <n v="1677.1824972006398"/>
    <n v="335.43649944012799"/>
    <n v="704"/>
    <n v="7"/>
    <n v="0"/>
    <n v="0"/>
    <n v="704"/>
    <m/>
    <m/>
    <n v="0"/>
    <x v="0"/>
    <s v="BRMAOTK01"/>
    <s v="BRMAOCHI"/>
    <n v="11.436796000000001"/>
    <n v="77.123500000000007"/>
    <n v="150"/>
    <n v="827.23438908544006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210"/>
    <n v="15424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7.2440195071563"/>
    <n v="462.74099999999999"/>
    <n v="20081.850046712316"/>
    <n v="1405.7295032698623"/>
    <n v="110"/>
    <n v="150"/>
    <n v="1E-3"/>
    <n v="154.24700000000001"/>
    <n v="14057.295032698621"/>
    <n v="14471.54203269862"/>
    <n v="3180.9641611183101"/>
    <n v="6960.1609852942292"/>
    <n v="0.08"/>
    <n v="930.535091757793"/>
    <n v="7.0000000000000007E-2"/>
    <n v="1013.0079422889036"/>
    <n v="15"/>
    <n v="1"/>
  </r>
  <r>
    <n v="185"/>
    <d v="2022-12-31T00:00:00"/>
    <x v="3"/>
    <s v="CLI108"/>
    <s v="CLI108"/>
    <s v="DUQUE DE CAXIAS"/>
    <s v="RJ"/>
    <s v="CLI911"/>
    <s v="MANAUS"/>
    <s v="AM"/>
    <n v="2827.2440195071563"/>
    <n v="3072.1998579999999"/>
    <n v="0"/>
    <n v="7000"/>
    <n v="0"/>
    <x v="0"/>
    <x v="4"/>
    <s v="BRIGITK01"/>
    <s v="BRIGITCO"/>
    <n v="68.801226"/>
    <n v="107.63850000000001"/>
    <n v="150"/>
    <n v="1707.6974972006399"/>
    <n v="341.539499440128"/>
    <n v="704"/>
    <n v="7"/>
    <n v="0"/>
    <n v="0"/>
    <n v="704"/>
    <m/>
    <m/>
    <n v="0"/>
    <x v="0"/>
    <s v="BRMAOTK01S"/>
    <s v="BRMAOCHI"/>
    <n v="11.436796000000001"/>
    <n v="107.63850000000001"/>
    <n v="150"/>
    <n v="857.74938908544004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395"/>
    <n v="21527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7.2440195071563"/>
    <n v="645.83100000000002"/>
    <n v="20264.940046712316"/>
    <n v="1418.5458032698623"/>
    <n v="110"/>
    <n v="150"/>
    <n v="1E-3"/>
    <n v="215.27700000000002"/>
    <n v="13585.033460338813"/>
    <n v="14060.310460338813"/>
    <n v="3180.9641611183101"/>
    <n v="7345.6488020198631"/>
    <n v="0.08"/>
    <n v="892.26592596900844"/>
    <n v="7.0000000000000007E-2"/>
    <n v="984.22173222371703"/>
    <n v="15"/>
    <n v="1"/>
  </r>
  <r>
    <n v="186"/>
    <d v="2022-12-31T00:00:00"/>
    <x v="1"/>
    <s v="CLI110"/>
    <s v="CLI110"/>
    <s v="PORTO FERREIRA"/>
    <s v="SP"/>
    <s v="CLI711"/>
    <s v="MANAUS"/>
    <s v="AM"/>
    <n v="2479.377734361321"/>
    <n v="2665.8569149999998"/>
    <n v="0"/>
    <n v="7000"/>
    <n v="0"/>
    <x v="0"/>
    <x v="0"/>
    <s v="BRSSZTK01S"/>
    <s v="BRSSZTCO"/>
    <n v="307.982598"/>
    <n v="104.443"/>
    <n v="150"/>
    <n v="5248.3662808307208"/>
    <n v="944.70593054952974"/>
    <n v="640"/>
    <n v="7"/>
    <n v="0"/>
    <n v="0"/>
    <n v="640"/>
    <m/>
    <m/>
    <n v="0"/>
    <x v="0"/>
    <s v="BRMAOTK01"/>
    <s v="BRMAOCHI"/>
    <n v="11.436796000000001"/>
    <n v="104.443"/>
    <n v="150"/>
    <n v="854.55388908544001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61"/>
    <n v="208886"/>
    <x v="1"/>
    <x v="13"/>
    <x v="12"/>
    <x v="12"/>
    <x v="1"/>
    <x v="12"/>
    <n v="7"/>
    <n v="6"/>
    <n v="7"/>
    <n v="7"/>
    <n v="7"/>
    <n v="7"/>
    <n v="7"/>
    <n v="79"/>
    <n v="7"/>
    <n v="180"/>
    <n v="7"/>
    <n v="180"/>
    <n v="2479.377734361321"/>
    <n v="626.65800000000002"/>
    <n v="17883.421018938359"/>
    <n v="1251.8394713256853"/>
    <n v="110"/>
    <n v="150"/>
    <n v="1E-3"/>
    <n v="208.886"/>
    <n v="8844.5383166753472"/>
    <n v="9313.4243166753477"/>
    <n v="3180.9641611183101"/>
    <n v="3535.9062664715971"/>
    <n v="0.08"/>
    <n v="181.26385729677258"/>
    <n v="7.0000000000000007E-2"/>
    <n v="651.93970216727439"/>
    <n v="15"/>
    <n v="7"/>
  </r>
  <r>
    <n v="187"/>
    <d v="2022-12-31T00:00:00"/>
    <x v="1"/>
    <s v="CLI110"/>
    <s v="CLI110"/>
    <s v="PORTO FERREIRA"/>
    <s v="SP"/>
    <s v="CLI710"/>
    <s v="CABO DE SANTO AGOSTINHO"/>
    <s v="PE"/>
    <n v="2438.5312819999999"/>
    <n v="0"/>
    <n v="0"/>
    <n v="0"/>
    <n v="0"/>
    <x v="0"/>
    <x v="0"/>
    <s v="BRSSZTK01S"/>
    <s v="BRSSZTCO"/>
    <n v="307.982598"/>
    <n v="57.317999999999998"/>
    <n v="150"/>
    <n v="5201.2412808307208"/>
    <n v="936.22343054952967"/>
    <n v="640"/>
    <n v="7"/>
    <n v="0"/>
    <n v="0"/>
    <n v="640"/>
    <m/>
    <m/>
    <n v="0"/>
    <x v="2"/>
    <s v="BRSUATK01"/>
    <s v="BRSUATCO"/>
    <n v="23.080721"/>
    <n v="57.317999999999998"/>
    <n v="150"/>
    <n v="979.95273399744008"/>
    <n v="176.3914921195392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182"/>
    <n v="114636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438.5312819999999"/>
    <n v="343.90800000000002"/>
    <n v="17323.284394810722"/>
    <n v="1212.6299076367507"/>
    <n v="110"/>
    <n v="150"/>
    <n v="1E-3"/>
    <n v="114.636"/>
    <n v="8485.4301797860007"/>
    <n v="8860.0661797860012"/>
    <n v="3180.9641611183101"/>
    <n v="2445.1492846702508"/>
    <n v="0.08"/>
    <n v="125.30057938310172"/>
    <n v="7.0000000000000007E-2"/>
    <n v="620.20463258502014"/>
    <n v="15"/>
    <n v="3"/>
  </r>
  <r>
    <n v="188"/>
    <d v="2022-12-31T00:00:00"/>
    <x v="2"/>
    <s v="CLI112"/>
    <s v="CLI112"/>
    <s v="GUARUJA"/>
    <s v="SP"/>
    <s v="CLI496"/>
    <s v="FORTALEZA"/>
    <s v="CE"/>
    <n v="2889.3297440000001"/>
    <n v="0"/>
    <n v="0"/>
    <n v="0"/>
    <n v="0"/>
    <x v="0"/>
    <x v="0"/>
    <s v="BRSSZTK01"/>
    <s v="BRSSZTCO"/>
    <n v="7.278518"/>
    <n v="112.56400000000001"/>
    <n v="150"/>
    <n v="801.06318093951995"/>
    <n v="0"/>
    <n v="640"/>
    <n v="7"/>
    <n v="0"/>
    <n v="0"/>
    <n v="640"/>
    <m/>
    <m/>
    <n v="0"/>
    <x v="3"/>
    <s v="BRPECTK01"/>
    <s v="BRPECAPM"/>
    <n v="42.140103000000003"/>
    <n v="112.56400000000001"/>
    <n v="150"/>
    <n v="1317.59473571392"/>
    <n v="237.167052428505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404"/>
    <n v="225128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889.3297440000001"/>
    <n v="675.38400000000001"/>
    <n v="20716.114718314246"/>
    <n v="1450.1280302819973"/>
    <n v="110"/>
    <n v="150"/>
    <n v="1E-3"/>
    <n v="225.12800000000001"/>
    <n v="14501.280302819971"/>
    <n v="14986.408302819971"/>
    <n v="3180.9641611183101"/>
    <n v="8008.7862250482212"/>
    <n v="0.08"/>
    <n v="1010.4466666990421"/>
    <n v="7.0000000000000007E-2"/>
    <n v="1049.0485811973981"/>
    <n v="15"/>
    <n v="2"/>
  </r>
  <r>
    <n v="189"/>
    <d v="2022-12-31T00:00:00"/>
    <x v="2"/>
    <s v="CLI112"/>
    <s v="CLI112"/>
    <s v="GUARUJA"/>
    <s v="SP"/>
    <s v="CLI859"/>
    <s v="JOAO PESSOA"/>
    <s v="PB"/>
    <n v="2739.0743280000002"/>
    <n v="0"/>
    <n v="0"/>
    <n v="0"/>
    <n v="0"/>
    <x v="0"/>
    <x v="0"/>
    <s v="BRSSZTK01"/>
    <s v="BRSSZTCO"/>
    <n v="7.278518"/>
    <n v="61.713999999999999"/>
    <n v="150"/>
    <n v="750.21318093952004"/>
    <n v="0"/>
    <n v="640"/>
    <n v="7"/>
    <n v="0"/>
    <n v="0"/>
    <n v="640"/>
    <m/>
    <m/>
    <n v="0"/>
    <x v="2"/>
    <s v="BRSUATK01"/>
    <s v="BRSUATCO"/>
    <n v="167.74277900000001"/>
    <n v="61.713999999999999"/>
    <n v="150"/>
    <n v="3127.7543690425605"/>
    <n v="375.33052428510723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021"/>
    <n v="123428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739.0743280000002"/>
    <n v="370.28399999999999"/>
    <n v="19390.636198474884"/>
    <n v="1357.344533893242"/>
    <n v="110"/>
    <n v="150"/>
    <n v="1E-3"/>
    <n v="123.428"/>
    <n v="13573.445338932417"/>
    <n v="13956.873338932417"/>
    <n v="3180.9641611183101"/>
    <n v="4643.9416278320259"/>
    <n v="0.08"/>
    <n v="776.28602117321839"/>
    <n v="7.0000000000000007E-2"/>
    <n v="976.98113372526927"/>
    <n v="15"/>
    <n v="2"/>
  </r>
  <r>
    <n v="190"/>
    <d v="2022-12-31T00:00:00"/>
    <x v="2"/>
    <s v="CLI112"/>
    <s v="CLI112"/>
    <s v="GUARUJA"/>
    <s v="SP"/>
    <s v="CLI1251"/>
    <s v="MANAUS"/>
    <s v="AM"/>
    <n v="2745.5296475466257"/>
    <n v="2958.3283450000004"/>
    <n v="0"/>
    <n v="7000"/>
    <n v="0"/>
    <x v="0"/>
    <x v="0"/>
    <s v="BRSSZTK01"/>
    <s v="BRSSZTCO"/>
    <n v="7.278518"/>
    <n v="119.34350000000001"/>
    <n v="150"/>
    <n v="807.84268093952005"/>
    <n v="0"/>
    <n v="640"/>
    <n v="7"/>
    <n v="0"/>
    <n v="0"/>
    <n v="640"/>
    <m/>
    <m/>
    <n v="0"/>
    <x v="0"/>
    <s v="BRMAOTK01"/>
    <s v="BRMAOCHI"/>
    <n v="11.436796000000001"/>
    <n v="119.34350000000001"/>
    <n v="150"/>
    <n v="869.4543890854399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666"/>
    <n v="23868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45.5296475466257"/>
    <n v="716.06100000000004"/>
    <n v="19780.251015303238"/>
    <n v="1384.6175710712268"/>
    <n v="110"/>
    <n v="150"/>
    <n v="1E-3"/>
    <n v="238.68700000000001"/>
    <n v="13846.175710712267"/>
    <n v="14344.862710712267"/>
    <n v="3180.9641611183101"/>
    <n v="7744.6014795689953"/>
    <n v="0.08"/>
    <n v="1013.4052512549845"/>
    <n v="7.0000000000000007E-2"/>
    <n v="1004.1403897498587"/>
    <n v="15"/>
    <n v="1"/>
  </r>
  <r>
    <n v="191"/>
    <d v="2022-12-31T00:00:00"/>
    <x v="2"/>
    <s v="CLI112"/>
    <s v="CLI112"/>
    <s v="GUARUJA"/>
    <s v="SP"/>
    <s v="CLI1248"/>
    <s v="FORTALEZA"/>
    <s v="CE"/>
    <n v="2889.3297440000001"/>
    <n v="0"/>
    <n v="0"/>
    <n v="0"/>
    <n v="0"/>
    <x v="0"/>
    <x v="0"/>
    <s v="BRSSZTK01"/>
    <s v="BRSSZTCO"/>
    <n v="7.278518"/>
    <n v="93.558999999999997"/>
    <n v="150"/>
    <n v="782.05818093951996"/>
    <n v="0"/>
    <n v="640"/>
    <n v="7"/>
    <n v="0"/>
    <n v="0"/>
    <n v="640"/>
    <m/>
    <m/>
    <n v="0"/>
    <x v="3"/>
    <s v="BRPECTK01"/>
    <s v="BRPECAPM"/>
    <n v="42.140103000000003"/>
    <n v="93.558999999999997"/>
    <n v="150"/>
    <n v="1298.5897357139199"/>
    <n v="233.74615242850558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985"/>
    <n v="18711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89.3297440000001"/>
    <n v="561.35400000000004"/>
    <n v="20602.084718314243"/>
    <n v="1442.1459302819972"/>
    <n v="110"/>
    <n v="150"/>
    <n v="1E-3"/>
    <n v="187.11799999999999"/>
    <n v="14421.459302819969"/>
    <n v="14868.577302819969"/>
    <n v="3180.9641611183101"/>
    <n v="7928.9652250482177"/>
    <n v="0.08"/>
    <n v="1004.3346586990418"/>
    <n v="7.0000000000000007E-2"/>
    <n v="1040.800411197398"/>
    <n v="15"/>
    <n v="1"/>
  </r>
  <r>
    <n v="192"/>
    <d v="2022-12-31T00:00:00"/>
    <x v="2"/>
    <s v="CLI112"/>
    <s v="CLI112"/>
    <s v="GUARUJA"/>
    <s v="SP"/>
    <s v="CLI496"/>
    <s v="FORTALEZA"/>
    <s v="CE"/>
    <n v="2889.3297440000001"/>
    <n v="0"/>
    <n v="0"/>
    <n v="0"/>
    <n v="0"/>
    <x v="0"/>
    <x v="0"/>
    <s v="BRSSZTK01"/>
    <s v="BRSSZTCO"/>
    <n v="7.278518"/>
    <n v="34.899500000000003"/>
    <n v="150"/>
    <n v="723.39868093951998"/>
    <n v="0"/>
    <n v="640"/>
    <n v="7"/>
    <n v="0"/>
    <n v="0"/>
    <n v="640"/>
    <m/>
    <m/>
    <n v="0"/>
    <x v="3"/>
    <s v="BRPECTK01"/>
    <s v="BRPECAPM"/>
    <n v="42.140103000000003"/>
    <n v="34.899500000000003"/>
    <n v="150"/>
    <n v="1239.93023571392"/>
    <n v="223.1874424285055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051"/>
    <n v="6979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89.3297440000001"/>
    <n v="209.39699999999999"/>
    <n v="20250.127718314245"/>
    <n v="1417.5089402819972"/>
    <n v="110"/>
    <n v="150"/>
    <n v="1E-3"/>
    <n v="69.799000000000007"/>
    <n v="14175.089402819971"/>
    <n v="14504.888402819972"/>
    <n v="3180.9641611183101"/>
    <n v="7682.5953250482216"/>
    <n v="0.08"/>
    <n v="985.46976349904219"/>
    <n v="7.0000000000000007E-2"/>
    <n v="1015.3421881973982"/>
    <n v="15"/>
    <n v="1"/>
  </r>
  <r>
    <n v="193"/>
    <d v="2022-12-31T00:00:00"/>
    <x v="2"/>
    <s v="CLI113"/>
    <s v="CLI113"/>
    <s v="LIMEIRA"/>
    <s v="SP"/>
    <s v="CLI1250"/>
    <s v="MANAUS"/>
    <s v="AM"/>
    <n v="2548.2808239196929"/>
    <n v="2734.72939"/>
    <n v="0"/>
    <n v="7000"/>
    <n v="0"/>
    <x v="0"/>
    <x v="0"/>
    <s v="BRSSZTK01"/>
    <s v="BRSSZTCO"/>
    <n v="228.25198399999999"/>
    <n v="51.817999999999998"/>
    <n v="150"/>
    <n v="4014.4014762137604"/>
    <n v="722.59226571847682"/>
    <n v="640"/>
    <n v="7"/>
    <n v="0"/>
    <n v="0"/>
    <n v="640"/>
    <m/>
    <m/>
    <n v="0"/>
    <x v="0"/>
    <s v="BRMAOTK01"/>
    <s v="BRMAOCHI"/>
    <n v="11.436796000000001"/>
    <n v="51.817999999999998"/>
    <n v="150"/>
    <n v="801.92888908544001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891"/>
    <n v="10363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48.2808239196929"/>
    <n v="310.90800000000002"/>
    <n v="18035.58914400568"/>
    <n v="1262.4912400803978"/>
    <n v="110"/>
    <n v="150"/>
    <n v="1E-3"/>
    <n v="103.636"/>
    <n v="12624.912400803976"/>
    <n v="12988.548400803977"/>
    <n v="3180.9641611183101"/>
    <n v="3249.2538743864648"/>
    <n v="0.08"/>
    <n v="595.9700615829039"/>
    <n v="7.0000000000000007E-2"/>
    <n v="909.19838805627842"/>
    <n v="15"/>
    <n v="2"/>
  </r>
  <r>
    <n v="194"/>
    <d v="2022-12-31T00:00:00"/>
    <x v="2"/>
    <s v="CLI114"/>
    <s v="CLI114"/>
    <s v="SAO PAULO"/>
    <s v="SP"/>
    <s v="CLI1251"/>
    <s v="MANAUS"/>
    <s v="AM"/>
    <n v="2682.4745732067604"/>
    <n v="2877.9279630000001"/>
    <n v="0"/>
    <n v="7000"/>
    <n v="0"/>
    <x v="0"/>
    <x v="0"/>
    <s v="BRSSZTK01"/>
    <s v="BRSSZTCO"/>
    <n v="85.841132000000002"/>
    <n v="80.039500000000004"/>
    <n v="150"/>
    <n v="1932.5726500364801"/>
    <n v="347.86307700656641"/>
    <n v="640"/>
    <n v="7"/>
    <n v="0"/>
    <n v="0"/>
    <n v="640"/>
    <m/>
    <m/>
    <n v="0"/>
    <x v="0"/>
    <s v="BRMAOTK01"/>
    <s v="BRMAOCHI"/>
    <n v="11.436796000000001"/>
    <n v="80.039500000000004"/>
    <n v="150"/>
    <n v="830.1503890854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027"/>
    <n v="16007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82.4745732067604"/>
    <n v="480.23700000000002"/>
    <n v="19116.222527664184"/>
    <n v="1338.135576936493"/>
    <n v="110"/>
    <n v="150"/>
    <n v="1E-3"/>
    <n v="160.07900000000001"/>
    <n v="13381.355769364927"/>
    <n v="13801.434769364927"/>
    <n v="3180.9641611183101"/>
    <n v="6115.7475691246964"/>
    <n v="0.08"/>
    <n v="855.26789225891525"/>
    <n v="7.0000000000000007E-2"/>
    <n v="966.10043385554502"/>
    <n v="15"/>
    <n v="1"/>
  </r>
  <r>
    <n v="195"/>
    <d v="2022-12-31T00:00:00"/>
    <x v="2"/>
    <s v="CLI114"/>
    <s v="CLI114"/>
    <s v="SAO PAULO"/>
    <s v="SP"/>
    <s v="CLI1248"/>
    <s v="FORTALEZA"/>
    <s v="CE"/>
    <n v="2810.2151650000001"/>
    <n v="0"/>
    <n v="0"/>
    <n v="0"/>
    <n v="0"/>
    <x v="0"/>
    <x v="0"/>
    <s v="BRSSZTK01"/>
    <s v="BRSSZTCO"/>
    <n v="85.841132000000002"/>
    <n v="49.256999999999998"/>
    <n v="150"/>
    <n v="1901.7901500364801"/>
    <n v="342.32222700656638"/>
    <n v="640"/>
    <n v="7"/>
    <n v="0"/>
    <n v="0"/>
    <n v="640"/>
    <m/>
    <m/>
    <n v="0"/>
    <x v="3"/>
    <s v="BRPECTK01"/>
    <s v="BRPECAPM"/>
    <n v="42.140103000000003"/>
    <n v="49.256999999999998"/>
    <n v="150"/>
    <n v="1254.28773571392"/>
    <n v="225.7717924285055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804"/>
    <n v="9851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10.2151650000001"/>
    <n v="295.54200000000003"/>
    <n v="19799.008776908402"/>
    <n v="1385.9306143835884"/>
    <n v="110"/>
    <n v="150"/>
    <n v="1E-3"/>
    <n v="98.513999999999996"/>
    <n v="13859.30614383588"/>
    <n v="14217.820143835879"/>
    <n v="3180.9641611183101"/>
    <n v="6202.7780969671676"/>
    <n v="0.08"/>
    <n v="839.49185909203243"/>
    <n v="7.0000000000000007E-2"/>
    <n v="995.24741006851161"/>
    <n v="15"/>
    <n v="1"/>
  </r>
  <r>
    <n v="196"/>
    <d v="2022-12-31T00:00:00"/>
    <x v="2"/>
    <s v="CLI114"/>
    <s v="CLI114"/>
    <s v="SAO PAULO"/>
    <s v="SP"/>
    <s v="CLI1249"/>
    <s v="JABOATAO DOS GUARARAPES"/>
    <s v="PE"/>
    <n v="2581.5468739999997"/>
    <n v="0"/>
    <n v="0"/>
    <n v="0"/>
    <n v="0"/>
    <x v="0"/>
    <x v="0"/>
    <s v="BRSSZTK01"/>
    <s v="BRSSZTCO"/>
    <n v="85.841132000000002"/>
    <n v="124.4645"/>
    <n v="150"/>
    <n v="1976.9976500364801"/>
    <n v="355.85957700656638"/>
    <n v="640"/>
    <n v="7"/>
    <n v="0"/>
    <n v="0"/>
    <n v="640"/>
    <m/>
    <m/>
    <n v="0"/>
    <x v="2"/>
    <s v="BRSUATK01"/>
    <s v="BRSUATCO"/>
    <n v="43.495365"/>
    <n v="124.4645"/>
    <n v="150"/>
    <n v="1349.5756648736001"/>
    <n v="242.9236196772480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026"/>
    <n v="24892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81.5468739999997"/>
    <n v="746.78700000000003"/>
    <n v="18697.37655945904"/>
    <n v="1308.816359162133"/>
    <n v="110"/>
    <n v="150"/>
    <n v="1E-3"/>
    <n v="248.929"/>
    <n v="13088.163591621327"/>
    <n v="13597.092591621327"/>
    <n v="3180.9641611183101"/>
    <n v="4835.555115592937"/>
    <n v="0.08"/>
    <n v="773.73888640219479"/>
    <n v="7.0000000000000007E-2"/>
    <n v="951.79648141349298"/>
    <n v="15"/>
    <n v="1"/>
  </r>
  <r>
    <n v="197"/>
    <d v="2022-12-31T00:00:00"/>
    <x v="2"/>
    <s v="CLI115"/>
    <s v="CLI115"/>
    <s v="SIMOES FILHO"/>
    <s v="BA"/>
    <s v="CLI726"/>
    <s v="MANAUS"/>
    <s v="AM"/>
    <n v="2610.3853225311195"/>
    <n v="2050.9635060000001"/>
    <n v="0"/>
    <n v="7000"/>
    <n v="0"/>
    <x v="0"/>
    <x v="5"/>
    <s v="BRSSATK01"/>
    <s v="BRSSATCO"/>
    <n v="26.551053"/>
    <n v="78.879000000000005"/>
    <n v="150"/>
    <n v="1052.93239392192"/>
    <n v="189.52783090594559"/>
    <n v="704"/>
    <n v="7"/>
    <n v="0"/>
    <n v="0"/>
    <n v="704"/>
    <m/>
    <m/>
    <n v="0"/>
    <x v="0"/>
    <s v="BRMAOTK01"/>
    <s v="BRMAOCHI"/>
    <n v="11.436796000000001"/>
    <n v="78.879000000000005"/>
    <n v="150"/>
    <n v="828.98988908544004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153"/>
    <n v="15775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0.3853225311195"/>
    <n v="473.274"/>
    <n v="18619.704309895933"/>
    <n v="2234.3645171875119"/>
    <n v="110"/>
    <n v="150"/>
    <n v="1E-3"/>
    <n v="157.75800000000001"/>
    <n v="13033.793016927153"/>
    <n v="13451.551016927153"/>
    <n v="3180.9641611183101"/>
    <n v="6557.6645728014828"/>
    <n v="0.08"/>
    <n v="910.4080722411079"/>
    <n v="0.12"/>
    <n v="1614.1861220312583"/>
    <n v="15"/>
    <n v="1"/>
  </r>
  <r>
    <n v="198"/>
    <d v="2022-12-31T00:00:00"/>
    <x v="1"/>
    <s v="CLI116"/>
    <s v="CLI116"/>
    <s v="SUZANO"/>
    <s v="SP"/>
    <s v="CLI630"/>
    <s v="RECIFE"/>
    <s v="PE"/>
    <n v="2575.7722000000003"/>
    <n v="0"/>
    <n v="0"/>
    <n v="0"/>
    <n v="0"/>
    <x v="0"/>
    <x v="0"/>
    <s v="BRSSZTK01S"/>
    <s v="BRSSZTCO"/>
    <n v="95.74942999999999"/>
    <n v="82.970500000000001"/>
    <n v="150"/>
    <n v="2082.3113345151996"/>
    <n v="374.81604021273591"/>
    <n v="640"/>
    <n v="7"/>
    <n v="0"/>
    <n v="0"/>
    <n v="640"/>
    <m/>
    <m/>
    <n v="0"/>
    <x v="2"/>
    <s v="BRSUATK01"/>
    <s v="BRSUATCO"/>
    <n v="51.681188999999996"/>
    <n v="82.970500000000001"/>
    <n v="150"/>
    <n v="1429.3680721849598"/>
    <n v="257.28625299329275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884"/>
    <n v="165941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575.7722000000003"/>
    <n v="497.82300000000004"/>
    <n v="18409.196979312008"/>
    <n v="1288.6437885518408"/>
    <n v="110"/>
    <n v="150"/>
    <n v="1E-3"/>
    <n v="165.941"/>
    <n v="11428.819951357766"/>
    <n v="11854.760951357766"/>
    <n v="3180.9641611183101"/>
    <n v="4990.4287180544961"/>
    <n v="0.08"/>
    <n v="616.87834011612631"/>
    <n v="7.0000000000000007E-2"/>
    <n v="829.83326659504371"/>
    <n v="15"/>
    <n v="3"/>
  </r>
  <r>
    <n v="199"/>
    <d v="2022-12-31T00:00:00"/>
    <x v="1"/>
    <s v="CLI116"/>
    <s v="CLI116"/>
    <s v="SUZANO"/>
    <s v="SP"/>
    <s v="CLI629"/>
    <s v="FORTALEZA"/>
    <s v="CE"/>
    <n v="2809.3871320000003"/>
    <n v="0"/>
    <n v="0"/>
    <n v="0"/>
    <n v="0"/>
    <x v="0"/>
    <x v="0"/>
    <s v="BRSSZTK01S"/>
    <s v="BRSSZTCO"/>
    <n v="95.74942999999999"/>
    <n v="67.134"/>
    <n v="150"/>
    <n v="2066.4748345151997"/>
    <n v="371.96547021273597"/>
    <n v="640"/>
    <n v="7"/>
    <n v="0"/>
    <n v="0"/>
    <n v="640"/>
    <m/>
    <m/>
    <n v="0"/>
    <x v="3"/>
    <s v="BRPECTK01"/>
    <s v="BRPECAPM"/>
    <n v="42.140103000000003"/>
    <n v="67.134"/>
    <n v="150"/>
    <n v="1272.16473571392"/>
    <n v="228.9896524285055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187"/>
    <n v="134268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809.3871320000003"/>
    <n v="402.80400000000003"/>
    <n v="19900.647637926722"/>
    <n v="1393.0453346548707"/>
    <n v="110"/>
    <n v="150"/>
    <n v="1E-3"/>
    <n v="134.268"/>
    <n v="12483.920962388065"/>
    <n v="12878.188962388065"/>
    <n v="3180.9641611183101"/>
    <n v="6747.0600655558337"/>
    <n v="0.08"/>
    <n v="715.0875415614164"/>
    <n v="7.0000000000000007E-2"/>
    <n v="901.47322736716467"/>
    <n v="15"/>
    <n v="3"/>
  </r>
  <r>
    <n v="200"/>
    <d v="2022-12-31T00:00:00"/>
    <x v="1"/>
    <s v="CLI116"/>
    <s v="CLI116"/>
    <s v="SUZANO"/>
    <s v="SP"/>
    <s v="CLI1248"/>
    <s v="FORTALEZA"/>
    <s v="CE"/>
    <n v="2809.3871320000003"/>
    <n v="0"/>
    <n v="0"/>
    <n v="0"/>
    <n v="0"/>
    <x v="0"/>
    <x v="0"/>
    <s v="BRSSZTK01S"/>
    <s v="BRSSZTCO"/>
    <n v="95.74942999999999"/>
    <n v="106.178"/>
    <n v="150"/>
    <n v="2105.5188345151996"/>
    <n v="378.9933902127359"/>
    <n v="640"/>
    <n v="7"/>
    <n v="0"/>
    <n v="0"/>
    <n v="640"/>
    <m/>
    <m/>
    <n v="0"/>
    <x v="3"/>
    <s v="BRPECTK01"/>
    <s v="BRPECAPM"/>
    <n v="42.140103000000003"/>
    <n v="106.178"/>
    <n v="150"/>
    <n v="1311.2087357139199"/>
    <n v="236.0175724285055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624"/>
    <n v="21235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09.3871320000003"/>
    <n v="637.06799999999998"/>
    <n v="20134.911637926722"/>
    <n v="1409.4438146548707"/>
    <n v="110"/>
    <n v="150"/>
    <n v="1E-3"/>
    <n v="212.35599999999999"/>
    <n v="12620.574962388066"/>
    <n v="13092.930962388065"/>
    <n v="3180.9641611183101"/>
    <n v="6922.758065555834"/>
    <n v="0.08"/>
    <n v="724.89539436141627"/>
    <n v="7.0000000000000007E-2"/>
    <n v="916.50516736716463"/>
    <n v="15"/>
    <n v="2"/>
  </r>
  <r>
    <n v="201"/>
    <d v="2022-12-31T00:00:00"/>
    <x v="1"/>
    <s v="CLI116"/>
    <s v="CLI116"/>
    <s v="SUZANO"/>
    <s v="SP"/>
    <s v="CLI496"/>
    <s v="FORTALEZA"/>
    <s v="CE"/>
    <n v="2809.3871320000003"/>
    <n v="0"/>
    <n v="0"/>
    <n v="0"/>
    <n v="0"/>
    <x v="0"/>
    <x v="0"/>
    <s v="BRSSZTK01S"/>
    <s v="BRSSZTCO"/>
    <n v="95.74942999999999"/>
    <n v="91.093500000000006"/>
    <n v="150"/>
    <n v="2090.4343345151997"/>
    <n v="376.27818021273595"/>
    <n v="640"/>
    <n v="7"/>
    <n v="0"/>
    <n v="0"/>
    <n v="640"/>
    <m/>
    <m/>
    <n v="0"/>
    <x v="3"/>
    <s v="BRPECTK01"/>
    <s v="BRPECAPM"/>
    <n v="42.140103000000003"/>
    <n v="91.093500000000006"/>
    <n v="150"/>
    <n v="1296.1242357139199"/>
    <n v="233.30236242850557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53"/>
    <n v="182187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09.3871320000003"/>
    <n v="546.56100000000004"/>
    <n v="20044.404637926724"/>
    <n v="1403.1083246548708"/>
    <n v="110"/>
    <n v="150"/>
    <n v="1E-3"/>
    <n v="182.18700000000001"/>
    <n v="12567.779212388064"/>
    <n v="13009.966212388064"/>
    <n v="3180.9641611183101"/>
    <n v="6854.8778155558339"/>
    <n v="0.08"/>
    <n v="721.10616796141642"/>
    <n v="7.0000000000000007E-2"/>
    <n v="910.69763486716454"/>
    <n v="15"/>
    <n v="2"/>
  </r>
  <r>
    <n v="202"/>
    <d v="2022-12-31T00:00:00"/>
    <x v="1"/>
    <s v="CLI116"/>
    <s v="CLI116"/>
    <s v="SUZANO"/>
    <s v="SP"/>
    <s v="CLI1251"/>
    <s v="MANAUS"/>
    <s v="AM"/>
    <n v="2701.1470442430491"/>
    <n v="2914.0750120000002"/>
    <n v="0"/>
    <n v="7000"/>
    <n v="0"/>
    <x v="0"/>
    <x v="0"/>
    <s v="BRSSZTK01S"/>
    <s v="BRSSZTCO"/>
    <n v="95.74942999999999"/>
    <n v="109.77800000000001"/>
    <n v="150"/>
    <n v="2109.1188345151995"/>
    <n v="379.64139021273593"/>
    <n v="640"/>
    <n v="7"/>
    <n v="0"/>
    <n v="0"/>
    <n v="640"/>
    <m/>
    <m/>
    <n v="0"/>
    <x v="0"/>
    <s v="BRMAOTK01"/>
    <s v="BRMAOCHI"/>
    <n v="11.436796000000001"/>
    <n v="109.77800000000001"/>
    <n v="150"/>
    <n v="859.8888890854400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50"/>
    <n v="21955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01.1470442430491"/>
    <n v="658.66800000000001"/>
    <n v="19421.457531572782"/>
    <n v="1359.5020272100949"/>
    <n v="110"/>
    <n v="150"/>
    <n v="1E-3"/>
    <n v="219.55600000000001"/>
    <n v="12118.637087940306"/>
    <n v="12598.193087940306"/>
    <n v="3180.9641611183101"/>
    <n v="6815.340037736556"/>
    <n v="0.08"/>
    <n v="739.96351793015469"/>
    <n v="7.0000000000000007E-2"/>
    <n v="881.87351615582156"/>
    <n v="15"/>
    <n v="1"/>
  </r>
  <r>
    <n v="203"/>
    <d v="2022-12-31T00:00:00"/>
    <x v="1"/>
    <s v="CLI116"/>
    <s v="CLI116"/>
    <s v="SUZANO"/>
    <s v="SP"/>
    <s v="CLI859"/>
    <s v="JOAO PESSOA"/>
    <s v="PB"/>
    <n v="2665.1062729999999"/>
    <n v="0"/>
    <n v="0"/>
    <n v="0"/>
    <n v="0"/>
    <x v="0"/>
    <x v="0"/>
    <s v="BRSSZTK01S"/>
    <s v="BRSSZTCO"/>
    <n v="95.74942999999999"/>
    <n v="106.59700000000001"/>
    <n v="150"/>
    <n v="2105.9378345151999"/>
    <n v="379.06881021273597"/>
    <n v="640"/>
    <n v="7"/>
    <n v="0"/>
    <n v="0"/>
    <n v="640"/>
    <m/>
    <m/>
    <n v="0"/>
    <x v="2"/>
    <s v="BRSUATK01"/>
    <s v="BRSUATCO"/>
    <n v="167.74277900000001"/>
    <n v="106.59700000000001"/>
    <n v="150"/>
    <n v="3172.6373690425607"/>
    <n v="380.7164842851073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487"/>
    <n v="21319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65.1062729999999"/>
    <n v="639.58199999999999"/>
    <n v="19157.62009569208"/>
    <n v="1341.0334066984458"/>
    <n v="110"/>
    <n v="150"/>
    <n v="1E-3"/>
    <n v="213.19400000000002"/>
    <n v="11936.177582823815"/>
    <n v="12409.371582823815"/>
    <n v="3180.9641611183101"/>
    <n v="3801.7700526629437"/>
    <n v="0.08"/>
    <n v="509.68088678145693"/>
    <n v="7.0000000000000007E-2"/>
    <n v="868.65601079766714"/>
    <n v="15"/>
    <n v="1"/>
  </r>
  <r>
    <n v="204"/>
    <d v="2022-12-31T00:00:00"/>
    <x v="1"/>
    <s v="CLI116"/>
    <s v="CLI116"/>
    <s v="SUZANO"/>
    <s v="SP"/>
    <s v="CLI681"/>
    <s v="RECIFE"/>
    <s v="PE"/>
    <n v="2575.7722000000003"/>
    <n v="0"/>
    <n v="0"/>
    <n v="0"/>
    <n v="0"/>
    <x v="0"/>
    <x v="0"/>
    <s v="BRSSZTK01S"/>
    <s v="BRSSZTCO"/>
    <n v="95.74942999999999"/>
    <n v="118.952"/>
    <n v="150"/>
    <n v="2118.2928345151995"/>
    <n v="381.29271021273587"/>
    <n v="640"/>
    <n v="7"/>
    <n v="0"/>
    <n v="0"/>
    <n v="640"/>
    <m/>
    <m/>
    <n v="0"/>
    <x v="2"/>
    <s v="BRSUATK01"/>
    <s v="BRSUATCO"/>
    <n v="51.681188999999996"/>
    <n v="118.952"/>
    <n v="150"/>
    <n v="1465.3495721849599"/>
    <n v="263.76292299329276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630"/>
    <n v="23790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75.7722000000003"/>
    <n v="713.71199999999999"/>
    <n v="18625.085979312007"/>
    <n v="1303.7560185518407"/>
    <n v="110"/>
    <n v="150"/>
    <n v="1E-3"/>
    <n v="237.904"/>
    <n v="11554.755201357764"/>
    <n v="12052.659201357765"/>
    <n v="3180.9641611183101"/>
    <n v="5152.3454680544946"/>
    <n v="0.08"/>
    <n v="625.91689291612613"/>
    <n v="7.0000000000000007E-2"/>
    <n v="843.68614409504357"/>
    <n v="15"/>
    <n v="1"/>
  </r>
  <r>
    <n v="205"/>
    <d v="2022-12-31T00:00:00"/>
    <x v="1"/>
    <s v="CLI116"/>
    <s v="CLI116"/>
    <s v="SUZANO"/>
    <s v="SP"/>
    <s v="CLI1249"/>
    <s v="JABOATAO DOS GUARARAPES"/>
    <s v="PE"/>
    <n v="2568.3698679999998"/>
    <n v="0"/>
    <n v="0"/>
    <n v="0"/>
    <n v="0"/>
    <x v="0"/>
    <x v="0"/>
    <s v="BRSSZTK01S"/>
    <s v="BRSSZTCO"/>
    <n v="95.74942999999999"/>
    <n v="55.634999999999998"/>
    <n v="150"/>
    <n v="2054.9758345151995"/>
    <n v="369.89565021273592"/>
    <n v="640"/>
    <n v="7"/>
    <n v="0"/>
    <n v="0"/>
    <n v="640"/>
    <m/>
    <m/>
    <n v="0"/>
    <x v="2"/>
    <s v="BRSUATK01"/>
    <s v="BRSUATCO"/>
    <n v="43.495365"/>
    <n v="55.634999999999998"/>
    <n v="150"/>
    <n v="1280.7461648736"/>
    <n v="230.5343096772479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867"/>
    <n v="1112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68.3698679999998"/>
    <n v="333.81"/>
    <n v="18194.915038793282"/>
    <n v="1273.6440527155298"/>
    <n v="110"/>
    <n v="150"/>
    <n v="1E-3"/>
    <n v="111.27"/>
    <n v="11297.957442994657"/>
    <n v="11669.227442994657"/>
    <n v="3180.9641611183101"/>
    <n v="4953.5171170027461"/>
    <n v="0.08"/>
    <n v="618.64603869727"/>
    <n v="7.0000000000000007E-2"/>
    <n v="816.84592100962607"/>
    <n v="15"/>
    <n v="1"/>
  </r>
  <r>
    <n v="206"/>
    <d v="2022-12-31T00:00:00"/>
    <x v="1"/>
    <s v="CLI116"/>
    <s v="CLI116"/>
    <s v="SUZANO"/>
    <s v="SP"/>
    <s v="CLI496"/>
    <s v="FORTALEZA"/>
    <s v="CE"/>
    <n v="2809.3871320000003"/>
    <n v="0"/>
    <n v="0"/>
    <n v="0"/>
    <n v="0"/>
    <x v="0"/>
    <x v="0"/>
    <s v="BRSSZTK01S"/>
    <s v="BRSSZTCO"/>
    <n v="95.74942999999999"/>
    <n v="91.754500000000007"/>
    <n v="150"/>
    <n v="2091.0953345151997"/>
    <n v="376.39716021273591"/>
    <n v="640"/>
    <n v="7"/>
    <n v="0"/>
    <n v="0"/>
    <n v="640"/>
    <m/>
    <m/>
    <n v="0"/>
    <x v="3"/>
    <s v="BRPECTK01"/>
    <s v="BRPECAPM"/>
    <n v="42.140103000000003"/>
    <n v="91.754500000000007"/>
    <n v="150"/>
    <n v="1296.78523571392"/>
    <n v="233.421342428505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338"/>
    <n v="18350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09.3871320000003"/>
    <n v="550.52700000000004"/>
    <n v="20048.370637926724"/>
    <n v="1403.3859446548709"/>
    <n v="110"/>
    <n v="150"/>
    <n v="1E-3"/>
    <n v="183.50900000000001"/>
    <n v="12570.092712388065"/>
    <n v="13013.601712388065"/>
    <n v="3180.9641611183101"/>
    <n v="6857.8523155558341"/>
    <n v="0.08"/>
    <n v="721.27221116141618"/>
    <n v="7.0000000000000007E-2"/>
    <n v="910.95211986716458"/>
    <n v="15"/>
    <n v="1"/>
  </r>
  <r>
    <n v="207"/>
    <d v="2022-12-31T00:00:00"/>
    <x v="2"/>
    <s v="CLI117"/>
    <s v="CLI117"/>
    <s v="MANAUS"/>
    <s v="AM"/>
    <s v="CLI345"/>
    <s v="LEME"/>
    <s v="SP"/>
    <n v="3755.9048499999999"/>
    <n v="0"/>
    <n v="2702.5733009999999"/>
    <n v="7000"/>
    <n v="0"/>
    <x v="0"/>
    <x v="2"/>
    <s v="BRMAOTK01"/>
    <s v="BRMAOCHI"/>
    <n v="11.436796000000001"/>
    <n v="62.695"/>
    <n v="150"/>
    <n v="812.80588908544007"/>
    <n v="0"/>
    <n v="832"/>
    <n v="7"/>
    <n v="0"/>
    <n v="0"/>
    <n v="832"/>
    <m/>
    <m/>
    <n v="0"/>
    <x v="1"/>
    <s v="BRSSZTK01"/>
    <s v="BRSSZTCO"/>
    <n v="269.92282799999998"/>
    <n v="62.695"/>
    <n v="150"/>
    <n v="4642.7003702579195"/>
    <n v="835.686066646425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937"/>
    <n v="12539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755.9048499999999"/>
    <n v="376.17"/>
    <n v="26301.777600156001"/>
    <n v="3156.21331201872"/>
    <n v="110"/>
    <n v="150"/>
    <n v="1E-3"/>
    <n v="125.39"/>
    <n v="18411.244320109199"/>
    <n v="18796.634320109199"/>
    <n v="3180.9641611183101"/>
    <n v="8393.1638996475267"/>
    <n v="0.08"/>
    <n v="1000.435359529553"/>
    <n v="0.12"/>
    <n v="2255.5961184131038"/>
    <n v="15"/>
    <n v="1"/>
  </r>
  <r>
    <n v="208"/>
    <d v="2022-12-31T00:00:00"/>
    <x v="0"/>
    <s v="CLI118"/>
    <s v="CLI118"/>
    <s v="CAUCAIA"/>
    <s v="CE"/>
    <s v="CLI939"/>
    <s v="MANAUS"/>
    <s v="AM"/>
    <n v="2375.6902773690445"/>
    <n v="1428.051281"/>
    <n v="0"/>
    <n v="7000"/>
    <n v="0"/>
    <x v="0"/>
    <x v="1"/>
    <s v="BRPECTK01S"/>
    <s v="BRPECAPM"/>
    <n v="34.109209"/>
    <n v="65.201000000000008"/>
    <n v="150"/>
    <n v="1151.2408704377599"/>
    <n v="207.22335667879676"/>
    <n v="768"/>
    <n v="7"/>
    <n v="0"/>
    <n v="0"/>
    <n v="768"/>
    <m/>
    <m/>
    <n v="0"/>
    <x v="0"/>
    <s v="BRMAOTK01S"/>
    <s v="BRMAOCHI"/>
    <n v="11.436796000000001"/>
    <n v="65.201000000000008"/>
    <n v="150"/>
    <n v="815.3118890854400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187"/>
    <n v="130402"/>
    <x v="1"/>
    <x v="14"/>
    <x v="12"/>
    <x v="12"/>
    <x v="1"/>
    <x v="12"/>
    <n v="6"/>
    <n v="6"/>
    <n v="7"/>
    <n v="7"/>
    <n v="7"/>
    <n v="6"/>
    <n v="7"/>
    <n v="76"/>
    <n v="7"/>
    <n v="180"/>
    <n v="7"/>
    <n v="180"/>
    <n v="2375.6902773690445"/>
    <n v="391.20600000000002"/>
    <n v="16943.831646002087"/>
    <n v="2033.2597975202505"/>
    <n v="110"/>
    <n v="150"/>
    <n v="1E-3"/>
    <n v="130.40200000000002"/>
    <n v="10484.095220535221"/>
    <n v="10874.497220535221"/>
    <n v="3180.9641611183101"/>
    <n v="5763.53305941691"/>
    <n v="0.08"/>
    <n v="696.05768834665798"/>
    <n v="0.12"/>
    <n v="1304.9396664642263"/>
    <n v="15"/>
    <n v="7"/>
  </r>
  <r>
    <n v="209"/>
    <d v="2022-12-31T00:00:00"/>
    <x v="1"/>
    <s v="CLI118"/>
    <s v="CLI118"/>
    <s v="CAUCAIA"/>
    <s v="CE"/>
    <s v="CLI939"/>
    <s v="MANAUS"/>
    <s v="AM"/>
    <n v="2375.6902773690445"/>
    <n v="1428.051281"/>
    <n v="0"/>
    <n v="7000"/>
    <n v="0"/>
    <x v="0"/>
    <x v="1"/>
    <s v="BRPECTK01S"/>
    <s v="BRPECAPM"/>
    <n v="34.109209"/>
    <n v="57.353999999999999"/>
    <n v="150"/>
    <n v="1143.3938704377601"/>
    <n v="205.81089667879681"/>
    <n v="768"/>
    <n v="7"/>
    <n v="0"/>
    <n v="0"/>
    <n v="768"/>
    <m/>
    <m/>
    <n v="0"/>
    <x v="0"/>
    <s v="BRMAOTK01"/>
    <s v="BRMAOCHI"/>
    <n v="11.436796000000001"/>
    <n v="57.353999999999999"/>
    <n v="150"/>
    <n v="807.4648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899"/>
    <n v="114708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375.6902773690445"/>
    <n v="344.12400000000002"/>
    <n v="16896.749646002088"/>
    <n v="2027.6099575202506"/>
    <n v="110"/>
    <n v="150"/>
    <n v="1E-3"/>
    <n v="114.708"/>
    <n v="11027.34904289503"/>
    <n v="11402.05704289503"/>
    <n v="3180.9641611183101"/>
    <n v="5483.6279926912794"/>
    <n v="0.08"/>
    <n v="739.6309909354427"/>
    <n v="0.12"/>
    <n v="1368.2468451474035"/>
    <n v="15"/>
    <n v="3"/>
  </r>
  <r>
    <n v="210"/>
    <d v="2022-12-31T00:00:00"/>
    <x v="0"/>
    <s v="CLI118"/>
    <s v="CLI118"/>
    <s v="CAUCAIA"/>
    <s v="CE"/>
    <s v="CLI716"/>
    <s v="MANAUS"/>
    <s v="AM"/>
    <n v="2375.6902773690445"/>
    <n v="1428.051281"/>
    <n v="0"/>
    <n v="7000"/>
    <n v="0"/>
    <x v="0"/>
    <x v="1"/>
    <s v="BRPECTK01S"/>
    <s v="BRPECAPM"/>
    <n v="34.109209"/>
    <n v="27.395"/>
    <n v="150"/>
    <n v="1113.4348704377599"/>
    <n v="200.41827667879676"/>
    <n v="768"/>
    <n v="7"/>
    <n v="0"/>
    <n v="0"/>
    <n v="768"/>
    <m/>
    <m/>
    <n v="0"/>
    <x v="0"/>
    <s v="BRMAOTK01S"/>
    <s v="BRMAOCHI"/>
    <n v="11.436796000000001"/>
    <n v="27.395"/>
    <n v="150"/>
    <n v="777.5058890854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550"/>
    <n v="54790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375.6902773690445"/>
    <n v="164.37"/>
    <n v="16716.995646002088"/>
    <n v="2006.0394775202503"/>
    <n v="110"/>
    <n v="150"/>
    <n v="1E-3"/>
    <n v="54.79"/>
    <n v="10378.238420535221"/>
    <n v="10693.028420535222"/>
    <n v="3180.9641611183101"/>
    <n v="5582.0642594169112"/>
    <n v="0.08"/>
    <n v="688.13355074665822"/>
    <n v="0.12"/>
    <n v="1283.1634104642267"/>
    <n v="15"/>
    <n v="3"/>
  </r>
  <r>
    <n v="211"/>
    <d v="2022-12-31T00:00:00"/>
    <x v="0"/>
    <s v="CLI118"/>
    <s v="CLI118"/>
    <s v="CAUCAIA"/>
    <s v="CE"/>
    <s v="CLI1130"/>
    <s v="MANAUS"/>
    <s v="AM"/>
    <n v="2375.6902773690445"/>
    <n v="1428.051281"/>
    <n v="0"/>
    <n v="7000"/>
    <n v="0"/>
    <x v="0"/>
    <x v="1"/>
    <s v="BRPECTK01S"/>
    <s v="BRPECAPM"/>
    <n v="34.109209"/>
    <n v="113.339"/>
    <n v="150"/>
    <n v="1199.37887043776"/>
    <n v="215.88819667879679"/>
    <n v="768"/>
    <n v="7"/>
    <n v="0"/>
    <n v="0"/>
    <n v="768"/>
    <m/>
    <m/>
    <n v="0"/>
    <x v="0"/>
    <s v="BRMAOTK01S"/>
    <s v="BRMAOCHI"/>
    <n v="11.436796000000001"/>
    <n v="113.339"/>
    <n v="150"/>
    <n v="863.4498890854399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863"/>
    <n v="226678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2375.6902773690445"/>
    <n v="680.03399999999999"/>
    <n v="17232.659646002088"/>
    <n v="2067.9191575202503"/>
    <n v="110"/>
    <n v="150"/>
    <n v="1E-3"/>
    <n v="226.678"/>
    <n v="10618.881620535221"/>
    <n v="11105.559620535221"/>
    <n v="3180.9641611183101"/>
    <n v="5994.5954594169107"/>
    <n v="0.08"/>
    <n v="706.14741314665798"/>
    <n v="0.12"/>
    <n v="1332.6671544642265"/>
    <n v="15"/>
    <n v="3"/>
  </r>
  <r>
    <n v="212"/>
    <d v="2022-12-31T00:00:00"/>
    <x v="1"/>
    <s v="CLI118"/>
    <s v="CLI118"/>
    <s v="CAUCAIA"/>
    <s v="CE"/>
    <s v="CLI822"/>
    <s v="MANAUS"/>
    <s v="AM"/>
    <n v="2375.6902773690445"/>
    <n v="1428.051281"/>
    <n v="0"/>
    <n v="7000"/>
    <n v="0"/>
    <x v="0"/>
    <x v="1"/>
    <s v="BRPECTK01S"/>
    <s v="BRPECAPM"/>
    <n v="34.109209"/>
    <n v="122.71250000000001"/>
    <n v="150"/>
    <n v="1208.75237043776"/>
    <n v="217.57542667879679"/>
    <n v="768"/>
    <n v="7"/>
    <n v="0"/>
    <n v="0"/>
    <n v="768"/>
    <m/>
    <m/>
    <n v="0"/>
    <x v="0"/>
    <s v="BRMAOTK01"/>
    <s v="BRMAOCHI"/>
    <n v="11.436796000000001"/>
    <n v="122.71250000000001"/>
    <n v="150"/>
    <n v="872.8233890854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114"/>
    <n v="24542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736.27499999999998"/>
    <n v="17288.90064600209"/>
    <n v="2074.6680775202508"/>
    <n v="110"/>
    <n v="150"/>
    <n v="1E-3"/>
    <n v="245.42500000000001"/>
    <n v="11256.10379289503"/>
    <n v="11761.528792895029"/>
    <n v="3180.9641611183101"/>
    <n v="5777.7412426912779"/>
    <n v="0.08"/>
    <n v="756.99020853544255"/>
    <n v="0.12"/>
    <n v="1411.3834551474035"/>
    <n v="15"/>
    <n v="1"/>
  </r>
  <r>
    <n v="213"/>
    <d v="2022-12-31T00:00:00"/>
    <x v="0"/>
    <s v="CLI118"/>
    <s v="CLI118"/>
    <s v="CAUCAIA"/>
    <s v="CE"/>
    <s v="CLI904"/>
    <s v="MANAUS"/>
    <s v="AM"/>
    <n v="2375.6902773690445"/>
    <n v="1428.051281"/>
    <n v="0"/>
    <n v="7000"/>
    <n v="0"/>
    <x v="0"/>
    <x v="1"/>
    <s v="BRPECTK01S"/>
    <s v="BRPECAPM"/>
    <n v="34.109209"/>
    <n v="50.599499999999999"/>
    <n v="150"/>
    <n v="1136.6393704377601"/>
    <n v="204.5950866787968"/>
    <n v="768"/>
    <n v="7"/>
    <n v="0"/>
    <n v="0"/>
    <n v="768"/>
    <m/>
    <m/>
    <n v="0"/>
    <x v="0"/>
    <s v="BRMAOTK01S"/>
    <s v="BRMAOCHI"/>
    <n v="11.436796000000001"/>
    <n v="50.599499999999999"/>
    <n v="150"/>
    <n v="800.7103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984"/>
    <n v="10119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303.59699999999998"/>
    <n v="16856.22264600209"/>
    <n v="2022.7467175202507"/>
    <n v="110"/>
    <n v="150"/>
    <n v="1E-3"/>
    <n v="101.199"/>
    <n v="10443.211020535222"/>
    <n v="10804.410020535222"/>
    <n v="3180.9641611183101"/>
    <n v="5693.4458594169118"/>
    <n v="0.08"/>
    <n v="692.99721394665801"/>
    <n v="0.12"/>
    <n v="1296.5292024642267"/>
    <n v="15"/>
    <n v="1"/>
  </r>
  <r>
    <n v="214"/>
    <d v="2022-12-31T00:00:00"/>
    <x v="0"/>
    <s v="CLI118"/>
    <s v="CLI118"/>
    <s v="CAUCAIA"/>
    <s v="CE"/>
    <s v="CLI508"/>
    <s v="MANAUS"/>
    <s v="AM"/>
    <n v="2375.6902773690445"/>
    <n v="1428.051281"/>
    <n v="0"/>
    <n v="7000"/>
    <n v="0"/>
    <x v="0"/>
    <x v="1"/>
    <s v="BRPECTK01S"/>
    <s v="BRPECAPM"/>
    <n v="34.109209"/>
    <n v="42.5655"/>
    <n v="150"/>
    <n v="1128.60537043776"/>
    <n v="203.1489666787968"/>
    <n v="768"/>
    <n v="7"/>
    <n v="0"/>
    <n v="0"/>
    <n v="768"/>
    <m/>
    <m/>
    <n v="0"/>
    <x v="0"/>
    <s v="BRMAOTK01S"/>
    <s v="BRMAOCHI"/>
    <n v="11.436796000000001"/>
    <n v="42.5655"/>
    <n v="150"/>
    <n v="792.6763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847"/>
    <n v="8513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255.393"/>
    <n v="16808.018646002089"/>
    <n v="2016.9622375202505"/>
    <n v="110"/>
    <n v="150"/>
    <n v="1E-3"/>
    <n v="85.131"/>
    <n v="10420.715820535223"/>
    <n v="10765.846820535222"/>
    <n v="3180.9641611183101"/>
    <n v="5654.8826594169113"/>
    <n v="0.08"/>
    <n v="691.3132875466581"/>
    <n v="0.12"/>
    <n v="1291.9016184642267"/>
    <n v="15"/>
    <n v="1"/>
  </r>
  <r>
    <n v="215"/>
    <d v="2022-12-31T00:00:00"/>
    <x v="1"/>
    <s v="CLI118"/>
    <s v="CLI118"/>
    <s v="CAUCAIA"/>
    <s v="CE"/>
    <s v="CLI976"/>
    <s v="MANAUS"/>
    <s v="AM"/>
    <n v="2375.6902773690445"/>
    <n v="1428.051281"/>
    <n v="0"/>
    <n v="7000"/>
    <n v="0"/>
    <x v="0"/>
    <x v="1"/>
    <s v="BRPECTK01S"/>
    <s v="BRPECAPM"/>
    <n v="34.109209"/>
    <n v="102.339"/>
    <n v="150"/>
    <n v="1188.37887043776"/>
    <n v="213.9081966787968"/>
    <n v="768"/>
    <n v="7"/>
    <n v="0"/>
    <n v="0"/>
    <n v="768"/>
    <m/>
    <m/>
    <n v="0"/>
    <x v="0"/>
    <s v="BRMAOTK01"/>
    <s v="BRMAOCHI"/>
    <n v="11.436796000000001"/>
    <n v="102.339"/>
    <n v="150"/>
    <n v="852.4498890854399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722"/>
    <n v="20467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614.03399999999999"/>
    <n v="17166.659646002088"/>
    <n v="2059.9991575202507"/>
    <n v="110"/>
    <n v="150"/>
    <n v="1E-3"/>
    <n v="204.678"/>
    <n v="11184.796542895028"/>
    <n v="11649.474542895028"/>
    <n v="3180.9641611183101"/>
    <n v="5686.0604926912783"/>
    <n v="0.08"/>
    <n v="751.57900693544264"/>
    <n v="0.12"/>
    <n v="1397.9369451474033"/>
    <n v="15"/>
    <n v="1"/>
  </r>
  <r>
    <n v="216"/>
    <d v="2022-12-31T00:00:00"/>
    <x v="0"/>
    <s v="CLI118"/>
    <s v="CLI118"/>
    <s v="CAUCAIA"/>
    <s v="CE"/>
    <s v="CLI884"/>
    <s v="MANAUS"/>
    <s v="AM"/>
    <n v="2375.6902773690445"/>
    <n v="1428.051281"/>
    <n v="0"/>
    <n v="7000"/>
    <n v="0"/>
    <x v="0"/>
    <x v="1"/>
    <s v="BRPECTK01S"/>
    <s v="BRPECAPM"/>
    <n v="34.109209"/>
    <n v="26.298999999999999"/>
    <n v="150"/>
    <n v="1112.3388704377599"/>
    <n v="200.22099667879675"/>
    <n v="768"/>
    <n v="7"/>
    <n v="0"/>
    <n v="0"/>
    <n v="768"/>
    <m/>
    <m/>
    <n v="0"/>
    <x v="0"/>
    <s v="BRMAOTK01S"/>
    <s v="BRMAOCHI"/>
    <n v="11.436796000000001"/>
    <n v="26.298999999999999"/>
    <n v="150"/>
    <n v="776.4098890854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763"/>
    <n v="5259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157.79400000000001"/>
    <n v="16710.41964600209"/>
    <n v="2005.2503575202509"/>
    <n v="110"/>
    <n v="150"/>
    <n v="1E-3"/>
    <n v="52.597999999999999"/>
    <n v="10375.169620535224"/>
    <n v="10687.767620535224"/>
    <n v="3180.9641611183101"/>
    <n v="5576.803459416913"/>
    <n v="0.08"/>
    <n v="687.90382914665827"/>
    <n v="0.12"/>
    <n v="1282.5321144642269"/>
    <n v="15"/>
    <n v="1"/>
  </r>
  <r>
    <n v="217"/>
    <d v="2022-12-31T00:00:00"/>
    <x v="1"/>
    <s v="CLI119"/>
    <s v="CLI119"/>
    <s v="SAO GONCALO DO AMARANTE"/>
    <s v="RN"/>
    <s v="CLI746"/>
    <s v="MANAUS"/>
    <s v="AM"/>
    <n v="2757.14300083646"/>
    <n v="1891.0935060000002"/>
    <n v="0"/>
    <n v="7000"/>
    <n v="0"/>
    <x v="0"/>
    <x v="1"/>
    <s v="BRPECTK01S"/>
    <s v="BRPECAPM"/>
    <n v="542.37053200000003"/>
    <n v="64.366"/>
    <n v="150"/>
    <n v="8681.1309192524805"/>
    <n v="1041.7357103102977"/>
    <n v="768"/>
    <n v="7"/>
    <n v="0"/>
    <n v="0"/>
    <n v="768"/>
    <m/>
    <m/>
    <n v="0"/>
    <x v="0"/>
    <s v="BRMAOTK01"/>
    <s v="BRMAOCHI"/>
    <n v="11.436796000000001"/>
    <n v="64.366"/>
    <n v="150"/>
    <n v="814.4768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140"/>
    <n v="128732"/>
    <x v="0"/>
    <x v="1"/>
    <x v="1"/>
    <x v="1"/>
    <x v="8"/>
    <x v="1"/>
    <n v="6"/>
    <n v="6"/>
    <n v="6"/>
    <n v="6"/>
    <n v="5"/>
    <n v="5"/>
    <n v="5"/>
    <n v="64"/>
    <n v="7"/>
    <n v="110"/>
    <n v="7"/>
    <n v="110"/>
    <n v="2757.14300083646"/>
    <n v="386.19600000000003"/>
    <n v="19529.25183296037"/>
    <n v="2343.5102199552443"/>
    <n v="75"/>
    <n v="150"/>
    <n v="1E-3"/>
    <n v="128.732"/>
    <n v="7593.6846395955217"/>
    <n v="7947.4166395955217"/>
    <n v="3180.9641611183101"/>
    <n v="2021.9755893917713"/>
    <n v="0.08"/>
    <n v="-207.19415032421574"/>
    <n v="0.12"/>
    <n v="953.68999675146256"/>
    <n v="15"/>
    <n v="6"/>
  </r>
  <r>
    <n v="218"/>
    <d v="2022-12-31T00:00:00"/>
    <x v="2"/>
    <s v="CLI120"/>
    <s v="CLI120"/>
    <s v="CARUARU"/>
    <s v="PE"/>
    <s v="CLI1045"/>
    <s v="MANAUS"/>
    <s v="AM"/>
    <n v="2724.0148918264722"/>
    <n v="1925.9509110000001"/>
    <n v="0"/>
    <n v="7000"/>
    <n v="0"/>
    <x v="0"/>
    <x v="3"/>
    <s v="BRSUATK01"/>
    <s v="BRSUATCO"/>
    <n v="152.331682"/>
    <n v="78.760000000000005"/>
    <n v="150"/>
    <n v="2916.45969278848"/>
    <n v="524.96274470192634"/>
    <n v="1344"/>
    <n v="7"/>
    <n v="0"/>
    <n v="0"/>
    <n v="1344"/>
    <m/>
    <m/>
    <n v="0"/>
    <x v="0"/>
    <s v="BRMAOTK01"/>
    <s v="BRMAOCHI"/>
    <n v="11.436796000000001"/>
    <n v="78.760000000000005"/>
    <n v="150"/>
    <n v="828.87088908544001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010"/>
    <n v="15752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24.0148918264722"/>
    <n v="472.56"/>
    <n v="19390.644169797903"/>
    <n v="2326.8773003757483"/>
    <n v="110"/>
    <n v="150"/>
    <n v="1E-3"/>
    <n v="157.52000000000001"/>
    <n v="13573.450918858531"/>
    <n v="13990.970918858531"/>
    <n v="3180.9641611183101"/>
    <n v="4628.6761758663015"/>
    <n v="0.08"/>
    <n v="777.65420738261491"/>
    <n v="0.12"/>
    <n v="1678.9165102630236"/>
    <n v="15"/>
    <n v="1"/>
  </r>
  <r>
    <n v="219"/>
    <d v="2022-12-31T00:00:00"/>
    <x v="2"/>
    <s v="CLI122"/>
    <s v="CLI122"/>
    <s v="SANTOS"/>
    <s v="SP"/>
    <s v="CLI837"/>
    <s v="SAO CRISTOVAO"/>
    <s v="SE"/>
    <n v="2162.2353269999999"/>
    <n v="0"/>
    <n v="0"/>
    <n v="0"/>
    <n v="0"/>
    <x v="0"/>
    <x v="0"/>
    <s v="BRSSZTK01"/>
    <s v="BRSSZTCO"/>
    <n v="14.583465"/>
    <n v="111.58450000000001"/>
    <n v="150"/>
    <n v="908.31845085760006"/>
    <n v="163.497321154368"/>
    <n v="640"/>
    <n v="7"/>
    <n v="0"/>
    <n v="0"/>
    <n v="640"/>
    <m/>
    <m/>
    <n v="0"/>
    <x v="5"/>
    <s v="BRSSATK01"/>
    <s v="BRSSATCO"/>
    <n v="311.81264799999997"/>
    <n v="111.58450000000001"/>
    <n v="150"/>
    <n v="5312.2562528627195"/>
    <n v="637.47075034352633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989"/>
    <n v="22316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162.2353269999999"/>
    <n v="669.50700000000006"/>
    <n v="15772.568616243921"/>
    <n v="1104.0798031370746"/>
    <n v="110"/>
    <n v="150"/>
    <n v="1E-3"/>
    <n v="223.16900000000001"/>
    <n v="11040.798031370745"/>
    <n v="11523.967031370745"/>
    <n v="3180.9641611183101"/>
    <n v="508.42816653211548"/>
    <n v="0.08"/>
    <n v="360.19394049220256"/>
    <n v="7.0000000000000007E-2"/>
    <n v="806.6776921959522"/>
    <n v="15"/>
    <n v="1"/>
  </r>
  <r>
    <n v="220"/>
    <d v="2022-12-31T00:00:00"/>
    <x v="3"/>
    <s v="CLI123"/>
    <s v="CLI123"/>
    <s v="ITAPISSUMA"/>
    <s v="PE"/>
    <s v="CLI909"/>
    <s v="MANAUS"/>
    <s v="AM"/>
    <n v="2831.5585336825884"/>
    <n v="2068.4793920000002"/>
    <n v="0"/>
    <n v="7000"/>
    <n v="0"/>
    <x v="0"/>
    <x v="3"/>
    <s v="BRSUATK01"/>
    <s v="BRSUATCO"/>
    <n v="85.549986000000004"/>
    <n v="47.134999999999998"/>
    <n v="150"/>
    <n v="1895.3543445670402"/>
    <n v="341.16378202206721"/>
    <n v="1344"/>
    <n v="7"/>
    <n v="0"/>
    <n v="0"/>
    <n v="1344"/>
    <m/>
    <m/>
    <n v="0"/>
    <x v="0"/>
    <s v="BRMAOTK01S"/>
    <s v="BRMAOCHI"/>
    <n v="11.436796000000001"/>
    <n v="47.134999999999998"/>
    <n v="150"/>
    <n v="797.24588908544001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410"/>
    <n v="942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1.5585336825884"/>
    <n v="282.81"/>
    <n v="19931.218739897115"/>
    <n v="2391.7462487876537"/>
    <n v="110"/>
    <n v="150"/>
    <n v="1E-3"/>
    <n v="94.27"/>
    <n v="13393.780995568171"/>
    <n v="13748.050995568172"/>
    <n v="3180.9641611183101"/>
    <n v="6235.732489882821"/>
    <n v="0.08"/>
    <n v="857.14295839148997"/>
    <n v="0.12"/>
    <n v="1649.7661194681805"/>
    <n v="15"/>
    <n v="1"/>
  </r>
  <r>
    <n v="221"/>
    <d v="2022-12-31T00:00:00"/>
    <x v="0"/>
    <s v="CLI124"/>
    <s v="CLI124"/>
    <s v="SANTOS"/>
    <s v="SP"/>
    <s v="CLI686"/>
    <s v="MANAUS"/>
    <s v="AM"/>
    <n v="2738.1624465451514"/>
    <n v="2948.3907220000001"/>
    <n v="0"/>
    <n v="7000"/>
    <n v="0"/>
    <x v="0"/>
    <x v="0"/>
    <s v="BRSSZTK01S"/>
    <s v="BRSSZTCO"/>
    <n v="14.583465"/>
    <n v="116.18300000000001"/>
    <n v="150"/>
    <n v="912.9169508576"/>
    <n v="164.325051154368"/>
    <n v="640"/>
    <n v="7"/>
    <n v="0"/>
    <n v="0"/>
    <n v="640"/>
    <m/>
    <m/>
    <n v="0"/>
    <x v="0"/>
    <s v="BRMAOTK01S"/>
    <s v="BRMAOCHI"/>
    <n v="11.436796000000001"/>
    <n v="116.18300000000001"/>
    <n v="150"/>
    <n v="866.29388908544001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435"/>
    <n v="23236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738.1624465451514"/>
    <n v="697.09800000000007"/>
    <n v="19711.257647990267"/>
    <n v="1379.7880353593189"/>
    <n v="110"/>
    <n v="150"/>
    <n v="1E-3"/>
    <n v="232.36600000000001"/>
    <n v="12552.432765633059"/>
    <n v="13044.798765633059"/>
    <n v="3180.9641611183101"/>
    <n v="8121.8346045147482"/>
    <n v="0.08"/>
    <n v="888.10102996285207"/>
    <n v="7.0000000000000007E-2"/>
    <n v="913.13591359431416"/>
    <n v="15"/>
    <n v="2"/>
  </r>
  <r>
    <n v="222"/>
    <d v="2022-12-31T00:00:00"/>
    <x v="2"/>
    <s v="CLI126"/>
    <s v="CLI126"/>
    <s v="SAO BERNARDO DO CAMPO"/>
    <s v="SP"/>
    <s v="CLI689"/>
    <s v="JABOATAO DOS GUARARAPES"/>
    <s v="PE"/>
    <n v="2599.402947"/>
    <n v="0"/>
    <n v="0"/>
    <n v="0"/>
    <n v="0"/>
    <x v="0"/>
    <x v="0"/>
    <s v="BRSSZTK01"/>
    <s v="BRSSZTCO"/>
    <n v="66.511209000000008"/>
    <n v="103.789"/>
    <n v="150"/>
    <n v="1669.91763971776"/>
    <n v="300.5851751491968"/>
    <n v="640"/>
    <n v="7"/>
    <n v="0"/>
    <n v="0"/>
    <n v="640"/>
    <m/>
    <m/>
    <n v="0"/>
    <x v="2"/>
    <s v="BRSUATK01"/>
    <s v="BRSUATCO"/>
    <n v="43.495365"/>
    <n v="103.789"/>
    <n v="150"/>
    <n v="1328.9001648736"/>
    <n v="239.2020296772479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911"/>
    <n v="207578"/>
    <x v="1"/>
    <x v="15"/>
    <x v="13"/>
    <x v="13"/>
    <x v="14"/>
    <x v="13"/>
    <n v="16"/>
    <n v="15"/>
    <n v="17"/>
    <n v="17"/>
    <n v="17"/>
    <n v="15"/>
    <n v="17"/>
    <n v="183"/>
    <n v="7"/>
    <n v="180"/>
    <n v="7"/>
    <n v="180"/>
    <n v="2599.402947"/>
    <n v="622.73400000000004"/>
    <n v="18694.583436959125"/>
    <n v="1308.6208405871389"/>
    <n v="110"/>
    <n v="150"/>
    <n v="1E-3"/>
    <n v="207.578"/>
    <n v="13086.208405871386"/>
    <n v="13553.786405871386"/>
    <n v="3180.9641611183101"/>
    <n v="5120.004440161716"/>
    <n v="0.08"/>
    <n v="801.21451171628655"/>
    <n v="7.0000000000000007E-2"/>
    <n v="948.76504841099711"/>
    <n v="15"/>
    <n v="17"/>
  </r>
  <r>
    <n v="223"/>
    <d v="2022-12-31T00:00:00"/>
    <x v="2"/>
    <s v="CLI126"/>
    <s v="CLI126"/>
    <s v="SAO BERNARDO DO CAMPO"/>
    <s v="SP"/>
    <s v="CLI1017"/>
    <s v="MANAUS"/>
    <s v="AM"/>
    <n v="2700.2227738010365"/>
    <n v="2897.2868149999999"/>
    <n v="0"/>
    <n v="7000"/>
    <n v="0"/>
    <x v="0"/>
    <x v="0"/>
    <s v="BRSSZTK01"/>
    <s v="BRSSZTCO"/>
    <n v="66.511209000000008"/>
    <n v="124.101"/>
    <n v="150"/>
    <n v="1690.2296397177602"/>
    <n v="304.2413351491968"/>
    <n v="640"/>
    <n v="7"/>
    <n v="0"/>
    <n v="0"/>
    <n v="640"/>
    <m/>
    <m/>
    <n v="0"/>
    <x v="0"/>
    <s v="BRMAOTK01"/>
    <s v="BRMAOCHI"/>
    <n v="11.436796000000001"/>
    <n v="124.101"/>
    <n v="150"/>
    <n v="874.21188908544002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009"/>
    <n v="24820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00.2227738010365"/>
    <n v="744.60599999999999"/>
    <n v="19501.118847971888"/>
    <n v="1365.0783193580323"/>
    <n v="110"/>
    <n v="150"/>
    <n v="1E-3"/>
    <n v="248.202"/>
    <n v="13650.783193580321"/>
    <n v="14158.98519358032"/>
    <n v="3180.9641611183101"/>
    <n v="6671.5795036588097"/>
    <n v="0.08"/>
    <n v="903.22418637023395"/>
    <n v="7.0000000000000007E-2"/>
    <n v="991.12896355062253"/>
    <n v="15"/>
    <n v="1"/>
  </r>
  <r>
    <n v="224"/>
    <d v="2022-12-31T00:00:00"/>
    <x v="2"/>
    <s v="CLI126"/>
    <s v="CLI126"/>
    <s v="SAO BERNARDO DO CAMPO"/>
    <s v="SP"/>
    <s v="CLI1016"/>
    <s v="JOAO PESSOA"/>
    <s v="PB"/>
    <n v="2696.1393520000001"/>
    <n v="0"/>
    <n v="0"/>
    <n v="0"/>
    <n v="0"/>
    <x v="0"/>
    <x v="0"/>
    <s v="BRSSZTK01"/>
    <s v="BRSSZTCO"/>
    <n v="66.511209000000008"/>
    <n v="49.148000000000003"/>
    <n v="150"/>
    <n v="1615.27663971776"/>
    <n v="290.74979514919676"/>
    <n v="640"/>
    <n v="7"/>
    <n v="0"/>
    <n v="0"/>
    <n v="640"/>
    <m/>
    <m/>
    <n v="0"/>
    <x v="2"/>
    <s v="BRSUATK01"/>
    <s v="BRSUATCO"/>
    <n v="167.74277900000001"/>
    <n v="49.148000000000003"/>
    <n v="150"/>
    <n v="3115.1883690425607"/>
    <n v="373.82260428510727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481"/>
    <n v="9829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96.1393520000001"/>
    <n v="294.88800000000003"/>
    <n v="19023.670493857921"/>
    <n v="1331.6569345700545"/>
    <n v="110"/>
    <n v="150"/>
    <n v="1E-3"/>
    <n v="98.296000000000006"/>
    <n v="13316.569345700544"/>
    <n v="13674.865345700544"/>
    <n v="3180.9641611183101"/>
    <n v="3509.4361758219134"/>
    <n v="0.08"/>
    <n v="662.38623500047356"/>
    <n v="7.0000000000000007E-2"/>
    <n v="957.24057419903818"/>
    <n v="15"/>
    <n v="1"/>
  </r>
  <r>
    <n v="225"/>
    <d v="2022-12-31T00:00:00"/>
    <x v="2"/>
    <s v="CLI127"/>
    <s v="CLI127"/>
    <s v="ARACATUBA"/>
    <s v="SP"/>
    <s v="CLI493"/>
    <s v="MANAUS"/>
    <s v="AM"/>
    <n v="2256.2361002500456"/>
    <n v="2606.6932149999998"/>
    <n v="0"/>
    <n v="7000"/>
    <n v="0"/>
    <x v="0"/>
    <x v="0"/>
    <s v="BRSSZTK01"/>
    <s v="BRSSZTCO"/>
    <n v="593.18394799999999"/>
    <n v="70.794499999999999"/>
    <n v="150"/>
    <n v="9440.4435112947194"/>
    <n v="1699.2798320330494"/>
    <n v="640"/>
    <n v="7"/>
    <n v="0"/>
    <n v="0"/>
    <n v="640"/>
    <m/>
    <m/>
    <n v="0"/>
    <x v="0"/>
    <s v="BRMAOTK01"/>
    <s v="BRMAOCHI"/>
    <n v="11.436796000000001"/>
    <n v="70.794499999999999"/>
    <n v="150"/>
    <n v="820.90538908543999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68"/>
    <n v="14158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256.2361002500456"/>
    <n v="424.767"/>
    <n v="16166.184107354053"/>
    <n v="1131.6328875147838"/>
    <n v="110"/>
    <n v="150"/>
    <n v="1E-3"/>
    <n v="141.589"/>
    <n v="11316.328875147836"/>
    <n v="11717.917875147836"/>
    <n v="3180.9641611183101"/>
    <n v="-3466.3951863506336"/>
    <n v="0.08"/>
    <n v="-19.416868581229846"/>
    <n v="7.0000000000000007E-2"/>
    <n v="820.25425126034861"/>
    <n v="15"/>
    <n v="1"/>
  </r>
  <r>
    <n v="226"/>
    <d v="2022-12-31T00:00:00"/>
    <x v="2"/>
    <s v="CLI128"/>
    <s v="CLI128"/>
    <s v="JUAZEIRO DO NORTE"/>
    <s v="CE"/>
    <s v="CLI594"/>
    <s v="MANAUS"/>
    <s v="AM"/>
    <n v="2340.1874731181383"/>
    <n v="1496.115254"/>
    <n v="0"/>
    <n v="7000"/>
    <n v="0"/>
    <x v="0"/>
    <x v="1"/>
    <s v="BRPECTK01"/>
    <s v="BRPECAPM"/>
    <n v="516.76348499999995"/>
    <n v="123.849"/>
    <n v="150"/>
    <n v="8361.2035223903986"/>
    <n v="1505.0166340302717"/>
    <n v="768"/>
    <n v="7"/>
    <n v="0"/>
    <n v="0"/>
    <n v="768"/>
    <m/>
    <m/>
    <n v="0"/>
    <x v="0"/>
    <s v="BRMAOTK01"/>
    <s v="BRMAOCHI"/>
    <n v="11.436796000000001"/>
    <n v="123.849"/>
    <n v="150"/>
    <n v="873.9598890854400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249"/>
    <n v="24769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40.1874731181383"/>
    <n v="743.09400000000005"/>
    <n v="17054.621522446356"/>
    <n v="2046.5545826935627"/>
    <n v="110"/>
    <n v="150"/>
    <n v="1E-3"/>
    <n v="247.69800000000001"/>
    <n v="11938.235065712448"/>
    <n v="12445.933065712448"/>
    <n v="3180.9641611183101"/>
    <n v="-1900.1945068817004"/>
    <n v="0.08"/>
    <n v="136.46024161650706"/>
    <n v="0.12"/>
    <n v="1493.5119678854937"/>
    <n v="15"/>
    <n v="1"/>
  </r>
  <r>
    <n v="227"/>
    <d v="2022-12-31T00:00:00"/>
    <x v="2"/>
    <s v="CLI129"/>
    <s v="CLI129"/>
    <s v="ITATIBA"/>
    <s v="SP"/>
    <s v="CLI672"/>
    <s v="MARACANAU"/>
    <s v="CE"/>
    <n v="2761.1390630000001"/>
    <n v="0"/>
    <n v="0"/>
    <n v="0"/>
    <n v="0"/>
    <x v="0"/>
    <x v="0"/>
    <s v="BRSSZTK01"/>
    <s v="BRSSZTCO"/>
    <n v="163.845968"/>
    <n v="108.0805"/>
    <n v="150"/>
    <n v="3116.3832233075204"/>
    <n v="560.94898019535367"/>
    <n v="640"/>
    <n v="7"/>
    <n v="0"/>
    <n v="0"/>
    <n v="640"/>
    <m/>
    <m/>
    <n v="0"/>
    <x v="3"/>
    <s v="BRPECTK01"/>
    <s v="BRPECAPM"/>
    <n v="52.945568000000002"/>
    <n v="108.0805"/>
    <n v="150"/>
    <n v="1473.2119206515201"/>
    <n v="265.1781457172735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466"/>
    <n v="21616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61.1390630000001"/>
    <n v="648.48300000000006"/>
    <n v="19818.675931270482"/>
    <n v="1387.3073151889339"/>
    <n v="110"/>
    <n v="150"/>
    <n v="1E-3"/>
    <n v="216.161"/>
    <n v="13873.073151889337"/>
    <n v="14349.234151889337"/>
    <n v="3180.9641611183101"/>
    <n v="4900.6748468119858"/>
    <n v="0.08"/>
    <n v="714.68095056141362"/>
    <n v="7.0000000000000007E-2"/>
    <n v="1004.4463906322537"/>
    <n v="15"/>
    <n v="1"/>
  </r>
  <r>
    <n v="228"/>
    <d v="2022-12-31T00:00:00"/>
    <x v="0"/>
    <s v="CLI130"/>
    <s v="CLI130"/>
    <s v="MANAUS"/>
    <s v="AM"/>
    <s v="CLI200"/>
    <s v="CAUCAIA"/>
    <s v="CE"/>
    <n v="3014.7999490000002"/>
    <n v="0"/>
    <n v="1428.051281"/>
    <n v="7000"/>
    <n v="0"/>
    <x v="0"/>
    <x v="2"/>
    <s v="BRMAOTK01S"/>
    <s v="BRMAOCHI"/>
    <n v="11.436796000000001"/>
    <n v="29.306000000000001"/>
    <n v="150"/>
    <n v="779.41688908544006"/>
    <n v="0"/>
    <n v="832"/>
    <n v="7"/>
    <n v="0"/>
    <n v="0"/>
    <n v="832"/>
    <m/>
    <m/>
    <n v="0"/>
    <x v="3"/>
    <s v="BRPECTK01S"/>
    <s v="BRPECAPM"/>
    <n v="34.109209"/>
    <n v="29.306000000000001"/>
    <n v="150"/>
    <n v="1115.3458704377599"/>
    <n v="200.76225667879677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164"/>
    <n v="58612"/>
    <x v="0"/>
    <x v="16"/>
    <x v="14"/>
    <x v="14"/>
    <x v="15"/>
    <x v="14"/>
    <n v="40"/>
    <n v="41"/>
    <n v="42"/>
    <n v="41"/>
    <n v="39"/>
    <n v="33"/>
    <n v="35"/>
    <n v="452"/>
    <n v="7"/>
    <n v="110"/>
    <n v="7"/>
    <n v="110"/>
    <n v="3014.7999490000002"/>
    <n v="175.83600000000001"/>
    <n v="21068.629861661044"/>
    <n v="2528.2355833993252"/>
    <n v="75"/>
    <n v="150"/>
    <n v="1E-3"/>
    <n v="58.612000000000002"/>
    <n v="13421.706971496489"/>
    <n v="13705.318971496488"/>
    <n v="3180.9641611183101"/>
    <n v="8629.3548103781777"/>
    <n v="0.08"/>
    <n v="928.78351642355949"/>
    <n v="0.12"/>
    <n v="1644.6382765795786"/>
    <n v="15"/>
    <n v="42"/>
  </r>
  <r>
    <n v="229"/>
    <d v="2022-12-31T00:00:00"/>
    <x v="0"/>
    <s v="CLI130"/>
    <s v="CLI130"/>
    <s v="MANAUS"/>
    <s v="AM"/>
    <s v="CLI781"/>
    <s v="CAUCAIA"/>
    <s v="CE"/>
    <n v="3014.7999490000002"/>
    <n v="0"/>
    <n v="1428.051281"/>
    <n v="7000"/>
    <n v="0"/>
    <x v="0"/>
    <x v="2"/>
    <s v="BRMAOTK01S"/>
    <s v="BRMAOCHI"/>
    <n v="11.436796000000001"/>
    <n v="103.9945"/>
    <n v="150"/>
    <n v="854.10538908544004"/>
    <n v="0"/>
    <n v="832"/>
    <n v="7"/>
    <n v="0"/>
    <n v="0"/>
    <n v="832"/>
    <m/>
    <m/>
    <n v="0"/>
    <x v="3"/>
    <s v="BRPECTK01S"/>
    <s v="BRPECAPM"/>
    <n v="34.109209"/>
    <n v="103.9945"/>
    <n v="150"/>
    <n v="1190.0343704377599"/>
    <n v="214.20618667879677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037"/>
    <n v="207989"/>
    <x v="0"/>
    <x v="17"/>
    <x v="15"/>
    <x v="15"/>
    <x v="16"/>
    <x v="15"/>
    <n v="13"/>
    <n v="13"/>
    <n v="14"/>
    <n v="14"/>
    <n v="13"/>
    <n v="11"/>
    <n v="12"/>
    <n v="151"/>
    <n v="7"/>
    <n v="110"/>
    <n v="7"/>
    <n v="110"/>
    <n v="3014.7999490000002"/>
    <n v="623.96699999999998"/>
    <n v="21516.760861661045"/>
    <n v="2582.0113033993252"/>
    <n v="75"/>
    <n v="150"/>
    <n v="1E-3"/>
    <n v="207.989"/>
    <n v="13630.834771496493"/>
    <n v="14063.823771496493"/>
    <n v="3180.9641611183101"/>
    <n v="8987.859610378182"/>
    <n v="0.08"/>
    <n v="944.43822602355976"/>
    <n v="0.12"/>
    <n v="1687.6588525795789"/>
    <n v="15"/>
    <n v="14"/>
  </r>
  <r>
    <n v="230"/>
    <d v="2022-12-31T00:00:00"/>
    <x v="0"/>
    <s v="CLI130"/>
    <s v="CLI130"/>
    <s v="MANAUS"/>
    <s v="AM"/>
    <s v="CLI851"/>
    <s v="ITAGUAI"/>
    <s v="RJ"/>
    <n v="4129.6512739999998"/>
    <n v="0"/>
    <n v="3075.8502579999999"/>
    <n v="7000"/>
    <n v="0"/>
    <x v="0"/>
    <x v="2"/>
    <s v="BRMAOTK01S"/>
    <s v="BRMAOCHI"/>
    <n v="11.436796000000001"/>
    <n v="114.6395"/>
    <n v="150"/>
    <n v="864.75038908544002"/>
    <n v="0"/>
    <n v="832"/>
    <n v="7"/>
    <n v="0"/>
    <n v="0"/>
    <n v="832"/>
    <m/>
    <m/>
    <n v="0"/>
    <x v="4"/>
    <s v="BRIGITK01S"/>
    <s v="BRIGITCO"/>
    <n v="14.539448"/>
    <n v="114.6395"/>
    <n v="150"/>
    <n v="910.72126681472002"/>
    <n v="0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816"/>
    <n v="229279"/>
    <x v="0"/>
    <x v="4"/>
    <x v="10"/>
    <x v="3"/>
    <x v="11"/>
    <x v="16"/>
    <n v="9"/>
    <n v="9"/>
    <n v="10"/>
    <n v="9"/>
    <n v="9"/>
    <n v="7"/>
    <n v="8"/>
    <n v="102"/>
    <n v="7"/>
    <n v="110"/>
    <n v="7"/>
    <n v="110"/>
    <n v="4129.6512739999998"/>
    <n v="687.83699999999999"/>
    <n v="29151.54161568304"/>
    <n v="3498.1849938819646"/>
    <n v="75"/>
    <n v="150"/>
    <n v="1E-3"/>
    <n v="229.279"/>
    <n v="19163.248971848017"/>
    <n v="19617.527971848016"/>
    <n v="3180.9641611183101"/>
    <n v="14605.563810729705"/>
    <n v="0.08"/>
    <n v="1427.3645052758288"/>
    <n v="0.12"/>
    <n v="2354.103356621762"/>
    <n v="15"/>
    <n v="10"/>
  </r>
  <r>
    <n v="231"/>
    <d v="2022-12-31T00:00:00"/>
    <x v="0"/>
    <s v="CLI130"/>
    <s v="CLI130"/>
    <s v="MANAUS"/>
    <s v="AM"/>
    <s v="CLI200"/>
    <s v="CAUCAIA"/>
    <s v="CE"/>
    <n v="3014.7999490000002"/>
    <n v="0"/>
    <n v="1428.051281"/>
    <n v="7000"/>
    <n v="0"/>
    <x v="0"/>
    <x v="2"/>
    <s v="BRMAOTK01S"/>
    <s v="BRMAOCHI"/>
    <n v="11.436796000000001"/>
    <n v="68.581500000000005"/>
    <n v="150"/>
    <n v="818.69238908544003"/>
    <n v="0"/>
    <n v="832"/>
    <n v="7"/>
    <n v="0"/>
    <n v="0"/>
    <n v="832"/>
    <m/>
    <m/>
    <n v="0"/>
    <x v="3"/>
    <s v="BRPECTK01S"/>
    <s v="BRPECAPM"/>
    <n v="34.109209"/>
    <n v="68.581500000000005"/>
    <n v="150"/>
    <n v="1154.6213704377601"/>
    <n v="207.8318466787968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953"/>
    <n v="13716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411.48900000000003"/>
    <n v="21304.282861661046"/>
    <n v="2556.5139433993254"/>
    <n v="110"/>
    <n v="150"/>
    <n v="1E-3"/>
    <n v="137.16300000000001"/>
    <n v="13531.678371496491"/>
    <n v="13928.841371496492"/>
    <n v="3180.9641611183101"/>
    <n v="8852.8772103781812"/>
    <n v="0.08"/>
    <n v="939.81566122355957"/>
    <n v="0.12"/>
    <n v="1671.460964579579"/>
    <n v="15"/>
    <n v="1"/>
  </r>
  <r>
    <n v="232"/>
    <d v="2022-12-31T00:00:00"/>
    <x v="3"/>
    <s v="CLI131"/>
    <s v="CLI131"/>
    <s v="BOITUVA"/>
    <s v="SP"/>
    <s v="CLI506"/>
    <s v="MANAUS"/>
    <s v="AM"/>
    <n v="2599.6793181089074"/>
    <n v="2813.8779180000001"/>
    <n v="0"/>
    <n v="7000"/>
    <n v="0"/>
    <x v="0"/>
    <x v="0"/>
    <s v="BRSSZTK01"/>
    <s v="BRSSZTCO"/>
    <n v="199.85681700000001"/>
    <n v="31.014500000000002"/>
    <n v="150"/>
    <n v="3572.8770090348803"/>
    <n v="643.11786162627845"/>
    <n v="640"/>
    <n v="7"/>
    <n v="0"/>
    <n v="0"/>
    <n v="640"/>
    <m/>
    <m/>
    <n v="0"/>
    <x v="0"/>
    <s v="BRMAOTK01S"/>
    <s v="BRMAOCHI"/>
    <n v="11.436796000000001"/>
    <n v="31.014500000000002"/>
    <n v="150"/>
    <n v="781.12538908544002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010"/>
    <n v="62029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599.6793181089074"/>
    <n v="186.08700000000002"/>
    <n v="18259.813262104868"/>
    <n v="1278.1869283473409"/>
    <n v="75"/>
    <n v="150"/>
    <n v="1E-3"/>
    <n v="62.029000000000003"/>
    <n v="12235.0815111136"/>
    <n v="12522.1105111136"/>
    <n v="3180.9641611183101"/>
    <n v="4026.2693409604094"/>
    <n v="0.08"/>
    <n v="601.99922010936007"/>
    <n v="7.0000000000000007E-2"/>
    <n v="876.54773577795208"/>
    <n v="15"/>
    <n v="2"/>
  </r>
  <r>
    <n v="233"/>
    <d v="2022-12-31T00:00:00"/>
    <x v="3"/>
    <s v="CLI131"/>
    <s v="CLI131"/>
    <s v="BOITUVA"/>
    <s v="SP"/>
    <s v="CLI506"/>
    <s v="MANAUS"/>
    <s v="AM"/>
    <n v="2599.6793181089074"/>
    <n v="2813.8779180000001"/>
    <n v="0"/>
    <n v="7000"/>
    <n v="0"/>
    <x v="0"/>
    <x v="0"/>
    <s v="BRSSZTK01"/>
    <s v="BRSSZTCO"/>
    <n v="199.85681700000001"/>
    <n v="45.34"/>
    <n v="150"/>
    <n v="3587.2025090348802"/>
    <n v="645.69645162627842"/>
    <n v="640"/>
    <n v="7"/>
    <n v="0"/>
    <n v="0"/>
    <n v="640"/>
    <m/>
    <m/>
    <n v="0"/>
    <x v="0"/>
    <s v="BRMAOTK01S"/>
    <s v="BRMAOCHI"/>
    <n v="11.436796000000001"/>
    <n v="45.34"/>
    <n v="150"/>
    <n v="795.45088908544005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191"/>
    <n v="90680"/>
    <x v="1"/>
    <x v="10"/>
    <x v="4"/>
    <x v="10"/>
    <x v="12"/>
    <x v="5"/>
    <n v="1"/>
    <n v="0"/>
    <n v="1"/>
    <n v="1"/>
    <n v="1"/>
    <n v="0"/>
    <n v="1"/>
    <n v="5"/>
    <n v="7"/>
    <n v="180"/>
    <n v="7"/>
    <n v="180"/>
    <n v="2599.6793181089074"/>
    <n v="272.04000000000002"/>
    <n v="18345.766262104869"/>
    <n v="1284.203638347341"/>
    <n v="110"/>
    <n v="150"/>
    <n v="1E-3"/>
    <n v="90.68"/>
    <n v="12285.220761113598"/>
    <n v="12635.900761113598"/>
    <n v="3180.9641611183101"/>
    <n v="4125.7340909604081"/>
    <n v="0.08"/>
    <n v="608.60407290936007"/>
    <n v="7.0000000000000007E-2"/>
    <n v="884.51305327795194"/>
    <n v="15"/>
    <n v="1"/>
  </r>
  <r>
    <n v="234"/>
    <d v="2022-12-31T00:00:00"/>
    <x v="1"/>
    <s v="CLI132"/>
    <s v="CLI132"/>
    <s v="CAMACARI"/>
    <s v="BA"/>
    <s v="CLI1192"/>
    <s v="MANAUS"/>
    <s v="AM"/>
    <n v="2614.6546466064642"/>
    <n v="2060.860854"/>
    <n v="0"/>
    <n v="7000"/>
    <n v="0"/>
    <x v="0"/>
    <x v="5"/>
    <s v="BRSSATK01S"/>
    <s v="BRSSATCO"/>
    <n v="43.370353000000001"/>
    <n v="106.76950000000001"/>
    <n v="150"/>
    <n v="1330.0284070739201"/>
    <n v="239.4051132733056"/>
    <n v="704"/>
    <n v="7"/>
    <n v="0"/>
    <n v="0"/>
    <n v="704"/>
    <m/>
    <m/>
    <n v="0"/>
    <x v="0"/>
    <s v="BRMAOTK01"/>
    <s v="BRMAOCHI"/>
    <n v="11.436796000000001"/>
    <n v="106.76950000000001"/>
    <n v="150"/>
    <n v="856.88038908544002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421"/>
    <n v="213539"/>
    <x v="1"/>
    <x v="3"/>
    <x v="2"/>
    <x v="2"/>
    <x v="3"/>
    <x v="3"/>
    <n v="1"/>
    <n v="1"/>
    <n v="1"/>
    <n v="1"/>
    <n v="2"/>
    <n v="1"/>
    <n v="2"/>
    <n v="14"/>
    <n v="7"/>
    <n v="180"/>
    <n v="7"/>
    <n v="180"/>
    <n v="2614.6546466064642"/>
    <n v="640.61699999999996"/>
    <n v="18816.040118918634"/>
    <n v="2257.9248142702359"/>
    <n v="110"/>
    <n v="150"/>
    <n v="1E-3"/>
    <n v="213.53900000000002"/>
    <n v="12240.208198291299"/>
    <n v="12713.747198291299"/>
    <n v="3180.9641611183101"/>
    <n v="6844.9026480875491"/>
    <n v="0.08"/>
    <n v="822.9946631086907"/>
    <n v="0.12"/>
    <n v="1525.6496637949558"/>
    <n v="15"/>
    <n v="2"/>
  </r>
  <r>
    <n v="235"/>
    <d v="2022-12-31T00:00:00"/>
    <x v="1"/>
    <s v="CLI132"/>
    <s v="CLI132"/>
    <s v="CAMACARI"/>
    <s v="BA"/>
    <s v="CLI801"/>
    <s v="MANAUS"/>
    <s v="AM"/>
    <n v="2614.6546466064642"/>
    <n v="2060.860854"/>
    <n v="0"/>
    <n v="7000"/>
    <n v="0"/>
    <x v="0"/>
    <x v="5"/>
    <s v="BRSSATK01S"/>
    <s v="BRSSATCO"/>
    <n v="43.370353000000001"/>
    <n v="98.391500000000008"/>
    <n v="150"/>
    <n v="1321.65040707392"/>
    <n v="237.89707327330558"/>
    <n v="704"/>
    <n v="7"/>
    <n v="0"/>
    <n v="0"/>
    <n v="704"/>
    <m/>
    <m/>
    <n v="0"/>
    <x v="0"/>
    <s v="BRMAOTK01"/>
    <s v="BRMAOCHI"/>
    <n v="11.436796000000001"/>
    <n v="98.391500000000008"/>
    <n v="150"/>
    <n v="848.50238908543997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01"/>
    <n v="19678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4.6546466064642"/>
    <n v="590.34900000000005"/>
    <n v="18765.772118918634"/>
    <n v="2251.8926542702361"/>
    <n v="110"/>
    <n v="150"/>
    <n v="1E-3"/>
    <n v="196.78300000000002"/>
    <n v="12210.885198291298"/>
    <n v="12667.668198291298"/>
    <n v="3180.9641611183101"/>
    <n v="6807.2016480875463"/>
    <n v="0.08"/>
    <n v="820.76946630869065"/>
    <n v="0.12"/>
    <n v="1520.1201837949557"/>
    <n v="15"/>
    <n v="1"/>
  </r>
  <r>
    <n v="236"/>
    <d v="2022-12-31T00:00:00"/>
    <x v="1"/>
    <s v="CLI132"/>
    <s v="CLI132"/>
    <s v="CAMACARI"/>
    <s v="BA"/>
    <s v="CLI597"/>
    <s v="MANAUS"/>
    <s v="AM"/>
    <n v="2614.6546466064642"/>
    <n v="2060.860854"/>
    <n v="0"/>
    <n v="7000"/>
    <n v="0"/>
    <x v="0"/>
    <x v="5"/>
    <s v="BRSSATK01S"/>
    <s v="BRSSATCO"/>
    <n v="43.370353000000001"/>
    <n v="87.195499999999996"/>
    <n v="150"/>
    <n v="1310.45440707392"/>
    <n v="235.88179327330559"/>
    <n v="704"/>
    <n v="7"/>
    <n v="0"/>
    <n v="0"/>
    <n v="704"/>
    <m/>
    <m/>
    <n v="0"/>
    <x v="0"/>
    <s v="BRMAOTK01"/>
    <s v="BRMAOCHI"/>
    <n v="11.436796000000001"/>
    <n v="87.195499999999996"/>
    <n v="150"/>
    <n v="837.30638908544006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921"/>
    <n v="17439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4.6546466064642"/>
    <n v="523.173"/>
    <n v="18698.596118918635"/>
    <n v="2243.8315342702363"/>
    <n v="110"/>
    <n v="150"/>
    <n v="1E-3"/>
    <n v="174.39099999999999"/>
    <n v="12171.699198291299"/>
    <n v="12606.090198291298"/>
    <n v="3180.9641611183101"/>
    <n v="6756.8196480875486"/>
    <n v="0.08"/>
    <n v="817.79580870869074"/>
    <n v="0.12"/>
    <n v="1512.7308237949558"/>
    <n v="15"/>
    <n v="1"/>
  </r>
  <r>
    <n v="237"/>
    <d v="2022-12-31T00:00:00"/>
    <x v="2"/>
    <s v="CLI139"/>
    <s v="CLI139"/>
    <s v="JOAO PESSOA"/>
    <s v="PB"/>
    <s v="CLI933"/>
    <s v="MANAUS"/>
    <s v="AM"/>
    <n v="2824.1131625356697"/>
    <n v="2026.6121250000001"/>
    <n v="0"/>
    <n v="7000"/>
    <n v="0"/>
    <x v="0"/>
    <x v="3"/>
    <s v="BRSUATK01"/>
    <s v="BRSUATCO"/>
    <n v="167.74277900000001"/>
    <n v="106.2865"/>
    <n v="150"/>
    <n v="3172.3268690425607"/>
    <n v="380.6792242851073"/>
    <n v="1344"/>
    <n v="7"/>
    <n v="0"/>
    <n v="0"/>
    <n v="1344"/>
    <m/>
    <m/>
    <n v="0"/>
    <x v="0"/>
    <s v="BRMAOTK01"/>
    <s v="BRMAOCHI"/>
    <n v="11.436796000000001"/>
    <n v="106.2865"/>
    <n v="150"/>
    <n v="856.3973890854400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835"/>
    <n v="21257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1131625356697"/>
    <n v="637.71900000000005"/>
    <n v="20235.566522253233"/>
    <n v="2428.2679826703879"/>
    <n v="110"/>
    <n v="150"/>
    <n v="1E-3"/>
    <n v="212.57300000000001"/>
    <n v="14164.896565577263"/>
    <n v="14637.469565577263"/>
    <n v="3180.9641611183101"/>
    <n v="4991.7811463309517"/>
    <n v="0.08"/>
    <n v="818.24528665313233"/>
    <n v="0.12"/>
    <n v="1756.4963478692714"/>
    <n v="15"/>
    <n v="1"/>
  </r>
  <r>
    <n v="238"/>
    <d v="2022-12-31T00:00:00"/>
    <x v="2"/>
    <s v="CLI139"/>
    <s v="CLI139"/>
    <s v="JOAO PESSOA"/>
    <s v="PB"/>
    <s v="CLI1077"/>
    <s v="MANAUS"/>
    <s v="AM"/>
    <n v="2824.1131625356697"/>
    <n v="2026.6121250000001"/>
    <n v="0"/>
    <n v="7000"/>
    <n v="0"/>
    <x v="0"/>
    <x v="3"/>
    <s v="BRSUATK01"/>
    <s v="BRSUATCO"/>
    <n v="167.74277900000001"/>
    <n v="56.794499999999999"/>
    <n v="150"/>
    <n v="3122.8348690425605"/>
    <n v="374.74018428510726"/>
    <n v="1344"/>
    <n v="7"/>
    <n v="0"/>
    <n v="0"/>
    <n v="1344"/>
    <m/>
    <m/>
    <n v="0"/>
    <x v="0"/>
    <s v="BRMAOTK01"/>
    <s v="BRMAOCHI"/>
    <n v="11.436796000000001"/>
    <n v="56.794499999999999"/>
    <n v="150"/>
    <n v="806.90538908543999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139"/>
    <n v="11358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1131625356697"/>
    <n v="340.767"/>
    <n v="19938.614522253232"/>
    <n v="2392.6337426703876"/>
    <n v="110"/>
    <n v="150"/>
    <n v="1E-3"/>
    <n v="113.589"/>
    <n v="13957.030165577262"/>
    <n v="14330.619165577262"/>
    <n v="3180.9641611183101"/>
    <n v="4783.9147463309509"/>
    <n v="0.08"/>
    <n v="802.0910978531324"/>
    <n v="0.12"/>
    <n v="1719.6742998692714"/>
    <n v="15"/>
    <n v="1"/>
  </r>
  <r>
    <n v="239"/>
    <d v="2022-12-31T00:00:00"/>
    <x v="1"/>
    <s v="CLI144"/>
    <s v="CLI144"/>
    <s v="SANTOS"/>
    <s v="SP"/>
    <s v="CLI726"/>
    <s v="MANAUS"/>
    <s v="AM"/>
    <n v="2738.1624465451514"/>
    <n v="2948.3907220000001"/>
    <n v="0"/>
    <n v="7000"/>
    <n v="0"/>
    <x v="0"/>
    <x v="0"/>
    <s v="BRSSZTK01S"/>
    <s v="BRSSZTCO"/>
    <n v="14.583465"/>
    <n v="91.939499999999995"/>
    <n v="150"/>
    <n v="888.67345085759996"/>
    <n v="159.96122115436799"/>
    <n v="640"/>
    <n v="7"/>
    <n v="0"/>
    <n v="0"/>
    <n v="640"/>
    <m/>
    <m/>
    <n v="0"/>
    <x v="0"/>
    <s v="BRMAOTK01"/>
    <s v="BRMAOCHI"/>
    <n v="11.436796000000001"/>
    <n v="91.939499999999995"/>
    <n v="150"/>
    <n v="842.0503890854399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165"/>
    <n v="18387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38.1624465451514"/>
    <n v="551.63700000000006"/>
    <n v="19565.796647990264"/>
    <n v="1369.6057653593186"/>
    <n v="110"/>
    <n v="150"/>
    <n v="1E-3"/>
    <n v="183.87899999999999"/>
    <n v="13073.986237992864"/>
    <n v="13517.865237992864"/>
    <n v="3180.9641611183101"/>
    <n v="7752.8506877891141"/>
    <n v="0.08"/>
    <n v="930.1744141516366"/>
    <n v="7.0000000000000007E-2"/>
    <n v="946.25056665950058"/>
    <n v="15"/>
    <n v="1"/>
  </r>
  <r>
    <n v="240"/>
    <d v="2022-12-31T00:00:00"/>
    <x v="2"/>
    <s v="CLI145"/>
    <s v="CLI145"/>
    <s v="RIO DE JANEIRO"/>
    <s v="RJ"/>
    <s v="CLI729"/>
    <s v="IPOJUCA"/>
    <s v="PE"/>
    <n v="2226.6866299999997"/>
    <n v="0"/>
    <n v="0"/>
    <n v="0"/>
    <n v="0"/>
    <x v="0"/>
    <x v="4"/>
    <s v="BRIGITK01"/>
    <s v="BRIGITCO"/>
    <n v="78.029871"/>
    <n v="107.18050000000001"/>
    <n v="150"/>
    <n v="1843.97700785344"/>
    <n v="368.795401570688"/>
    <n v="704"/>
    <n v="7"/>
    <n v="0"/>
    <n v="0"/>
    <n v="704"/>
    <m/>
    <m/>
    <n v="0"/>
    <x v="2"/>
    <s v="BRSUATK01"/>
    <s v="BRSUATCO"/>
    <n v="23.753726"/>
    <n v="107.18050000000001"/>
    <n v="150"/>
    <n v="1039.7869068006401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993"/>
    <n v="214361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226.6866299999997"/>
    <n v="643.08299999999997"/>
    <n v="16183.830836864801"/>
    <n v="1132.8681585805361"/>
    <n v="110"/>
    <n v="150"/>
    <n v="1E-3"/>
    <n v="214.36100000000002"/>
    <n v="11328.68158580536"/>
    <n v="11803.04258580536"/>
    <n v="3180.9641611183101"/>
    <n v="3400.3145100329698"/>
    <n v="0.08"/>
    <n v="684.03866156644744"/>
    <n v="7.0000000000000007E-2"/>
    <n v="826.21298100637534"/>
    <n v="15"/>
    <n v="2"/>
  </r>
  <r>
    <n v="241"/>
    <d v="2022-12-31T00:00:00"/>
    <x v="2"/>
    <s v="CLI145"/>
    <s v="CLI145"/>
    <s v="RIO DE JANEIRO"/>
    <s v="RJ"/>
    <s v="CLI728"/>
    <s v="CABO DE SANTO AGOSTINHO"/>
    <s v="PE"/>
    <n v="2241.9811359999999"/>
    <n v="0"/>
    <n v="0"/>
    <n v="0"/>
    <n v="0"/>
    <x v="0"/>
    <x v="4"/>
    <s v="BRIGITK01"/>
    <s v="BRIGITCO"/>
    <n v="78.029871"/>
    <n v="58.870000000000005"/>
    <n v="150"/>
    <n v="1795.6665078534402"/>
    <n v="359.13330157068805"/>
    <n v="704"/>
    <n v="7"/>
    <n v="0"/>
    <n v="0"/>
    <n v="704"/>
    <m/>
    <m/>
    <n v="0"/>
    <x v="2"/>
    <s v="BRSUATK01"/>
    <s v="BRSUATCO"/>
    <n v="23.080721"/>
    <n v="58.870000000000005"/>
    <n v="150"/>
    <n v="981.5047339974401"/>
    <n v="176.67085211953921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528"/>
    <n v="11774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241.9811359999999"/>
    <n v="353.22"/>
    <n v="15997.83221533056"/>
    <n v="1119.8482550731394"/>
    <n v="110"/>
    <n v="150"/>
    <n v="1E-3"/>
    <n v="117.74000000000001"/>
    <n v="11198.482550731391"/>
    <n v="11576.222550731391"/>
    <n v="3180.9641611183101"/>
    <n v="3280.087147762199"/>
    <n v="0.08"/>
    <n v="661.0597724152226"/>
    <n v="7.0000000000000007E-2"/>
    <n v="810.33557855119739"/>
    <n v="15"/>
    <n v="2"/>
  </r>
  <r>
    <n v="242"/>
    <d v="2022-12-31T00:00:00"/>
    <x v="2"/>
    <s v="CLI145"/>
    <s v="CLI145"/>
    <s v="RIO DE JANEIRO"/>
    <s v="RJ"/>
    <s v="CLI839"/>
    <s v="FORTALEZA"/>
    <s v="CE"/>
    <n v="2556.8287030000001"/>
    <n v="0"/>
    <n v="0"/>
    <n v="0"/>
    <n v="0"/>
    <x v="0"/>
    <x v="4"/>
    <s v="BRIGITK01"/>
    <s v="BRIGITCO"/>
    <n v="78.029871"/>
    <n v="54.799500000000002"/>
    <n v="150"/>
    <n v="1791.5960078534401"/>
    <n v="358.31920157068805"/>
    <n v="704"/>
    <n v="7"/>
    <n v="0"/>
    <n v="0"/>
    <n v="704"/>
    <m/>
    <m/>
    <n v="0"/>
    <x v="3"/>
    <s v="BRPECTK01"/>
    <s v="BRPECAPM"/>
    <n v="42.140103000000003"/>
    <n v="54.799500000000002"/>
    <n v="150"/>
    <n v="1259.83023571392"/>
    <n v="226.76944242850561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662"/>
    <n v="10959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56.8287030000001"/>
    <n v="328.79700000000003"/>
    <n v="18111.52644892488"/>
    <n v="1267.8068514247418"/>
    <n v="110"/>
    <n v="150"/>
    <n v="1E-3"/>
    <n v="109.599"/>
    <n v="12678.068514247416"/>
    <n v="13047.667514247416"/>
    <n v="3180.9641611183101"/>
    <n v="5053.2771095617445"/>
    <n v="0.08"/>
    <n v="752.89221013446888"/>
    <n v="7.0000000000000007E-2"/>
    <n v="913.33672599731915"/>
    <n v="15"/>
    <n v="1"/>
  </r>
  <r>
    <n v="243"/>
    <d v="2022-12-31T00:00:00"/>
    <x v="2"/>
    <s v="CLI145"/>
    <s v="CLI145"/>
    <s v="RIO DE JANEIRO"/>
    <s v="RJ"/>
    <s v="CLI1219"/>
    <s v="MANAUS"/>
    <s v="AM"/>
    <n v="2844.6830251676256"/>
    <n v="3090.4427809999997"/>
    <n v="0"/>
    <n v="7000"/>
    <n v="0"/>
    <x v="0"/>
    <x v="4"/>
    <s v="BRIGITK01"/>
    <s v="BRIGITCO"/>
    <n v="78.029871"/>
    <n v="98.256500000000003"/>
    <n v="150"/>
    <n v="1835.05300785344"/>
    <n v="367.01060157068804"/>
    <n v="704"/>
    <n v="7"/>
    <n v="0"/>
    <n v="0"/>
    <n v="704"/>
    <m/>
    <m/>
    <n v="0"/>
    <x v="0"/>
    <s v="BRMAOTK01"/>
    <s v="BRMAOCHI"/>
    <n v="11.436796000000001"/>
    <n v="98.256500000000003"/>
    <n v="150"/>
    <n v="848.36738908543998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659"/>
    <n v="19651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44.6830251676256"/>
    <n v="589.53899999999999"/>
    <n v="20327.075636592341"/>
    <n v="1422.895294561464"/>
    <n v="110"/>
    <n v="150"/>
    <n v="1E-3"/>
    <n v="196.51300000000001"/>
    <n v="14228.952945614637"/>
    <n v="14685.465945614638"/>
    <n v="3180.9641611183101"/>
    <n v="6995.0813875574477"/>
    <n v="0.08"/>
    <n v="930.80279576840564"/>
    <n v="7.0000000000000007E-2"/>
    <n v="1027.9826161930248"/>
    <n v="15"/>
    <n v="1"/>
  </r>
  <r>
    <n v="244"/>
    <d v="2022-12-31T00:00:00"/>
    <x v="2"/>
    <s v="CLI145"/>
    <s v="CLI145"/>
    <s v="RIO DE JANEIRO"/>
    <s v="RJ"/>
    <s v="CLI730"/>
    <s v="MANAUS"/>
    <s v="AM"/>
    <n v="2844.6830251676256"/>
    <n v="3090.4427809999997"/>
    <n v="0"/>
    <n v="7000"/>
    <n v="0"/>
    <x v="0"/>
    <x v="4"/>
    <s v="BRIGITK01"/>
    <s v="BRIGITCO"/>
    <n v="78.029871"/>
    <n v="29.401"/>
    <n v="150"/>
    <n v="1766.1975078534401"/>
    <n v="353.23950157068805"/>
    <n v="704"/>
    <n v="7"/>
    <n v="0"/>
    <n v="0"/>
    <n v="704"/>
    <m/>
    <m/>
    <n v="0"/>
    <x v="0"/>
    <s v="BRMAOTK01"/>
    <s v="BRMAOCHI"/>
    <n v="11.436796000000001"/>
    <n v="29.401"/>
    <n v="150"/>
    <n v="779.51188908543998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215"/>
    <n v="5880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44.6830251676256"/>
    <n v="176.40600000000001"/>
    <n v="19913.942636592339"/>
    <n v="1393.975984561464"/>
    <n v="110"/>
    <n v="150"/>
    <n v="1E-3"/>
    <n v="58.802"/>
    <n v="13939.759845614637"/>
    <n v="14258.561845614637"/>
    <n v="3180.9641611183101"/>
    <n v="6705.8882875574473"/>
    <n v="0.08"/>
    <n v="908.76903576840562"/>
    <n v="7.0000000000000007E-2"/>
    <n v="998.09932919302469"/>
    <n v="15"/>
    <n v="1"/>
  </r>
  <r>
    <n v="245"/>
    <d v="2022-12-31T00:00:00"/>
    <x v="2"/>
    <s v="CLI145"/>
    <s v="CLI145"/>
    <s v="RIO DE JANEIRO"/>
    <s v="RJ"/>
    <s v="CLI731"/>
    <s v="SAO SEBASTIAO DO PASSE"/>
    <s v="BA"/>
    <n v="1558.164794"/>
    <n v="0"/>
    <n v="0"/>
    <n v="0"/>
    <n v="0"/>
    <x v="0"/>
    <x v="4"/>
    <s v="BRIGITK01"/>
    <s v="BRIGITCO"/>
    <n v="78.029871"/>
    <n v="93.6815"/>
    <n v="150"/>
    <n v="1830.47800785344"/>
    <n v="366.09560157068802"/>
    <n v="704"/>
    <n v="7"/>
    <n v="0"/>
    <n v="0"/>
    <n v="704"/>
    <m/>
    <m/>
    <n v="0"/>
    <x v="5"/>
    <s v="BRSSATK01"/>
    <s v="BRSSATCO"/>
    <n v="63.807499"/>
    <n v="93.6815"/>
    <n v="150"/>
    <n v="1619.75024198336"/>
    <n v="291.55504355700481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821"/>
    <n v="18736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558.164794"/>
    <n v="562.08900000000006"/>
    <n v="11562.931789462244"/>
    <n v="809.40522526235713"/>
    <n v="110"/>
    <n v="150"/>
    <n v="1E-3"/>
    <n v="187.363"/>
    <n v="8094.05225262357"/>
    <n v="8541.4152526235703"/>
    <n v="3180.9641611183101"/>
    <n v="212.22284166845975"/>
    <n v="0.08"/>
    <n v="354.68290861272618"/>
    <n v="7.0000000000000007E-2"/>
    <n v="597.89906768364995"/>
    <n v="15"/>
    <n v="1"/>
  </r>
  <r>
    <n v="246"/>
    <d v="2022-12-31T00:00:00"/>
    <x v="2"/>
    <s v="CLI145"/>
    <s v="CLI145"/>
    <s v="RIO DE JANEIRO"/>
    <s v="RJ"/>
    <s v="CLI730"/>
    <s v="MANAUS"/>
    <s v="AM"/>
    <n v="2844.6830251676256"/>
    <n v="3090.4427809999997"/>
    <n v="0"/>
    <n v="7000"/>
    <n v="0"/>
    <x v="0"/>
    <x v="4"/>
    <s v="BRIGITK01"/>
    <s v="BRIGITCO"/>
    <n v="78.029871"/>
    <n v="55.9985"/>
    <n v="150"/>
    <n v="1792.79500785344"/>
    <n v="358.559001570688"/>
    <n v="704"/>
    <n v="7"/>
    <n v="0"/>
    <n v="0"/>
    <n v="704"/>
    <m/>
    <m/>
    <n v="0"/>
    <x v="0"/>
    <s v="BRMAOTK01"/>
    <s v="BRMAOCHI"/>
    <n v="11.436796000000001"/>
    <n v="55.9985"/>
    <n v="150"/>
    <n v="806.10938908544006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276"/>
    <n v="11199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44.6830251676256"/>
    <n v="335.99099999999999"/>
    <n v="20073.527636592342"/>
    <n v="1405.1469345614641"/>
    <n v="110"/>
    <n v="150"/>
    <n v="1E-3"/>
    <n v="111.997"/>
    <n v="14051.469345614638"/>
    <n v="14423.466345614637"/>
    <n v="3180.9641611183101"/>
    <n v="6817.5977875574463"/>
    <n v="0.08"/>
    <n v="917.28023576840553"/>
    <n v="7.0000000000000007E-2"/>
    <n v="1009.6426441930247"/>
    <n v="15"/>
    <n v="1"/>
  </r>
  <r>
    <n v="247"/>
    <d v="2022-12-31T00:00:00"/>
    <x v="2"/>
    <s v="CLI145"/>
    <s v="CLI145"/>
    <s v="RIO DE JANEIRO"/>
    <s v="RJ"/>
    <s v="CLI840"/>
    <s v="MANAUS"/>
    <s v="AM"/>
    <n v="2844.6830251676256"/>
    <n v="3090.4427809999997"/>
    <n v="0"/>
    <n v="7000"/>
    <n v="0"/>
    <x v="0"/>
    <x v="4"/>
    <s v="BRIGITK01"/>
    <s v="BRIGITCO"/>
    <n v="78.029871"/>
    <n v="105.1935"/>
    <n v="150"/>
    <n v="1841.9900078534401"/>
    <n v="368.39800157068805"/>
    <n v="704"/>
    <n v="7"/>
    <n v="0"/>
    <n v="0"/>
    <n v="704"/>
    <m/>
    <m/>
    <n v="0"/>
    <x v="0"/>
    <s v="BRMAOTK01"/>
    <s v="BRMAOCHI"/>
    <n v="11.436796000000001"/>
    <n v="105.1935"/>
    <n v="150"/>
    <n v="855.30438908543999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38"/>
    <n v="21038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44.6830251676256"/>
    <n v="631.16100000000006"/>
    <n v="20368.69763659234"/>
    <n v="1425.808834561464"/>
    <n v="110"/>
    <n v="150"/>
    <n v="1E-3"/>
    <n v="210.387"/>
    <n v="14258.088345614637"/>
    <n v="14728.475345614637"/>
    <n v="3180.9641611183101"/>
    <n v="7024.2167875574469"/>
    <n v="0.08"/>
    <n v="933.02263576840562"/>
    <n v="7.0000000000000007E-2"/>
    <n v="1030.9932741930247"/>
    <n v="15"/>
    <n v="1"/>
  </r>
  <r>
    <n v="248"/>
    <d v="2022-12-31T00:00:00"/>
    <x v="2"/>
    <s v="CLI146"/>
    <s v="CLI146"/>
    <s v="MANAUS"/>
    <s v="AM"/>
    <s v="CLI348"/>
    <s v="SAO JOSE DOS CAMPOS"/>
    <s v="SP"/>
    <n v="3994.1975430000002"/>
    <n v="0"/>
    <n v="2941.9602110000001"/>
    <n v="7000"/>
    <n v="0"/>
    <x v="0"/>
    <x v="2"/>
    <s v="BRMAOTK01"/>
    <s v="BRMAOCHI"/>
    <n v="11.436796000000001"/>
    <n v="121.9725"/>
    <n v="150"/>
    <n v="872.08338908543999"/>
    <n v="0"/>
    <n v="832"/>
    <n v="7"/>
    <n v="0"/>
    <n v="0"/>
    <n v="832"/>
    <m/>
    <m/>
    <n v="0"/>
    <x v="1"/>
    <s v="BRSSZTK01"/>
    <s v="BRSSZTCO"/>
    <n v="143.53611799999999"/>
    <n v="121.9725"/>
    <n v="150"/>
    <n v="2829.3514874035195"/>
    <n v="509.2832677326334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942"/>
    <n v="243945"/>
    <x v="0"/>
    <x v="9"/>
    <x v="16"/>
    <x v="9"/>
    <x v="17"/>
    <x v="10"/>
    <n v="10"/>
    <n v="10"/>
    <n v="11"/>
    <n v="10"/>
    <n v="10"/>
    <n v="9"/>
    <n v="9"/>
    <n v="115"/>
    <n v="7"/>
    <n v="110"/>
    <n v="7"/>
    <n v="110"/>
    <n v="3994.1975430000002"/>
    <n v="731.83500000000004"/>
    <n v="28275.678746611284"/>
    <n v="3393.0814495933541"/>
    <n v="75"/>
    <n v="150"/>
    <n v="1E-3"/>
    <n v="243.94499999999999"/>
    <n v="19792.975122627897"/>
    <n v="20261.920122627896"/>
    <n v="3180.9641611183101"/>
    <n v="11612.521085020624"/>
    <n v="0.08"/>
    <n v="1284.0961582725042"/>
    <n v="0.12"/>
    <n v="2431.4304147153475"/>
    <n v="15"/>
    <n v="11"/>
  </r>
  <r>
    <n v="249"/>
    <d v="2022-12-31T00:00:00"/>
    <x v="3"/>
    <s v="CLI146"/>
    <s v="CLI146"/>
    <s v="MANAUS"/>
    <s v="AM"/>
    <s v="CLI347"/>
    <s v="PINDAMONHANGABA"/>
    <s v="SP"/>
    <n v="4028.8141989999999"/>
    <n v="0"/>
    <n v="2976.8681710000001"/>
    <n v="7000"/>
    <n v="0"/>
    <x v="0"/>
    <x v="2"/>
    <s v="BRMAOTK01"/>
    <s v="BRMAOCHI"/>
    <n v="11.436796000000001"/>
    <n v="53.356000000000002"/>
    <n v="150"/>
    <n v="803.46688908544002"/>
    <n v="0"/>
    <n v="832"/>
    <n v="7"/>
    <n v="0"/>
    <n v="0"/>
    <n v="832"/>
    <m/>
    <m/>
    <n v="0"/>
    <x v="1"/>
    <s v="BRSSZTK01S"/>
    <s v="BRSSZTCO"/>
    <n v="196.61712800000001"/>
    <n v="53.356000000000002"/>
    <n v="150"/>
    <n v="3547.2172034099203"/>
    <n v="638.4990966137855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983"/>
    <n v="106712"/>
    <x v="0"/>
    <x v="5"/>
    <x v="6"/>
    <x v="5"/>
    <x v="5"/>
    <x v="6"/>
    <n v="4"/>
    <n v="4"/>
    <n v="4"/>
    <n v="4"/>
    <n v="4"/>
    <n v="3"/>
    <n v="4"/>
    <n v="47"/>
    <n v="7"/>
    <n v="110"/>
    <n v="7"/>
    <n v="110"/>
    <n v="4028.8141989999999"/>
    <n v="320.13600000000002"/>
    <n v="28099.060072841039"/>
    <n v="3371.8872087409245"/>
    <n v="75"/>
    <n v="150"/>
    <n v="1E-3"/>
    <n v="106.712"/>
    <n v="17186.290008601783"/>
    <n v="17518.002008601783"/>
    <n v="3180.9641611183101"/>
    <n v="11766.570958398032"/>
    <n v="0.08"/>
    <n v="1002.305505559411"/>
    <n v="0.12"/>
    <n v="2102.1602410322139"/>
    <n v="15"/>
    <n v="4"/>
  </r>
  <r>
    <n v="250"/>
    <d v="2022-12-31T00:00:00"/>
    <x v="2"/>
    <s v="CLI146"/>
    <s v="CLI146"/>
    <s v="MANAUS"/>
    <s v="AM"/>
    <s v="CLI1179"/>
    <s v="RESENDE"/>
    <s v="RJ"/>
    <n v="4029.6304419999997"/>
    <n v="0"/>
    <n v="2976.3585929999999"/>
    <n v="7000"/>
    <n v="0"/>
    <x v="0"/>
    <x v="2"/>
    <s v="BRMAOTK01"/>
    <s v="BRMAOCHI"/>
    <n v="11.436796000000001"/>
    <n v="123.42750000000001"/>
    <n v="150"/>
    <n v="873.53838908544003"/>
    <n v="0"/>
    <n v="832"/>
    <n v="7"/>
    <n v="0"/>
    <n v="0"/>
    <n v="832"/>
    <m/>
    <m/>
    <n v="0"/>
    <x v="4"/>
    <s v="BRIGITK01"/>
    <s v="BRIGITCO"/>
    <n v="127.089484"/>
    <n v="123.42750000000001"/>
    <n v="150"/>
    <n v="2587.12263221376"/>
    <n v="517.42452644275204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88"/>
    <n v="246855"/>
    <x v="1"/>
    <x v="0"/>
    <x v="0"/>
    <x v="0"/>
    <x v="2"/>
    <x v="2"/>
    <n v="3"/>
    <n v="3"/>
    <n v="3"/>
    <n v="3"/>
    <n v="3"/>
    <n v="3"/>
    <n v="3"/>
    <n v="32"/>
    <n v="7"/>
    <n v="180"/>
    <n v="7"/>
    <n v="180"/>
    <n v="4029.6304419999997"/>
    <n v="740.56500000000005"/>
    <n v="28525.032146404319"/>
    <n v="3423.003857568518"/>
    <n v="110"/>
    <n v="150"/>
    <n v="1E-3"/>
    <n v="246.85500000000002"/>
    <n v="19967.522502483022"/>
    <n v="20474.377502483021"/>
    <n v="3180.9641611183101"/>
    <n v="12001.752320065512"/>
    <n v="0.08"/>
    <n v="1319.7033563792857"/>
    <n v="0.12"/>
    <n v="2456.9253002979626"/>
    <n v="15"/>
    <n v="3"/>
  </r>
  <r>
    <n v="251"/>
    <d v="2022-12-31T00:00:00"/>
    <x v="2"/>
    <s v="CLI146"/>
    <s v="CLI146"/>
    <s v="MANAUS"/>
    <s v="AM"/>
    <s v="CLI610"/>
    <s v="ITU"/>
    <s v="SP"/>
    <n v="3867.8738250000001"/>
    <n v="0"/>
    <n v="2814.7285940000002"/>
    <n v="7000"/>
    <n v="0"/>
    <x v="0"/>
    <x v="2"/>
    <s v="BRMAOTK01"/>
    <s v="BRMAOCHI"/>
    <n v="11.436796000000001"/>
    <n v="100.5775"/>
    <n v="150"/>
    <n v="850.68838908544001"/>
    <n v="0"/>
    <n v="832"/>
    <n v="7"/>
    <n v="0"/>
    <n v="0"/>
    <n v="832"/>
    <m/>
    <m/>
    <n v="0"/>
    <x v="1"/>
    <s v="BRSSZTK01"/>
    <s v="BRSSZTCO"/>
    <n v="172.06946100000002"/>
    <n v="100.5775"/>
    <n v="150"/>
    <n v="3230.7247586310405"/>
    <n v="581.5304565535872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403"/>
    <n v="20115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867.8738250000001"/>
    <n v="603.46500000000003"/>
    <n v="27289.449430622004"/>
    <n v="3274.7339316746402"/>
    <n v="110"/>
    <n v="150"/>
    <n v="1E-3"/>
    <n v="201.155"/>
    <n v="19102.614601435402"/>
    <n v="19563.769601435401"/>
    <n v="3180.9641611183101"/>
    <n v="10534.392292600609"/>
    <n v="0.08"/>
    <n v="1192.0660797732266"/>
    <n v="0.12"/>
    <n v="2347.6523521722479"/>
    <n v="15"/>
    <n v="2"/>
  </r>
  <r>
    <n v="252"/>
    <d v="2022-12-31T00:00:00"/>
    <x v="2"/>
    <s v="CLI146"/>
    <s v="CLI146"/>
    <s v="MANAUS"/>
    <s v="AM"/>
    <s v="CLI18"/>
    <s v="JAGUARIUNA"/>
    <s v="SP"/>
    <n v="3839.3245070000003"/>
    <n v="0"/>
    <n v="2787.3833480000003"/>
    <n v="7000"/>
    <n v="0"/>
    <x v="0"/>
    <x v="2"/>
    <s v="BRMAOTK01"/>
    <s v="BRMAOCHI"/>
    <n v="11.436796000000001"/>
    <n v="116.408"/>
    <n v="150"/>
    <n v="866.51888908544004"/>
    <n v="0"/>
    <n v="832"/>
    <n v="7"/>
    <n v="0"/>
    <n v="0"/>
    <n v="832"/>
    <m/>
    <m/>
    <n v="0"/>
    <x v="1"/>
    <s v="BRSSZTK01"/>
    <s v="BRSSZTCO"/>
    <n v="202.37585999999999"/>
    <n v="116.408"/>
    <n v="150"/>
    <n v="3695.5942623103997"/>
    <n v="665.2069672158719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420"/>
    <n v="23281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839.3245070000003"/>
    <n v="698.44799999999998"/>
    <n v="27190.555154056725"/>
    <n v="3262.8666184868071"/>
    <n v="110"/>
    <n v="150"/>
    <n v="1E-3"/>
    <n v="232.816"/>
    <n v="19033.388607839704"/>
    <n v="19526.204607839703"/>
    <n v="3180.9641611183101"/>
    <n v="10016.127295325552"/>
    <n v="0.08"/>
    <n v="1143.9107591382392"/>
    <n v="0.12"/>
    <n v="2343.1445529407642"/>
    <n v="15"/>
    <n v="2"/>
  </r>
  <r>
    <n v="253"/>
    <d v="2022-12-31T00:00:00"/>
    <x v="2"/>
    <s v="CLI146"/>
    <s v="CLI146"/>
    <s v="MANAUS"/>
    <s v="AM"/>
    <s v="CLI531"/>
    <s v="JUNDIAI"/>
    <s v="SP"/>
    <n v="3878.5104309999997"/>
    <n v="0"/>
    <n v="2826.507944"/>
    <n v="7000"/>
    <n v="0"/>
    <x v="0"/>
    <x v="2"/>
    <s v="BRMAOTK01"/>
    <s v="BRMAOCHI"/>
    <n v="11.436796000000001"/>
    <n v="43.8795"/>
    <n v="150"/>
    <n v="793.99038908544003"/>
    <n v="0"/>
    <n v="832"/>
    <n v="7"/>
    <n v="0"/>
    <n v="0"/>
    <n v="832"/>
    <m/>
    <m/>
    <n v="0"/>
    <x v="1"/>
    <s v="BRSSZTK01"/>
    <s v="BRSSZTCO"/>
    <n v="139.13710800000001"/>
    <n v="43.8795"/>
    <n v="150"/>
    <n v="2686.0799398771201"/>
    <n v="483.494389177881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337"/>
    <n v="87759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3878.5104309999997"/>
    <n v="263.27699999999999"/>
    <n v="27021.494196503758"/>
    <n v="3242.5793035804509"/>
    <n v="110"/>
    <n v="150"/>
    <n v="1E-3"/>
    <n v="87.759"/>
    <n v="18915.04593755263"/>
    <n v="19262.804937552628"/>
    <n v="3180.9641611183101"/>
    <n v="10834.770447471758"/>
    <n v="0.08"/>
    <n v="1223.9392175529749"/>
    <n v="0.12"/>
    <n v="2311.5365925063152"/>
    <n v="15"/>
    <n v="2"/>
  </r>
  <r>
    <n v="254"/>
    <d v="2022-12-31T00:00:00"/>
    <x v="2"/>
    <s v="CLI146"/>
    <s v="CLI146"/>
    <s v="MANAUS"/>
    <s v="AM"/>
    <s v="CLI1235"/>
    <s v="CABREUVA"/>
    <s v="SP"/>
    <n v="3888.702683"/>
    <n v="0"/>
    <n v="2835.0515639999999"/>
    <n v="7000"/>
    <n v="0"/>
    <x v="0"/>
    <x v="2"/>
    <s v="BRMAOTK01"/>
    <s v="BRMAOCHI"/>
    <n v="11.436796000000001"/>
    <n v="61.809000000000005"/>
    <n v="150"/>
    <n v="811.91988908543999"/>
    <n v="0"/>
    <n v="832"/>
    <n v="7"/>
    <n v="0"/>
    <n v="0"/>
    <n v="832"/>
    <m/>
    <m/>
    <n v="0"/>
    <x v="1"/>
    <s v="BRSSZTK01"/>
    <s v="BRSSZTCO"/>
    <n v="155.94079500000001"/>
    <n v="61.809000000000005"/>
    <n v="150"/>
    <n v="2952.9836208288002"/>
    <n v="531.53705174918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22"/>
    <n v="123618"/>
    <x v="1"/>
    <x v="3"/>
    <x v="2"/>
    <x v="2"/>
    <x v="3"/>
    <x v="3"/>
    <n v="2"/>
    <n v="1"/>
    <n v="2"/>
    <n v="2"/>
    <n v="2"/>
    <n v="2"/>
    <n v="2"/>
    <n v="18"/>
    <n v="7"/>
    <n v="180"/>
    <n v="7"/>
    <n v="180"/>
    <n v="3888.702683"/>
    <n v="370.85399999999998"/>
    <n v="27198.286372145682"/>
    <n v="3263.7943646574818"/>
    <n v="110"/>
    <n v="150"/>
    <n v="1E-3"/>
    <n v="123.61800000000001"/>
    <n v="19038.800460501974"/>
    <n v="19422.418460501973"/>
    <n v="3180.9641611183101"/>
    <n v="10709.550789469424"/>
    <n v="0.08"/>
    <n v="1210.078231907084"/>
    <n v="0.12"/>
    <n v="2330.6902152602365"/>
    <n v="15"/>
    <n v="2"/>
  </r>
  <r>
    <n v="255"/>
    <d v="2022-12-31T00:00:00"/>
    <x v="2"/>
    <s v="CLI146"/>
    <s v="CLI146"/>
    <s v="MANAUS"/>
    <s v="AM"/>
    <s v="CLI535"/>
    <s v="SETE LAGOAS"/>
    <s v="MG"/>
    <n v="3659.5024049999997"/>
    <n v="0"/>
    <n v="2606.1658739999998"/>
    <n v="7000"/>
    <n v="0"/>
    <x v="0"/>
    <x v="2"/>
    <s v="BRMAOTK01"/>
    <s v="BRMAOCHI"/>
    <n v="11.436796000000001"/>
    <n v="105.7745"/>
    <n v="150"/>
    <n v="855.88538908544001"/>
    <n v="0"/>
    <n v="832"/>
    <n v="7"/>
    <n v="0"/>
    <n v="0"/>
    <n v="832"/>
    <m/>
    <m/>
    <n v="0"/>
    <x v="4"/>
    <s v="BRIGITK01"/>
    <s v="BRIGITCO"/>
    <n v="501.77664099999998"/>
    <n v="105.7745"/>
    <n v="150"/>
    <n v="8121.0743501062407"/>
    <n v="974.52892201274881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541"/>
    <n v="21154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659.5024049999997"/>
    <n v="634.64700000000005"/>
    <n v="25905.589452258802"/>
    <n v="3108.6707342710561"/>
    <n v="110"/>
    <n v="150"/>
    <n v="1E-3"/>
    <n v="211.54900000000001"/>
    <n v="18133.912616581161"/>
    <n v="18605.46161658116"/>
    <n v="3180.9641611183101"/>
    <n v="4616.5377162711684"/>
    <n v="0.08"/>
    <n v="692.31783643013841"/>
    <n v="0.12"/>
    <n v="2232.655393989739"/>
    <n v="15"/>
    <n v="1"/>
  </r>
  <r>
    <n v="256"/>
    <d v="2022-12-31T00:00:00"/>
    <x v="2"/>
    <s v="CLI146"/>
    <s v="CLI146"/>
    <s v="MANAUS"/>
    <s v="AM"/>
    <s v="CLI1236"/>
    <s v="JUNDIAI"/>
    <s v="SP"/>
    <n v="3878.5104309999997"/>
    <n v="0"/>
    <n v="2826.507944"/>
    <n v="7000"/>
    <n v="0"/>
    <x v="0"/>
    <x v="2"/>
    <s v="BRMAOTK01"/>
    <s v="BRMAOCHI"/>
    <n v="11.436796000000001"/>
    <n v="77.314000000000007"/>
    <n v="150"/>
    <n v="827.42488908543999"/>
    <n v="0"/>
    <n v="832"/>
    <n v="7"/>
    <n v="0"/>
    <n v="0"/>
    <n v="832"/>
    <m/>
    <m/>
    <n v="0"/>
    <x v="1"/>
    <s v="BRSSZTK01"/>
    <s v="BRSSZTCO"/>
    <n v="139.13710800000001"/>
    <n v="77.314000000000007"/>
    <n v="150"/>
    <n v="2719.5144398771199"/>
    <n v="489.5125991778815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849"/>
    <n v="15462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78.5104309999997"/>
    <n v="463.88400000000001"/>
    <n v="27222.101196503761"/>
    <n v="3266.6521435804511"/>
    <n v="110"/>
    <n v="150"/>
    <n v="1E-3"/>
    <n v="154.62800000000001"/>
    <n v="19055.470837552632"/>
    <n v="19470.098837552632"/>
    <n v="3180.9641611183101"/>
    <n v="10975.195347471763"/>
    <n v="0.08"/>
    <n v="1234.6917527529754"/>
    <n v="0.12"/>
    <n v="2336.4118605063159"/>
    <n v="15"/>
    <n v="1"/>
  </r>
  <r>
    <n v="257"/>
    <d v="2022-12-31T00:00:00"/>
    <x v="2"/>
    <s v="CLI146"/>
    <s v="CLI146"/>
    <s v="MANAUS"/>
    <s v="AM"/>
    <s v="CLI531"/>
    <s v="JUNDIAI"/>
    <s v="SP"/>
    <n v="3878.5104309999997"/>
    <n v="0"/>
    <n v="2826.507944"/>
    <n v="7000"/>
    <n v="0"/>
    <x v="0"/>
    <x v="2"/>
    <s v="BRMAOTK01"/>
    <s v="BRMAOCHI"/>
    <n v="11.436796000000001"/>
    <n v="114.80250000000001"/>
    <n v="150"/>
    <n v="864.91338908544003"/>
    <n v="0"/>
    <n v="832"/>
    <n v="7"/>
    <n v="0"/>
    <n v="0"/>
    <n v="832"/>
    <m/>
    <m/>
    <n v="0"/>
    <x v="1"/>
    <s v="BRSSZTK01"/>
    <s v="BRSSZTCO"/>
    <n v="139.13710800000001"/>
    <n v="114.80250000000001"/>
    <n v="150"/>
    <n v="2757.0029398771203"/>
    <n v="496.2605291778816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369"/>
    <n v="22960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78.5104309999997"/>
    <n v="688.81500000000005"/>
    <n v="27447.032196503758"/>
    <n v="3293.6438635804507"/>
    <n v="110"/>
    <n v="150"/>
    <n v="1E-3"/>
    <n v="229.60500000000002"/>
    <n v="19212.922537552629"/>
    <n v="19702.527537552629"/>
    <n v="3180.9641611183101"/>
    <n v="11132.647047471759"/>
    <n v="0.08"/>
    <n v="1246.748054352975"/>
    <n v="0.12"/>
    <n v="2364.3033045063153"/>
    <n v="15"/>
    <n v="1"/>
  </r>
  <r>
    <n v="258"/>
    <d v="2022-12-31T00:00:00"/>
    <x v="3"/>
    <s v="CLI146"/>
    <s v="CLI146"/>
    <s v="MANAUS"/>
    <s v="AM"/>
    <s v="CLI347"/>
    <s v="PINDAMONHANGABA"/>
    <s v="SP"/>
    <n v="4028.8141989999999"/>
    <n v="0"/>
    <n v="2976.8681710000001"/>
    <n v="7000"/>
    <n v="0"/>
    <x v="0"/>
    <x v="2"/>
    <s v="BRMAOTK01"/>
    <s v="BRMAOCHI"/>
    <n v="11.436796000000001"/>
    <n v="117.783"/>
    <n v="150"/>
    <n v="867.89388908544004"/>
    <n v="0"/>
    <n v="832"/>
    <n v="7"/>
    <n v="0"/>
    <n v="0"/>
    <n v="832"/>
    <m/>
    <m/>
    <n v="0"/>
    <x v="1"/>
    <s v="BRSSZTK01S"/>
    <s v="BRSSZTCO"/>
    <n v="196.61712800000001"/>
    <n v="117.783"/>
    <n v="150"/>
    <n v="3611.64420340992"/>
    <n v="650.0959566137855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324"/>
    <n v="23556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4028.8141989999999"/>
    <n v="706.69799999999998"/>
    <n v="28485.622072841041"/>
    <n v="3418.2746487409249"/>
    <n v="110"/>
    <n v="150"/>
    <n v="1E-3"/>
    <n v="235.566"/>
    <n v="17411.784508601784"/>
    <n v="17907.350508601783"/>
    <n v="3180.9641611183101"/>
    <n v="12091.492458398032"/>
    <n v="0.08"/>
    <n v="1022.2173167594109"/>
    <n v="0.12"/>
    <n v="2148.8820610322141"/>
    <n v="15"/>
    <n v="1"/>
  </r>
  <r>
    <n v="259"/>
    <d v="2022-12-31T00:00:00"/>
    <x v="2"/>
    <s v="CLI146"/>
    <s v="CLI146"/>
    <s v="MANAUS"/>
    <s v="AM"/>
    <s v="CLI17"/>
    <s v="AQUIRAZ"/>
    <s v="CE"/>
    <n v="3050.6203810000002"/>
    <n v="0"/>
    <n v="1464.270084"/>
    <n v="7000"/>
    <n v="0"/>
    <x v="0"/>
    <x v="2"/>
    <s v="BRMAOTK01"/>
    <s v="BRMAOCHI"/>
    <n v="11.436796000000001"/>
    <n v="114.1575"/>
    <n v="150"/>
    <n v="864.26838908544005"/>
    <n v="0"/>
    <n v="832"/>
    <n v="7"/>
    <n v="0"/>
    <n v="0"/>
    <n v="832"/>
    <m/>
    <m/>
    <n v="0"/>
    <x v="3"/>
    <s v="BRPECTK01"/>
    <s v="BRPECAPM"/>
    <n v="71.623824999999997"/>
    <n v="114.1575"/>
    <n v="150"/>
    <n v="1756.037930448"/>
    <n v="316.0868274806400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042"/>
    <n v="22831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50.6203810000002"/>
    <n v="684.94500000000005"/>
    <n v="21820.993982555759"/>
    <n v="2618.5192779066911"/>
    <n v="110"/>
    <n v="150"/>
    <n v="1E-3"/>
    <n v="228.315"/>
    <n v="15274.695787789031"/>
    <n v="15763.010787789031"/>
    <n v="3180.9641611183101"/>
    <n v="8066.740307137281"/>
    <n v="0.08"/>
    <n v="1026.1294112619962"/>
    <n v="0.12"/>
    <n v="1891.5612945346836"/>
    <n v="15"/>
    <n v="1"/>
  </r>
  <r>
    <n v="260"/>
    <d v="2022-12-31T00:00:00"/>
    <x v="2"/>
    <s v="CLI146"/>
    <s v="CLI146"/>
    <s v="MANAUS"/>
    <s v="AM"/>
    <s v="CLI18"/>
    <s v="JAGUARIUNA"/>
    <s v="SP"/>
    <n v="3839.3245070000003"/>
    <n v="0"/>
    <n v="2787.3833480000003"/>
    <n v="7000"/>
    <n v="0"/>
    <x v="0"/>
    <x v="2"/>
    <s v="BRMAOTK01"/>
    <s v="BRMAOCHI"/>
    <n v="11.436796000000001"/>
    <n v="100.027"/>
    <n v="150"/>
    <n v="850.13788908544007"/>
    <n v="0"/>
    <n v="832"/>
    <n v="7"/>
    <n v="0"/>
    <n v="0"/>
    <n v="832"/>
    <m/>
    <m/>
    <n v="0"/>
    <x v="1"/>
    <s v="BRSSZTK01"/>
    <s v="BRSSZTCO"/>
    <n v="202.37585999999999"/>
    <n v="100.027"/>
    <n v="150"/>
    <n v="3679.2132623103998"/>
    <n v="662.2583872158719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711"/>
    <n v="20005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39.3245070000003"/>
    <n v="600.16200000000003"/>
    <n v="27092.269154056725"/>
    <n v="3251.0722984868066"/>
    <n v="110"/>
    <n v="150"/>
    <n v="1E-3"/>
    <n v="200.054"/>
    <n v="18964.588407839707"/>
    <n v="19424.642407839707"/>
    <n v="3180.9641611183101"/>
    <n v="9947.327095325556"/>
    <n v="0.08"/>
    <n v="1138.6426295382396"/>
    <n v="0.12"/>
    <n v="2330.9570889407646"/>
    <n v="15"/>
    <n v="1"/>
  </r>
  <r>
    <n v="261"/>
    <d v="2022-12-31T00:00:00"/>
    <x v="3"/>
    <s v="CLI148"/>
    <s v="CLI148"/>
    <s v="JUNDIAI"/>
    <s v="SP"/>
    <s v="CLI1190"/>
    <s v="MANAUS"/>
    <s v="AM"/>
    <n v="2635.1127671331219"/>
    <n v="2826.507944"/>
    <n v="0"/>
    <n v="7000"/>
    <n v="0"/>
    <x v="0"/>
    <x v="0"/>
    <s v="BRSSZTK01"/>
    <s v="BRSSZTCO"/>
    <n v="139.13710800000001"/>
    <n v="49.67"/>
    <n v="150"/>
    <n v="2691.8704398771201"/>
    <n v="484.53667917788158"/>
    <n v="640"/>
    <n v="7"/>
    <n v="0"/>
    <n v="0"/>
    <n v="640"/>
    <m/>
    <m/>
    <n v="0"/>
    <x v="0"/>
    <s v="BRMAOTK01S"/>
    <s v="BRMAOCHI"/>
    <n v="11.436796000000001"/>
    <n v="49.67"/>
    <n v="150"/>
    <n v="799.7808890854399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429"/>
    <n v="9934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35.1127671331219"/>
    <n v="298.02"/>
    <n v="18612.373397090349"/>
    <n v="1302.8661377963244"/>
    <n v="110"/>
    <n v="150"/>
    <n v="1E-3"/>
    <n v="99.34"/>
    <n v="12468.814755603436"/>
    <n v="12828.154755603437"/>
    <n v="3180.9641611183101"/>
    <n v="5213.3201546080054"/>
    <n v="0.08"/>
    <n v="708.15733979703964"/>
    <n v="7.0000000000000007E-2"/>
    <n v="897.97083289224065"/>
    <n v="15"/>
    <n v="1"/>
  </r>
  <r>
    <n v="262"/>
    <d v="2022-12-31T00:00:00"/>
    <x v="1"/>
    <s v="CLI150"/>
    <s v="CLI150"/>
    <s v="VOLTA REDONDA"/>
    <s v="RJ"/>
    <s v="CLI680"/>
    <s v="MARACANAU"/>
    <s v="CE"/>
    <n v="2560.1977149999998"/>
    <n v="0"/>
    <n v="0"/>
    <n v="0"/>
    <n v="0"/>
    <x v="0"/>
    <x v="4"/>
    <s v="BRIGITK01S"/>
    <s v="BRIGITCO"/>
    <n v="92.627408000000003"/>
    <n v="31.253499999999999"/>
    <n v="150"/>
    <n v="1984.3364584691203"/>
    <n v="396.86729169382409"/>
    <n v="704"/>
    <n v="7"/>
    <n v="0"/>
    <n v="0"/>
    <n v="704"/>
    <m/>
    <m/>
    <n v="0"/>
    <x v="3"/>
    <s v="BRPECTK01"/>
    <s v="BRPECAPM"/>
    <n v="52.945568000000002"/>
    <n v="31.253499999999999"/>
    <n v="150"/>
    <n v="1396.3849206515201"/>
    <n v="251.3492857172736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59"/>
    <n v="62507"/>
    <x v="0"/>
    <x v="12"/>
    <x v="11"/>
    <x v="11"/>
    <x v="13"/>
    <x v="11"/>
    <n v="21"/>
    <n v="21"/>
    <n v="23"/>
    <n v="22"/>
    <n v="20"/>
    <n v="18"/>
    <n v="19"/>
    <n v="239"/>
    <n v="7"/>
    <n v="110"/>
    <n v="7"/>
    <n v="110"/>
    <n v="2560.1977149999998"/>
    <n v="187.52100000000002"/>
    <n v="17993.129274656403"/>
    <n v="1259.5190492259483"/>
    <n v="75"/>
    <n v="150"/>
    <n v="1E-3"/>
    <n v="62.506999999999998"/>
    <n v="11206.154971331098"/>
    <n v="11493.661971331097"/>
    <n v="3180.9641611183101"/>
    <n v="5154.3128895612663"/>
    <n v="0.08"/>
    <n v="597.17792118394868"/>
    <n v="7.0000000000000007E-2"/>
    <n v="804.55633799317695"/>
    <n v="15"/>
    <n v="23"/>
  </r>
  <r>
    <n v="263"/>
    <d v="2022-12-31T00:00:00"/>
    <x v="0"/>
    <s v="CLI150"/>
    <s v="CLI150"/>
    <s v="VOLTA REDONDA"/>
    <s v="RJ"/>
    <s v="CLI201"/>
    <s v="IPOJUCA"/>
    <s v="PE"/>
    <n v="2240.4097390000002"/>
    <n v="0"/>
    <n v="0"/>
    <n v="0"/>
    <n v="0"/>
    <x v="0"/>
    <x v="4"/>
    <s v="BRIGITK01S"/>
    <s v="BRIGITCO"/>
    <n v="92.627408000000003"/>
    <n v="121.489"/>
    <n v="150"/>
    <n v="2074.5719584691205"/>
    <n v="414.91439169382414"/>
    <n v="704"/>
    <n v="7"/>
    <n v="0"/>
    <n v="0"/>
    <n v="704"/>
    <m/>
    <m/>
    <n v="0"/>
    <x v="2"/>
    <s v="BRSUATK01S"/>
    <s v="BRSUATCO"/>
    <n v="23.753726"/>
    <n v="121.489"/>
    <n v="150"/>
    <n v="1054.0954068006399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092"/>
    <n v="242978"/>
    <x v="0"/>
    <x v="1"/>
    <x v="1"/>
    <x v="1"/>
    <x v="1"/>
    <x v="12"/>
    <n v="6"/>
    <n v="6"/>
    <n v="6"/>
    <n v="6"/>
    <n v="6"/>
    <n v="5"/>
    <n v="5"/>
    <n v="67"/>
    <n v="7"/>
    <n v="110"/>
    <n v="7"/>
    <n v="110"/>
    <n v="2240.4097390000002"/>
    <n v="728.93399999999997"/>
    <n v="16362.874921159444"/>
    <n v="1145.4012444811613"/>
    <n v="75"/>
    <n v="150"/>
    <n v="1E-3"/>
    <n v="242.97800000000001"/>
    <n v="9263.9452891227775"/>
    <n v="9731.9232891227766"/>
    <n v="3180.9641611183101"/>
    <n v="4212.959128004466"/>
    <n v="0.08"/>
    <n v="495.06732257273546"/>
    <n v="7.0000000000000007E-2"/>
    <n v="681.23463023859438"/>
    <n v="15"/>
    <n v="6"/>
  </r>
  <r>
    <n v="264"/>
    <d v="2022-12-31T00:00:00"/>
    <x v="1"/>
    <s v="CLI150"/>
    <s v="CLI150"/>
    <s v="VOLTA REDONDA"/>
    <s v="RJ"/>
    <s v="CLI173"/>
    <s v="MANAUS"/>
    <s v="AM"/>
    <n v="2751.8583806906067"/>
    <n v="3000.9009109999997"/>
    <n v="0"/>
    <n v="7000"/>
    <n v="0"/>
    <x v="0"/>
    <x v="4"/>
    <s v="BRIGITK01S"/>
    <s v="BRIGITCO"/>
    <n v="92.627408000000003"/>
    <n v="26.686"/>
    <n v="150"/>
    <n v="1979.7689584691202"/>
    <n v="395.95379169382409"/>
    <n v="704"/>
    <n v="7"/>
    <n v="0"/>
    <n v="0"/>
    <n v="704"/>
    <m/>
    <m/>
    <n v="0"/>
    <x v="0"/>
    <s v="BRMAOTK01"/>
    <s v="BRMAOCHI"/>
    <n v="11.436796000000001"/>
    <n v="26.686"/>
    <n v="150"/>
    <n v="776.79688908544006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57"/>
    <n v="53372"/>
    <x v="0"/>
    <x v="1"/>
    <x v="1"/>
    <x v="1"/>
    <x v="8"/>
    <x v="1"/>
    <n v="6"/>
    <n v="6"/>
    <n v="6"/>
    <n v="6"/>
    <n v="5"/>
    <n v="5"/>
    <n v="5"/>
    <n v="64"/>
    <n v="7"/>
    <n v="110"/>
    <n v="7"/>
    <n v="110"/>
    <n v="2751.8583806906067"/>
    <n v="160.11600000000001"/>
    <n v="19267.284188934689"/>
    <n v="1348.7098932254285"/>
    <n v="75"/>
    <n v="150"/>
    <n v="1E-3"/>
    <n v="53.372"/>
    <n v="12101.260661325896"/>
    <n v="12379.632661325895"/>
    <n v="3180.9641611183101"/>
    <n v="6595.8716111221438"/>
    <n v="0.08"/>
    <n v="738.16904176620085"/>
    <n v="7.0000000000000007E-2"/>
    <n v="866.57428629281276"/>
    <n v="15"/>
    <n v="6"/>
  </r>
  <r>
    <n v="265"/>
    <d v="2022-12-31T00:00:00"/>
    <x v="0"/>
    <s v="CLI150"/>
    <s v="CLI150"/>
    <s v="VOLTA REDONDA"/>
    <s v="RJ"/>
    <s v="CLI201"/>
    <s v="IPOJUCA"/>
    <s v="PE"/>
    <n v="2240.4097390000002"/>
    <n v="0"/>
    <n v="0"/>
    <n v="0"/>
    <n v="0"/>
    <x v="0"/>
    <x v="4"/>
    <s v="BRIGITK01S"/>
    <s v="BRIGITCO"/>
    <n v="92.627408000000003"/>
    <n v="44.195500000000003"/>
    <n v="150"/>
    <n v="1997.2784584691203"/>
    <n v="399.45569169382406"/>
    <n v="704"/>
    <n v="7"/>
    <n v="0"/>
    <n v="0"/>
    <n v="704"/>
    <m/>
    <m/>
    <n v="0"/>
    <x v="2"/>
    <s v="BRSUATK01S"/>
    <s v="BRSUATCO"/>
    <n v="23.753726"/>
    <n v="44.195500000000003"/>
    <n v="150"/>
    <n v="976.80190680064004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097"/>
    <n v="88391"/>
    <x v="0"/>
    <x v="5"/>
    <x v="6"/>
    <x v="5"/>
    <x v="8"/>
    <x v="1"/>
    <n v="5"/>
    <n v="5"/>
    <n v="5"/>
    <n v="5"/>
    <n v="5"/>
    <n v="4"/>
    <n v="4"/>
    <n v="55"/>
    <n v="7"/>
    <n v="110"/>
    <n v="7"/>
    <n v="110"/>
    <n v="2240.4097390000002"/>
    <n v="265.173"/>
    <n v="15899.113921159445"/>
    <n v="1112.9379744811613"/>
    <n v="75"/>
    <n v="150"/>
    <n v="1E-3"/>
    <n v="88.391000000000005"/>
    <n v="9047.5234891227792"/>
    <n v="9360.9144891227788"/>
    <n v="3180.9641611183101"/>
    <n v="3841.9503280044687"/>
    <n v="0.08"/>
    <n v="478.99027457273564"/>
    <n v="7.0000000000000007E-2"/>
    <n v="655.26401423859454"/>
    <n v="15"/>
    <n v="5"/>
  </r>
  <r>
    <n v="266"/>
    <d v="2022-12-31T00:00:00"/>
    <x v="0"/>
    <s v="CLI150"/>
    <s v="CLI150"/>
    <s v="VOLTA REDONDA"/>
    <s v="RJ"/>
    <s v="CLI202"/>
    <s v="MANAUS"/>
    <s v="AM"/>
    <n v="2751.8583806906067"/>
    <n v="3000.9009109999997"/>
    <n v="0"/>
    <n v="7000"/>
    <n v="0"/>
    <x v="0"/>
    <x v="4"/>
    <s v="BRIGITK01S"/>
    <s v="BRIGITCO"/>
    <n v="92.627408000000003"/>
    <n v="65.480500000000006"/>
    <n v="150"/>
    <n v="2018.5634584691202"/>
    <n v="403.71269169382407"/>
    <n v="704"/>
    <n v="7"/>
    <n v="0"/>
    <n v="0"/>
    <n v="704"/>
    <m/>
    <m/>
    <n v="0"/>
    <x v="0"/>
    <s v="BRMAOTK01S"/>
    <s v="BRMAOCHI"/>
    <n v="11.436796000000001"/>
    <n v="65.480500000000006"/>
    <n v="150"/>
    <n v="815.59138908544003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411"/>
    <n v="130961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751.8583806906067"/>
    <n v="392.88299999999998"/>
    <n v="19500.051188934689"/>
    <n v="1365.0035832254284"/>
    <n v="75"/>
    <n v="150"/>
    <n v="1E-3"/>
    <n v="130.96100000000001"/>
    <n v="11666.127438966088"/>
    <n v="12022.088438966088"/>
    <n v="3180.9641611183101"/>
    <n v="7015.1242778477772"/>
    <n v="0.08"/>
    <n v="702.73767197741631"/>
    <n v="7.0000000000000007E-2"/>
    <n v="841.54619072762625"/>
    <n v="15"/>
    <n v="2"/>
  </r>
  <r>
    <n v="267"/>
    <d v="2022-12-31T00:00:00"/>
    <x v="1"/>
    <s v="CLI150"/>
    <s v="CLI150"/>
    <s v="VOLTA REDONDA"/>
    <s v="RJ"/>
    <s v="CLI1095"/>
    <s v="MANAUS"/>
    <s v="AM"/>
    <n v="2751.8583806906067"/>
    <n v="3000.9009109999997"/>
    <n v="0"/>
    <n v="7000"/>
    <n v="0"/>
    <x v="0"/>
    <x v="4"/>
    <s v="BRIGITK01S"/>
    <s v="BRIGITCO"/>
    <n v="92.627408000000003"/>
    <n v="86.84"/>
    <n v="150"/>
    <n v="2039.9229584691202"/>
    <n v="407.98459169382409"/>
    <n v="704"/>
    <n v="7"/>
    <n v="0"/>
    <n v="0"/>
    <n v="704"/>
    <m/>
    <m/>
    <n v="0"/>
    <x v="0"/>
    <s v="BRMAOTK01"/>
    <s v="BRMAOCHI"/>
    <n v="11.436796000000001"/>
    <n v="86.84"/>
    <n v="150"/>
    <n v="836.95088908544005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74"/>
    <n v="173680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751.8583806906067"/>
    <n v="521.04"/>
    <n v="19628.208188934688"/>
    <n v="1373.9745732254282"/>
    <n v="75"/>
    <n v="150"/>
    <n v="1E-3"/>
    <n v="173.68"/>
    <n v="12311.799661325897"/>
    <n v="12710.479661325897"/>
    <n v="3180.9641611183101"/>
    <n v="6866.5646111221467"/>
    <n v="0.08"/>
    <n v="754.04969776620101"/>
    <n v="7.0000000000000007E-2"/>
    <n v="889.73357629281281"/>
    <n v="15"/>
    <n v="2"/>
  </r>
  <r>
    <n v="268"/>
    <d v="2022-12-31T00:00:00"/>
    <x v="1"/>
    <s v="CLI150"/>
    <s v="CLI150"/>
    <s v="VOLTA REDONDA"/>
    <s v="RJ"/>
    <s v="CLI497"/>
    <s v="MANAUS"/>
    <s v="AM"/>
    <n v="2751.8583806906067"/>
    <n v="3000.9009109999997"/>
    <n v="0"/>
    <n v="7000"/>
    <n v="0"/>
    <x v="0"/>
    <x v="4"/>
    <s v="BRIGITK01S"/>
    <s v="BRIGITCO"/>
    <n v="92.627408000000003"/>
    <n v="107.9975"/>
    <n v="150"/>
    <n v="2061.0804584691205"/>
    <n v="412.21609169382413"/>
    <n v="704"/>
    <n v="7"/>
    <n v="0"/>
    <n v="0"/>
    <n v="704"/>
    <m/>
    <m/>
    <n v="0"/>
    <x v="0"/>
    <s v="BRMAOTK01"/>
    <s v="BRMAOCHI"/>
    <n v="11.436796000000001"/>
    <n v="107.9975"/>
    <n v="150"/>
    <n v="858.10838908543997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156"/>
    <n v="215995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751.8583806906067"/>
    <n v="647.98500000000001"/>
    <n v="19755.153188934688"/>
    <n v="1382.8607232254283"/>
    <n v="75"/>
    <n v="150"/>
    <n v="1E-3"/>
    <n v="215.995"/>
    <n v="12385.850911325895"/>
    <n v="12826.845911325896"/>
    <n v="3180.9641611183101"/>
    <n v="6961.7733611221447"/>
    <n v="0.08"/>
    <n v="759.63527776620094"/>
    <n v="7.0000000000000007E-2"/>
    <n v="897.87921379281283"/>
    <n v="15"/>
    <n v="1"/>
  </r>
  <r>
    <n v="269"/>
    <d v="2022-12-31T00:00:00"/>
    <x v="1"/>
    <s v="CLI150"/>
    <s v="CLI150"/>
    <s v="VOLTA REDONDA"/>
    <s v="RJ"/>
    <s v="CLI173"/>
    <s v="MANAUS"/>
    <s v="AM"/>
    <n v="2751.8583806906067"/>
    <n v="3000.9009109999997"/>
    <n v="0"/>
    <n v="7000"/>
    <n v="0"/>
    <x v="0"/>
    <x v="4"/>
    <s v="BRIGITK01S"/>
    <s v="BRIGITCO"/>
    <n v="92.627408000000003"/>
    <n v="61.577500000000001"/>
    <n v="150"/>
    <n v="2014.6604584691204"/>
    <n v="402.93209169382408"/>
    <n v="704"/>
    <n v="7"/>
    <n v="0"/>
    <n v="0"/>
    <n v="704"/>
    <m/>
    <m/>
    <n v="0"/>
    <x v="0"/>
    <s v="BRMAOTK01"/>
    <s v="BRMAOCHI"/>
    <n v="11.436796000000001"/>
    <n v="61.577500000000001"/>
    <n v="150"/>
    <n v="811.68838908544001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572"/>
    <n v="12315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51.8583806906067"/>
    <n v="369.46500000000003"/>
    <n v="19476.633188934687"/>
    <n v="1363.3643232254283"/>
    <n v="110"/>
    <n v="150"/>
    <n v="1E-3"/>
    <n v="123.155"/>
    <n v="12223.380911325898"/>
    <n v="12606.535911325898"/>
    <n v="3180.9641611183101"/>
    <n v="6787.8833611221471"/>
    <n v="0.08"/>
    <n v="750.18039776620105"/>
    <n v="7.0000000000000007E-2"/>
    <n v="882.45751379281296"/>
    <n v="15"/>
    <n v="1"/>
  </r>
  <r>
    <n v="270"/>
    <d v="2022-12-31T00:00:00"/>
    <x v="1"/>
    <s v="CLI150"/>
    <s v="CLI150"/>
    <s v="VOLTA REDONDA"/>
    <s v="RJ"/>
    <s v="CLI497"/>
    <s v="MANAUS"/>
    <s v="AM"/>
    <n v="2751.8583806906067"/>
    <n v="3000.9009109999997"/>
    <n v="0"/>
    <n v="7000"/>
    <n v="0"/>
    <x v="0"/>
    <x v="4"/>
    <s v="BRIGITK01S"/>
    <s v="BRIGITCO"/>
    <n v="92.627408000000003"/>
    <n v="71.8155"/>
    <n v="150"/>
    <n v="2024.8984584691202"/>
    <n v="404.97969169382407"/>
    <n v="704"/>
    <n v="7"/>
    <n v="0"/>
    <n v="0"/>
    <n v="704"/>
    <m/>
    <m/>
    <n v="0"/>
    <x v="0"/>
    <s v="BRMAOTK01"/>
    <s v="BRMAOCHI"/>
    <n v="11.436796000000001"/>
    <n v="71.8155"/>
    <n v="150"/>
    <n v="821.92638908544006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141"/>
    <n v="14363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51.8583806906067"/>
    <n v="430.89300000000003"/>
    <n v="19538.061188934687"/>
    <n v="1367.6642832254283"/>
    <n v="110"/>
    <n v="150"/>
    <n v="1E-3"/>
    <n v="143.631"/>
    <n v="12259.213911325896"/>
    <n v="12662.844911325896"/>
    <n v="3180.9641611183101"/>
    <n v="6833.9543611221452"/>
    <n v="0.08"/>
    <n v="752.88322976620088"/>
    <n v="7.0000000000000007E-2"/>
    <n v="886.39914379281277"/>
    <n v="15"/>
    <n v="1"/>
  </r>
  <r>
    <n v="271"/>
    <d v="2022-12-31T00:00:00"/>
    <x v="2"/>
    <s v="CLI151"/>
    <s v="CLI151"/>
    <s v="MANAUS"/>
    <s v="AM"/>
    <s v="CLI1028"/>
    <s v="BARUERI"/>
    <s v="SP"/>
    <n v="3921.9795249999997"/>
    <n v="0"/>
    <n v="2871.0121140000001"/>
    <n v="7000"/>
    <n v="0"/>
    <x v="0"/>
    <x v="2"/>
    <s v="BRMAOTK01"/>
    <s v="BRMAOCHI"/>
    <n v="11.436796000000001"/>
    <n v="32.910499999999999"/>
    <n v="150"/>
    <n v="783.02138908543998"/>
    <n v="0"/>
    <n v="832"/>
    <n v="7"/>
    <n v="0"/>
    <n v="0"/>
    <n v="832"/>
    <m/>
    <m/>
    <n v="0"/>
    <x v="1"/>
    <s v="BRSSZTK01"/>
    <s v="BRSSZTCO"/>
    <n v="108.985372"/>
    <n v="32.910499999999999"/>
    <n v="150"/>
    <n v="2228.3635221900799"/>
    <n v="401.1054339942143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115"/>
    <n v="65821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3921.9795249999997"/>
    <n v="197.46299999999999"/>
    <n v="27250.877075094002"/>
    <n v="3270.1052490112802"/>
    <n v="75"/>
    <n v="150"/>
    <n v="1E-3"/>
    <n v="65.820999999999998"/>
    <n v="19075.6139525658"/>
    <n v="19366.4349525658"/>
    <n v="3180.9641611183101"/>
    <n v="11407.08588017197"/>
    <n v="0.08"/>
    <n v="1276.3155685836853"/>
    <n v="0.12"/>
    <n v="2323.9721943078957"/>
    <n v="15"/>
    <n v="2"/>
  </r>
  <r>
    <n v="272"/>
    <d v="2022-12-31T00:00:00"/>
    <x v="0"/>
    <s v="CLI152"/>
    <s v="CLI152"/>
    <s v="ARACATI"/>
    <s v="CE"/>
    <s v="CLI646"/>
    <s v="MANAUS"/>
    <s v="AM"/>
    <n v="2476.5321429005458"/>
    <n v="1556.6462530000001"/>
    <n v="0"/>
    <n v="7000"/>
    <n v="0"/>
    <x v="0"/>
    <x v="1"/>
    <s v="BRPECTK01S"/>
    <s v="BRPECAPM"/>
    <n v="190.278514"/>
    <n v="47.483499999999999"/>
    <n v="150"/>
    <n v="3447.4277416729601"/>
    <n v="620.53699350113277"/>
    <n v="768"/>
    <n v="7"/>
    <n v="0"/>
    <n v="0"/>
    <n v="768"/>
    <m/>
    <m/>
    <n v="0"/>
    <x v="0"/>
    <s v="BRMAOTK01S"/>
    <s v="BRMAOCHI"/>
    <n v="11.436796000000001"/>
    <n v="47.483499999999999"/>
    <n v="150"/>
    <n v="797.5943890854400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727"/>
    <n v="94967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476.5321429005458"/>
    <n v="284.90100000000001"/>
    <n v="17522.339721151893"/>
    <n v="2102.6807665382271"/>
    <n v="110"/>
    <n v="150"/>
    <n v="1E-3"/>
    <n v="94.966999999999999"/>
    <n v="9294.122313275444"/>
    <n v="9649.0893132754445"/>
    <n v="3180.9641611183101"/>
    <n v="4538.1251521571339"/>
    <n v="0.08"/>
    <n v="382.68241512127292"/>
    <n v="0.12"/>
    <n v="1157.8907175930533"/>
    <n v="15"/>
    <n v="2"/>
  </r>
  <r>
    <n v="273"/>
    <d v="2022-12-31T00:00:00"/>
    <x v="0"/>
    <s v="CLI152"/>
    <s v="CLI152"/>
    <s v="ARACATI"/>
    <s v="CE"/>
    <s v="CLI846"/>
    <s v="MANAUS"/>
    <s v="AM"/>
    <n v="2476.5321429005458"/>
    <n v="1556.6462530000001"/>
    <n v="0"/>
    <n v="7000"/>
    <n v="0"/>
    <x v="0"/>
    <x v="1"/>
    <s v="BRPECTK01S"/>
    <s v="BRPECAPM"/>
    <n v="190.278514"/>
    <n v="90.362000000000009"/>
    <n v="150"/>
    <n v="3490.3062416729604"/>
    <n v="628.25512350113286"/>
    <n v="768"/>
    <n v="7"/>
    <n v="0"/>
    <n v="0"/>
    <n v="768"/>
    <m/>
    <m/>
    <n v="0"/>
    <x v="0"/>
    <s v="BRMAOTK01S"/>
    <s v="BRMAOCHI"/>
    <n v="11.436796000000001"/>
    <n v="90.362000000000009"/>
    <n v="150"/>
    <n v="840.47288908543999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811"/>
    <n v="18072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76.5321429005458"/>
    <n v="542.17200000000003"/>
    <n v="17779.61072115189"/>
    <n v="2133.5532865382265"/>
    <n v="110"/>
    <n v="150"/>
    <n v="1E-3"/>
    <n v="180.72400000000002"/>
    <n v="9414.1821132754412"/>
    <n v="9854.9061132754414"/>
    <n v="3180.9641611183101"/>
    <n v="4743.9419521571308"/>
    <n v="0.08"/>
    <n v="391.66974872127264"/>
    <n v="0.12"/>
    <n v="1182.5887335930529"/>
    <n v="15"/>
    <n v="1"/>
  </r>
  <r>
    <n v="274"/>
    <d v="2022-12-31T00:00:00"/>
    <x v="0"/>
    <s v="CLI152"/>
    <s v="CLI152"/>
    <s v="ARACATI"/>
    <s v="CE"/>
    <s v="CLI1244"/>
    <s v="MANAUS"/>
    <s v="AM"/>
    <n v="2476.5321429005458"/>
    <n v="1556.6462530000001"/>
    <n v="0"/>
    <n v="7000"/>
    <n v="0"/>
    <x v="0"/>
    <x v="1"/>
    <s v="BRPECTK01S"/>
    <s v="BRPECAPM"/>
    <n v="190.278514"/>
    <n v="29.315000000000001"/>
    <n v="150"/>
    <n v="3429.2592416729603"/>
    <n v="617.26666350113283"/>
    <n v="768"/>
    <n v="7"/>
    <n v="0"/>
    <n v="0"/>
    <n v="768"/>
    <m/>
    <m/>
    <n v="0"/>
    <x v="0"/>
    <s v="BRMAOTK01S"/>
    <s v="BRMAOCHI"/>
    <n v="11.436796000000001"/>
    <n v="29.315000000000001"/>
    <n v="150"/>
    <n v="779.4258890854400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957"/>
    <n v="5863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76.5321429005458"/>
    <n v="175.89000000000001"/>
    <n v="17413.328721151891"/>
    <n v="2089.5994465382269"/>
    <n v="110"/>
    <n v="150"/>
    <n v="1E-3"/>
    <n v="58.63"/>
    <n v="9243.2505132754432"/>
    <n v="9561.8805132754424"/>
    <n v="3180.9641611183101"/>
    <n v="4450.9163521571318"/>
    <n v="0.08"/>
    <n v="378.87429752127275"/>
    <n v="0.12"/>
    <n v="1147.4256615930531"/>
    <n v="15"/>
    <n v="1"/>
  </r>
  <r>
    <n v="275"/>
    <d v="2022-12-31T00:00:00"/>
    <x v="3"/>
    <s v="CLI152"/>
    <s v="CLI152"/>
    <s v="ARACATI"/>
    <s v="CE"/>
    <s v="CLI846"/>
    <s v="MANAUS"/>
    <s v="AM"/>
    <n v="2476.5321429005458"/>
    <n v="1556.6462530000001"/>
    <n v="0"/>
    <n v="7000"/>
    <n v="0"/>
    <x v="0"/>
    <x v="1"/>
    <s v="BRPECTK01"/>
    <s v="BRPECAPM"/>
    <n v="190.278514"/>
    <n v="57.500500000000002"/>
    <n v="150"/>
    <n v="3457.4447416729604"/>
    <n v="622.34005350113284"/>
    <n v="768"/>
    <n v="7"/>
    <n v="0"/>
    <n v="0"/>
    <n v="768"/>
    <m/>
    <m/>
    <n v="0"/>
    <x v="0"/>
    <s v="BRMAOTK01S"/>
    <s v="BRMAOCHI"/>
    <n v="11.436796000000001"/>
    <n v="57.500500000000002"/>
    <n v="150"/>
    <n v="807.6113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260"/>
    <n v="11500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76.5321429005458"/>
    <n v="345.00299999999999"/>
    <n v="17582.441721151892"/>
    <n v="2109.8930065382269"/>
    <n v="110"/>
    <n v="150"/>
    <n v="1E-3"/>
    <n v="115.001"/>
    <n v="11742.381232446516"/>
    <n v="12117.382232446516"/>
    <n v="3180.9641611183101"/>
    <n v="3548.9733296552463"/>
    <n v="0.08"/>
    <n v="578.39888385495863"/>
    <n v="0.12"/>
    <n v="1454.085867893582"/>
    <n v="15"/>
    <n v="1"/>
  </r>
  <r>
    <n v="276"/>
    <d v="2022-12-31T00:00:00"/>
    <x v="1"/>
    <s v="CLI155"/>
    <s v="CLI155"/>
    <s v="SANTOS"/>
    <s v="SP"/>
    <s v="CLI799"/>
    <s v="MANAUS"/>
    <s v="AM"/>
    <n v="2738.1624465451514"/>
    <n v="2948.3907220000001"/>
    <n v="0"/>
    <n v="7000"/>
    <n v="0"/>
    <x v="0"/>
    <x v="0"/>
    <s v="BRSSZTK01S"/>
    <s v="BRSSZTCO"/>
    <n v="14.583465"/>
    <n v="97.263999999999996"/>
    <n v="150"/>
    <n v="893.99795085760002"/>
    <n v="160.91963115436801"/>
    <n v="640"/>
    <n v="7"/>
    <n v="0"/>
    <n v="0"/>
    <n v="640"/>
    <m/>
    <m/>
    <n v="0"/>
    <x v="0"/>
    <s v="BRMAOTK01"/>
    <s v="BRMAOCHI"/>
    <n v="11.436796000000001"/>
    <n v="97.263999999999996"/>
    <n v="150"/>
    <n v="847.37488908544003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774"/>
    <n v="194528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738.1624465451514"/>
    <n v="583.58400000000006"/>
    <n v="19597.743647990264"/>
    <n v="1371.8420553593187"/>
    <n v="110"/>
    <n v="150"/>
    <n v="1E-3"/>
    <n v="194.52799999999999"/>
    <n v="13092.621987992865"/>
    <n v="13547.149987992865"/>
    <n v="3180.9641611183101"/>
    <n v="7776.8109377891142"/>
    <n v="0.08"/>
    <n v="931.58860135163661"/>
    <n v="7.0000000000000007E-2"/>
    <n v="948.30049915950065"/>
    <n v="15"/>
    <n v="2"/>
  </r>
  <r>
    <n v="277"/>
    <d v="2022-12-31T00:00:00"/>
    <x v="2"/>
    <s v="CLI157"/>
    <s v="CLI157"/>
    <s v="JUNDIAI"/>
    <s v="SP"/>
    <s v="CLI748"/>
    <s v="CABO DE SANTO AGOSTINHO"/>
    <s v="PE"/>
    <n v="2536.885659"/>
    <n v="0"/>
    <n v="0"/>
    <n v="0"/>
    <n v="0"/>
    <x v="0"/>
    <x v="0"/>
    <s v="BRSSZTK01"/>
    <s v="BRSSZTCO"/>
    <n v="139.13710800000001"/>
    <n v="75.070999999999998"/>
    <n v="150"/>
    <n v="2717.27143987712"/>
    <n v="489.10885917788158"/>
    <n v="640"/>
    <n v="7"/>
    <n v="0"/>
    <n v="0"/>
    <n v="640"/>
    <m/>
    <m/>
    <n v="0"/>
    <x v="2"/>
    <s v="BRSUATK01"/>
    <s v="BRSUATCO"/>
    <n v="23.080721"/>
    <n v="75.070999999999998"/>
    <n v="150"/>
    <n v="997.70573399744012"/>
    <n v="179.587032119539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40"/>
    <n v="150142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536.885659"/>
    <n v="450.42599999999999"/>
    <n v="18097.723034842646"/>
    <n v="1266.8406124389853"/>
    <n v="110"/>
    <n v="150"/>
    <n v="1E-3"/>
    <n v="150.142"/>
    <n v="12668.40612438985"/>
    <n v="13078.54812438985"/>
    <n v="3180.9641611183101"/>
    <n v="3928.6067893969798"/>
    <n v="0.08"/>
    <n v="695.59000473742958"/>
    <n v="7.0000000000000007E-2"/>
    <n v="915.49836870728961"/>
    <n v="15"/>
    <n v="3"/>
  </r>
  <r>
    <n v="278"/>
    <d v="2022-12-31T00:00:00"/>
    <x v="2"/>
    <s v="CLI157"/>
    <s v="CLI157"/>
    <s v="JUNDIAI"/>
    <s v="SP"/>
    <s v="CLI749"/>
    <s v="JABOATAO DOS GUARARAPES"/>
    <s v="PE"/>
    <n v="2562.6843799999997"/>
    <n v="0"/>
    <n v="0"/>
    <n v="0"/>
    <n v="0"/>
    <x v="0"/>
    <x v="0"/>
    <s v="BRSSZTK01"/>
    <s v="BRSSZTCO"/>
    <n v="139.13710800000001"/>
    <n v="67.81"/>
    <n v="150"/>
    <n v="2710.01043987712"/>
    <n v="487.80187917788157"/>
    <n v="640"/>
    <n v="7"/>
    <n v="0"/>
    <n v="0"/>
    <n v="640"/>
    <m/>
    <m/>
    <n v="0"/>
    <x v="2"/>
    <s v="BRSUATK01"/>
    <s v="BRSUATCO"/>
    <n v="43.495365"/>
    <n v="67.81"/>
    <n v="150"/>
    <n v="1292.9211648736"/>
    <n v="232.7258096772479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46"/>
    <n v="135620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562.6843799999997"/>
    <n v="406.86"/>
    <n v="18229.355117204799"/>
    <n v="1276.0548582043361"/>
    <n v="110"/>
    <n v="150"/>
    <n v="1E-3"/>
    <n v="135.62"/>
    <n v="12760.548582043359"/>
    <n v="13156.168582043359"/>
    <n v="3180.9641611183101"/>
    <n v="3718.2728161743294"/>
    <n v="0.08"/>
    <n v="674.61674307500084"/>
    <n v="7.0000000000000007E-2"/>
    <n v="920.9318007430353"/>
    <n v="15"/>
    <n v="3"/>
  </r>
  <r>
    <n v="279"/>
    <d v="2022-12-31T00:00:00"/>
    <x v="2"/>
    <s v="CLI158"/>
    <s v="CLI158"/>
    <s v="SUZANO"/>
    <s v="SP"/>
    <s v="CLI1045"/>
    <s v="MANAUS"/>
    <s v="AM"/>
    <n v="2701.1470442430491"/>
    <n v="2914.0750120000002"/>
    <n v="0"/>
    <n v="7000"/>
    <n v="0"/>
    <x v="0"/>
    <x v="0"/>
    <s v="BRSSZTK01"/>
    <s v="BRSSZTCO"/>
    <n v="95.74942999999999"/>
    <n v="32.987499999999997"/>
    <n v="150"/>
    <n v="2032.3283345151997"/>
    <n v="365.81910021273592"/>
    <n v="640"/>
    <n v="7"/>
    <n v="0"/>
    <n v="0"/>
    <n v="640"/>
    <m/>
    <m/>
    <n v="0"/>
    <x v="0"/>
    <s v="BRMAOTK01"/>
    <s v="BRMAOCHI"/>
    <n v="11.436796000000001"/>
    <n v="32.987499999999997"/>
    <n v="150"/>
    <n v="783.0983890854399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154"/>
    <n v="65975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701.1470442430491"/>
    <n v="197.92500000000001"/>
    <n v="18960.714531572779"/>
    <n v="1327.2500172100947"/>
    <n v="110"/>
    <n v="150"/>
    <n v="1E-3"/>
    <n v="65.974999999999994"/>
    <n v="13272.500172100945"/>
    <n v="13598.475172100945"/>
    <n v="3180.9641611183101"/>
    <n v="5860.0842873819947"/>
    <n v="0.08"/>
    <n v="833.37834786300562"/>
    <n v="7.0000000000000007E-2"/>
    <n v="951.89326204706629"/>
    <n v="15"/>
    <n v="2"/>
  </r>
  <r>
    <n v="280"/>
    <d v="2022-12-31T00:00:00"/>
    <x v="2"/>
    <s v="CLI160"/>
    <s v="CLI160"/>
    <s v="JUNDIAI"/>
    <s v="SP"/>
    <s v="CLI875"/>
    <s v="MANAUS"/>
    <s v="AM"/>
    <n v="2635.1127671331219"/>
    <n v="2826.507944"/>
    <n v="0"/>
    <n v="7000"/>
    <n v="0"/>
    <x v="0"/>
    <x v="0"/>
    <s v="BRSSZTK01"/>
    <s v="BRSSZTCO"/>
    <n v="139.13710800000001"/>
    <n v="111.962"/>
    <n v="150"/>
    <n v="2754.1624398771201"/>
    <n v="495.74923917788158"/>
    <n v="640"/>
    <n v="7"/>
    <n v="0"/>
    <n v="0"/>
    <n v="640"/>
    <m/>
    <m/>
    <n v="0"/>
    <x v="0"/>
    <s v="BRMAOTK01"/>
    <s v="BRMAOCHI"/>
    <n v="11.436796000000001"/>
    <n v="111.962"/>
    <n v="150"/>
    <n v="862.07288908544001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623"/>
    <n v="223924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635.1127671331219"/>
    <n v="671.77200000000005"/>
    <n v="18986.125397090349"/>
    <n v="1329.0287777963244"/>
    <n v="110"/>
    <n v="150"/>
    <n v="1E-3"/>
    <n v="223.92400000000001"/>
    <n v="13290.287777963244"/>
    <n v="13774.211777963244"/>
    <n v="3180.9641611183101"/>
    <n v="5235.0122878823731"/>
    <n v="0.08"/>
    <n v="772.97817678582419"/>
    <n v="7.0000000000000007E-2"/>
    <n v="964.19482445742722"/>
    <n v="15"/>
    <n v="2"/>
  </r>
  <r>
    <n v="281"/>
    <d v="2022-12-31T00:00:00"/>
    <x v="2"/>
    <s v="CLI162"/>
    <s v="CLI162"/>
    <s v="SAO PAULO"/>
    <s v="SP"/>
    <s v="CLI1156"/>
    <s v="MANAUS"/>
    <s v="AM"/>
    <n v="2682.4745732067604"/>
    <n v="2877.9279630000001"/>
    <n v="0"/>
    <n v="7000"/>
    <n v="0"/>
    <x v="0"/>
    <x v="0"/>
    <s v="BRSSZTK01"/>
    <s v="BRSSZTCO"/>
    <n v="85.841132000000002"/>
    <n v="121.0505"/>
    <n v="150"/>
    <n v="1973.5836500364801"/>
    <n v="355.24505700656641"/>
    <n v="640"/>
    <n v="7"/>
    <n v="0"/>
    <n v="0"/>
    <n v="640"/>
    <m/>
    <m/>
    <n v="0"/>
    <x v="0"/>
    <s v="BRMAOTK01"/>
    <s v="BRMAOCHI"/>
    <n v="11.436796000000001"/>
    <n v="121.0505"/>
    <n v="150"/>
    <n v="871.1613890854400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551"/>
    <n v="24210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82.4745732067604"/>
    <n v="726.303"/>
    <n v="19362.288527664183"/>
    <n v="1355.3601969364929"/>
    <n v="110"/>
    <n v="150"/>
    <n v="1E-3"/>
    <n v="242.101"/>
    <n v="13553.601969364927"/>
    <n v="14055.702969364927"/>
    <n v="3180.9641611183101"/>
    <n v="6287.993769124696"/>
    <n v="0.08"/>
    <n v="868.45702985891523"/>
    <n v="7.0000000000000007E-2"/>
    <n v="983.899207855545"/>
    <n v="15"/>
    <n v="1"/>
  </r>
  <r>
    <n v="282"/>
    <d v="2022-12-31T00:00:00"/>
    <x v="2"/>
    <s v="CLI163"/>
    <s v="CLI163"/>
    <s v="MAIRINQUE"/>
    <s v="SP"/>
    <s v="CLI777"/>
    <s v="SAO GONCALO DO AMARANTE"/>
    <s v="CE"/>
    <n v="2866.377512"/>
    <n v="0"/>
    <n v="0"/>
    <n v="0"/>
    <n v="0"/>
    <x v="0"/>
    <x v="0"/>
    <s v="BRSSZTK01"/>
    <s v="BRSSZTCO"/>
    <n v="143.37867699999998"/>
    <n v="55.280500000000004"/>
    <n v="150"/>
    <n v="2760.3267407852795"/>
    <n v="496.8588133413503"/>
    <n v="640"/>
    <n v="7"/>
    <n v="0"/>
    <n v="0"/>
    <n v="640"/>
    <m/>
    <m/>
    <n v="0"/>
    <x v="3"/>
    <s v="BRPECTK01"/>
    <s v="BRPECAPM"/>
    <n v="25.372788"/>
    <n v="55.280500000000004"/>
    <n v="150"/>
    <n v="1011.8759655923199"/>
    <n v="0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830"/>
    <n v="110561"/>
    <x v="1"/>
    <x v="18"/>
    <x v="17"/>
    <x v="14"/>
    <x v="18"/>
    <x v="17"/>
    <n v="37"/>
    <n v="35"/>
    <n v="39"/>
    <n v="39"/>
    <n v="40"/>
    <n v="37"/>
    <n v="40"/>
    <n v="436"/>
    <n v="7"/>
    <n v="180"/>
    <n v="7"/>
    <n v="180"/>
    <n v="2866.377512"/>
    <n v="331.68299999999999"/>
    <n v="20216.54602889152"/>
    <n v="1415.1582220224066"/>
    <n v="110"/>
    <n v="150"/>
    <n v="1E-3"/>
    <n v="110.56100000000001"/>
    <n v="14151.582220224063"/>
    <n v="14522.143220224063"/>
    <n v="3180.9641611183101"/>
    <n v="5890.9763527281521"/>
    <n v="0.08"/>
    <n v="820.24653604040896"/>
    <n v="7.0000000000000007E-2"/>
    <n v="1016.5500254156846"/>
    <n v="15"/>
    <n v="40"/>
  </r>
  <r>
    <n v="283"/>
    <d v="2022-12-31T00:00:00"/>
    <x v="2"/>
    <s v="CLI164"/>
    <s v="CLI164"/>
    <s v="SAO PAULO"/>
    <s v="SP"/>
    <s v="CLI777"/>
    <s v="SAO GONCALO DO AMARANTE"/>
    <s v="CE"/>
    <n v="2819.1658169999996"/>
    <n v="0"/>
    <n v="0"/>
    <n v="0"/>
    <n v="0"/>
    <x v="0"/>
    <x v="0"/>
    <s v="BRSSZTK01"/>
    <s v="BRSSZTCO"/>
    <n v="85.841132000000002"/>
    <n v="94.492500000000007"/>
    <n v="150"/>
    <n v="1947.0256500364801"/>
    <n v="350.46461700656641"/>
    <n v="640"/>
    <n v="7"/>
    <n v="0"/>
    <n v="0"/>
    <n v="640"/>
    <m/>
    <m/>
    <n v="0"/>
    <x v="3"/>
    <s v="BRPECTK01"/>
    <s v="BRPECAPM"/>
    <n v="25.372788"/>
    <n v="94.492500000000007"/>
    <n v="150"/>
    <n v="1051.08796559232"/>
    <n v="0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64"/>
    <n v="18898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19.1658169999996"/>
    <n v="566.95500000000004"/>
    <n v="20131.205296614324"/>
    <n v="1409.1843707630028"/>
    <n v="110"/>
    <n v="150"/>
    <n v="1E-3"/>
    <n v="188.98500000000001"/>
    <n v="14091.843707630025"/>
    <n v="14540.828707630026"/>
    <n v="3180.9641611183101"/>
    <n v="6683.7509308829158"/>
    <n v="0.08"/>
    <n v="895.38003799957278"/>
    <n v="7.0000000000000007E-2"/>
    <n v="1017.8580095341019"/>
    <n v="15"/>
    <n v="1"/>
  </r>
  <r>
    <n v="284"/>
    <d v="2022-12-31T00:00:00"/>
    <x v="2"/>
    <s v="CLI165"/>
    <s v="CLI165"/>
    <s v="SAO VICENTE"/>
    <s v="SP"/>
    <s v="CLI777"/>
    <s v="SAO GONCALO DO AMARANTE"/>
    <s v="CE"/>
    <n v="2885.9299679999999"/>
    <n v="0"/>
    <n v="0"/>
    <n v="0"/>
    <n v="0"/>
    <x v="0"/>
    <x v="0"/>
    <s v="BRSSZTK01"/>
    <s v="BRSSZTCO"/>
    <n v="19.906849999999999"/>
    <n v="39.483000000000004"/>
    <n v="150"/>
    <n v="915.09162998400006"/>
    <n v="164.71649339712002"/>
    <n v="640"/>
    <n v="7"/>
    <n v="0"/>
    <n v="0"/>
    <n v="640"/>
    <m/>
    <m/>
    <n v="0"/>
    <x v="3"/>
    <s v="BRPECTK01"/>
    <s v="BRPECAPM"/>
    <n v="25.372788"/>
    <n v="39.483000000000004"/>
    <n v="150"/>
    <n v="996.07846559231984"/>
    <n v="0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03"/>
    <n v="7896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85.9299679999999"/>
    <n v="236.898"/>
    <n v="20254.540975489283"/>
    <n v="1417.8178682842499"/>
    <n v="110"/>
    <n v="150"/>
    <n v="1E-3"/>
    <n v="78.966000000000008"/>
    <n v="14178.178682842497"/>
    <n v="14517.144682842498"/>
    <n v="3180.9641611183101"/>
    <n v="7747.0104261478664"/>
    <n v="0.08"/>
    <n v="995.30064750952454"/>
    <n v="7.0000000000000007E-2"/>
    <n v="1016.2001277989749"/>
    <n v="15"/>
    <n v="1"/>
  </r>
  <r>
    <n v="285"/>
    <d v="2022-12-31T00:00:00"/>
    <x v="1"/>
    <s v="CLI166"/>
    <s v="CLI166"/>
    <s v="MARACANAU"/>
    <s v="CE"/>
    <s v="CLI1039"/>
    <s v="SAO BERNARDO DO CAMPO"/>
    <s v="SP"/>
    <n v="2815.409048"/>
    <n v="0"/>
    <n v="0"/>
    <n v="0"/>
    <n v="0"/>
    <x v="0"/>
    <x v="1"/>
    <s v="BRPECTK01S"/>
    <s v="BRPECAPM"/>
    <n v="52.945568000000002"/>
    <n v="50.476500000000001"/>
    <n v="150"/>
    <n v="1415.6079206515201"/>
    <n v="254.8094257172736"/>
    <n v="768"/>
    <n v="7"/>
    <n v="0"/>
    <n v="0"/>
    <n v="768"/>
    <m/>
    <m/>
    <n v="0"/>
    <x v="1"/>
    <s v="BRSSZTK01"/>
    <s v="BRSSZTCO"/>
    <n v="66.511209000000008"/>
    <n v="50.476500000000001"/>
    <n v="150"/>
    <n v="1616.60513971776"/>
    <n v="290.9889251491968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541"/>
    <n v="100953"/>
    <x v="1"/>
    <x v="14"/>
    <x v="1"/>
    <x v="12"/>
    <x v="1"/>
    <x v="1"/>
    <n v="6"/>
    <n v="6"/>
    <n v="7"/>
    <n v="7"/>
    <n v="7"/>
    <n v="6"/>
    <n v="7"/>
    <n v="74"/>
    <n v="7"/>
    <n v="180"/>
    <n v="7"/>
    <n v="180"/>
    <n v="2815.409048"/>
    <n v="302.85899999999998"/>
    <n v="19841.597228606079"/>
    <n v="2380.9916674327292"/>
    <n v="110"/>
    <n v="150"/>
    <n v="1E-3"/>
    <n v="100.953"/>
    <n v="12898.192515568189"/>
    <n v="13259.145515568189"/>
    <n v="3180.9641611183101"/>
    <n v="6723.5762147321184"/>
    <n v="0.08"/>
    <n v="774.49072834659501"/>
    <n v="0.12"/>
    <n v="1591.0974618681826"/>
    <n v="15"/>
    <n v="7"/>
  </r>
  <r>
    <n v="286"/>
    <d v="2022-12-31T00:00:00"/>
    <x v="1"/>
    <s v="CLI166"/>
    <s v="CLI166"/>
    <s v="MARACANAU"/>
    <s v="CE"/>
    <s v="CLI879"/>
    <s v="ITAQUAQUECETUBA"/>
    <s v="SP"/>
    <n v="2789.7875309999999"/>
    <n v="0"/>
    <n v="0"/>
    <n v="0"/>
    <n v="0"/>
    <x v="0"/>
    <x v="1"/>
    <s v="BRPECTK01S"/>
    <s v="BRPECAPM"/>
    <n v="52.945568000000002"/>
    <n v="100.46250000000001"/>
    <n v="150"/>
    <n v="1465.5939206515202"/>
    <n v="263.80690571727365"/>
    <n v="768"/>
    <n v="7"/>
    <n v="0"/>
    <n v="0"/>
    <n v="768"/>
    <m/>
    <m/>
    <n v="0"/>
    <x v="1"/>
    <s v="BRSSZTK01"/>
    <s v="BRSSZTCO"/>
    <n v="105.903558"/>
    <n v="100.46250000000001"/>
    <n v="150"/>
    <n v="2250.25339360512"/>
    <n v="405.04561084892157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555"/>
    <n v="20092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789.7875309999999"/>
    <n v="602.77499999999998"/>
    <n v="19967.518531519763"/>
    <n v="2396.1022237823713"/>
    <n v="110"/>
    <n v="150"/>
    <n v="1E-3"/>
    <n v="200.92500000000001"/>
    <n v="12951.347227607768"/>
    <n v="13412.272227607767"/>
    <n v="3180.9641611183101"/>
    <n v="6243.0546728843365"/>
    <n v="0.08"/>
    <n v="722.20579174279453"/>
    <n v="0.12"/>
    <n v="1609.4726673129321"/>
    <n v="15"/>
    <n v="2"/>
  </r>
  <r>
    <n v="287"/>
    <d v="2022-12-31T00:00:00"/>
    <x v="1"/>
    <s v="CLI166"/>
    <s v="CLI166"/>
    <s v="MARACANAU"/>
    <s v="CE"/>
    <s v="CLI1039"/>
    <s v="SAO BERNARDO DO CAMPO"/>
    <s v="SP"/>
    <n v="2815.409048"/>
    <n v="0"/>
    <n v="0"/>
    <n v="0"/>
    <n v="0"/>
    <x v="0"/>
    <x v="1"/>
    <s v="BRPECTK01S"/>
    <s v="BRPECAPM"/>
    <n v="52.945568000000002"/>
    <n v="44.109500000000004"/>
    <n v="150"/>
    <n v="1409.2409206515201"/>
    <n v="253.66336571727362"/>
    <n v="768"/>
    <n v="7"/>
    <n v="0"/>
    <n v="0"/>
    <n v="768"/>
    <m/>
    <m/>
    <n v="0"/>
    <x v="1"/>
    <s v="BRSSZTK01"/>
    <s v="BRSSZTCO"/>
    <n v="66.511209000000008"/>
    <n v="44.109500000000004"/>
    <n v="150"/>
    <n v="1610.2381397177601"/>
    <n v="289.84286514919683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239"/>
    <n v="88219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15.409048"/>
    <n v="264.65699999999998"/>
    <n v="19803.395228606078"/>
    <n v="2376.407427432729"/>
    <n v="110"/>
    <n v="150"/>
    <n v="1E-3"/>
    <n v="88.219000000000008"/>
    <n v="12875.908015568191"/>
    <n v="13224.12701556819"/>
    <n v="3180.9641611183101"/>
    <n v="6694.9247147321203"/>
    <n v="0.08"/>
    <n v="772.89133794659517"/>
    <n v="0.12"/>
    <n v="1586.8952418681829"/>
    <n v="15"/>
    <n v="2"/>
  </r>
  <r>
    <n v="288"/>
    <d v="2022-12-31T00:00:00"/>
    <x v="2"/>
    <s v="CLI167"/>
    <s v="CLI167"/>
    <s v="BOTUCATU"/>
    <s v="SP"/>
    <s v="CLI782"/>
    <s v="CABO DE SANTO AGOSTINHO"/>
    <s v="PE"/>
    <n v="2614.3279649999999"/>
    <n v="0"/>
    <n v="0"/>
    <n v="0"/>
    <n v="0"/>
    <x v="0"/>
    <x v="0"/>
    <s v="BRSSZTK01"/>
    <s v="BRSSZTCO"/>
    <n v="307.90779800000001"/>
    <n v="26.2515"/>
    <n v="150"/>
    <n v="5169.0664961587199"/>
    <n v="930.43196930856959"/>
    <n v="640"/>
    <n v="7"/>
    <n v="0"/>
    <n v="0"/>
    <n v="640"/>
    <m/>
    <m/>
    <n v="0"/>
    <x v="2"/>
    <s v="BRSUATK01"/>
    <s v="BRSUATCO"/>
    <n v="23.080721"/>
    <n v="26.2515"/>
    <n v="150"/>
    <n v="948.88623399744006"/>
    <n v="170.799522119539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459"/>
    <n v="5250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4.3279649999999"/>
    <n v="157.50900000000001"/>
    <n v="18330.713637196401"/>
    <n v="1283.1499546037483"/>
    <n v="110"/>
    <n v="150"/>
    <n v="1E-3"/>
    <n v="52.503"/>
    <n v="12831.499546037479"/>
    <n v="13144.00254603748"/>
    <n v="3180.9641611183101"/>
    <n v="1591.0856547630096"/>
    <n v="0.08"/>
    <n v="473.98546595625692"/>
    <n v="7.0000000000000007E-2"/>
    <n v="920.08017822262366"/>
    <n v="15"/>
    <n v="1"/>
  </r>
  <r>
    <n v="289"/>
    <d v="2022-12-31T00:00:00"/>
    <x v="2"/>
    <s v="CLI168"/>
    <s v="CLI168"/>
    <s v="ITAPETININGA"/>
    <s v="SP"/>
    <s v="CLI782"/>
    <s v="CABO DE SANTO AGOSTINHO"/>
    <s v="PE"/>
    <n v="2653.4453760000001"/>
    <n v="0"/>
    <n v="0"/>
    <n v="0"/>
    <n v="0"/>
    <x v="0"/>
    <x v="0"/>
    <s v="BRSSZTK01"/>
    <s v="BRSSZTCO"/>
    <n v="241.84061"/>
    <n v="89.052999999999997"/>
    <n v="150"/>
    <n v="4252.9742557503996"/>
    <n v="765.53536603507189"/>
    <n v="640"/>
    <n v="7"/>
    <n v="0"/>
    <n v="0"/>
    <n v="640"/>
    <m/>
    <m/>
    <n v="0"/>
    <x v="2"/>
    <s v="BRSUATK01"/>
    <s v="BRSUATCO"/>
    <n v="23.080721"/>
    <n v="89.052999999999997"/>
    <n v="150"/>
    <n v="1011.6877339974401"/>
    <n v="182.1037921195392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00"/>
    <n v="17810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53.4453760000001"/>
    <n v="534.31799999999998"/>
    <n v="18973.167410600963"/>
    <n v="1328.1217187420675"/>
    <n v="110"/>
    <n v="150"/>
    <n v="1E-3"/>
    <n v="178.10599999999999"/>
    <n v="13281.217187420674"/>
    <n v="13719.323187420674"/>
    <n v="3180.9641611183101"/>
    <n v="3019.6970365545244"/>
    <n v="0.08"/>
    <n v="600.56176316145786"/>
    <n v="7.0000000000000007E-2"/>
    <n v="960.35262311944723"/>
    <n v="15"/>
    <n v="1"/>
  </r>
  <r>
    <n v="290"/>
    <d v="2022-12-31T00:00:00"/>
    <x v="2"/>
    <s v="CLI169"/>
    <s v="CLI169"/>
    <s v="JOAO PESSOA"/>
    <s v="PB"/>
    <s v="CLI1020"/>
    <s v="MANAUS"/>
    <s v="AM"/>
    <n v="2824.1131625356697"/>
    <n v="2026.6121250000001"/>
    <n v="0"/>
    <n v="7000"/>
    <n v="0"/>
    <x v="0"/>
    <x v="3"/>
    <s v="BRSUATK01"/>
    <s v="BRSUATCO"/>
    <n v="167.74277900000001"/>
    <n v="53.955500000000001"/>
    <n v="150"/>
    <n v="3119.9958690425606"/>
    <n v="374.39950428510724"/>
    <n v="1344"/>
    <n v="7"/>
    <n v="0"/>
    <n v="0"/>
    <n v="1344"/>
    <m/>
    <m/>
    <n v="0"/>
    <x v="0"/>
    <s v="BRMAOTK01"/>
    <s v="BRMAOCHI"/>
    <n v="11.436796000000001"/>
    <n v="53.955500000000001"/>
    <n v="150"/>
    <n v="804.06638908544005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435"/>
    <n v="10791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1131625356697"/>
    <n v="323.733"/>
    <n v="19921.580522253233"/>
    <n v="2390.589662670388"/>
    <n v="110"/>
    <n v="150"/>
    <n v="1E-3"/>
    <n v="107.911"/>
    <n v="13945.106365577261"/>
    <n v="14313.017365577261"/>
    <n v="3180.9641611183101"/>
    <n v="4771.9909463309505"/>
    <n v="0.08"/>
    <n v="801.16444825313226"/>
    <n v="0.12"/>
    <n v="1717.5620838692714"/>
    <n v="15"/>
    <n v="1"/>
  </r>
  <r>
    <n v="291"/>
    <d v="2022-12-31T00:00:00"/>
    <x v="2"/>
    <s v="CLI170"/>
    <s v="CLI170"/>
    <s v="JUNDIAI"/>
    <s v="SP"/>
    <s v="CLI782"/>
    <s v="CABO DE SANTO AGOSTINHO"/>
    <s v="PE"/>
    <n v="2536.885659"/>
    <n v="0"/>
    <n v="0"/>
    <n v="0"/>
    <n v="0"/>
    <x v="0"/>
    <x v="0"/>
    <s v="BRSSZTK01"/>
    <s v="BRSSZTCO"/>
    <n v="139.13710800000001"/>
    <n v="58.466999999999999"/>
    <n v="150"/>
    <n v="2700.6674398771202"/>
    <n v="486.12013917788158"/>
    <n v="640"/>
    <n v="7"/>
    <n v="0"/>
    <n v="0"/>
    <n v="640"/>
    <m/>
    <m/>
    <n v="0"/>
    <x v="2"/>
    <s v="BRSUATK01"/>
    <s v="BRSUATCO"/>
    <n v="23.080721"/>
    <n v="58.466999999999999"/>
    <n v="150"/>
    <n v="981.10173399744008"/>
    <n v="176.598312119539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242"/>
    <n v="116934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2536.885659"/>
    <n v="350.80200000000002"/>
    <n v="17998.099034842646"/>
    <n v="1259.8669324389853"/>
    <n v="110"/>
    <n v="150"/>
    <n v="1E-3"/>
    <n v="116.934"/>
    <n v="12598.669324389852"/>
    <n v="12975.603324389851"/>
    <n v="3180.9641611183101"/>
    <n v="3858.8699893969811"/>
    <n v="0.08"/>
    <n v="690.48925593742968"/>
    <n v="7.0000000000000007E-2"/>
    <n v="908.2922327072896"/>
    <n v="15"/>
    <n v="3"/>
  </r>
  <r>
    <n v="292"/>
    <d v="2022-12-31T00:00:00"/>
    <x v="2"/>
    <s v="CLI171"/>
    <s v="CLI171"/>
    <s v="SAO PAULO"/>
    <s v="SP"/>
    <s v="CLI933"/>
    <s v="MANAUS"/>
    <s v="AM"/>
    <n v="2682.4745732067604"/>
    <n v="2877.9279630000001"/>
    <n v="0"/>
    <n v="7000"/>
    <n v="0"/>
    <x v="0"/>
    <x v="0"/>
    <s v="BRSSZTK01"/>
    <s v="BRSSZTCO"/>
    <n v="85.841132000000002"/>
    <n v="93.995999999999995"/>
    <n v="150"/>
    <n v="1946.5291500364801"/>
    <n v="350.37524700656638"/>
    <n v="640"/>
    <n v="7"/>
    <n v="0"/>
    <n v="0"/>
    <n v="640"/>
    <m/>
    <m/>
    <n v="0"/>
    <x v="0"/>
    <s v="BRMAOTK01"/>
    <s v="BRMAOCHI"/>
    <n v="11.436796000000001"/>
    <n v="93.995999999999995"/>
    <n v="150"/>
    <n v="844.1068890854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382"/>
    <n v="18799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82.4745732067604"/>
    <n v="563.976"/>
    <n v="19199.961527664182"/>
    <n v="1343.9973069364928"/>
    <n v="110"/>
    <n v="150"/>
    <n v="1E-3"/>
    <n v="187.99199999999999"/>
    <n v="13439.973069364927"/>
    <n v="13887.965069364927"/>
    <n v="3180.9641611183101"/>
    <n v="6174.3648691246963"/>
    <n v="0.08"/>
    <n v="859.75630265891527"/>
    <n v="7.0000000000000007E-2"/>
    <n v="972.15755485554496"/>
    <n v="15"/>
    <n v="1"/>
  </r>
  <r>
    <n v="293"/>
    <d v="2022-12-31T00:00:00"/>
    <x v="2"/>
    <s v="CLI173"/>
    <s v="CLI173"/>
    <s v="MANAUS"/>
    <s v="AM"/>
    <s v="CLI599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29.923500000000001"/>
    <n v="150"/>
    <n v="780.03438908544001"/>
    <n v="0"/>
    <n v="832"/>
    <n v="7"/>
    <n v="0"/>
    <n v="0"/>
    <n v="832"/>
    <m/>
    <m/>
    <n v="0"/>
    <x v="2"/>
    <s v="BRSUATK01"/>
    <s v="BRSUATCO"/>
    <n v="43.495365"/>
    <n v="29.923500000000001"/>
    <n v="150"/>
    <n v="1255.0346648736001"/>
    <n v="225.90623967724801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864"/>
    <n v="59847"/>
    <x v="1"/>
    <x v="3"/>
    <x v="2"/>
    <x v="2"/>
    <x v="3"/>
    <x v="3"/>
    <n v="1"/>
    <n v="1"/>
    <n v="1"/>
    <n v="1"/>
    <n v="2"/>
    <n v="1"/>
    <n v="2"/>
    <n v="14"/>
    <n v="7"/>
    <n v="180"/>
    <n v="7"/>
    <n v="180"/>
    <n v="3493.6139780000003"/>
    <n v="179.541"/>
    <n v="24323.941780038887"/>
    <n v="2918.8730136046665"/>
    <n v="110"/>
    <n v="150"/>
    <n v="1E-3"/>
    <n v="59.847000000000001"/>
    <n v="17026.759246027221"/>
    <n v="17346.606246027222"/>
    <n v="3180.9641611183101"/>
    <n v="9659.573030949874"/>
    <n v="0.08"/>
    <n v="1206.850476191275"/>
    <n v="0.12"/>
    <n v="2081.5927495232668"/>
    <n v="15"/>
    <n v="2"/>
  </r>
  <r>
    <n v="294"/>
    <d v="2022-12-31T00:00:00"/>
    <x v="2"/>
    <s v="CLI174"/>
    <s v="CLI174"/>
    <s v="SAO CARLOS"/>
    <s v="SP"/>
    <s v="CLI594"/>
    <s v="MANAUS"/>
    <s v="AM"/>
    <n v="2469.5230337508128"/>
    <n v="2648.3485340000002"/>
    <n v="0"/>
    <n v="7000"/>
    <n v="0"/>
    <x v="0"/>
    <x v="0"/>
    <s v="BRSSZTK01"/>
    <s v="BRSSZTCO"/>
    <n v="313.15260600000005"/>
    <n v="36.646500000000003"/>
    <n v="150"/>
    <n v="5257.1719281638407"/>
    <n v="946.29094706949127"/>
    <n v="640"/>
    <n v="7"/>
    <n v="0"/>
    <n v="0"/>
    <n v="640"/>
    <m/>
    <m/>
    <n v="0"/>
    <x v="0"/>
    <s v="BRMAOTK01"/>
    <s v="BRMAOCHI"/>
    <n v="11.436796000000001"/>
    <n v="36.646500000000003"/>
    <n v="150"/>
    <n v="786.7573890854400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069"/>
    <n v="7329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69.5230337508128"/>
    <n v="219.87899999999999"/>
    <n v="17409.719141280424"/>
    <n v="1218.6803398896297"/>
    <n v="110"/>
    <n v="150"/>
    <n v="1E-3"/>
    <n v="73.293000000000006"/>
    <n v="12186.803398896296"/>
    <n v="12520.096398896296"/>
    <n v="3180.9641611183101"/>
    <n v="1553.2029205287049"/>
    <n v="0.08"/>
    <n v="442.39009076620192"/>
    <n v="7.0000000000000007E-2"/>
    <n v="876.40674792274081"/>
    <n v="15"/>
    <n v="1"/>
  </r>
  <r>
    <n v="295"/>
    <d v="2022-12-31T00:00:00"/>
    <x v="2"/>
    <s v="CLI175"/>
    <s v="CLI175"/>
    <s v="MANAUS"/>
    <s v="AM"/>
    <s v="CLI176"/>
    <s v="MOGI DAS CRUZES"/>
    <s v="SP"/>
    <n v="3979.6451809999999"/>
    <n v="0"/>
    <n v="2928.4872650000002"/>
    <n v="7000"/>
    <n v="0"/>
    <x v="0"/>
    <x v="2"/>
    <s v="BRMAOTK01"/>
    <s v="BRMAOCHI"/>
    <n v="11.436796000000001"/>
    <n v="108.72750000000001"/>
    <n v="150"/>
    <n v="858.83838908543999"/>
    <n v="0"/>
    <n v="832"/>
    <n v="7"/>
    <n v="0"/>
    <n v="0"/>
    <n v="832"/>
    <m/>
    <m/>
    <n v="0"/>
    <x v="1"/>
    <s v="BRSSZTK01"/>
    <s v="BRSSZTCO"/>
    <n v="87.132406000000003"/>
    <n v="108.72750000000001"/>
    <n v="150"/>
    <n v="1980.3929920358403"/>
    <n v="356.4707385664512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723"/>
    <n v="217455"/>
    <x v="1"/>
    <x v="3"/>
    <x v="2"/>
    <x v="2"/>
    <x v="3"/>
    <x v="3"/>
    <n v="2"/>
    <n v="1"/>
    <n v="2"/>
    <n v="2"/>
    <n v="2"/>
    <n v="1"/>
    <n v="2"/>
    <n v="17"/>
    <n v="7"/>
    <n v="180"/>
    <n v="7"/>
    <n v="180"/>
    <n v="3979.6451809999999"/>
    <n v="652.36500000000001"/>
    <n v="28097.384238363764"/>
    <n v="3371.6861086036515"/>
    <n v="110"/>
    <n v="150"/>
    <n v="1E-3"/>
    <n v="217.45500000000001"/>
    <n v="19668.168966854635"/>
    <n v="20145.623966854637"/>
    <n v="3180.9641611183101"/>
    <n v="12358.428424615049"/>
    <n v="0.08"/>
    <n v="1355.9937477733527"/>
    <n v="0.12"/>
    <n v="2417.4748760225561"/>
    <n v="15"/>
    <n v="2"/>
  </r>
  <r>
    <n v="296"/>
    <d v="2022-12-31T00:00:00"/>
    <x v="2"/>
    <s v="CLI175"/>
    <s v="CLI175"/>
    <s v="MANAUS"/>
    <s v="AM"/>
    <s v="CLI176"/>
    <s v="MOGI DAS CRUZES"/>
    <s v="SP"/>
    <n v="3979.6451809999999"/>
    <n v="0"/>
    <n v="2928.4872650000002"/>
    <n v="7000"/>
    <n v="0"/>
    <x v="0"/>
    <x v="2"/>
    <s v="BRMAOTK01"/>
    <s v="BRMAOCHI"/>
    <n v="11.436796000000001"/>
    <n v="114.7085"/>
    <n v="150"/>
    <n v="864.81938908543998"/>
    <n v="0"/>
    <n v="832"/>
    <n v="7"/>
    <n v="0"/>
    <n v="0"/>
    <n v="832"/>
    <m/>
    <m/>
    <n v="0"/>
    <x v="1"/>
    <s v="BRSSZTK01"/>
    <s v="BRSSZTCO"/>
    <n v="87.132406000000003"/>
    <n v="114.7085"/>
    <n v="150"/>
    <n v="1986.3739920358403"/>
    <n v="357.5473185664512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669"/>
    <n v="229417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3979.6451809999999"/>
    <n v="688.25099999999998"/>
    <n v="28133.270238363762"/>
    <n v="3375.9924286036512"/>
    <n v="110"/>
    <n v="150"/>
    <n v="1E-3"/>
    <n v="229.417"/>
    <n v="19693.289166854633"/>
    <n v="20182.706166854634"/>
    <n v="3180.9641611183101"/>
    <n v="12383.548624615039"/>
    <n v="0.08"/>
    <n v="1357.9172373733518"/>
    <n v="0.12"/>
    <n v="2421.9247400225559"/>
    <n v="15"/>
    <n v="2"/>
  </r>
  <r>
    <n v="297"/>
    <d v="2022-12-31T00:00:00"/>
    <x v="2"/>
    <s v="CLI175"/>
    <s v="CLI175"/>
    <s v="MANAUS"/>
    <s v="AM"/>
    <s v="CLI176"/>
    <s v="MOGI DAS CRUZES"/>
    <s v="SP"/>
    <n v="3979.6451809999999"/>
    <n v="0"/>
    <n v="2928.4872650000002"/>
    <n v="7000"/>
    <n v="0"/>
    <x v="0"/>
    <x v="2"/>
    <s v="BRMAOTK01"/>
    <s v="BRMAOCHI"/>
    <n v="11.436796000000001"/>
    <n v="40.277500000000003"/>
    <n v="150"/>
    <n v="790.38838908544005"/>
    <n v="0"/>
    <n v="832"/>
    <n v="7"/>
    <n v="0"/>
    <n v="0"/>
    <n v="832"/>
    <m/>
    <m/>
    <n v="0"/>
    <x v="1"/>
    <s v="BRSSZTK01"/>
    <s v="BRSSZTCO"/>
    <n v="87.132406000000003"/>
    <n v="40.277500000000003"/>
    <n v="150"/>
    <n v="1911.9429920358402"/>
    <n v="344.1497385664512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594"/>
    <n v="8055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79.6451809999999"/>
    <n v="241.66499999999999"/>
    <n v="27686.684238363763"/>
    <n v="3322.4021086036514"/>
    <n v="110"/>
    <n v="150"/>
    <n v="1E-3"/>
    <n v="80.555000000000007"/>
    <n v="19380.678966854633"/>
    <n v="19721.233966854634"/>
    <n v="3180.9641611183101"/>
    <n v="12070.93842461504"/>
    <n v="0.08"/>
    <n v="1333.980227773352"/>
    <n v="0.12"/>
    <n v="2366.548076022556"/>
    <n v="15"/>
    <n v="1"/>
  </r>
  <r>
    <n v="298"/>
    <d v="2022-12-31T00:00:00"/>
    <x v="2"/>
    <s v="CLI176"/>
    <s v="CLI176"/>
    <s v="MOGI DAS CRUZES"/>
    <s v="SP"/>
    <s v="CLI175"/>
    <s v="MANAUS"/>
    <s v="AM"/>
    <n v="2707.0154661742945"/>
    <n v="2928.4872650000002"/>
    <n v="0"/>
    <n v="7000"/>
    <n v="0"/>
    <x v="0"/>
    <x v="0"/>
    <s v="BRSSZTK01"/>
    <s v="BRSSZTCO"/>
    <n v="87.132406000000003"/>
    <n v="101.52200000000001"/>
    <n v="150"/>
    <n v="1973.1874920358403"/>
    <n v="355.17374856645125"/>
    <n v="640"/>
    <n v="7"/>
    <n v="0"/>
    <n v="0"/>
    <n v="640"/>
    <m/>
    <m/>
    <n v="0"/>
    <x v="0"/>
    <s v="BRMAOTK01"/>
    <s v="BRMAOCHI"/>
    <n v="11.436796000000001"/>
    <n v="101.52200000000001"/>
    <n v="150"/>
    <n v="851.6328890854400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177"/>
    <n v="203044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707.0154661742945"/>
    <n v="609.13200000000006"/>
    <n v="19411.773750170989"/>
    <n v="1358.8241625119695"/>
    <n v="110"/>
    <n v="150"/>
    <n v="1E-3"/>
    <n v="203.04400000000001"/>
    <n v="13588.241625119692"/>
    <n v="14051.285625119692"/>
    <n v="3180.9641611183101"/>
    <n v="6303.5010828801005"/>
    <n v="0.08"/>
    <n v="869.70331963455681"/>
    <n v="7.0000000000000007E-2"/>
    <n v="983.58999375837857"/>
    <n v="15"/>
    <n v="3"/>
  </r>
  <r>
    <n v="299"/>
    <d v="2022-12-31T00:00:00"/>
    <x v="2"/>
    <s v="CLI177"/>
    <s v="CLI177"/>
    <s v="DIADEMA"/>
    <s v="SP"/>
    <s v="CLI1209"/>
    <s v="RECIFE"/>
    <s v="PE"/>
    <n v="2606.3059069999999"/>
    <n v="0"/>
    <n v="0"/>
    <n v="0"/>
    <n v="0"/>
    <x v="0"/>
    <x v="0"/>
    <s v="BRSSZTK01"/>
    <s v="BRSSZTCO"/>
    <n v="72.836216000000007"/>
    <n v="107.26050000000001"/>
    <n v="150"/>
    <n v="1767.1044914342401"/>
    <n v="318.07880845816322"/>
    <n v="640"/>
    <n v="7"/>
    <n v="0"/>
    <n v="0"/>
    <n v="640"/>
    <m/>
    <m/>
    <n v="0"/>
    <x v="2"/>
    <s v="BRSUATK01"/>
    <s v="BRSUATCO"/>
    <n v="51.681188999999996"/>
    <n v="107.26050000000001"/>
    <n v="150"/>
    <n v="1453.65807218496"/>
    <n v="261.65845299329277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06"/>
    <n v="214521"/>
    <x v="1"/>
    <x v="5"/>
    <x v="5"/>
    <x v="5"/>
    <x v="0"/>
    <x v="0"/>
    <n v="4"/>
    <n v="4"/>
    <n v="4"/>
    <n v="4"/>
    <n v="4"/>
    <n v="4"/>
    <n v="4"/>
    <n v="45"/>
    <n v="7"/>
    <n v="180"/>
    <n v="7"/>
    <n v="180"/>
    <n v="2606.3059069999999"/>
    <n v="643.56299999999999"/>
    <n v="18762.290162200719"/>
    <n v="1313.3603113540505"/>
    <n v="110"/>
    <n v="150"/>
    <n v="1E-3"/>
    <n v="214.52100000000002"/>
    <n v="13133.603113540503"/>
    <n v="13608.124113540503"/>
    <n v="3180.9641611183101"/>
    <n v="4952.3973888029923"/>
    <n v="0.08"/>
    <n v="784.60994307758767"/>
    <n v="7.0000000000000007E-2"/>
    <n v="952.56868794783531"/>
    <n v="15"/>
    <n v="4"/>
  </r>
  <r>
    <n v="300"/>
    <d v="2022-12-31T00:00:00"/>
    <x v="2"/>
    <s v="CLI178"/>
    <s v="CLI178"/>
    <s v="LAGOA DA PRATA"/>
    <s v="MG"/>
    <s v="CLI1162"/>
    <s v="VITORIA DE SANTO ANTAO"/>
    <s v="PE"/>
    <n v="2079.5995509999998"/>
    <n v="0"/>
    <n v="0"/>
    <n v="0"/>
    <n v="0"/>
    <x v="0"/>
    <x v="4"/>
    <s v="BRIGITK01"/>
    <s v="BRIGITCO"/>
    <n v="509.628265"/>
    <n v="94.823499999999996"/>
    <n v="150"/>
    <n v="8226.4580363296009"/>
    <n v="987.17496435955206"/>
    <n v="704"/>
    <n v="7"/>
    <n v="0"/>
    <n v="0"/>
    <n v="704"/>
    <m/>
    <m/>
    <n v="0"/>
    <x v="2"/>
    <s v="BRSUATK01"/>
    <s v="BRSUATCO"/>
    <n v="70.64138899999999"/>
    <n v="94.823499999999996"/>
    <n v="150"/>
    <n v="1722.14752991296"/>
    <n v="309.9865553843328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958"/>
    <n v="189647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2079.5995509999998"/>
    <n v="568.94100000000003"/>
    <n v="15110.826366858963"/>
    <n v="1057.7578456801275"/>
    <n v="110"/>
    <n v="150"/>
    <n v="1E-3"/>
    <n v="189.64699999999999"/>
    <n v="10577.578456801273"/>
    <n v="11027.225456801274"/>
    <n v="3180.9641611183101"/>
    <n v="-4440.3442705595971"/>
    <n v="0.08"/>
    <n v="-17.48333033481374"/>
    <n v="7.0000000000000007E-2"/>
    <n v="771.9057819760892"/>
    <n v="15"/>
    <n v="5"/>
  </r>
  <r>
    <n v="301"/>
    <d v="2022-12-31T00:00:00"/>
    <x v="2"/>
    <s v="CLI179"/>
    <s v="CLI179"/>
    <s v="SANTA GERTRUDES"/>
    <s v="SP"/>
    <s v="CLI691"/>
    <s v="MANAUS"/>
    <s v="AM"/>
    <n v="2530.6905541302044"/>
    <n v="2714.9531979999997"/>
    <n v="0"/>
    <n v="7000"/>
    <n v="0"/>
    <x v="0"/>
    <x v="0"/>
    <s v="BRSSZTK01"/>
    <s v="BRSSZTCO"/>
    <n v="247.601833"/>
    <n v="60.097000000000001"/>
    <n v="150"/>
    <n v="4309.3802229011199"/>
    <n v="775.68844012220154"/>
    <n v="640"/>
    <n v="7"/>
    <n v="0"/>
    <n v="0"/>
    <n v="640"/>
    <m/>
    <m/>
    <n v="0"/>
    <x v="0"/>
    <s v="BRMAOTK01"/>
    <s v="BRMAOCHI"/>
    <n v="11.436796000000001"/>
    <n v="60.097000000000001"/>
    <n v="150"/>
    <n v="810.2078890854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156"/>
    <n v="12019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0.6905541302044"/>
    <n v="360.58199999999999"/>
    <n v="17965.808325476053"/>
    <n v="1257.6065827833238"/>
    <n v="110"/>
    <n v="150"/>
    <n v="1E-3"/>
    <n v="120.194"/>
    <n v="12576.065827833236"/>
    <n v="12956.259827833235"/>
    <n v="3180.9641611183101"/>
    <n v="2913.7075547283653"/>
    <n v="0.08"/>
    <n v="564.87866205795797"/>
    <n v="7.0000000000000007E-2"/>
    <n v="906.93818794832657"/>
    <n v="15"/>
    <n v="1"/>
  </r>
  <r>
    <n v="302"/>
    <d v="2022-12-31T00:00:00"/>
    <x v="1"/>
    <s v="CLI180"/>
    <s v="CLI180"/>
    <s v="SALVADOR"/>
    <s v="BA"/>
    <s v="CLI472"/>
    <s v="MANAUS"/>
    <s v="AM"/>
    <n v="2607.4651122464215"/>
    <n v="2075.7147789999999"/>
    <n v="0"/>
    <n v="7000"/>
    <n v="0"/>
    <x v="0"/>
    <x v="5"/>
    <s v="BRSSATK01S"/>
    <s v="BRSSATCO"/>
    <n v="2.2452209999999999"/>
    <n v="67.344000000000008"/>
    <n v="150"/>
    <n v="681.26663127743996"/>
    <n v="0"/>
    <n v="704"/>
    <n v="7"/>
    <n v="0"/>
    <n v="0"/>
    <n v="704"/>
    <m/>
    <m/>
    <n v="0"/>
    <x v="0"/>
    <s v="BRMAOTK01"/>
    <s v="BRMAOCHI"/>
    <n v="11.436796000000001"/>
    <n v="67.344000000000008"/>
    <n v="150"/>
    <n v="817.45488908544007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786"/>
    <n v="134688"/>
    <x v="0"/>
    <x v="3"/>
    <x v="2"/>
    <x v="2"/>
    <x v="2"/>
    <x v="3"/>
    <n v="2"/>
    <n v="2"/>
    <n v="2"/>
    <n v="2"/>
    <n v="2"/>
    <n v="1"/>
    <n v="1"/>
    <n v="18"/>
    <n v="7"/>
    <n v="110"/>
    <n v="7"/>
    <n v="110"/>
    <n v="2607.4651122464215"/>
    <n v="404.06400000000002"/>
    <n v="18530.663278660959"/>
    <n v="2223.6795934393149"/>
    <n v="75"/>
    <n v="150"/>
    <n v="1E-3"/>
    <n v="134.68800000000002"/>
    <n v="12494.577653168461"/>
    <n v="12854.265653168461"/>
    <n v="3180.9641611183101"/>
    <n v="7024.8466029647097"/>
    <n v="0.08"/>
    <n v="908.44353062444645"/>
    <n v="0.12"/>
    <n v="1542.5118783802152"/>
    <n v="15"/>
    <n v="2"/>
  </r>
  <r>
    <n v="303"/>
    <d v="2022-12-31T00:00:00"/>
    <x v="1"/>
    <s v="CLI183"/>
    <s v="CLI183"/>
    <s v="SANTOS"/>
    <s v="SP"/>
    <s v="CLI799"/>
    <s v="MANAUS"/>
    <s v="AM"/>
    <n v="2738.1624465451514"/>
    <n v="2948.3907220000001"/>
    <n v="0"/>
    <n v="7000"/>
    <n v="0"/>
    <x v="0"/>
    <x v="0"/>
    <s v="BRSSZTK01S"/>
    <s v="BRSSZTCO"/>
    <n v="14.583465"/>
    <n v="30.799500000000002"/>
    <n v="150"/>
    <n v="827.53345085759997"/>
    <n v="148.95602115436799"/>
    <n v="640"/>
    <n v="7"/>
    <n v="0"/>
    <n v="0"/>
    <n v="640"/>
    <m/>
    <m/>
    <n v="0"/>
    <x v="0"/>
    <s v="BRMAOTK01"/>
    <s v="BRMAOCHI"/>
    <n v="11.436796000000001"/>
    <n v="30.799500000000002"/>
    <n v="150"/>
    <n v="780.91038908543999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163"/>
    <n v="61599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738.1624465451514"/>
    <n v="184.797"/>
    <n v="19198.956647990264"/>
    <n v="1343.9269653593187"/>
    <n v="110"/>
    <n v="150"/>
    <n v="1E-3"/>
    <n v="61.599000000000004"/>
    <n v="12859.996237992864"/>
    <n v="13181.595237992864"/>
    <n v="3180.9641611183101"/>
    <n v="7477.7206877891131"/>
    <n v="0.08"/>
    <n v="913.93563015163647"/>
    <n v="7.0000000000000007E-2"/>
    <n v="922.71166665950057"/>
    <n v="15"/>
    <n v="2"/>
  </r>
  <r>
    <n v="304"/>
    <d v="2022-12-31T00:00:00"/>
    <x v="2"/>
    <s v="CLI184"/>
    <s v="CLI184"/>
    <s v="MARACANAU"/>
    <s v="CE"/>
    <s v="CLI594"/>
    <s v="MANAUS"/>
    <s v="AM"/>
    <n v="2379.3453616800616"/>
    <n v="1441.5450940000001"/>
    <n v="0"/>
    <n v="7000"/>
    <n v="0"/>
    <x v="0"/>
    <x v="1"/>
    <s v="BRPECTK01"/>
    <s v="BRPECAPM"/>
    <n v="52.945568000000002"/>
    <n v="55.238"/>
    <n v="150"/>
    <n v="1420.3694206515202"/>
    <n v="255.66649571727362"/>
    <n v="768"/>
    <n v="7"/>
    <n v="0"/>
    <n v="0"/>
    <n v="768"/>
    <m/>
    <m/>
    <n v="0"/>
    <x v="0"/>
    <s v="BRMAOTK01"/>
    <s v="BRMAOCHI"/>
    <n v="11.436796000000001"/>
    <n v="55.238"/>
    <n v="150"/>
    <n v="805.3488890854400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577"/>
    <n v="110476"/>
    <x v="1"/>
    <x v="1"/>
    <x v="6"/>
    <x v="5"/>
    <x v="5"/>
    <x v="6"/>
    <n v="5"/>
    <n v="5"/>
    <n v="5"/>
    <n v="5"/>
    <n v="5"/>
    <n v="5"/>
    <n v="5"/>
    <n v="56"/>
    <n v="7"/>
    <n v="180"/>
    <n v="7"/>
    <n v="180"/>
    <n v="2379.3453616800616"/>
    <n v="331.428"/>
    <n v="16908.875177354836"/>
    <n v="2029.0650212825801"/>
    <n v="110"/>
    <n v="150"/>
    <n v="1E-3"/>
    <n v="110.476"/>
    <n v="11836.212624148384"/>
    <n v="12206.688624148384"/>
    <n v="3180.9641611183101"/>
    <n v="4870.0061532931122"/>
    <n v="0.08"/>
    <n v="778.02430549553185"/>
    <n v="0.12"/>
    <n v="1464.802634897806"/>
    <n v="15"/>
    <n v="5"/>
  </r>
  <r>
    <n v="305"/>
    <d v="2022-12-31T00:00:00"/>
    <x v="2"/>
    <s v="CLI184"/>
    <s v="CLI184"/>
    <s v="MARACANAU"/>
    <s v="CE"/>
    <s v="CLI1312"/>
    <s v="MANAUS"/>
    <s v="AM"/>
    <n v="2379.3453616800616"/>
    <n v="1441.5450940000001"/>
    <n v="0"/>
    <n v="7000"/>
    <n v="0"/>
    <x v="0"/>
    <x v="1"/>
    <s v="BRPECTK01"/>
    <s v="BRPECAPM"/>
    <n v="52.945568000000002"/>
    <n v="93.26"/>
    <n v="150"/>
    <n v="1458.3914206515201"/>
    <n v="262.5104557172736"/>
    <n v="768"/>
    <n v="7"/>
    <n v="0"/>
    <n v="0"/>
    <n v="768"/>
    <m/>
    <m/>
    <n v="0"/>
    <x v="0"/>
    <s v="BRMAOTK01"/>
    <s v="BRMAOCHI"/>
    <n v="11.436796000000001"/>
    <n v="93.26"/>
    <n v="150"/>
    <n v="843.3708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895"/>
    <n v="186520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379.3453616800616"/>
    <n v="559.56000000000006"/>
    <n v="17137.007177354837"/>
    <n v="2056.4408612825805"/>
    <n v="110"/>
    <n v="150"/>
    <n v="1E-3"/>
    <n v="186.52"/>
    <n v="11995.905024148386"/>
    <n v="12442.425024148386"/>
    <n v="3180.9641611183101"/>
    <n v="5029.6985532931158"/>
    <n v="0.08"/>
    <n v="790.25218069553216"/>
    <n v="0.12"/>
    <n v="1493.0910028978062"/>
    <n v="15"/>
    <n v="3"/>
  </r>
  <r>
    <n v="306"/>
    <d v="2022-12-31T00:00:00"/>
    <x v="2"/>
    <s v="CLI184"/>
    <s v="CLI184"/>
    <s v="MARACANAU"/>
    <s v="CE"/>
    <s v="CLI887"/>
    <s v="MANAUS"/>
    <s v="AM"/>
    <n v="2379.3453616800616"/>
    <n v="1441.5450940000001"/>
    <n v="0"/>
    <n v="7000"/>
    <n v="0"/>
    <x v="0"/>
    <x v="1"/>
    <s v="BRPECTK01"/>
    <s v="BRPECAPM"/>
    <n v="52.945568000000002"/>
    <n v="96.573000000000008"/>
    <n v="150"/>
    <n v="1461.7044206515202"/>
    <n v="263.1067957172736"/>
    <n v="768"/>
    <n v="7"/>
    <n v="0"/>
    <n v="0"/>
    <n v="768"/>
    <m/>
    <m/>
    <n v="0"/>
    <x v="0"/>
    <s v="BRMAOTK01"/>
    <s v="BRMAOCHI"/>
    <n v="11.436796000000001"/>
    <n v="96.573000000000008"/>
    <n v="150"/>
    <n v="846.6838890854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817"/>
    <n v="193146"/>
    <x v="1"/>
    <x v="2"/>
    <x v="0"/>
    <x v="0"/>
    <x v="2"/>
    <x v="2"/>
    <n v="3"/>
    <n v="2"/>
    <n v="3"/>
    <n v="3"/>
    <n v="3"/>
    <n v="3"/>
    <n v="3"/>
    <n v="30"/>
    <n v="7"/>
    <n v="180"/>
    <n v="7"/>
    <n v="180"/>
    <n v="2379.3453616800616"/>
    <n v="579.43799999999999"/>
    <n v="17156.885177354834"/>
    <n v="2058.8262212825798"/>
    <n v="110"/>
    <n v="150"/>
    <n v="1E-3"/>
    <n v="193.14600000000002"/>
    <n v="12009.819624148384"/>
    <n v="12462.965624148384"/>
    <n v="3180.9641611183101"/>
    <n v="5043.613153293114"/>
    <n v="0.08"/>
    <n v="791.31764149553214"/>
    <n v="0.12"/>
    <n v="1495.555874897806"/>
    <n v="15"/>
    <n v="3"/>
  </r>
  <r>
    <n v="307"/>
    <d v="2022-12-31T00:00:00"/>
    <x v="2"/>
    <s v="CLI184"/>
    <s v="CLI184"/>
    <s v="MARACANAU"/>
    <s v="CE"/>
    <s v="CLI1312"/>
    <s v="MANAUS"/>
    <s v="AM"/>
    <n v="2379.3453616800616"/>
    <n v="1441.5450940000001"/>
    <n v="0"/>
    <n v="7000"/>
    <n v="0"/>
    <x v="0"/>
    <x v="1"/>
    <s v="BRPECTK01"/>
    <s v="BRPECAPM"/>
    <n v="52.945568000000002"/>
    <n v="63.1785"/>
    <n v="150"/>
    <n v="1428.3099206515201"/>
    <n v="257.0957857172736"/>
    <n v="768"/>
    <n v="7"/>
    <n v="0"/>
    <n v="0"/>
    <n v="768"/>
    <m/>
    <m/>
    <n v="0"/>
    <x v="0"/>
    <s v="BRMAOTK01"/>
    <s v="BRMAOCHI"/>
    <n v="11.436796000000001"/>
    <n v="63.1785"/>
    <n v="150"/>
    <n v="813.2893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24"/>
    <n v="126357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9.3453616800616"/>
    <n v="379.07100000000003"/>
    <n v="16956.518177354836"/>
    <n v="2034.7821812825803"/>
    <n v="110"/>
    <n v="150"/>
    <n v="1E-3"/>
    <n v="126.357"/>
    <n v="11869.562724148383"/>
    <n v="12255.919724148383"/>
    <n v="3180.9641611183101"/>
    <n v="4903.3562532931137"/>
    <n v="0.08"/>
    <n v="780.57797029553205"/>
    <n v="0.12"/>
    <n v="1470.7103668978059"/>
    <n v="15"/>
    <n v="2"/>
  </r>
  <r>
    <n v="308"/>
    <d v="2022-12-31T00:00:00"/>
    <x v="2"/>
    <s v="CLI184"/>
    <s v="CLI184"/>
    <s v="MARACANAU"/>
    <s v="CE"/>
    <s v="CLI1050"/>
    <s v="MANAUS"/>
    <s v="AM"/>
    <n v="2379.3453616800616"/>
    <n v="1441.5450940000001"/>
    <n v="0"/>
    <n v="7000"/>
    <n v="0"/>
    <x v="0"/>
    <x v="1"/>
    <s v="BRPECTK01"/>
    <s v="BRPECAPM"/>
    <n v="52.945568000000002"/>
    <n v="36.268000000000001"/>
    <n v="150"/>
    <n v="1401.3994206515201"/>
    <n v="252.25189571727361"/>
    <n v="768"/>
    <n v="7"/>
    <n v="0"/>
    <n v="0"/>
    <n v="768"/>
    <m/>
    <m/>
    <n v="0"/>
    <x v="0"/>
    <s v="BRMAOTK01"/>
    <s v="BRMAOCHI"/>
    <n v="11.436796000000001"/>
    <n v="36.268000000000001"/>
    <n v="150"/>
    <n v="786.37888908544005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497"/>
    <n v="7253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9.3453616800616"/>
    <n v="217.608"/>
    <n v="16795.055177354836"/>
    <n v="2015.4066212825803"/>
    <n v="110"/>
    <n v="150"/>
    <n v="1E-3"/>
    <n v="72.536000000000001"/>
    <n v="11756.538624148385"/>
    <n v="12089.074624148385"/>
    <n v="3180.9641611183101"/>
    <n v="4790.332153293115"/>
    <n v="0.08"/>
    <n v="771.92355349553213"/>
    <n v="0.12"/>
    <n v="1450.6889548978061"/>
    <n v="15"/>
    <n v="2"/>
  </r>
  <r>
    <n v="309"/>
    <d v="2022-12-31T00:00:00"/>
    <x v="2"/>
    <s v="CLI184"/>
    <s v="CLI184"/>
    <s v="MARACANAU"/>
    <s v="CE"/>
    <s v="CLI522"/>
    <s v="MANAUS"/>
    <s v="AM"/>
    <n v="2379.3453616800616"/>
    <n v="1441.5450940000001"/>
    <n v="0"/>
    <n v="7000"/>
    <n v="0"/>
    <x v="0"/>
    <x v="1"/>
    <s v="BRPECTK01"/>
    <s v="BRPECAPM"/>
    <n v="52.945568000000002"/>
    <n v="78.770499999999998"/>
    <n v="150"/>
    <n v="1443.9019206515202"/>
    <n v="259.90234571727365"/>
    <n v="768"/>
    <n v="7"/>
    <n v="0"/>
    <n v="0"/>
    <n v="768"/>
    <m/>
    <m/>
    <n v="0"/>
    <x v="0"/>
    <s v="BRMAOTK01"/>
    <s v="BRMAOCHI"/>
    <n v="11.436796000000001"/>
    <n v="78.770499999999998"/>
    <n v="150"/>
    <n v="828.88138908543999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90"/>
    <n v="157541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9.3453616800616"/>
    <n v="472.62299999999999"/>
    <n v="17050.070177354835"/>
    <n v="2046.0084212825802"/>
    <n v="110"/>
    <n v="150"/>
    <n v="1E-3"/>
    <n v="157.541"/>
    <n v="11935.049124148383"/>
    <n v="12352.590124148383"/>
    <n v="3180.9641611183101"/>
    <n v="4968.8426532931117"/>
    <n v="0.08"/>
    <n v="785.59235749553193"/>
    <n v="0.12"/>
    <n v="1482.3108148978058"/>
    <n v="15"/>
    <n v="2"/>
  </r>
  <r>
    <n v="310"/>
    <d v="2022-12-31T00:00:00"/>
    <x v="2"/>
    <s v="CLI184"/>
    <s v="CLI184"/>
    <s v="MARACANAU"/>
    <s v="CE"/>
    <s v="CLI1101"/>
    <s v="MANAUS"/>
    <s v="AM"/>
    <n v="2379.3453616800616"/>
    <n v="1441.5450940000001"/>
    <n v="0"/>
    <n v="7000"/>
    <n v="0"/>
    <x v="0"/>
    <x v="1"/>
    <s v="BRPECTK01"/>
    <s v="BRPECAPM"/>
    <n v="52.945568000000002"/>
    <n v="80.326999999999998"/>
    <n v="150"/>
    <n v="1445.4584206515201"/>
    <n v="260.18251571727359"/>
    <n v="768"/>
    <n v="7"/>
    <n v="0"/>
    <n v="0"/>
    <n v="768"/>
    <m/>
    <m/>
    <n v="0"/>
    <x v="0"/>
    <s v="BRMAOTK01"/>
    <s v="BRMAOCHI"/>
    <n v="11.436796000000001"/>
    <n v="80.326999999999998"/>
    <n v="150"/>
    <n v="830.43788908544002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708"/>
    <n v="16065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481.96199999999999"/>
    <n v="17059.409177354835"/>
    <n v="2047.1291012825802"/>
    <n v="110"/>
    <n v="150"/>
    <n v="1E-3"/>
    <n v="160.654"/>
    <n v="11941.586424148383"/>
    <n v="12362.240424148384"/>
    <n v="3180.9641611183101"/>
    <n v="4975.3799532931134"/>
    <n v="0.08"/>
    <n v="786.09292789553206"/>
    <n v="0.12"/>
    <n v="1483.4688508978061"/>
    <n v="15"/>
    <n v="1"/>
  </r>
  <r>
    <n v="311"/>
    <d v="2022-12-31T00:00:00"/>
    <x v="2"/>
    <s v="CLI188"/>
    <s v="CLI188"/>
    <s v="MANAUS"/>
    <s v="AM"/>
    <s v="CLI544"/>
    <s v="JUIZ DE FORA"/>
    <s v="MG"/>
    <n v="3972.6210679999999"/>
    <n v="0"/>
    <n v="2918.7833769999997"/>
    <n v="7000"/>
    <n v="0"/>
    <x v="0"/>
    <x v="2"/>
    <s v="BRMAOTK01"/>
    <s v="BRMAOCHI"/>
    <n v="11.436796000000001"/>
    <n v="88.537999999999997"/>
    <n v="150"/>
    <n v="838.64888908544003"/>
    <n v="0"/>
    <n v="832"/>
    <n v="7"/>
    <n v="0"/>
    <n v="0"/>
    <n v="832"/>
    <m/>
    <m/>
    <n v="0"/>
    <x v="4"/>
    <s v="BRIGITK01"/>
    <s v="BRIGITCO"/>
    <n v="186.83597800000001"/>
    <n v="88.537999999999997"/>
    <n v="150"/>
    <n v="3437.4754250739202"/>
    <n v="412.49705100887041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925"/>
    <n v="177076"/>
    <x v="0"/>
    <x v="1"/>
    <x v="1"/>
    <x v="1"/>
    <x v="1"/>
    <x v="1"/>
    <n v="6"/>
    <n v="6"/>
    <n v="6"/>
    <n v="6"/>
    <n v="6"/>
    <n v="5"/>
    <n v="5"/>
    <n v="66"/>
    <n v="7"/>
    <n v="110"/>
    <n v="7"/>
    <n v="110"/>
    <n v="3972.6210679999999"/>
    <n v="531.22800000000007"/>
    <n v="27928.546767945281"/>
    <n v="3351.4256121534336"/>
    <n v="75"/>
    <n v="150"/>
    <n v="1E-3"/>
    <n v="177.07599999999999"/>
    <n v="19549.982737561695"/>
    <n v="19952.058737561696"/>
    <n v="3180.9641611183101"/>
    <n v="10663.970262284023"/>
    <n v="0.08"/>
    <n v="1221.0749897914773"/>
    <n v="0.12"/>
    <n v="2394.2470485074036"/>
    <n v="15"/>
    <n v="6"/>
  </r>
  <r>
    <n v="312"/>
    <d v="2022-12-31T00:00:00"/>
    <x v="2"/>
    <s v="CLI190"/>
    <s v="CLI190"/>
    <s v="IPOJUCA"/>
    <s v="PE"/>
    <s v="CLI627"/>
    <s v="MANAUS"/>
    <s v="AM"/>
    <n v="2824.7841972531837"/>
    <n v="2060.3329469999999"/>
    <n v="0"/>
    <n v="7000"/>
    <n v="0"/>
    <x v="0"/>
    <x v="3"/>
    <s v="BRSUATK01"/>
    <s v="BRSUATCO"/>
    <n v="23.753726"/>
    <n v="111.15950000000001"/>
    <n v="150"/>
    <n v="1043.7659068006401"/>
    <n v="0"/>
    <n v="1344"/>
    <n v="7"/>
    <n v="0"/>
    <n v="0"/>
    <n v="1344"/>
    <m/>
    <m/>
    <n v="0"/>
    <x v="0"/>
    <s v="BRMAOTK01"/>
    <s v="BRMAOCHI"/>
    <n v="11.436796000000001"/>
    <n v="111.15950000000001"/>
    <n v="150"/>
    <n v="861.2703890854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347"/>
    <n v="22231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666.95699999999999"/>
    <n v="20269.361492178483"/>
    <n v="2432.3233790614177"/>
    <n v="110"/>
    <n v="150"/>
    <n v="1E-3"/>
    <n v="222.31900000000002"/>
    <n v="14188.553044524937"/>
    <n v="14670.872044524936"/>
    <n v="3180.9641611183101"/>
    <n v="7148.8715875205453"/>
    <n v="0.08"/>
    <n v="1021.2668598911085"/>
    <n v="0.12"/>
    <n v="1760.5046453429923"/>
    <n v="15"/>
    <n v="1"/>
  </r>
  <r>
    <n v="313"/>
    <d v="2022-12-31T00:00:00"/>
    <x v="2"/>
    <s v="CLI190"/>
    <s v="CLI190"/>
    <s v="IPOJUCA"/>
    <s v="PE"/>
    <s v="CLI646"/>
    <s v="MANAUS"/>
    <s v="AM"/>
    <n v="2824.7841972531837"/>
    <n v="2060.3329469999999"/>
    <n v="0"/>
    <n v="7000"/>
    <n v="0"/>
    <x v="0"/>
    <x v="3"/>
    <s v="BRSUATK01"/>
    <s v="BRSUATCO"/>
    <n v="23.753726"/>
    <n v="100.685"/>
    <n v="150"/>
    <n v="1033.2914068006401"/>
    <n v="0"/>
    <n v="1344"/>
    <n v="7"/>
    <n v="0"/>
    <n v="0"/>
    <n v="1344"/>
    <m/>
    <m/>
    <n v="0"/>
    <x v="0"/>
    <s v="BRMAOTK01"/>
    <s v="BRMAOCHI"/>
    <n v="11.436796000000001"/>
    <n v="100.685"/>
    <n v="150"/>
    <n v="850.7958890854399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668"/>
    <n v="2013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604.11"/>
    <n v="20206.514492178485"/>
    <n v="2424.7817390614182"/>
    <n v="110"/>
    <n v="150"/>
    <n v="1E-3"/>
    <n v="201.37"/>
    <n v="14144.560144524939"/>
    <n v="14605.93014452494"/>
    <n v="3180.9641611183101"/>
    <n v="7104.8786875205496"/>
    <n v="0.08"/>
    <n v="1017.7474278911088"/>
    <n v="0.12"/>
    <n v="1752.7116173429927"/>
    <n v="15"/>
    <n v="1"/>
  </r>
  <r>
    <n v="314"/>
    <d v="2022-12-31T00:00:00"/>
    <x v="2"/>
    <s v="CLI193"/>
    <s v="CLI193"/>
    <s v="MANAUS"/>
    <s v="AM"/>
    <s v="CLI817"/>
    <s v="RIO DE JANEIRO"/>
    <s v="RJ"/>
    <n v="4144.4069500000005"/>
    <n v="0"/>
    <n v="3090.4427809999997"/>
    <n v="7000"/>
    <n v="0"/>
    <x v="0"/>
    <x v="2"/>
    <s v="BRMAOTK01"/>
    <s v="BRMAOCHI"/>
    <n v="11.436796000000001"/>
    <n v="43.37"/>
    <n v="150"/>
    <n v="793.48088908544003"/>
    <n v="0"/>
    <n v="832"/>
    <n v="7"/>
    <n v="0"/>
    <n v="0"/>
    <n v="832"/>
    <m/>
    <m/>
    <n v="0"/>
    <x v="4"/>
    <s v="BRIGITK01"/>
    <s v="BRIGITCO"/>
    <n v="78.029871"/>
    <n v="43.37"/>
    <n v="150"/>
    <n v="1780.16650785344"/>
    <n v="356.03330157068802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12"/>
    <n v="86740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4144.4069500000005"/>
    <n v="260.22000000000003"/>
    <n v="28824.129821172006"/>
    <n v="3458.8955785406406"/>
    <n v="110"/>
    <n v="150"/>
    <n v="1E-3"/>
    <n v="86.74"/>
    <n v="20176.890874820401"/>
    <n v="20523.630874820403"/>
    <n v="3180.9641611183101"/>
    <n v="12938.019316763213"/>
    <n v="0.08"/>
    <n v="1407.5160141048668"/>
    <n v="0.12"/>
    <n v="2462.8357049784481"/>
    <n v="15"/>
    <n v="3"/>
  </r>
  <r>
    <n v="315"/>
    <d v="2022-12-31T00:00:00"/>
    <x v="2"/>
    <s v="CLI193"/>
    <s v="CLI193"/>
    <s v="MANAUS"/>
    <s v="AM"/>
    <s v="CLI1290"/>
    <s v="SANTANA DE PARNAIBA"/>
    <s v="SP"/>
    <n v="3912.9727979999998"/>
    <n v="0"/>
    <n v="2860.7729100000001"/>
    <n v="7000"/>
    <n v="0"/>
    <x v="0"/>
    <x v="2"/>
    <s v="BRMAOTK01"/>
    <s v="BRMAOCHI"/>
    <n v="11.436796000000001"/>
    <n v="100.2525"/>
    <n v="150"/>
    <n v="850.36338908544008"/>
    <n v="0"/>
    <n v="832"/>
    <n v="7"/>
    <n v="0"/>
    <n v="0"/>
    <n v="832"/>
    <m/>
    <m/>
    <n v="0"/>
    <x v="1"/>
    <s v="BRSSZTK01"/>
    <s v="BRSSZTCO"/>
    <n v="118.461528"/>
    <n v="100.2525"/>
    <n v="150"/>
    <n v="2436.1103142259203"/>
    <n v="438.4998565606656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383"/>
    <n v="20050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12.9727979999998"/>
    <n v="601.51499999999999"/>
    <n v="27593.76475230608"/>
    <n v="3311.2517702767295"/>
    <n v="110"/>
    <n v="150"/>
    <n v="1E-3"/>
    <n v="200.505"/>
    <n v="19315.635326614254"/>
    <n v="19776.140326614255"/>
    <n v="3180.9641611183101"/>
    <n v="11541.702462184585"/>
    <n v="0.08"/>
    <n v="1284.0933413393784"/>
    <n v="0.12"/>
    <n v="2373.1368391937103"/>
    <n v="15"/>
    <n v="1"/>
  </r>
  <r>
    <n v="316"/>
    <d v="2022-12-31T00:00:00"/>
    <x v="2"/>
    <s v="CLI193"/>
    <s v="CLI193"/>
    <s v="MANAUS"/>
    <s v="AM"/>
    <s v="CLI1258"/>
    <s v="ITATIBA"/>
    <s v="SP"/>
    <n v="3873.5858160000002"/>
    <n v="0"/>
    <n v="2821.848242"/>
    <n v="7000"/>
    <n v="0"/>
    <x v="0"/>
    <x v="2"/>
    <s v="BRMAOTK01"/>
    <s v="BRMAOCHI"/>
    <n v="11.436796000000001"/>
    <n v="72.960499999999996"/>
    <n v="150"/>
    <n v="823.07138908544005"/>
    <n v="0"/>
    <n v="832"/>
    <n v="7"/>
    <n v="0"/>
    <n v="0"/>
    <n v="832"/>
    <m/>
    <m/>
    <n v="0"/>
    <x v="1"/>
    <s v="BRSSZTK01"/>
    <s v="BRSSZTCO"/>
    <n v="163.845968"/>
    <n v="72.960499999999996"/>
    <n v="150"/>
    <n v="3081.2632233075205"/>
    <n v="554.6273801953536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223"/>
    <n v="14592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73.5858160000002"/>
    <n v="437.76300000000003"/>
    <n v="27162.537333023363"/>
    <n v="3259.5044799628035"/>
    <n v="110"/>
    <n v="150"/>
    <n v="1E-3"/>
    <n v="145.92099999999999"/>
    <n v="19013.776133116353"/>
    <n v="19419.697133116351"/>
    <n v="3180.9641611183101"/>
    <n v="10567.398359605082"/>
    <n v="0.08"/>
    <n v="1196.8588112422431"/>
    <n v="0.12"/>
    <n v="2330.3636559739621"/>
    <n v="15"/>
    <n v="1"/>
  </r>
  <r>
    <n v="317"/>
    <d v="2022-12-31T00:00:00"/>
    <x v="2"/>
    <s v="CLI195"/>
    <s v="CLI195"/>
    <s v="AQUIRAZ"/>
    <s v="CE"/>
    <s v="CLI830"/>
    <s v="BARUERI"/>
    <s v="SP"/>
    <n v="2813.6552629999996"/>
    <n v="0"/>
    <n v="0"/>
    <n v="0"/>
    <n v="0"/>
    <x v="0"/>
    <x v="1"/>
    <s v="BRPECTK01"/>
    <s v="BRPECAPM"/>
    <n v="71.623824999999997"/>
    <n v="30.303000000000001"/>
    <n v="150"/>
    <n v="1672.1834304480001"/>
    <n v="300.99301748063999"/>
    <n v="768"/>
    <n v="7"/>
    <n v="0"/>
    <n v="0"/>
    <n v="768"/>
    <m/>
    <m/>
    <n v="0"/>
    <x v="1"/>
    <s v="BRSSZTK01"/>
    <s v="BRSSZTCO"/>
    <n v="108.985372"/>
    <n v="30.303000000000001"/>
    <n v="150"/>
    <n v="2225.7560221900799"/>
    <n v="400.63608399421435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305"/>
    <n v="60606"/>
    <x v="1"/>
    <x v="19"/>
    <x v="18"/>
    <x v="16"/>
    <x v="19"/>
    <x v="18"/>
    <n v="24"/>
    <n v="23"/>
    <n v="26"/>
    <n v="26"/>
    <n v="26"/>
    <n v="24"/>
    <n v="26"/>
    <n v="284"/>
    <n v="7"/>
    <n v="180"/>
    <n v="7"/>
    <n v="180"/>
    <n v="2813.6552629999996"/>
    <n v="181.81800000000001"/>
    <n v="19708.646344822479"/>
    <n v="2365.0375613786973"/>
    <n v="110"/>
    <n v="150"/>
    <n v="1E-3"/>
    <n v="60.606000000000002"/>
    <n v="13796.052441375734"/>
    <n v="14116.658441375734"/>
    <n v="3180.9641611183101"/>
    <n v="5299.7548276193429"/>
    <n v="0.08"/>
    <n v="761.36719098102401"/>
    <n v="0.12"/>
    <n v="1693.999012965088"/>
    <n v="15"/>
    <n v="26"/>
  </r>
  <r>
    <n v="318"/>
    <d v="2022-12-31T00:00:00"/>
    <x v="2"/>
    <s v="CLI196"/>
    <s v="CLI196"/>
    <s v="BARUERI"/>
    <s v="SP"/>
    <s v="CLI829"/>
    <s v="AQUIRAZ"/>
    <s v="CE"/>
    <n v="2819.0209019999998"/>
    <n v="0"/>
    <n v="0"/>
    <n v="0"/>
    <n v="0"/>
    <x v="0"/>
    <x v="0"/>
    <s v="BRSSZTK01"/>
    <s v="BRSSZTCO"/>
    <n v="108.985372"/>
    <n v="28.486499999999999"/>
    <n v="150"/>
    <n v="2223.93952219008"/>
    <n v="400.30911399421439"/>
    <n v="640"/>
    <n v="7"/>
    <n v="0"/>
    <n v="0"/>
    <n v="640"/>
    <m/>
    <m/>
    <n v="0"/>
    <x v="3"/>
    <s v="BRPECTK01"/>
    <s v="BRPECAPM"/>
    <n v="71.623824999999997"/>
    <n v="28.486499999999999"/>
    <n v="150"/>
    <n v="1670.3669304479999"/>
    <n v="300.66604748063997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595"/>
    <n v="5697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19.0209019999998"/>
    <n v="170.91900000000001"/>
    <n v="19734.185184645921"/>
    <n v="1381.3929629252145"/>
    <n v="110"/>
    <n v="150"/>
    <n v="1E-3"/>
    <n v="56.972999999999999"/>
    <n v="13813.929629252145"/>
    <n v="14130.902629252145"/>
    <n v="3180.9641611183101"/>
    <n v="5377.6320154957539"/>
    <n v="0.08"/>
    <n v="762.84968121113707"/>
    <n v="7.0000000000000007E-2"/>
    <n v="989.16318404765025"/>
    <n v="15"/>
    <n v="2"/>
  </r>
  <r>
    <n v="319"/>
    <d v="2022-12-31T00:00:00"/>
    <x v="2"/>
    <s v="CLI196"/>
    <s v="CLI196"/>
    <s v="BARUERI"/>
    <s v="SP"/>
    <s v="CLI829"/>
    <s v="AQUIRAZ"/>
    <s v="CE"/>
    <n v="2819.0209019999998"/>
    <n v="0"/>
    <n v="0"/>
    <n v="0"/>
    <n v="0"/>
    <x v="0"/>
    <x v="0"/>
    <s v="BRSSZTK01"/>
    <s v="BRSSZTCO"/>
    <n v="108.985372"/>
    <n v="89.751999999999995"/>
    <n v="150"/>
    <n v="2285.2050221900799"/>
    <n v="411.33690399421437"/>
    <n v="640"/>
    <n v="7"/>
    <n v="0"/>
    <n v="0"/>
    <n v="640"/>
    <m/>
    <m/>
    <n v="0"/>
    <x v="3"/>
    <s v="BRPECTK01"/>
    <s v="BRPECAPM"/>
    <n v="71.623824999999997"/>
    <n v="89.751999999999995"/>
    <n v="150"/>
    <n v="1731.6324304479999"/>
    <n v="311.6938374806399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79"/>
    <n v="17950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19.0209019999998"/>
    <n v="538.51200000000006"/>
    <n v="20101.778184645918"/>
    <n v="1407.1244729252144"/>
    <n v="110"/>
    <n v="150"/>
    <n v="1E-3"/>
    <n v="179.50399999999999"/>
    <n v="14071.244729252143"/>
    <n v="14510.748729252144"/>
    <n v="3180.9641611183101"/>
    <n v="5634.9471154957537"/>
    <n v="0.08"/>
    <n v="781.67044281113692"/>
    <n v="7.0000000000000007E-2"/>
    <n v="1015.7524110476502"/>
    <n v="15"/>
    <n v="1"/>
  </r>
  <r>
    <n v="320"/>
    <d v="2022-12-31T00:00:00"/>
    <x v="3"/>
    <s v="CLI197"/>
    <s v="CLI197"/>
    <s v="MANAUS"/>
    <s v="AM"/>
    <s v="CLI573"/>
    <s v="SAO PAULO"/>
    <s v="SP"/>
    <n v="3929.9226880000001"/>
    <n v="0"/>
    <n v="2877.9279630000001"/>
    <n v="7000"/>
    <n v="0"/>
    <x v="0"/>
    <x v="2"/>
    <s v="BRMAOTK01"/>
    <s v="BRMAOCHI"/>
    <n v="11.436796000000001"/>
    <n v="121.03100000000001"/>
    <n v="150"/>
    <n v="871.14188908543997"/>
    <n v="0"/>
    <n v="832"/>
    <n v="7"/>
    <n v="0"/>
    <n v="0"/>
    <n v="832"/>
    <m/>
    <m/>
    <n v="0"/>
    <x v="1"/>
    <s v="BRSSZTK01S"/>
    <s v="BRSSZTCO"/>
    <n v="85.841132000000002"/>
    <n v="121.03100000000001"/>
    <n v="150"/>
    <n v="1973.56415003648"/>
    <n v="355.2415470065664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423"/>
    <n v="242062"/>
    <x v="1"/>
    <x v="5"/>
    <x v="6"/>
    <x v="5"/>
    <x v="5"/>
    <x v="6"/>
    <n v="5"/>
    <n v="4"/>
    <n v="5"/>
    <n v="5"/>
    <n v="5"/>
    <n v="5"/>
    <n v="5"/>
    <n v="54"/>
    <n v="7"/>
    <n v="180"/>
    <n v="7"/>
    <n v="180"/>
    <n v="3929.9226880000001"/>
    <n v="726.18600000000004"/>
    <n v="27833.541777300485"/>
    <n v="3340.025013276058"/>
    <n v="110"/>
    <n v="150"/>
    <n v="1E-3"/>
    <n v="242.06200000000001"/>
    <n v="18101.984339084804"/>
    <n v="18604.046339084805"/>
    <n v="3180.9641611183101"/>
    <n v="12784.940288881055"/>
    <n v="0.08"/>
    <n v="1232.3279002365055"/>
    <n v="0.12"/>
    <n v="2232.4855606901765"/>
    <n v="15"/>
    <n v="5"/>
  </r>
  <r>
    <n v="321"/>
    <d v="2022-12-31T00:00:00"/>
    <x v="3"/>
    <s v="CLI197"/>
    <s v="CLI197"/>
    <s v="MANAUS"/>
    <s v="AM"/>
    <s v="CLI573"/>
    <s v="SAO PAULO"/>
    <s v="SP"/>
    <n v="3929.9226880000001"/>
    <n v="0"/>
    <n v="2877.9279630000001"/>
    <n v="7000"/>
    <n v="0"/>
    <x v="0"/>
    <x v="2"/>
    <s v="BRMAOTK01"/>
    <s v="BRMAOCHI"/>
    <n v="11.436796000000001"/>
    <n v="119.12400000000001"/>
    <n v="150"/>
    <n v="869.23488908544005"/>
    <n v="0"/>
    <n v="832"/>
    <n v="7"/>
    <n v="0"/>
    <n v="0"/>
    <n v="832"/>
    <m/>
    <m/>
    <n v="0"/>
    <x v="1"/>
    <s v="BRSSZTK01S"/>
    <s v="BRSSZTCO"/>
    <n v="85.841132000000002"/>
    <n v="119.12400000000001"/>
    <n v="150"/>
    <n v="1971.6571500364801"/>
    <n v="354.898287006566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367"/>
    <n v="238248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29.9226880000001"/>
    <n v="714.74400000000003"/>
    <n v="27822.099777300482"/>
    <n v="3338.6519732760576"/>
    <n v="110"/>
    <n v="150"/>
    <n v="1E-3"/>
    <n v="238.24800000000002"/>
    <n v="18095.309839084799"/>
    <n v="18593.557839084799"/>
    <n v="3180.9641611183101"/>
    <n v="12776.358788881047"/>
    <n v="0.08"/>
    <n v="1231.8214010365048"/>
    <n v="0.12"/>
    <n v="2231.2269406901755"/>
    <n v="15"/>
    <n v="2"/>
  </r>
  <r>
    <n v="322"/>
    <d v="2022-12-31T00:00:00"/>
    <x v="0"/>
    <s v="CLI200"/>
    <s v="CLI200"/>
    <s v="CAUCAIA"/>
    <s v="CE"/>
    <s v="CLI1095"/>
    <s v="MANAUS"/>
    <s v="AM"/>
    <n v="2375.6902773690445"/>
    <n v="1428.051281"/>
    <n v="0"/>
    <n v="7000"/>
    <n v="0"/>
    <x v="0"/>
    <x v="1"/>
    <s v="BRPECTK01S"/>
    <s v="BRPECAPM"/>
    <n v="34.109209"/>
    <n v="106.223"/>
    <n v="150"/>
    <n v="1192.2628704377601"/>
    <n v="214.60731667879679"/>
    <n v="768"/>
    <n v="7"/>
    <n v="0"/>
    <n v="0"/>
    <n v="768"/>
    <m/>
    <m/>
    <n v="0"/>
    <x v="0"/>
    <s v="BRMAOTK01S"/>
    <s v="BRMAOCHI"/>
    <n v="11.436796000000001"/>
    <n v="106.223"/>
    <n v="150"/>
    <n v="856.3338890854399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554"/>
    <n v="212446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375.6902773690445"/>
    <n v="637.33799999999997"/>
    <n v="17189.963646002088"/>
    <n v="2062.7956375202507"/>
    <n v="110"/>
    <n v="150"/>
    <n v="1E-3"/>
    <n v="212.446"/>
    <n v="10598.956820535221"/>
    <n v="11071.402820535221"/>
    <n v="3180.9641611183101"/>
    <n v="5960.43865941691"/>
    <n v="0.08"/>
    <n v="704.65589954665791"/>
    <n v="0.12"/>
    <n v="1328.5683384642264"/>
    <n v="15"/>
    <n v="3"/>
  </r>
  <r>
    <n v="323"/>
    <d v="2022-12-31T00:00:00"/>
    <x v="0"/>
    <s v="CLI200"/>
    <s v="CLI200"/>
    <s v="CAUCAIA"/>
    <s v="CE"/>
    <s v="CLI202"/>
    <s v="MANAUS"/>
    <s v="AM"/>
    <n v="2375.6902773690445"/>
    <n v="1428.051281"/>
    <n v="0"/>
    <n v="7000"/>
    <n v="0"/>
    <x v="0"/>
    <x v="1"/>
    <s v="BRPECTK01S"/>
    <s v="BRPECAPM"/>
    <n v="34.109209"/>
    <n v="92.173500000000004"/>
    <n v="150"/>
    <n v="1178.21337043776"/>
    <n v="212.0784066787968"/>
    <n v="768"/>
    <n v="7"/>
    <n v="0"/>
    <n v="0"/>
    <n v="768"/>
    <m/>
    <m/>
    <n v="0"/>
    <x v="0"/>
    <s v="BRMAOTK01S"/>
    <s v="BRMAOCHI"/>
    <n v="11.436796000000001"/>
    <n v="92.173500000000004"/>
    <n v="150"/>
    <n v="842.2843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555"/>
    <n v="184347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5.6902773690445"/>
    <n v="553.04100000000005"/>
    <n v="17105.66664600209"/>
    <n v="2052.6799975202507"/>
    <n v="110"/>
    <n v="150"/>
    <n v="1E-3"/>
    <n v="184.34700000000001"/>
    <n v="10559.618220535223"/>
    <n v="11003.965220535223"/>
    <n v="3180.9641611183101"/>
    <n v="5893.0010594169125"/>
    <n v="0.08"/>
    <n v="701.71112434665815"/>
    <n v="0.12"/>
    <n v="1320.4758264642267"/>
    <n v="15"/>
    <n v="2"/>
  </r>
  <r>
    <n v="324"/>
    <d v="2022-12-31T00:00:00"/>
    <x v="0"/>
    <s v="CLI200"/>
    <s v="CLI200"/>
    <s v="CAUCAIA"/>
    <s v="CE"/>
    <s v="CLI608"/>
    <s v="MANAUS"/>
    <s v="AM"/>
    <n v="2375.6902773690445"/>
    <n v="1428.051281"/>
    <n v="0"/>
    <n v="7000"/>
    <n v="0"/>
    <x v="0"/>
    <x v="1"/>
    <s v="BRPECTK01S"/>
    <s v="BRPECAPM"/>
    <n v="34.109209"/>
    <n v="106.645"/>
    <n v="150"/>
    <n v="1192.6848704377601"/>
    <n v="214.6832766787968"/>
    <n v="768"/>
    <n v="7"/>
    <n v="0"/>
    <n v="0"/>
    <n v="768"/>
    <m/>
    <m/>
    <n v="0"/>
    <x v="0"/>
    <s v="BRMAOTK01S"/>
    <s v="BRMAOCHI"/>
    <n v="11.436796000000001"/>
    <n v="106.645"/>
    <n v="150"/>
    <n v="856.7558890854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278"/>
    <n v="21329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5.6902773690445"/>
    <n v="639.87"/>
    <n v="17192.495646002088"/>
    <n v="2063.0994775202503"/>
    <n v="110"/>
    <n v="150"/>
    <n v="1E-3"/>
    <n v="213.29"/>
    <n v="10600.138420535221"/>
    <n v="11073.428420535221"/>
    <n v="3180.9641611183101"/>
    <n v="5962.4642594169109"/>
    <n v="0.08"/>
    <n v="704.74435074665791"/>
    <n v="0.12"/>
    <n v="1328.8114104642266"/>
    <n v="15"/>
    <n v="2"/>
  </r>
  <r>
    <n v="325"/>
    <d v="2022-12-31T00:00:00"/>
    <x v="0"/>
    <s v="CLI200"/>
    <s v="CLI200"/>
    <s v="CAUCAIA"/>
    <s v="CE"/>
    <s v="CLI520"/>
    <s v="MANAUS"/>
    <s v="AM"/>
    <n v="2375.6902773690445"/>
    <n v="1428.051281"/>
    <n v="0"/>
    <n v="7000"/>
    <n v="0"/>
    <x v="0"/>
    <x v="1"/>
    <s v="BRPECTK01S"/>
    <s v="BRPECAPM"/>
    <n v="34.109209"/>
    <n v="47.522500000000001"/>
    <n v="150"/>
    <n v="1133.5623704377599"/>
    <n v="204.04122667879679"/>
    <n v="768"/>
    <n v="7"/>
    <n v="0"/>
    <n v="0"/>
    <n v="768"/>
    <m/>
    <m/>
    <n v="0"/>
    <x v="0"/>
    <s v="BRMAOTK01S"/>
    <s v="BRMAOCHI"/>
    <n v="11.436796000000001"/>
    <n v="47.522500000000001"/>
    <n v="150"/>
    <n v="797.6333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345"/>
    <n v="9504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285.13499999999999"/>
    <n v="16837.760646002087"/>
    <n v="2020.5312775202503"/>
    <n v="110"/>
    <n v="150"/>
    <n v="1E-3"/>
    <n v="95.045000000000002"/>
    <n v="10434.595420535221"/>
    <n v="10789.640420535221"/>
    <n v="3180.9641611183101"/>
    <n v="5678.6762594169104"/>
    <n v="0.08"/>
    <n v="692.35227474665794"/>
    <n v="0.12"/>
    <n v="1294.7568504642265"/>
    <n v="15"/>
    <n v="1"/>
  </r>
  <r>
    <n v="326"/>
    <d v="2022-12-31T00:00:00"/>
    <x v="0"/>
    <s v="CLI200"/>
    <s v="CLI200"/>
    <s v="CAUCAIA"/>
    <s v="CE"/>
    <s v="CLI644"/>
    <s v="MANAUS"/>
    <s v="AM"/>
    <n v="2375.6902773690445"/>
    <n v="1428.051281"/>
    <n v="0"/>
    <n v="7000"/>
    <n v="0"/>
    <x v="0"/>
    <x v="1"/>
    <s v="BRPECTK01S"/>
    <s v="BRPECAPM"/>
    <n v="34.109209"/>
    <n v="39.384999999999998"/>
    <n v="150"/>
    <n v="1125.4248704377601"/>
    <n v="202.57647667879681"/>
    <n v="768"/>
    <n v="7"/>
    <n v="0"/>
    <n v="0"/>
    <n v="768"/>
    <m/>
    <m/>
    <n v="0"/>
    <x v="0"/>
    <s v="BRMAOTK01S"/>
    <s v="BRMAOCHI"/>
    <n v="11.436796000000001"/>
    <n v="39.384999999999998"/>
    <n v="150"/>
    <n v="789.4958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534"/>
    <n v="787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236.31"/>
    <n v="16788.93564600209"/>
    <n v="2014.6722775202506"/>
    <n v="110"/>
    <n v="150"/>
    <n v="1E-3"/>
    <n v="78.77"/>
    <n v="10411.810420535223"/>
    <n v="10750.580420535223"/>
    <n v="3180.9641611183101"/>
    <n v="5639.6162594169127"/>
    <n v="0.08"/>
    <n v="690.64665474665821"/>
    <n v="0.12"/>
    <n v="1290.0696504642267"/>
    <n v="15"/>
    <n v="1"/>
  </r>
  <r>
    <n v="327"/>
    <d v="2022-12-31T00:00:00"/>
    <x v="0"/>
    <s v="CLI200"/>
    <s v="CLI200"/>
    <s v="CAUCAIA"/>
    <s v="CE"/>
    <s v="CLI497"/>
    <s v="MANAUS"/>
    <s v="AM"/>
    <n v="2375.6902773690445"/>
    <n v="1428.051281"/>
    <n v="0"/>
    <n v="7000"/>
    <n v="0"/>
    <x v="0"/>
    <x v="1"/>
    <s v="BRPECTK01S"/>
    <s v="BRPECAPM"/>
    <n v="34.109209"/>
    <n v="72.414000000000001"/>
    <n v="150"/>
    <n v="1158.4538704377601"/>
    <n v="208.52169667879681"/>
    <n v="768"/>
    <n v="7"/>
    <n v="0"/>
    <n v="0"/>
    <n v="768"/>
    <m/>
    <m/>
    <n v="0"/>
    <x v="0"/>
    <s v="BRMAOTK01S"/>
    <s v="BRMAOCHI"/>
    <n v="11.436796000000001"/>
    <n v="72.414000000000001"/>
    <n v="150"/>
    <n v="822.5248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109"/>
    <n v="14482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434.48400000000004"/>
    <n v="16987.109646002089"/>
    <n v="2038.4531575202507"/>
    <n v="110"/>
    <n v="150"/>
    <n v="1E-3"/>
    <n v="144.828"/>
    <n v="10504.291620535223"/>
    <n v="10909.119620535223"/>
    <n v="3180.9641611183101"/>
    <n v="5798.155459416912"/>
    <n v="0.08"/>
    <n v="697.56953314665793"/>
    <n v="0.12"/>
    <n v="1309.0943544642266"/>
    <n v="15"/>
    <n v="1"/>
  </r>
  <r>
    <n v="328"/>
    <d v="2022-12-31T00:00:00"/>
    <x v="0"/>
    <s v="CLI200"/>
    <s v="CLI200"/>
    <s v="CAUCAIA"/>
    <s v="CE"/>
    <s v="CLI520"/>
    <s v="MANAUS"/>
    <s v="AM"/>
    <n v="2375.6902773690445"/>
    <n v="1428.051281"/>
    <n v="0"/>
    <n v="7000"/>
    <n v="0"/>
    <x v="0"/>
    <x v="1"/>
    <s v="BRPECTK01S"/>
    <s v="BRPECAPM"/>
    <n v="34.109209"/>
    <n v="92.856000000000009"/>
    <n v="150"/>
    <n v="1178.8958704377601"/>
    <n v="212.2012566787968"/>
    <n v="768"/>
    <n v="7"/>
    <n v="0"/>
    <n v="0"/>
    <n v="768"/>
    <m/>
    <m/>
    <n v="0"/>
    <x v="0"/>
    <s v="BRMAOTK01S"/>
    <s v="BRMAOCHI"/>
    <n v="11.436796000000001"/>
    <n v="92.856000000000009"/>
    <n v="150"/>
    <n v="842.96688908544002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105"/>
    <n v="18571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557.13599999999997"/>
    <n v="17109.761646002087"/>
    <n v="2053.1713975202506"/>
    <n v="110"/>
    <n v="150"/>
    <n v="1E-3"/>
    <n v="185.71200000000002"/>
    <n v="10561.529220535222"/>
    <n v="11007.241220535221"/>
    <n v="3180.9641611183101"/>
    <n v="5896.2770594169106"/>
    <n v="0.08"/>
    <n v="701.85417634665794"/>
    <n v="0.12"/>
    <n v="1320.8689464642264"/>
    <n v="15"/>
    <n v="1"/>
  </r>
  <r>
    <n v="329"/>
    <d v="2022-12-31T00:00:00"/>
    <x v="0"/>
    <s v="CLI200"/>
    <s v="CLI200"/>
    <s v="CAUCAIA"/>
    <s v="CE"/>
    <s v="CLI688"/>
    <s v="MANAUS"/>
    <s v="AM"/>
    <n v="2375.6902773690445"/>
    <n v="1428.051281"/>
    <n v="0"/>
    <n v="7000"/>
    <n v="0"/>
    <x v="0"/>
    <x v="1"/>
    <s v="BRPECTK01S"/>
    <s v="BRPECAPM"/>
    <n v="34.109209"/>
    <n v="59.357500000000002"/>
    <n v="150"/>
    <n v="1145.3973704377599"/>
    <n v="206.17152667879679"/>
    <n v="768"/>
    <n v="7"/>
    <n v="0"/>
    <n v="0"/>
    <n v="768"/>
    <m/>
    <m/>
    <n v="0"/>
    <x v="0"/>
    <s v="BRMAOTK01S"/>
    <s v="BRMAOCHI"/>
    <n v="11.436796000000001"/>
    <n v="59.357500000000002"/>
    <n v="150"/>
    <n v="809.4683890854399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159"/>
    <n v="11871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356.14499999999998"/>
    <n v="16908.770646002089"/>
    <n v="2029.0524775202507"/>
    <n v="110"/>
    <n v="150"/>
    <n v="1E-3"/>
    <n v="118.715"/>
    <n v="10467.733420535222"/>
    <n v="10846.448420535222"/>
    <n v="3180.9641611183101"/>
    <n v="5735.4842594169113"/>
    <n v="0.08"/>
    <n v="694.83289074665811"/>
    <n v="0.12"/>
    <n v="1301.5738104642267"/>
    <n v="15"/>
    <n v="1"/>
  </r>
  <r>
    <n v="330"/>
    <d v="2022-12-31T00:00:00"/>
    <x v="0"/>
    <s v="CLI201"/>
    <s v="CLI201"/>
    <s v="IPOJUCA"/>
    <s v="PE"/>
    <s v="CLI1252"/>
    <s v="MANAUS"/>
    <s v="AM"/>
    <n v="2824.7841972531837"/>
    <n v="2060.3329469999999"/>
    <n v="0"/>
    <n v="7000"/>
    <n v="0"/>
    <x v="0"/>
    <x v="3"/>
    <s v="BRSUATK01S"/>
    <s v="BRSUATCO"/>
    <n v="23.753726"/>
    <n v="62.815000000000005"/>
    <n v="150"/>
    <n v="995.42140680064006"/>
    <n v="0"/>
    <n v="1344"/>
    <n v="7"/>
    <n v="0"/>
    <n v="0"/>
    <n v="1344"/>
    <m/>
    <m/>
    <n v="0"/>
    <x v="0"/>
    <s v="BRMAOTK01S"/>
    <s v="BRMAOCHI"/>
    <n v="11.436796000000001"/>
    <n v="62.815000000000005"/>
    <n v="150"/>
    <n v="812.9258890854400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60"/>
    <n v="125630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824.7841972531837"/>
    <n v="376.89"/>
    <n v="19979.294492178484"/>
    <n v="2397.5153390614178"/>
    <n v="75"/>
    <n v="150"/>
    <n v="1E-3"/>
    <n v="125.63000000000001"/>
    <n v="12719.663037404682"/>
    <n v="13070.293037404681"/>
    <n v="3180.9641611183101"/>
    <n v="7453.3288762863704"/>
    <n v="0.08"/>
    <n v="900.95565932148804"/>
    <n v="0.12"/>
    <n v="1568.4351644885617"/>
    <n v="15"/>
    <n v="2"/>
  </r>
  <r>
    <n v="331"/>
    <d v="2022-12-31T00:00:00"/>
    <x v="0"/>
    <s v="CLI201"/>
    <s v="CLI201"/>
    <s v="IPOJUCA"/>
    <s v="PE"/>
    <s v="CLI1042"/>
    <s v="MANAUS"/>
    <s v="AM"/>
    <n v="2824.7841972531837"/>
    <n v="2060.3329469999999"/>
    <n v="0"/>
    <n v="7000"/>
    <n v="0"/>
    <x v="0"/>
    <x v="3"/>
    <s v="BRSUATK01S"/>
    <s v="BRSUATCO"/>
    <n v="23.753726"/>
    <n v="45.785499999999999"/>
    <n v="150"/>
    <n v="978.39190680063996"/>
    <n v="0"/>
    <n v="1344"/>
    <n v="7"/>
    <n v="0"/>
    <n v="0"/>
    <n v="1344"/>
    <m/>
    <m/>
    <n v="0"/>
    <x v="0"/>
    <s v="BRMAOTK01S"/>
    <s v="BRMAOCHI"/>
    <n v="11.436796000000001"/>
    <n v="45.785499999999999"/>
    <n v="150"/>
    <n v="795.8963890854399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595"/>
    <n v="91571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824.7841972531837"/>
    <n v="274.71300000000002"/>
    <n v="19877.117492178484"/>
    <n v="2385.2540990614179"/>
    <n v="75"/>
    <n v="150"/>
    <n v="1E-3"/>
    <n v="91.570999999999998"/>
    <n v="12671.980437404683"/>
    <n v="12988.551437404683"/>
    <n v="3180.9641611183101"/>
    <n v="7371.5872762863728"/>
    <n v="0.08"/>
    <n v="897.14105132148836"/>
    <n v="0.12"/>
    <n v="1558.6261724885619"/>
    <n v="15"/>
    <n v="2"/>
  </r>
  <r>
    <n v="332"/>
    <d v="2022-12-31T00:00:00"/>
    <x v="0"/>
    <s v="CLI201"/>
    <s v="CLI201"/>
    <s v="IPOJUCA"/>
    <s v="PE"/>
    <s v="CLI488"/>
    <s v="MANAUS"/>
    <s v="AM"/>
    <n v="2824.7841972531837"/>
    <n v="2060.3329469999999"/>
    <n v="0"/>
    <n v="7000"/>
    <n v="0"/>
    <x v="0"/>
    <x v="3"/>
    <s v="BRSUATK01S"/>
    <s v="BRSUATCO"/>
    <n v="23.753726"/>
    <n v="80.284999999999997"/>
    <n v="150"/>
    <n v="1012.89140680064"/>
    <n v="0"/>
    <n v="1344"/>
    <n v="7"/>
    <n v="0"/>
    <n v="0"/>
    <n v="1344"/>
    <m/>
    <m/>
    <n v="0"/>
    <x v="0"/>
    <s v="BRMAOTK01S"/>
    <s v="BRMAOCHI"/>
    <n v="11.436796000000001"/>
    <n v="80.284999999999997"/>
    <n v="150"/>
    <n v="830.39588908543999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211"/>
    <n v="160570"/>
    <x v="0"/>
    <x v="3"/>
    <x v="2"/>
    <x v="2"/>
    <x v="3"/>
    <x v="3"/>
    <n v="2"/>
    <n v="2"/>
    <n v="2"/>
    <n v="2"/>
    <n v="1"/>
    <n v="1"/>
    <n v="1"/>
    <n v="16"/>
    <n v="7"/>
    <n v="110"/>
    <n v="7"/>
    <n v="110"/>
    <n v="2824.7841972531837"/>
    <n v="481.71000000000004"/>
    <n v="20084.114492178483"/>
    <n v="2410.0937390614181"/>
    <n v="75"/>
    <n v="150"/>
    <n v="1E-3"/>
    <n v="160.57"/>
    <n v="12768.579037404679"/>
    <n v="13154.149037404679"/>
    <n v="3180.9641611183101"/>
    <n v="7537.1848762863683"/>
    <n v="0.08"/>
    <n v="904.86893932148803"/>
    <n v="0.12"/>
    <n v="1578.4978844885613"/>
    <n v="15"/>
    <n v="2"/>
  </r>
  <r>
    <n v="333"/>
    <d v="2022-12-31T00:00:00"/>
    <x v="0"/>
    <s v="CLI201"/>
    <s v="CLI201"/>
    <s v="IPOJUCA"/>
    <s v="PE"/>
    <s v="CLI1095"/>
    <s v="MANAUS"/>
    <s v="AM"/>
    <n v="2824.7841972531837"/>
    <n v="2060.3329469999999"/>
    <n v="0"/>
    <n v="7000"/>
    <n v="0"/>
    <x v="0"/>
    <x v="3"/>
    <s v="BRSUATK01S"/>
    <s v="BRSUATCO"/>
    <n v="23.753726"/>
    <n v="105.748"/>
    <n v="150"/>
    <n v="1038.3544068006399"/>
    <n v="0"/>
    <n v="1344"/>
    <n v="7"/>
    <n v="0"/>
    <n v="0"/>
    <n v="1344"/>
    <m/>
    <m/>
    <n v="0"/>
    <x v="0"/>
    <s v="BRMAOTK01S"/>
    <s v="BRMAOCHI"/>
    <n v="11.436796000000001"/>
    <n v="105.748"/>
    <n v="150"/>
    <n v="855.8588890854400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861"/>
    <n v="211496"/>
    <x v="0"/>
    <x v="3"/>
    <x v="2"/>
    <x v="2"/>
    <x v="3"/>
    <x v="3"/>
    <n v="1"/>
    <n v="1"/>
    <n v="2"/>
    <n v="1"/>
    <n v="1"/>
    <n v="1"/>
    <n v="1"/>
    <n v="13"/>
    <n v="7"/>
    <n v="110"/>
    <n v="7"/>
    <n v="110"/>
    <n v="2824.7841972531837"/>
    <n v="634.48800000000006"/>
    <n v="20236.892492178486"/>
    <n v="2428.4270990614182"/>
    <n v="75"/>
    <n v="150"/>
    <n v="1E-3"/>
    <n v="211.49600000000001"/>
    <n v="12839.875437404682"/>
    <n v="13276.371437404681"/>
    <n v="3180.9641611183101"/>
    <n v="7659.4072762863707"/>
    <n v="0.08"/>
    <n v="910.57265132148814"/>
    <n v="0.12"/>
    <n v="1593.1645724885616"/>
    <n v="15"/>
    <n v="2"/>
  </r>
  <r>
    <n v="334"/>
    <d v="2022-12-31T00:00:00"/>
    <x v="0"/>
    <s v="CLI201"/>
    <s v="CLI201"/>
    <s v="IPOJUCA"/>
    <s v="PE"/>
    <s v="CLI608"/>
    <s v="MANAUS"/>
    <s v="AM"/>
    <n v="2824.7841972531837"/>
    <n v="2060.3329469999999"/>
    <n v="0"/>
    <n v="7000"/>
    <n v="0"/>
    <x v="0"/>
    <x v="3"/>
    <s v="BRSUATK01S"/>
    <s v="BRSUATCO"/>
    <n v="23.753726"/>
    <n v="47.25"/>
    <n v="150"/>
    <n v="979.85640680064"/>
    <n v="0"/>
    <n v="1344"/>
    <n v="7"/>
    <n v="0"/>
    <n v="0"/>
    <n v="1344"/>
    <m/>
    <m/>
    <n v="0"/>
    <x v="0"/>
    <s v="BRMAOTK01S"/>
    <s v="BRMAOCHI"/>
    <n v="11.436796000000001"/>
    <n v="47.25"/>
    <n v="150"/>
    <n v="797.3608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005"/>
    <n v="94500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824.7841972531837"/>
    <n v="283.5"/>
    <n v="19885.904492178484"/>
    <n v="2386.3085390614178"/>
    <n v="75"/>
    <n v="150"/>
    <n v="1E-3"/>
    <n v="94.5"/>
    <n v="12676.08103740468"/>
    <n v="12995.58103740468"/>
    <n v="3180.9641611183101"/>
    <n v="7378.616876286369"/>
    <n v="0.08"/>
    <n v="897.4690993214881"/>
    <n v="0.12"/>
    <n v="1559.4697244885615"/>
    <n v="15"/>
    <n v="1"/>
  </r>
  <r>
    <n v="335"/>
    <d v="2022-12-31T00:00:00"/>
    <x v="0"/>
    <s v="CLI201"/>
    <s v="CLI201"/>
    <s v="IPOJUCA"/>
    <s v="PE"/>
    <s v="CLI202"/>
    <s v="MANAUS"/>
    <s v="AM"/>
    <n v="2824.7841972531837"/>
    <n v="2060.3329469999999"/>
    <n v="0"/>
    <n v="7000"/>
    <n v="0"/>
    <x v="0"/>
    <x v="3"/>
    <s v="BRSUATK01S"/>
    <s v="BRSUATCO"/>
    <n v="23.753726"/>
    <n v="49.1845"/>
    <n v="150"/>
    <n v="981.79090680063996"/>
    <n v="0"/>
    <n v="1344"/>
    <n v="7"/>
    <n v="0"/>
    <n v="0"/>
    <n v="1344"/>
    <m/>
    <m/>
    <n v="0"/>
    <x v="0"/>
    <s v="BRMAOTK01S"/>
    <s v="BRMAOCHI"/>
    <n v="11.436796000000001"/>
    <n v="49.1845"/>
    <n v="150"/>
    <n v="799.2953890854399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698"/>
    <n v="98369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824.7841972531837"/>
    <n v="295.10700000000003"/>
    <n v="19897.511492178484"/>
    <n v="2387.7013790614178"/>
    <n v="75"/>
    <n v="150"/>
    <n v="1E-3"/>
    <n v="98.369"/>
    <n v="12681.497637404682"/>
    <n v="13004.866637404682"/>
    <n v="3180.9641611183101"/>
    <n v="7387.9024762863719"/>
    <n v="0.08"/>
    <n v="897.90242732148818"/>
    <n v="0.12"/>
    <n v="1560.5839964885618"/>
    <n v="15"/>
    <n v="1"/>
  </r>
  <r>
    <n v="336"/>
    <d v="2022-12-31T00:00:00"/>
    <x v="0"/>
    <s v="CLI201"/>
    <s v="CLI201"/>
    <s v="IPOJUCA"/>
    <s v="PE"/>
    <s v="CLI497"/>
    <s v="MANAUS"/>
    <s v="AM"/>
    <n v="2824.7841972531837"/>
    <n v="2060.3329469999999"/>
    <n v="0"/>
    <n v="7000"/>
    <n v="0"/>
    <x v="0"/>
    <x v="3"/>
    <s v="BRSUATK01S"/>
    <s v="BRSUATCO"/>
    <n v="23.753726"/>
    <n v="77.932000000000002"/>
    <n v="150"/>
    <n v="1010.53840680064"/>
    <n v="0"/>
    <n v="1344"/>
    <n v="7"/>
    <n v="0"/>
    <n v="0"/>
    <n v="1344"/>
    <m/>
    <m/>
    <n v="0"/>
    <x v="0"/>
    <s v="BRMAOTK01S"/>
    <s v="BRMAOCHI"/>
    <n v="11.436796000000001"/>
    <n v="77.932000000000002"/>
    <n v="150"/>
    <n v="828.0428890854400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509"/>
    <n v="155864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824.7841972531837"/>
    <n v="467.59199999999998"/>
    <n v="20069.996492178485"/>
    <n v="2408.3995790614181"/>
    <n v="75"/>
    <n v="150"/>
    <n v="1E-3"/>
    <n v="155.864"/>
    <n v="12761.990637404684"/>
    <n v="13142.854637404684"/>
    <n v="3180.9641611183101"/>
    <n v="7525.8904762863731"/>
    <n v="0.08"/>
    <n v="904.34186732148828"/>
    <n v="0.12"/>
    <n v="1577.1425564885619"/>
    <n v="15"/>
    <n v="1"/>
  </r>
  <r>
    <n v="337"/>
    <d v="2022-12-31T00:00:00"/>
    <x v="0"/>
    <s v="CLI201"/>
    <s v="CLI201"/>
    <s v="IPOJUCA"/>
    <s v="PE"/>
    <s v="CLI1095"/>
    <s v="MANAUS"/>
    <s v="AM"/>
    <n v="2824.7841972531837"/>
    <n v="2060.3329469999999"/>
    <n v="0"/>
    <n v="7000"/>
    <n v="0"/>
    <x v="0"/>
    <x v="3"/>
    <s v="BRSUATK01S"/>
    <s v="BRSUATCO"/>
    <n v="23.753726"/>
    <n v="112.9255"/>
    <n v="150"/>
    <n v="1045.5319068006399"/>
    <n v="0"/>
    <n v="1344"/>
    <n v="7"/>
    <n v="0"/>
    <n v="0"/>
    <n v="1344"/>
    <m/>
    <m/>
    <n v="0"/>
    <x v="0"/>
    <s v="BRMAOTK01S"/>
    <s v="BRMAOCHI"/>
    <n v="11.436796000000001"/>
    <n v="112.9255"/>
    <n v="150"/>
    <n v="863.0363890854400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91"/>
    <n v="225851"/>
    <x v="1"/>
    <x v="13"/>
    <x v="3"/>
    <x v="17"/>
    <x v="7"/>
    <x v="4"/>
    <n v="8"/>
    <n v="7"/>
    <n v="8"/>
    <n v="8"/>
    <n v="8"/>
    <n v="7"/>
    <n v="8"/>
    <n v="89"/>
    <n v="7"/>
    <n v="180"/>
    <n v="7"/>
    <n v="180"/>
    <n v="2824.7841972531837"/>
    <n v="677.553"/>
    <n v="20279.957492178484"/>
    <n v="2433.5948990614179"/>
    <n v="110"/>
    <n v="150"/>
    <n v="1E-3"/>
    <n v="225.851"/>
    <n v="12859.972437404684"/>
    <n v="13345.823437404684"/>
    <n v="3180.9641611183101"/>
    <n v="7728.8592762863736"/>
    <n v="0.08"/>
    <n v="914.98041132148842"/>
    <n v="0.12"/>
    <n v="1601.498812488562"/>
    <n v="15"/>
    <n v="8"/>
  </r>
  <r>
    <n v="338"/>
    <d v="2022-12-31T00:00:00"/>
    <x v="0"/>
    <s v="CLI201"/>
    <s v="CLI201"/>
    <s v="IPOJUCA"/>
    <s v="PE"/>
    <s v="CLI877"/>
    <s v="MANAUS"/>
    <s v="AM"/>
    <n v="2824.7841972531837"/>
    <n v="2060.3329469999999"/>
    <n v="0"/>
    <n v="7000"/>
    <n v="0"/>
    <x v="0"/>
    <x v="3"/>
    <s v="BRSUATK01S"/>
    <s v="BRSUATCO"/>
    <n v="23.753726"/>
    <n v="27.721499999999999"/>
    <n v="150"/>
    <n v="960.32790680063999"/>
    <n v="0"/>
    <n v="1344"/>
    <n v="7"/>
    <n v="0"/>
    <n v="0"/>
    <n v="1344"/>
    <m/>
    <m/>
    <n v="0"/>
    <x v="0"/>
    <s v="BRMAOTK01S"/>
    <s v="BRMAOCHI"/>
    <n v="11.436796000000001"/>
    <n v="27.721499999999999"/>
    <n v="150"/>
    <n v="777.83238908544001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972"/>
    <n v="55443"/>
    <x v="1"/>
    <x v="14"/>
    <x v="1"/>
    <x v="12"/>
    <x v="1"/>
    <x v="1"/>
    <n v="6"/>
    <n v="6"/>
    <n v="6"/>
    <n v="6"/>
    <n v="6"/>
    <n v="6"/>
    <n v="6"/>
    <n v="70"/>
    <n v="7"/>
    <n v="180"/>
    <n v="7"/>
    <n v="180"/>
    <n v="2824.7841972531837"/>
    <n v="166.32900000000001"/>
    <n v="19768.733492178486"/>
    <n v="2372.2480190614183"/>
    <n v="110"/>
    <n v="150"/>
    <n v="1E-3"/>
    <n v="55.442999999999998"/>
    <n v="12621.401237404682"/>
    <n v="12936.844237404681"/>
    <n v="3180.9641611183101"/>
    <n v="7319.8800762863702"/>
    <n v="0.08"/>
    <n v="895.89471532148809"/>
    <n v="0.12"/>
    <n v="1552.4213084885616"/>
    <n v="15"/>
    <n v="6"/>
  </r>
  <r>
    <n v="339"/>
    <d v="2022-12-31T00:00:00"/>
    <x v="0"/>
    <s v="CLI201"/>
    <s v="CLI201"/>
    <s v="IPOJUCA"/>
    <s v="PE"/>
    <s v="CLI608"/>
    <s v="MANAUS"/>
    <s v="AM"/>
    <n v="2824.7841972531837"/>
    <n v="2060.3329469999999"/>
    <n v="0"/>
    <n v="7000"/>
    <n v="0"/>
    <x v="0"/>
    <x v="3"/>
    <s v="BRSUATK01S"/>
    <s v="BRSUATCO"/>
    <n v="23.753726"/>
    <n v="63.435500000000005"/>
    <n v="150"/>
    <n v="996.04190680064005"/>
    <n v="0"/>
    <n v="1344"/>
    <n v="7"/>
    <n v="0"/>
    <n v="0"/>
    <n v="1344"/>
    <m/>
    <m/>
    <n v="0"/>
    <x v="0"/>
    <s v="BRMAOTK01S"/>
    <s v="BRMAOCHI"/>
    <n v="11.436796000000001"/>
    <n v="63.435500000000005"/>
    <n v="150"/>
    <n v="813.5463890854400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054"/>
    <n v="126871"/>
    <x v="1"/>
    <x v="5"/>
    <x v="5"/>
    <x v="5"/>
    <x v="5"/>
    <x v="0"/>
    <n v="4"/>
    <n v="4"/>
    <n v="4"/>
    <n v="4"/>
    <n v="4"/>
    <n v="4"/>
    <n v="4"/>
    <n v="46"/>
    <n v="7"/>
    <n v="180"/>
    <n v="7"/>
    <n v="180"/>
    <n v="2824.7841972531837"/>
    <n v="380.613"/>
    <n v="19983.017492178486"/>
    <n v="2397.962099061418"/>
    <n v="110"/>
    <n v="150"/>
    <n v="1E-3"/>
    <n v="126.87100000000001"/>
    <n v="12721.400437404682"/>
    <n v="13108.271437404681"/>
    <n v="3180.9641611183101"/>
    <n v="7491.3072762863703"/>
    <n v="0.08"/>
    <n v="903.89465132148803"/>
    <n v="0.12"/>
    <n v="1572.9925724885616"/>
    <n v="15"/>
    <n v="4"/>
  </r>
  <r>
    <n v="340"/>
    <d v="2022-12-31T00:00:00"/>
    <x v="0"/>
    <s v="CLI201"/>
    <s v="CLI201"/>
    <s v="IPOJUCA"/>
    <s v="PE"/>
    <s v="CLI886"/>
    <s v="MANAUS"/>
    <s v="AM"/>
    <n v="2824.7841972531837"/>
    <n v="2060.3329469999999"/>
    <n v="0"/>
    <n v="7000"/>
    <n v="0"/>
    <x v="0"/>
    <x v="3"/>
    <s v="BRSUATK01S"/>
    <s v="BRSUATCO"/>
    <n v="23.753726"/>
    <n v="76.264499999999998"/>
    <n v="150"/>
    <n v="1008.87090680064"/>
    <n v="0"/>
    <n v="1344"/>
    <n v="7"/>
    <n v="0"/>
    <n v="0"/>
    <n v="1344"/>
    <m/>
    <m/>
    <n v="0"/>
    <x v="0"/>
    <s v="BRMAOTK01S"/>
    <s v="BRMAOCHI"/>
    <n v="11.436796000000001"/>
    <n v="76.264499999999998"/>
    <n v="150"/>
    <n v="826.3753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664"/>
    <n v="152529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24.7841972531837"/>
    <n v="457.58699999999999"/>
    <n v="20059.991492178484"/>
    <n v="2407.198979061418"/>
    <n v="110"/>
    <n v="150"/>
    <n v="1E-3"/>
    <n v="152.529"/>
    <n v="12757.321637404684"/>
    <n v="13169.850637404685"/>
    <n v="3180.9641611183101"/>
    <n v="7552.8864762863741"/>
    <n v="0.08"/>
    <n v="906.76834732148836"/>
    <n v="0.12"/>
    <n v="1580.382076488562"/>
    <n v="15"/>
    <n v="2"/>
  </r>
  <r>
    <n v="341"/>
    <d v="2022-12-31T00:00:00"/>
    <x v="0"/>
    <s v="CLI201"/>
    <s v="CLI201"/>
    <s v="IPOJUCA"/>
    <s v="PE"/>
    <s v="CLI497"/>
    <s v="MANAUS"/>
    <s v="AM"/>
    <n v="2824.7841972531837"/>
    <n v="2060.3329469999999"/>
    <n v="0"/>
    <n v="7000"/>
    <n v="0"/>
    <x v="0"/>
    <x v="3"/>
    <s v="BRSUATK01S"/>
    <s v="BRSUATCO"/>
    <n v="23.753726"/>
    <n v="84.686000000000007"/>
    <n v="150"/>
    <n v="1017.29240680064"/>
    <n v="0"/>
    <n v="1344"/>
    <n v="7"/>
    <n v="0"/>
    <n v="0"/>
    <n v="1344"/>
    <m/>
    <m/>
    <n v="0"/>
    <x v="0"/>
    <s v="BRMAOTK01S"/>
    <s v="BRMAOCHI"/>
    <n v="11.436796000000001"/>
    <n v="84.686000000000007"/>
    <n v="150"/>
    <n v="834.79688908544006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277"/>
    <n v="169372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24.7841972531837"/>
    <n v="508.11599999999999"/>
    <n v="20110.520492178483"/>
    <n v="2413.2624590614178"/>
    <n v="110"/>
    <n v="150"/>
    <n v="1E-3"/>
    <n v="169.37200000000001"/>
    <n v="12780.901837404683"/>
    <n v="13210.273837404682"/>
    <n v="3180.9641611183101"/>
    <n v="7593.3096762863715"/>
    <n v="0.08"/>
    <n v="908.65476332148819"/>
    <n v="0.12"/>
    <n v="1585.2328604885618"/>
    <n v="15"/>
    <n v="2"/>
  </r>
  <r>
    <n v="342"/>
    <d v="2022-12-31T00:00:00"/>
    <x v="0"/>
    <s v="CLI201"/>
    <s v="CLI201"/>
    <s v="IPOJUCA"/>
    <s v="PE"/>
    <s v="CLI202"/>
    <s v="MANAUS"/>
    <s v="AM"/>
    <n v="2824.7841972531837"/>
    <n v="2060.3329469999999"/>
    <n v="0"/>
    <n v="7000"/>
    <n v="0"/>
    <x v="0"/>
    <x v="3"/>
    <s v="BRSUATK01S"/>
    <s v="BRSUATCO"/>
    <n v="23.753726"/>
    <n v="118.648"/>
    <n v="150"/>
    <n v="1051.25440680064"/>
    <n v="0"/>
    <n v="1344"/>
    <n v="7"/>
    <n v="0"/>
    <n v="0"/>
    <n v="1344"/>
    <m/>
    <m/>
    <n v="0"/>
    <x v="0"/>
    <s v="BRMAOTK01S"/>
    <s v="BRMAOCHI"/>
    <n v="11.436796000000001"/>
    <n v="118.648"/>
    <n v="150"/>
    <n v="868.75888908544005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795"/>
    <n v="237296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824.7841972531837"/>
    <n v="711.88800000000003"/>
    <n v="20314.292492178483"/>
    <n v="2437.7150990614177"/>
    <n v="110"/>
    <n v="150"/>
    <n v="1E-3"/>
    <n v="237.29599999999999"/>
    <n v="12875.995437404683"/>
    <n v="13373.291437404683"/>
    <n v="3180.9641611183101"/>
    <n v="7756.3272762863726"/>
    <n v="0.08"/>
    <n v="916.26225132148818"/>
    <n v="0.12"/>
    <n v="1604.7949724885618"/>
    <n v="15"/>
    <n v="2"/>
  </r>
  <r>
    <n v="343"/>
    <d v="2022-12-31T00:00:00"/>
    <x v="0"/>
    <s v="CLI201"/>
    <s v="CLI201"/>
    <s v="IPOJUCA"/>
    <s v="PE"/>
    <s v="CLI908"/>
    <s v="MANAUS"/>
    <s v="AM"/>
    <n v="2824.7841972531837"/>
    <n v="2060.3329469999999"/>
    <n v="0"/>
    <n v="7000"/>
    <n v="0"/>
    <x v="0"/>
    <x v="3"/>
    <s v="BRSUATK01S"/>
    <s v="BRSUATCO"/>
    <n v="23.753726"/>
    <n v="63.951000000000001"/>
    <n v="150"/>
    <n v="996.55740680064002"/>
    <n v="0"/>
    <n v="1344"/>
    <n v="7"/>
    <n v="0"/>
    <n v="0"/>
    <n v="1344"/>
    <m/>
    <m/>
    <n v="0"/>
    <x v="0"/>
    <s v="BRMAOTK01S"/>
    <s v="BRMAOCHI"/>
    <n v="11.436796000000001"/>
    <n v="63.951000000000001"/>
    <n v="150"/>
    <n v="814.0618890854400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060"/>
    <n v="12790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383.70600000000002"/>
    <n v="19986.110492178483"/>
    <n v="2398.3332590614177"/>
    <n v="110"/>
    <n v="150"/>
    <n v="1E-3"/>
    <n v="127.902"/>
    <n v="12722.843837404684"/>
    <n v="13110.745837404684"/>
    <n v="3180.9641611183101"/>
    <n v="7493.7816762863731"/>
    <n v="0.08"/>
    <n v="904.01012332148821"/>
    <n v="0.12"/>
    <n v="1573.289500488562"/>
    <n v="15"/>
    <n v="1"/>
  </r>
  <r>
    <n v="344"/>
    <d v="2022-12-31T00:00:00"/>
    <x v="0"/>
    <s v="CLI201"/>
    <s v="CLI201"/>
    <s v="IPOJUCA"/>
    <s v="PE"/>
    <s v="CLI1252"/>
    <s v="MANAUS"/>
    <s v="AM"/>
    <n v="2824.7841972531837"/>
    <n v="2060.3329469999999"/>
    <n v="0"/>
    <n v="7000"/>
    <n v="0"/>
    <x v="0"/>
    <x v="3"/>
    <s v="BRSUATK01S"/>
    <s v="BRSUATCO"/>
    <n v="23.753726"/>
    <n v="100.75750000000001"/>
    <n v="150"/>
    <n v="1033.3639068006401"/>
    <n v="0"/>
    <n v="1344"/>
    <n v="7"/>
    <n v="0"/>
    <n v="0"/>
    <n v="1344"/>
    <m/>
    <m/>
    <n v="0"/>
    <x v="0"/>
    <s v="BRMAOTK01S"/>
    <s v="BRMAOCHI"/>
    <n v="11.436796000000001"/>
    <n v="100.75750000000001"/>
    <n v="150"/>
    <n v="850.8683890854400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448"/>
    <n v="20151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604.54499999999996"/>
    <n v="20206.949492178483"/>
    <n v="2424.8339390614178"/>
    <n v="110"/>
    <n v="150"/>
    <n v="1E-3"/>
    <n v="201.51500000000001"/>
    <n v="12825.90203740468"/>
    <n v="13287.417037404679"/>
    <n v="3180.9641611183101"/>
    <n v="7670.4528762863683"/>
    <n v="0.08"/>
    <n v="912.25477932148794"/>
    <n v="0.12"/>
    <n v="1594.4900444885614"/>
    <n v="15"/>
    <n v="1"/>
  </r>
  <r>
    <n v="345"/>
    <d v="2022-12-31T00:00:00"/>
    <x v="0"/>
    <s v="CLI201"/>
    <s v="CLI201"/>
    <s v="IPOJUCA"/>
    <s v="PE"/>
    <s v="CLI520"/>
    <s v="MANAUS"/>
    <s v="AM"/>
    <n v="2824.7841972531837"/>
    <n v="2060.3329469999999"/>
    <n v="0"/>
    <n v="7000"/>
    <n v="0"/>
    <x v="0"/>
    <x v="3"/>
    <s v="BRSUATK01S"/>
    <s v="BRSUATCO"/>
    <n v="23.753726"/>
    <n v="47.896000000000001"/>
    <n v="150"/>
    <n v="980.50240680063996"/>
    <n v="0"/>
    <n v="1344"/>
    <n v="7"/>
    <n v="0"/>
    <n v="0"/>
    <n v="1344"/>
    <m/>
    <m/>
    <n v="0"/>
    <x v="0"/>
    <s v="BRMAOTK01S"/>
    <s v="BRMAOCHI"/>
    <n v="11.436796000000001"/>
    <n v="47.896000000000001"/>
    <n v="150"/>
    <n v="798.0068890854399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093"/>
    <n v="9579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287.37600000000003"/>
    <n v="19889.780492178485"/>
    <n v="2386.7736590614181"/>
    <n v="110"/>
    <n v="150"/>
    <n v="1E-3"/>
    <n v="95.792000000000002"/>
    <n v="12677.889837404684"/>
    <n v="13033.681837404683"/>
    <n v="3180.9641611183101"/>
    <n v="7416.7176762863728"/>
    <n v="0.08"/>
    <n v="900.41380332148822"/>
    <n v="0.12"/>
    <n v="1564.0418204885621"/>
    <n v="15"/>
    <n v="1"/>
  </r>
  <r>
    <n v="346"/>
    <d v="2022-12-31T00:00:00"/>
    <x v="0"/>
    <s v="CLI202"/>
    <s v="CLI202"/>
    <s v="MANAUS"/>
    <s v="AM"/>
    <s v="CLI851"/>
    <s v="ITAGUAI"/>
    <s v="RJ"/>
    <n v="4129.6512739999998"/>
    <n v="0"/>
    <n v="3075.8502579999999"/>
    <n v="7000"/>
    <n v="0"/>
    <x v="0"/>
    <x v="2"/>
    <s v="BRMAOTK01S"/>
    <s v="BRMAOCHI"/>
    <n v="11.436796000000001"/>
    <n v="83.539000000000001"/>
    <n v="150"/>
    <n v="833.64988908544001"/>
    <n v="0"/>
    <n v="832"/>
    <n v="7"/>
    <n v="0"/>
    <n v="0"/>
    <n v="832"/>
    <m/>
    <m/>
    <n v="0"/>
    <x v="4"/>
    <s v="BRIGITK01S"/>
    <s v="BRIGITCO"/>
    <n v="14.539448"/>
    <n v="83.539000000000001"/>
    <n v="150"/>
    <n v="879.62076681472001"/>
    <n v="0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570"/>
    <n v="167078"/>
    <x v="0"/>
    <x v="3"/>
    <x v="2"/>
    <x v="2"/>
    <x v="3"/>
    <x v="3"/>
    <n v="2"/>
    <n v="2"/>
    <n v="2"/>
    <n v="2"/>
    <n v="1"/>
    <n v="1"/>
    <n v="1"/>
    <n v="16"/>
    <n v="7"/>
    <n v="110"/>
    <n v="7"/>
    <n v="110"/>
    <n v="4129.6512739999998"/>
    <n v="501.23400000000004"/>
    <n v="28964.938615683041"/>
    <n v="3475.7926338819648"/>
    <n v="75"/>
    <n v="150"/>
    <n v="1E-3"/>
    <n v="167.078"/>
    <n v="19076.167571848015"/>
    <n v="19468.245571848016"/>
    <n v="3180.9641611183101"/>
    <n v="14456.281410729705"/>
    <n v="0.08"/>
    <n v="1420.3979932758284"/>
    <n v="0.12"/>
    <n v="2336.189468621762"/>
    <n v="15"/>
    <n v="2"/>
  </r>
  <r>
    <n v="347"/>
    <d v="2022-12-31T00:00:00"/>
    <x v="0"/>
    <s v="CLI202"/>
    <s v="CLI202"/>
    <s v="MANAUS"/>
    <s v="AM"/>
    <s v="CLI200"/>
    <s v="CAUCAIA"/>
    <s v="CE"/>
    <n v="3014.7999490000002"/>
    <n v="0"/>
    <n v="1428.051281"/>
    <n v="7000"/>
    <n v="0"/>
    <x v="0"/>
    <x v="2"/>
    <s v="BRMAOTK01S"/>
    <s v="BRMAOCHI"/>
    <n v="11.436796000000001"/>
    <n v="102.8035"/>
    <n v="150"/>
    <n v="852.91438908544001"/>
    <n v="0"/>
    <n v="832"/>
    <n v="7"/>
    <n v="0"/>
    <n v="0"/>
    <n v="832"/>
    <m/>
    <m/>
    <n v="0"/>
    <x v="3"/>
    <s v="BRPECTK01S"/>
    <s v="BRPECAPM"/>
    <n v="34.109209"/>
    <n v="102.8035"/>
    <n v="150"/>
    <n v="1188.8433704377601"/>
    <n v="213.99180667879682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495"/>
    <n v="205607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3014.7999490000002"/>
    <n v="616.82100000000003"/>
    <n v="21509.614861661044"/>
    <n v="2581.1537833993252"/>
    <n v="75"/>
    <n v="150"/>
    <n v="1E-3"/>
    <n v="205.607"/>
    <n v="13627.499971496491"/>
    <n v="14058.106971496491"/>
    <n v="3180.9641611183101"/>
    <n v="8982.14281037818"/>
    <n v="0.08"/>
    <n v="944.1885924235595"/>
    <n v="0.12"/>
    <n v="1686.9728365795788"/>
    <n v="15"/>
    <n v="1"/>
  </r>
  <r>
    <n v="348"/>
    <d v="2022-12-31T00:00:00"/>
    <x v="0"/>
    <s v="CLI203"/>
    <s v="CLI203"/>
    <s v="RIO DE JANEIRO"/>
    <s v="RJ"/>
    <s v="CLI201"/>
    <s v="IPOJUCA"/>
    <s v="PE"/>
    <n v="2226.6866299999997"/>
    <n v="0"/>
    <n v="0"/>
    <n v="0"/>
    <n v="0"/>
    <x v="0"/>
    <x v="4"/>
    <s v="BRIGITK01S"/>
    <s v="BRIGITCO"/>
    <n v="78.029871"/>
    <n v="85.860500000000002"/>
    <n v="150"/>
    <n v="1822.6570078534401"/>
    <n v="364.53140157068805"/>
    <n v="704"/>
    <n v="7"/>
    <n v="0"/>
    <n v="0"/>
    <n v="704"/>
    <m/>
    <m/>
    <n v="0"/>
    <x v="2"/>
    <s v="BRSUATK01S"/>
    <s v="BRSUATCO"/>
    <n v="23.753726"/>
    <n v="85.860500000000002"/>
    <n v="150"/>
    <n v="1018.46690680064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356"/>
    <n v="171721"/>
    <x v="0"/>
    <x v="9"/>
    <x v="16"/>
    <x v="9"/>
    <x v="17"/>
    <x v="10"/>
    <n v="10"/>
    <n v="10"/>
    <n v="11"/>
    <n v="10"/>
    <n v="10"/>
    <n v="9"/>
    <n v="9"/>
    <n v="115"/>
    <n v="7"/>
    <n v="110"/>
    <n v="7"/>
    <n v="110"/>
    <n v="2226.6866299999997"/>
    <n v="515.16300000000001"/>
    <n v="16055.910836864801"/>
    <n v="1123.9137585805363"/>
    <n v="75"/>
    <n v="150"/>
    <n v="1E-3"/>
    <n v="171.721"/>
    <n v="9250.3508455475039"/>
    <n v="9647.0718455475035"/>
    <n v="3180.9641611183101"/>
    <n v="4128.1076844291929"/>
    <n v="0.08"/>
    <n v="515.31332234581885"/>
    <n v="7.0000000000000007E-2"/>
    <n v="675.29502918832532"/>
    <n v="15"/>
    <n v="11"/>
  </r>
  <r>
    <n v="349"/>
    <d v="2022-12-31T00:00:00"/>
    <x v="0"/>
    <s v="CLI203"/>
    <s v="CLI203"/>
    <s v="RIO DE JANEIRO"/>
    <s v="RJ"/>
    <s v="CLI201"/>
    <s v="IPOJUCA"/>
    <s v="PE"/>
    <n v="2226.6866299999997"/>
    <n v="0"/>
    <n v="0"/>
    <n v="0"/>
    <n v="0"/>
    <x v="0"/>
    <x v="4"/>
    <s v="BRIGITK01S"/>
    <s v="BRIGITCO"/>
    <n v="78.029871"/>
    <n v="55.743000000000002"/>
    <n v="150"/>
    <n v="1792.53950785344"/>
    <n v="358.50790157068803"/>
    <n v="704"/>
    <n v="7"/>
    <n v="0"/>
    <n v="0"/>
    <n v="704"/>
    <m/>
    <m/>
    <n v="0"/>
    <x v="2"/>
    <s v="BRSUATK01S"/>
    <s v="BRSUATCO"/>
    <n v="23.753726"/>
    <n v="55.743000000000002"/>
    <n v="150"/>
    <n v="988.34940680064005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083"/>
    <n v="111486"/>
    <x v="0"/>
    <x v="13"/>
    <x v="3"/>
    <x v="17"/>
    <x v="4"/>
    <x v="4"/>
    <n v="8"/>
    <n v="8"/>
    <n v="9"/>
    <n v="8"/>
    <n v="8"/>
    <n v="7"/>
    <n v="7"/>
    <n v="91"/>
    <n v="7"/>
    <n v="110"/>
    <n v="7"/>
    <n v="110"/>
    <n v="2226.6866299999997"/>
    <n v="334.45800000000003"/>
    <n v="15875.205836864801"/>
    <n v="1111.2644085805362"/>
    <n v="75"/>
    <n v="150"/>
    <n v="1E-3"/>
    <n v="111.486"/>
    <n v="9166.0218455475042"/>
    <n v="9502.507845547505"/>
    <n v="3180.9641611183101"/>
    <n v="3983.5436844291949"/>
    <n v="0.08"/>
    <n v="509.04888234581892"/>
    <n v="7.0000000000000007E-2"/>
    <n v="665.17554918832536"/>
    <n v="15"/>
    <n v="9"/>
  </r>
  <r>
    <n v="350"/>
    <d v="2022-12-31T00:00:00"/>
    <x v="0"/>
    <s v="CLI203"/>
    <s v="CLI203"/>
    <s v="RIO DE JANEIRO"/>
    <s v="RJ"/>
    <s v="CLI3"/>
    <s v="CAUCAIA"/>
    <s v="CE"/>
    <n v="2564.4865290000002"/>
    <n v="0"/>
    <n v="0"/>
    <n v="0"/>
    <n v="0"/>
    <x v="0"/>
    <x v="4"/>
    <s v="BRIGITK01S"/>
    <s v="BRIGITCO"/>
    <n v="78.029871"/>
    <n v="62.118500000000004"/>
    <n v="150"/>
    <n v="1798.9150078534401"/>
    <n v="359.78300157068804"/>
    <n v="704"/>
    <n v="7"/>
    <n v="0"/>
    <n v="0"/>
    <n v="704"/>
    <m/>
    <m/>
    <n v="0"/>
    <x v="3"/>
    <s v="BRPECTK01S"/>
    <s v="BRPECAPM"/>
    <n v="34.109209"/>
    <n v="62.118500000000004"/>
    <n v="150"/>
    <n v="1148.1583704377599"/>
    <n v="206.66850667879677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503"/>
    <n v="124237"/>
    <x v="0"/>
    <x v="5"/>
    <x v="6"/>
    <x v="5"/>
    <x v="8"/>
    <x v="6"/>
    <n v="5"/>
    <n v="5"/>
    <n v="5"/>
    <n v="5"/>
    <n v="5"/>
    <n v="4"/>
    <n v="4"/>
    <n v="54"/>
    <n v="7"/>
    <n v="110"/>
    <n v="7"/>
    <n v="110"/>
    <n v="2564.4865290000002"/>
    <n v="372.71100000000001"/>
    <n v="18207.444438977844"/>
    <n v="1274.5211107284492"/>
    <n v="75"/>
    <n v="150"/>
    <n v="1E-3"/>
    <n v="124.23700000000001"/>
    <n v="10682.25974248065"/>
    <n v="11031.496742480649"/>
    <n v="3180.9641611183101"/>
    <n v="6088.5325813623385"/>
    <n v="0.08"/>
    <n v="601.43774847519717"/>
    <n v="7.0000000000000007E-2"/>
    <n v="772.20477197364551"/>
    <n v="15"/>
    <n v="5"/>
  </r>
  <r>
    <n v="351"/>
    <d v="2022-12-31T00:00:00"/>
    <x v="0"/>
    <s v="CLI203"/>
    <s v="CLI203"/>
    <s v="RIO DE JANEIRO"/>
    <s v="RJ"/>
    <s v="CLI202"/>
    <s v="MANAUS"/>
    <s v="AM"/>
    <n v="2844.6830251676256"/>
    <n v="3090.4427809999997"/>
    <n v="0"/>
    <n v="7000"/>
    <n v="0"/>
    <x v="0"/>
    <x v="4"/>
    <s v="BRIGITK01S"/>
    <s v="BRIGITCO"/>
    <n v="78.029871"/>
    <n v="93.405000000000001"/>
    <n v="150"/>
    <n v="1830.20150785344"/>
    <n v="366.04030157068803"/>
    <n v="704"/>
    <n v="7"/>
    <n v="0"/>
    <n v="0"/>
    <n v="704"/>
    <m/>
    <m/>
    <n v="0"/>
    <x v="0"/>
    <s v="BRMAOTK01S"/>
    <s v="BRMAOCHI"/>
    <n v="11.436796000000001"/>
    <n v="93.405000000000001"/>
    <n v="150"/>
    <n v="843.51588908543999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719"/>
    <n v="186810"/>
    <x v="0"/>
    <x v="0"/>
    <x v="5"/>
    <x v="4"/>
    <x v="0"/>
    <x v="0"/>
    <n v="3"/>
    <n v="3"/>
    <n v="3"/>
    <n v="3"/>
    <n v="3"/>
    <n v="3"/>
    <n v="3"/>
    <n v="36"/>
    <n v="7"/>
    <n v="110"/>
    <n v="7"/>
    <n v="110"/>
    <n v="2844.6830251676256"/>
    <n v="560.43000000000006"/>
    <n v="20297.96663659234"/>
    <n v="1420.8576645614639"/>
    <n v="75"/>
    <n v="150"/>
    <n v="1E-3"/>
    <n v="186.81"/>
    <n v="12336.974467757422"/>
    <n v="12748.784467757421"/>
    <n v="3180.9641611183101"/>
    <n v="7741.8203066391106"/>
    <n v="0.08"/>
    <n v="776.72214153982816"/>
    <n v="7.0000000000000007E-2"/>
    <n v="892.41491274301961"/>
    <n v="15"/>
    <n v="3"/>
  </r>
  <r>
    <n v="352"/>
    <d v="2022-12-31T00:00:00"/>
    <x v="0"/>
    <s v="CLI203"/>
    <s v="CLI203"/>
    <s v="RIO DE JANEIRO"/>
    <s v="RJ"/>
    <s v="CLI900"/>
    <s v="IPOJUCA"/>
    <s v="PE"/>
    <n v="2226.6866299999997"/>
    <n v="0"/>
    <n v="0"/>
    <n v="0"/>
    <n v="0"/>
    <x v="0"/>
    <x v="4"/>
    <s v="BRIGITK01S"/>
    <s v="BRIGITCO"/>
    <n v="78.029871"/>
    <n v="46.558"/>
    <n v="150"/>
    <n v="1783.3545078534401"/>
    <n v="356.67090157068805"/>
    <n v="704"/>
    <n v="7"/>
    <n v="0"/>
    <n v="0"/>
    <n v="704"/>
    <m/>
    <m/>
    <n v="0"/>
    <x v="2"/>
    <s v="BRSUATK01S"/>
    <s v="BRSUATCO"/>
    <n v="23.753726"/>
    <n v="46.558"/>
    <n v="150"/>
    <n v="979.16440680063999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160"/>
    <n v="93116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226.6866299999997"/>
    <n v="279.34800000000001"/>
    <n v="15820.095836864801"/>
    <n v="1107.4067085805361"/>
    <n v="75"/>
    <n v="150"/>
    <n v="1E-3"/>
    <n v="93.116"/>
    <n v="9140.3038455475034"/>
    <n v="9458.4198455475034"/>
    <n v="3180.9641611183101"/>
    <n v="3939.4556844291933"/>
    <n v="0.08"/>
    <n v="507.13840234581886"/>
    <n v="7.0000000000000007E-2"/>
    <n v="662.0893891883253"/>
    <n v="15"/>
    <n v="2"/>
  </r>
  <r>
    <n v="353"/>
    <d v="2022-12-31T00:00:00"/>
    <x v="0"/>
    <s v="CLI203"/>
    <s v="CLI203"/>
    <s v="RIO DE JANEIRO"/>
    <s v="RJ"/>
    <s v="CLI201"/>
    <s v="IPOJUCA"/>
    <s v="PE"/>
    <n v="2226.6866299999997"/>
    <n v="0"/>
    <n v="0"/>
    <n v="0"/>
    <n v="0"/>
    <x v="0"/>
    <x v="4"/>
    <s v="BRIGITK01S"/>
    <s v="BRIGITCO"/>
    <n v="78.029871"/>
    <n v="38.406500000000001"/>
    <n v="150"/>
    <n v="1775.2030078534401"/>
    <n v="355.04060157068807"/>
    <n v="704"/>
    <n v="7"/>
    <n v="0"/>
    <n v="0"/>
    <n v="704"/>
    <m/>
    <m/>
    <n v="0"/>
    <x v="2"/>
    <s v="BRSUATK01S"/>
    <s v="BRSUATCO"/>
    <n v="23.753726"/>
    <n v="38.406500000000001"/>
    <n v="150"/>
    <n v="971.01290680064005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119"/>
    <n v="76813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226.6866299999997"/>
    <n v="230.43899999999999"/>
    <n v="15771.186836864801"/>
    <n v="1103.9830785805361"/>
    <n v="75"/>
    <n v="150"/>
    <n v="1E-3"/>
    <n v="76.813000000000002"/>
    <n v="9117.4796455475025"/>
    <n v="9419.2926455475026"/>
    <n v="3180.9641611183101"/>
    <n v="3900.3284844291925"/>
    <n v="0.08"/>
    <n v="505.44289034581885"/>
    <n v="7.0000000000000007E-2"/>
    <n v="659.35048518832525"/>
    <n v="15"/>
    <n v="2"/>
  </r>
  <r>
    <n v="354"/>
    <d v="2022-12-31T00:00:00"/>
    <x v="0"/>
    <s v="CLI203"/>
    <s v="CLI203"/>
    <s v="RIO DE JANEIRO"/>
    <s v="RJ"/>
    <s v="CLI520"/>
    <s v="MANAUS"/>
    <s v="AM"/>
    <n v="2844.6830251676256"/>
    <n v="3090.4427809999997"/>
    <n v="0"/>
    <n v="7000"/>
    <n v="0"/>
    <x v="0"/>
    <x v="4"/>
    <s v="BRIGITK01S"/>
    <s v="BRIGITCO"/>
    <n v="78.029871"/>
    <n v="46.972000000000001"/>
    <n v="150"/>
    <n v="1783.76850785344"/>
    <n v="356.75370157068801"/>
    <n v="704"/>
    <n v="7"/>
    <n v="0"/>
    <n v="0"/>
    <n v="704"/>
    <m/>
    <m/>
    <n v="0"/>
    <x v="0"/>
    <s v="BRMAOTK01S"/>
    <s v="BRMAOCHI"/>
    <n v="11.436796000000001"/>
    <n v="46.972000000000001"/>
    <n v="150"/>
    <n v="797.08288908544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216"/>
    <n v="93944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844.6830251676256"/>
    <n v="281.83199999999999"/>
    <n v="20019.368636592339"/>
    <n v="1401.3558045614639"/>
    <n v="75"/>
    <n v="150"/>
    <n v="1E-3"/>
    <n v="93.944000000000003"/>
    <n v="12206.96206775742"/>
    <n v="12525.90606775742"/>
    <n v="3180.9641611183101"/>
    <n v="7518.9419066391092"/>
    <n v="0.08"/>
    <n v="767.06407753982819"/>
    <n v="7.0000000000000007E-2"/>
    <n v="876.81342474301948"/>
    <n v="15"/>
    <n v="1"/>
  </r>
  <r>
    <n v="355"/>
    <d v="2022-12-31T00:00:00"/>
    <x v="0"/>
    <s v="CLI203"/>
    <s v="CLI203"/>
    <s v="RIO DE JANEIRO"/>
    <s v="RJ"/>
    <s v="CLI3"/>
    <s v="CAUCAIA"/>
    <s v="CE"/>
    <n v="2564.4865290000002"/>
    <n v="0"/>
    <n v="0"/>
    <n v="0"/>
    <n v="0"/>
    <x v="0"/>
    <x v="4"/>
    <s v="BRIGITK01S"/>
    <s v="BRIGITCO"/>
    <n v="78.029871"/>
    <n v="69.760000000000005"/>
    <n v="150"/>
    <n v="1806.5565078534401"/>
    <n v="361.31130157068804"/>
    <n v="704"/>
    <n v="7"/>
    <n v="0"/>
    <n v="0"/>
    <n v="704"/>
    <m/>
    <m/>
    <n v="0"/>
    <x v="3"/>
    <s v="BRPECTK01S"/>
    <s v="BRPECAPM"/>
    <n v="34.109209"/>
    <n v="69.760000000000005"/>
    <n v="150"/>
    <n v="1155.7998704377601"/>
    <n v="208.04397667879681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63"/>
    <n v="139520"/>
    <x v="1"/>
    <x v="19"/>
    <x v="18"/>
    <x v="16"/>
    <x v="19"/>
    <x v="19"/>
    <n v="24"/>
    <n v="23"/>
    <n v="25"/>
    <n v="25"/>
    <n v="26"/>
    <n v="24"/>
    <n v="25"/>
    <n v="280"/>
    <n v="7"/>
    <n v="180"/>
    <n v="7"/>
    <n v="180"/>
    <n v="2564.4865290000002"/>
    <n v="418.56"/>
    <n v="18253.293438977846"/>
    <n v="1277.7305407284493"/>
    <n v="110"/>
    <n v="150"/>
    <n v="1E-3"/>
    <n v="139.52000000000001"/>
    <n v="10703.655942480649"/>
    <n v="11103.17594248065"/>
    <n v="3180.9641611183101"/>
    <n v="6160.211781362339"/>
    <n v="0.08"/>
    <n v="605.71714287519717"/>
    <n v="7.0000000000000007E-2"/>
    <n v="777.22231597364555"/>
    <n v="15"/>
    <n v="26"/>
  </r>
  <r>
    <n v="356"/>
    <d v="2022-12-31T00:00:00"/>
    <x v="0"/>
    <s v="CLI203"/>
    <s v="CLI203"/>
    <s v="RIO DE JANEIRO"/>
    <s v="RJ"/>
    <s v="CLI201"/>
    <s v="IPOJUCA"/>
    <s v="PE"/>
    <n v="2226.6866299999997"/>
    <n v="0"/>
    <n v="0"/>
    <n v="0"/>
    <n v="0"/>
    <x v="0"/>
    <x v="4"/>
    <s v="BRIGITK01S"/>
    <s v="BRIGITCO"/>
    <n v="78.029871"/>
    <n v="112.15"/>
    <n v="150"/>
    <n v="1848.9465078534402"/>
    <n v="369.78930157068805"/>
    <n v="704"/>
    <n v="7"/>
    <n v="0"/>
    <n v="0"/>
    <n v="704"/>
    <m/>
    <m/>
    <n v="0"/>
    <x v="2"/>
    <s v="BRSUATK01S"/>
    <s v="BRSUATCO"/>
    <n v="23.753726"/>
    <n v="112.15"/>
    <n v="150"/>
    <n v="1044.75640680064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908"/>
    <n v="224300"/>
    <x v="1"/>
    <x v="20"/>
    <x v="15"/>
    <x v="18"/>
    <x v="20"/>
    <x v="15"/>
    <n v="13"/>
    <n v="13"/>
    <n v="14"/>
    <n v="14"/>
    <n v="14"/>
    <n v="13"/>
    <n v="14"/>
    <n v="157"/>
    <n v="7"/>
    <n v="180"/>
    <n v="7"/>
    <n v="180"/>
    <n v="2226.6866299999997"/>
    <n v="672.9"/>
    <n v="16213.6478368648"/>
    <n v="1134.9553485805361"/>
    <n v="110"/>
    <n v="150"/>
    <n v="1E-3"/>
    <n v="224.3"/>
    <n v="9323.9614455475039"/>
    <n v="9808.2614455475032"/>
    <n v="3180.9641611183101"/>
    <n v="4289.2972844291926"/>
    <n v="0.08"/>
    <n v="523.5815383458189"/>
    <n v="7.0000000000000007E-2"/>
    <n v="686.57830118832533"/>
    <n v="15"/>
    <n v="14"/>
  </r>
  <r>
    <n v="357"/>
    <d v="2022-12-31T00:00:00"/>
    <x v="0"/>
    <s v="CLI203"/>
    <s v="CLI203"/>
    <s v="RIO DE JANEIRO"/>
    <s v="RJ"/>
    <s v="CLI1220"/>
    <s v="CAUCAIA"/>
    <s v="CE"/>
    <n v="2564.4865290000002"/>
    <n v="0"/>
    <n v="0"/>
    <n v="0"/>
    <n v="0"/>
    <x v="0"/>
    <x v="4"/>
    <s v="BRIGITK01S"/>
    <s v="BRIGITCO"/>
    <n v="78.029871"/>
    <n v="87.359499999999997"/>
    <n v="150"/>
    <n v="1824.1560078534401"/>
    <n v="364.83120157068805"/>
    <n v="704"/>
    <n v="7"/>
    <n v="0"/>
    <n v="0"/>
    <n v="704"/>
    <m/>
    <m/>
    <n v="0"/>
    <x v="3"/>
    <s v="BRPECTK01S"/>
    <s v="BRPECAPM"/>
    <n v="34.109209"/>
    <n v="87.359499999999997"/>
    <n v="150"/>
    <n v="1173.3993704377599"/>
    <n v="211.21188667879679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730"/>
    <n v="174719"/>
    <x v="1"/>
    <x v="8"/>
    <x v="9"/>
    <x v="19"/>
    <x v="10"/>
    <x v="20"/>
    <n v="12"/>
    <n v="11"/>
    <n v="12"/>
    <n v="12"/>
    <n v="13"/>
    <n v="12"/>
    <n v="13"/>
    <n v="138"/>
    <n v="7"/>
    <n v="180"/>
    <n v="7"/>
    <n v="180"/>
    <n v="2564.4865290000002"/>
    <n v="524.15700000000004"/>
    <n v="18358.890438977844"/>
    <n v="1285.1223307284492"/>
    <n v="110"/>
    <n v="150"/>
    <n v="1E-3"/>
    <n v="174.71899999999999"/>
    <n v="10752.934542480651"/>
    <n v="11187.65354248065"/>
    <n v="3180.9641611183101"/>
    <n v="6244.6893813623392"/>
    <n v="0.08"/>
    <n v="609.12440607519716"/>
    <n v="7.0000000000000007E-2"/>
    <n v="783.13574797364561"/>
    <n v="15"/>
    <n v="13"/>
  </r>
  <r>
    <n v="358"/>
    <d v="2022-12-31T00:00:00"/>
    <x v="0"/>
    <s v="CLI203"/>
    <s v="CLI203"/>
    <s v="RIO DE JANEIRO"/>
    <s v="RJ"/>
    <s v="CLI3"/>
    <s v="CAUCAIA"/>
    <s v="CE"/>
    <n v="2564.4865290000002"/>
    <n v="0"/>
    <n v="0"/>
    <n v="0"/>
    <n v="0"/>
    <x v="0"/>
    <x v="4"/>
    <s v="BRIGITK01S"/>
    <s v="BRIGITCO"/>
    <n v="78.029871"/>
    <n v="77.061000000000007"/>
    <n v="150"/>
    <n v="1813.85750785344"/>
    <n v="362.77150157068803"/>
    <n v="704"/>
    <n v="7"/>
    <n v="0"/>
    <n v="0"/>
    <n v="704"/>
    <m/>
    <m/>
    <n v="0"/>
    <x v="3"/>
    <s v="BRPECTK01S"/>
    <s v="BRPECAPM"/>
    <n v="34.109209"/>
    <n v="77.061000000000007"/>
    <n v="150"/>
    <n v="1163.10087043776"/>
    <n v="209.3581566787968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326"/>
    <n v="154122"/>
    <x v="1"/>
    <x v="21"/>
    <x v="16"/>
    <x v="8"/>
    <x v="11"/>
    <x v="10"/>
    <n v="10"/>
    <n v="10"/>
    <n v="11"/>
    <n v="11"/>
    <n v="11"/>
    <n v="10"/>
    <n v="11"/>
    <n v="121"/>
    <n v="7"/>
    <n v="180"/>
    <n v="7"/>
    <n v="180"/>
    <n v="2564.4865290000002"/>
    <n v="462.36599999999999"/>
    <n v="18297.099438977843"/>
    <n v="1280.796960728449"/>
    <n v="110"/>
    <n v="150"/>
    <n v="1E-3"/>
    <n v="154.12200000000001"/>
    <n v="10724.098742480648"/>
    <n v="11138.220742480647"/>
    <n v="3180.9641611183101"/>
    <n v="6195.2565813623369"/>
    <n v="0.08"/>
    <n v="607.13061647519714"/>
    <n v="7.0000000000000007E-2"/>
    <n v="779.67545197364541"/>
    <n v="15"/>
    <n v="11"/>
  </r>
  <r>
    <n v="359"/>
    <d v="2022-12-31T00:00:00"/>
    <x v="0"/>
    <s v="CLI203"/>
    <s v="CLI203"/>
    <s v="RIO DE JANEIRO"/>
    <s v="RJ"/>
    <s v="CLI1220"/>
    <s v="CAUCAIA"/>
    <s v="CE"/>
    <n v="2564.4865290000002"/>
    <n v="0"/>
    <n v="0"/>
    <n v="0"/>
    <n v="0"/>
    <x v="0"/>
    <x v="4"/>
    <s v="BRIGITK01S"/>
    <s v="BRIGITCO"/>
    <n v="78.029871"/>
    <n v="58.634"/>
    <n v="150"/>
    <n v="1795.4305078534401"/>
    <n v="359.08610157068802"/>
    <n v="704"/>
    <n v="7"/>
    <n v="0"/>
    <n v="0"/>
    <n v="704"/>
    <m/>
    <m/>
    <n v="0"/>
    <x v="3"/>
    <s v="BRPECTK01S"/>
    <s v="BRPECAPM"/>
    <n v="34.109209"/>
    <n v="58.634"/>
    <n v="150"/>
    <n v="1144.6738704377599"/>
    <n v="206.04129667879678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780"/>
    <n v="117268"/>
    <x v="1"/>
    <x v="13"/>
    <x v="12"/>
    <x v="17"/>
    <x v="7"/>
    <x v="12"/>
    <n v="7"/>
    <n v="7"/>
    <n v="8"/>
    <n v="8"/>
    <n v="8"/>
    <n v="7"/>
    <n v="8"/>
    <n v="86"/>
    <n v="7"/>
    <n v="180"/>
    <n v="7"/>
    <n v="180"/>
    <n v="2564.4865290000002"/>
    <n v="351.80400000000003"/>
    <n v="18186.537438977844"/>
    <n v="1273.0576207284491"/>
    <n v="110"/>
    <n v="150"/>
    <n v="1E-3"/>
    <n v="117.268"/>
    <n v="10672.503142480649"/>
    <n v="11049.771142480649"/>
    <n v="3180.9641611183101"/>
    <n v="6106.8069813623388"/>
    <n v="0.08"/>
    <n v="603.56314927519713"/>
    <n v="7.0000000000000007E-2"/>
    <n v="773.48397997364555"/>
    <n v="15"/>
    <n v="8"/>
  </r>
  <r>
    <n v="360"/>
    <d v="2022-12-31T00:00:00"/>
    <x v="0"/>
    <s v="CLI203"/>
    <s v="CLI203"/>
    <s v="RIO DE JANEIRO"/>
    <s v="RJ"/>
    <s v="CLI201"/>
    <s v="IPOJUCA"/>
    <s v="PE"/>
    <n v="2226.6866299999997"/>
    <n v="0"/>
    <n v="0"/>
    <n v="0"/>
    <n v="0"/>
    <x v="0"/>
    <x v="4"/>
    <s v="BRIGITK01S"/>
    <s v="BRIGITCO"/>
    <n v="78.029871"/>
    <n v="121.98100000000001"/>
    <n v="150"/>
    <n v="1858.7775078534401"/>
    <n v="371.75550157068801"/>
    <n v="704"/>
    <n v="7"/>
    <n v="0"/>
    <n v="0"/>
    <n v="704"/>
    <m/>
    <m/>
    <n v="0"/>
    <x v="2"/>
    <s v="BRSUATK01S"/>
    <s v="BRSUATCO"/>
    <n v="23.753726"/>
    <n v="121.98100000000001"/>
    <n v="150"/>
    <n v="1054.5874068006401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039"/>
    <n v="243962"/>
    <x v="1"/>
    <x v="13"/>
    <x v="12"/>
    <x v="12"/>
    <x v="1"/>
    <x v="12"/>
    <n v="7"/>
    <n v="6"/>
    <n v="7"/>
    <n v="7"/>
    <n v="7"/>
    <n v="7"/>
    <n v="7"/>
    <n v="79"/>
    <n v="7"/>
    <n v="180"/>
    <n v="7"/>
    <n v="180"/>
    <n v="2226.6866299999997"/>
    <n v="731.88599999999997"/>
    <n v="16272.633836864801"/>
    <n v="1139.0843685805362"/>
    <n v="110"/>
    <n v="150"/>
    <n v="1E-3"/>
    <n v="243.96200000000002"/>
    <n v="9351.4882455475054"/>
    <n v="9855.4502455475049"/>
    <n v="3180.9641611183101"/>
    <n v="4336.4860844291943"/>
    <n v="0.08"/>
    <n v="525.62638634581901"/>
    <n v="7.0000000000000007E-2"/>
    <n v="689.88151718832546"/>
    <n v="15"/>
    <n v="7"/>
  </r>
  <r>
    <n v="361"/>
    <d v="2022-12-31T00:00:00"/>
    <x v="0"/>
    <s v="CLI203"/>
    <s v="CLI203"/>
    <s v="RIO DE JANEIRO"/>
    <s v="RJ"/>
    <s v="CLI751"/>
    <s v="CAUCAIA"/>
    <s v="CE"/>
    <n v="2564.4865290000002"/>
    <n v="0"/>
    <n v="0"/>
    <n v="0"/>
    <n v="0"/>
    <x v="0"/>
    <x v="4"/>
    <s v="BRIGITK01S"/>
    <s v="BRIGITCO"/>
    <n v="78.029871"/>
    <n v="46.871000000000002"/>
    <n v="150"/>
    <n v="1783.6675078534402"/>
    <n v="356.73350157068808"/>
    <n v="704"/>
    <n v="7"/>
    <n v="0"/>
    <n v="0"/>
    <n v="704"/>
    <m/>
    <m/>
    <n v="0"/>
    <x v="3"/>
    <s v="BRPECTK01S"/>
    <s v="BRPECAPM"/>
    <n v="34.109209"/>
    <n v="46.871000000000002"/>
    <n v="150"/>
    <n v="1132.91087043776"/>
    <n v="203.9239566787968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275"/>
    <n v="93742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2564.4865290000002"/>
    <n v="281.226"/>
    <n v="18115.959438977843"/>
    <n v="1268.1171607284491"/>
    <n v="110"/>
    <n v="150"/>
    <n v="1E-3"/>
    <n v="93.742000000000004"/>
    <n v="10639.566742480649"/>
    <n v="10993.308742480649"/>
    <n v="3180.9641611183101"/>
    <n v="6050.3445813623384"/>
    <n v="0.08"/>
    <n v="601.28583247519714"/>
    <n v="7.0000000000000007E-2"/>
    <n v="769.53161197364545"/>
    <n v="15"/>
    <n v="3"/>
  </r>
  <r>
    <n v="362"/>
    <d v="2022-12-31T00:00:00"/>
    <x v="0"/>
    <s v="CLI203"/>
    <s v="CLI203"/>
    <s v="RIO DE JANEIRO"/>
    <s v="RJ"/>
    <s v="CLI200"/>
    <s v="CAUCAIA"/>
    <s v="CE"/>
    <n v="2564.4865290000002"/>
    <n v="0"/>
    <n v="0"/>
    <n v="0"/>
    <n v="0"/>
    <x v="0"/>
    <x v="4"/>
    <s v="BRIGITK01S"/>
    <s v="BRIGITCO"/>
    <n v="78.029871"/>
    <n v="42.338500000000003"/>
    <n v="150"/>
    <n v="1779.1350078534401"/>
    <n v="355.82700157068803"/>
    <n v="704"/>
    <n v="7"/>
    <n v="0"/>
    <n v="0"/>
    <n v="704"/>
    <m/>
    <m/>
    <n v="0"/>
    <x v="3"/>
    <s v="BRPECTK01S"/>
    <s v="BRPECAPM"/>
    <n v="34.109209"/>
    <n v="42.338500000000003"/>
    <n v="150"/>
    <n v="1128.3783704377599"/>
    <n v="203.10810667879679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508"/>
    <n v="84677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564.4865290000002"/>
    <n v="254.03100000000001"/>
    <n v="18088.764438977843"/>
    <n v="1266.2135107284491"/>
    <n v="110"/>
    <n v="150"/>
    <n v="1E-3"/>
    <n v="84.677000000000007"/>
    <n v="10626.87574248065"/>
    <n v="10971.55274248065"/>
    <n v="3180.9641611183101"/>
    <n v="6028.588581362339"/>
    <n v="0.08"/>
    <n v="600.40834047519729"/>
    <n v="7.0000000000000007E-2"/>
    <n v="768.00869197364557"/>
    <n v="15"/>
    <n v="3"/>
  </r>
  <r>
    <n v="363"/>
    <d v="2022-12-31T00:00:00"/>
    <x v="0"/>
    <s v="CLI203"/>
    <s v="CLI203"/>
    <s v="RIO DE JANEIRO"/>
    <s v="RJ"/>
    <s v="CLI597"/>
    <s v="MANAUS"/>
    <s v="AM"/>
    <n v="2844.6830251676256"/>
    <n v="3090.4427809999997"/>
    <n v="0"/>
    <n v="7000"/>
    <n v="0"/>
    <x v="0"/>
    <x v="4"/>
    <s v="BRIGITK01S"/>
    <s v="BRIGITCO"/>
    <n v="78.029871"/>
    <n v="81.766000000000005"/>
    <n v="150"/>
    <n v="1818.5625078534401"/>
    <n v="363.71250157068806"/>
    <n v="704"/>
    <n v="7"/>
    <n v="0"/>
    <n v="0"/>
    <n v="704"/>
    <m/>
    <m/>
    <n v="0"/>
    <x v="0"/>
    <s v="BRMAOTK01S"/>
    <s v="BRMAOCHI"/>
    <n v="11.436796000000001"/>
    <n v="81.766000000000005"/>
    <n v="150"/>
    <n v="831.87688908543998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439"/>
    <n v="163532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44.6830251676256"/>
    <n v="490.596"/>
    <n v="20228.132636592341"/>
    <n v="1415.9692845614641"/>
    <n v="110"/>
    <n v="150"/>
    <n v="1E-3"/>
    <n v="163.53200000000001"/>
    <n v="12304.385267757421"/>
    <n v="12727.917267757421"/>
    <n v="3180.9641611183101"/>
    <n v="7720.95310663911"/>
    <n v="0.08"/>
    <n v="777.10122953982818"/>
    <n v="7.0000000000000007E-2"/>
    <n v="890.95420874301954"/>
    <n v="15"/>
    <n v="2"/>
  </r>
  <r>
    <n v="364"/>
    <d v="2022-12-31T00:00:00"/>
    <x v="0"/>
    <s v="CLI203"/>
    <s v="CLI203"/>
    <s v="RIO DE JANEIRO"/>
    <s v="RJ"/>
    <s v="CLI852"/>
    <s v="SALVADOR"/>
    <s v="BA"/>
    <n v="1531.3739049999999"/>
    <n v="0"/>
    <n v="0"/>
    <n v="0"/>
    <n v="0"/>
    <x v="0"/>
    <x v="4"/>
    <s v="BRIGITK01S"/>
    <s v="BRIGITCO"/>
    <n v="78.029871"/>
    <n v="120.3165"/>
    <n v="150"/>
    <n v="1857.11300785344"/>
    <n v="371.42260157068802"/>
    <n v="704"/>
    <n v="7"/>
    <n v="0"/>
    <n v="0"/>
    <n v="704"/>
    <m/>
    <m/>
    <n v="0"/>
    <x v="5"/>
    <s v="BRSSATK01S"/>
    <s v="BRSSATCO"/>
    <n v="2.2452209999999999"/>
    <n v="120.3165"/>
    <n v="150"/>
    <n v="734.23913127743992"/>
    <n v="0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843"/>
    <n v="24063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531.3739049999999"/>
    <n v="721.899"/>
    <n v="11540.805933898802"/>
    <n v="807.85641537291622"/>
    <n v="110"/>
    <n v="150"/>
    <n v="1E-3"/>
    <n v="240.63300000000001"/>
    <n v="6264.6176563375448"/>
    <n v="6765.2506563375446"/>
    <n v="3180.9641611183101"/>
    <n v="1886.2864952192344"/>
    <n v="0.08"/>
    <n v="304.19807325087817"/>
    <n v="7.0000000000000007E-2"/>
    <n v="473.56754594362815"/>
    <n v="15"/>
    <n v="1"/>
  </r>
  <r>
    <n v="365"/>
    <d v="2022-12-31T00:00:00"/>
    <x v="0"/>
    <s v="CLI203"/>
    <s v="CLI203"/>
    <s v="RIO DE JANEIRO"/>
    <s v="RJ"/>
    <s v="CLI1041"/>
    <s v="MANAUS"/>
    <s v="AM"/>
    <n v="2844.6830251676256"/>
    <n v="3090.4427809999997"/>
    <n v="0"/>
    <n v="7000"/>
    <n v="0"/>
    <x v="0"/>
    <x v="4"/>
    <s v="BRIGITK01S"/>
    <s v="BRIGITCO"/>
    <n v="78.029871"/>
    <n v="112.202"/>
    <n v="150"/>
    <n v="1848.9985078534401"/>
    <n v="369.79970157068806"/>
    <n v="704"/>
    <n v="7"/>
    <n v="0"/>
    <n v="0"/>
    <n v="704"/>
    <m/>
    <m/>
    <n v="0"/>
    <x v="0"/>
    <s v="BRMAOTK01S"/>
    <s v="BRMAOCHI"/>
    <n v="11.436796000000001"/>
    <n v="112.202"/>
    <n v="150"/>
    <n v="862.31288908544002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616"/>
    <n v="22440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44.6830251676256"/>
    <n v="673.21199999999999"/>
    <n v="20410.74863659234"/>
    <n v="1428.7524045614639"/>
    <n v="110"/>
    <n v="150"/>
    <n v="1E-3"/>
    <n v="224.404"/>
    <n v="12389.606067757421"/>
    <n v="12874.010067757421"/>
    <n v="3180.9641611183101"/>
    <n v="7867.0459066391104"/>
    <n v="0.08"/>
    <n v="783.43191753982831"/>
    <n v="7.0000000000000007E-2"/>
    <n v="901.18070474301953"/>
    <n v="15"/>
    <n v="1"/>
  </r>
  <r>
    <n v="366"/>
    <d v="2022-12-31T00:00:00"/>
    <x v="0"/>
    <s v="CLI204"/>
    <s v="CLI204"/>
    <s v="SAO CAETANO DO SUL"/>
    <s v="SP"/>
    <s v="CLI201"/>
    <s v="IPOJUCA"/>
    <s v="PE"/>
    <n v="2550.184342"/>
    <n v="0"/>
    <n v="0"/>
    <n v="0"/>
    <n v="0"/>
    <x v="0"/>
    <x v="0"/>
    <s v="BRSSZTK01S"/>
    <s v="BRSSZTCO"/>
    <n v="75.089884999999995"/>
    <n v="84.101500000000001"/>
    <n v="150"/>
    <n v="1777.3372936863998"/>
    <n v="319.92071286355196"/>
    <n v="640"/>
    <n v="7"/>
    <n v="0"/>
    <n v="0"/>
    <n v="640"/>
    <m/>
    <m/>
    <n v="0"/>
    <x v="2"/>
    <s v="BRSUATK01S"/>
    <s v="BRSUATCO"/>
    <n v="23.753726"/>
    <n v="84.101500000000001"/>
    <n v="150"/>
    <n v="1016.70790680064"/>
    <n v="0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900"/>
    <n v="168203"/>
    <x v="1"/>
    <x v="1"/>
    <x v="6"/>
    <x v="5"/>
    <x v="5"/>
    <x v="6"/>
    <n v="5"/>
    <n v="4"/>
    <n v="5"/>
    <n v="5"/>
    <n v="5"/>
    <n v="5"/>
    <n v="5"/>
    <n v="55"/>
    <n v="7"/>
    <n v="180"/>
    <n v="7"/>
    <n v="180"/>
    <n v="2550.184342"/>
    <n v="504.60900000000004"/>
    <n v="18242.216859148324"/>
    <n v="1276.9551801403827"/>
    <n v="110"/>
    <n v="150"/>
    <n v="1E-3"/>
    <n v="168.203"/>
    <n v="10813.720161062898"/>
    <n v="11241.923161062898"/>
    <n v="3180.9641611183101"/>
    <n v="5806.958999944587"/>
    <n v="0.08"/>
    <n v="650.23657981698454"/>
    <n v="7.0000000000000007E-2"/>
    <n v="786.93462127440296"/>
    <n v="15"/>
    <n v="5"/>
  </r>
  <r>
    <n v="367"/>
    <d v="2022-12-31T00:00:00"/>
    <x v="3"/>
    <s v="CLI206"/>
    <s v="CLI206"/>
    <s v="SIMOES FILHO"/>
    <s v="BA"/>
    <s v="CLI877"/>
    <s v="MANAUS"/>
    <s v="AM"/>
    <n v="2610.3853225311195"/>
    <n v="2050.9635060000001"/>
    <n v="0"/>
    <n v="7000"/>
    <n v="0"/>
    <x v="0"/>
    <x v="5"/>
    <s v="BRSSATK01"/>
    <s v="BRSSATCO"/>
    <n v="26.551053"/>
    <n v="79.284000000000006"/>
    <n v="150"/>
    <n v="1053.33739392192"/>
    <n v="189.6007309059456"/>
    <n v="704"/>
    <n v="7"/>
    <n v="0"/>
    <n v="0"/>
    <n v="704"/>
    <m/>
    <m/>
    <n v="0"/>
    <x v="0"/>
    <s v="BRMAOTK01S"/>
    <s v="BRMAOCHI"/>
    <n v="11.436796000000001"/>
    <n v="79.284000000000006"/>
    <n v="150"/>
    <n v="829.39488908544001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41"/>
    <n v="158568"/>
    <x v="1"/>
    <x v="5"/>
    <x v="5"/>
    <x v="5"/>
    <x v="5"/>
    <x v="0"/>
    <n v="4"/>
    <n v="4"/>
    <n v="4"/>
    <n v="4"/>
    <n v="4"/>
    <n v="4"/>
    <n v="4"/>
    <n v="46"/>
    <n v="7"/>
    <n v="180"/>
    <n v="7"/>
    <n v="180"/>
    <n v="2610.3853225311195"/>
    <n v="475.70400000000001"/>
    <n v="18622.134309895933"/>
    <n v="2234.6561171875119"/>
    <n v="110"/>
    <n v="150"/>
    <n v="1E-3"/>
    <n v="158.56800000000001"/>
    <n v="12454.917594567343"/>
    <n v="12873.485594567343"/>
    <n v="3180.9641611183101"/>
    <n v="6808.184039527112"/>
    <n v="0.08"/>
    <n v="864.0922064523229"/>
    <n v="0.12"/>
    <n v="1544.818271348081"/>
    <n v="15"/>
    <n v="4"/>
  </r>
  <r>
    <n v="368"/>
    <d v="2022-12-31T00:00:00"/>
    <x v="0"/>
    <s v="CLI206"/>
    <s v="CLI206"/>
    <s v="SIMOES FILHO"/>
    <s v="BA"/>
    <s v="CLI877"/>
    <s v="MANAUS"/>
    <s v="AM"/>
    <n v="2610.3853225311195"/>
    <n v="2050.9635060000001"/>
    <n v="0"/>
    <n v="7000"/>
    <n v="0"/>
    <x v="0"/>
    <x v="5"/>
    <s v="BRSSATK01S"/>
    <s v="BRSSATCO"/>
    <n v="26.551053"/>
    <n v="26.2"/>
    <n v="150"/>
    <n v="1000.2533939219201"/>
    <n v="180.04561090594561"/>
    <n v="704"/>
    <n v="7"/>
    <n v="0"/>
    <n v="0"/>
    <n v="704"/>
    <m/>
    <m/>
    <n v="0"/>
    <x v="0"/>
    <s v="BRMAOTK01S"/>
    <s v="BRMAOCHI"/>
    <n v="11.436796000000001"/>
    <n v="26.2"/>
    <n v="150"/>
    <n v="776.31088908544007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37"/>
    <n v="52400"/>
    <x v="1"/>
    <x v="0"/>
    <x v="5"/>
    <x v="4"/>
    <x v="0"/>
    <x v="0"/>
    <n v="4"/>
    <n v="3"/>
    <n v="4"/>
    <n v="4"/>
    <n v="4"/>
    <n v="4"/>
    <n v="4"/>
    <n v="42"/>
    <n v="7"/>
    <n v="180"/>
    <n v="7"/>
    <n v="180"/>
    <n v="2610.3853225311195"/>
    <n v="157.20000000000002"/>
    <n v="18303.630309895932"/>
    <n v="2196.4356371875119"/>
    <n v="110"/>
    <n v="150"/>
    <n v="1E-3"/>
    <n v="52.4"/>
    <n v="11568.946218821999"/>
    <n v="11881.346218821998"/>
    <n v="3180.9641611183101"/>
    <n v="6869.3820577036877"/>
    <n v="0.08"/>
    <n v="793.97890599269556"/>
    <n v="0.12"/>
    <n v="1425.7615462586398"/>
    <n v="15"/>
    <n v="4"/>
  </r>
  <r>
    <n v="369"/>
    <d v="2022-12-31T00:00:00"/>
    <x v="3"/>
    <s v="CLI206"/>
    <s v="CLI206"/>
    <s v="SIMOES FILHO"/>
    <s v="BA"/>
    <s v="CLI1041"/>
    <s v="MANAUS"/>
    <s v="AM"/>
    <n v="2610.3853225311195"/>
    <n v="2050.9635060000001"/>
    <n v="0"/>
    <n v="7000"/>
    <n v="0"/>
    <x v="0"/>
    <x v="5"/>
    <s v="BRSSATK01"/>
    <s v="BRSSATCO"/>
    <n v="26.551053"/>
    <n v="35.176000000000002"/>
    <n v="150"/>
    <n v="1009.2293939219201"/>
    <n v="181.66129090594561"/>
    <n v="704"/>
    <n v="7"/>
    <n v="0"/>
    <n v="0"/>
    <n v="704"/>
    <m/>
    <m/>
    <n v="0"/>
    <x v="0"/>
    <s v="BRMAOTK01S"/>
    <s v="BRMAOCHI"/>
    <n v="11.436796000000001"/>
    <n v="35.176000000000002"/>
    <n v="150"/>
    <n v="785.28688908544007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51"/>
    <n v="7035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0.3853225311195"/>
    <n v="211.05600000000001"/>
    <n v="18357.486309895932"/>
    <n v="2202.8983571875119"/>
    <n v="110"/>
    <n v="150"/>
    <n v="1E-3"/>
    <n v="70.352000000000004"/>
    <n v="12300.539594567343"/>
    <n v="12630.891594567343"/>
    <n v="3180.9641611183101"/>
    <n v="6609.698039527113"/>
    <n v="0.08"/>
    <n v="852.37712165232301"/>
    <n v="0.12"/>
    <n v="1515.7069913480811"/>
    <n v="15"/>
    <n v="1"/>
  </r>
  <r>
    <n v="370"/>
    <d v="2022-12-31T00:00:00"/>
    <x v="3"/>
    <s v="CLI206"/>
    <s v="CLI206"/>
    <s v="SIMOES FILHO"/>
    <s v="BA"/>
    <s v="CLI877"/>
    <s v="MANAUS"/>
    <s v="AM"/>
    <n v="2610.3853225311195"/>
    <n v="2050.9635060000001"/>
    <n v="0"/>
    <n v="7000"/>
    <n v="0"/>
    <x v="0"/>
    <x v="5"/>
    <s v="BRSSATK01"/>
    <s v="BRSSATCO"/>
    <n v="26.551053"/>
    <n v="37.840000000000003"/>
    <n v="150"/>
    <n v="1011.8933939219201"/>
    <n v="182.14081090594561"/>
    <n v="704"/>
    <n v="7"/>
    <n v="0"/>
    <n v="0"/>
    <n v="704"/>
    <m/>
    <m/>
    <n v="0"/>
    <x v="0"/>
    <s v="BRMAOTK01S"/>
    <s v="BRMAOCHI"/>
    <n v="11.436796000000001"/>
    <n v="37.840000000000003"/>
    <n v="150"/>
    <n v="787.95088908544005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376"/>
    <n v="7568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0.3853225311195"/>
    <n v="227.04"/>
    <n v="18373.470309895933"/>
    <n v="2204.8164371875118"/>
    <n v="110"/>
    <n v="150"/>
    <n v="1E-3"/>
    <n v="75.680000000000007"/>
    <n v="12309.863594567343"/>
    <n v="12645.543594567343"/>
    <n v="3180.9641611183101"/>
    <n v="6621.6860395271124"/>
    <n v="0.08"/>
    <n v="853.08468005232317"/>
    <n v="0.12"/>
    <n v="1517.4652313480813"/>
    <n v="15"/>
    <n v="1"/>
  </r>
  <r>
    <n v="371"/>
    <d v="2022-12-31T00:00:00"/>
    <x v="0"/>
    <s v="CLI206"/>
    <s v="CLI206"/>
    <s v="SIMOES FILHO"/>
    <s v="BA"/>
    <s v="CLI1041"/>
    <s v="MANAUS"/>
    <s v="AM"/>
    <n v="2610.3853225311195"/>
    <n v="2050.9635060000001"/>
    <n v="0"/>
    <n v="7000"/>
    <n v="0"/>
    <x v="0"/>
    <x v="5"/>
    <s v="BRSSATK01S"/>
    <s v="BRSSATCO"/>
    <n v="26.551053"/>
    <n v="47.080500000000001"/>
    <n v="150"/>
    <n v="1021.13389392192"/>
    <n v="183.8041009059456"/>
    <n v="704"/>
    <n v="7"/>
    <n v="0"/>
    <n v="0"/>
    <n v="704"/>
    <m/>
    <m/>
    <n v="0"/>
    <x v="0"/>
    <s v="BRMAOTK01S"/>
    <s v="BRMAOCHI"/>
    <n v="11.436796000000001"/>
    <n v="47.080500000000001"/>
    <n v="150"/>
    <n v="797.19138908544005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863"/>
    <n v="9416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0.3853225311195"/>
    <n v="282.483"/>
    <n v="18428.913309895932"/>
    <n v="2211.4695971875117"/>
    <n v="110"/>
    <n v="150"/>
    <n v="1E-3"/>
    <n v="94.161000000000001"/>
    <n v="11627.411618821998"/>
    <n v="11981.572618821998"/>
    <n v="3180.9641611183101"/>
    <n v="6969.6084577036872"/>
    <n v="0.08"/>
    <n v="798.35545879269546"/>
    <n v="0.12"/>
    <n v="1437.7887142586396"/>
    <n v="15"/>
    <n v="1"/>
  </r>
  <r>
    <n v="372"/>
    <d v="2022-12-31T00:00:00"/>
    <x v="2"/>
    <s v="CLI208"/>
    <s v="CLI208"/>
    <s v="FORTALEZA"/>
    <s v="CE"/>
    <s v="CLI861"/>
    <s v="MANAUS"/>
    <s v="AM"/>
    <n v="2387.8699358927988"/>
    <n v="1441.3172649999999"/>
    <n v="0"/>
    <n v="7000"/>
    <n v="0"/>
    <x v="0"/>
    <x v="1"/>
    <s v="BRPECTK01"/>
    <s v="BRPECAPM"/>
    <n v="42.140103000000003"/>
    <n v="35.5"/>
    <n v="150"/>
    <n v="1240.53073571392"/>
    <n v="223.2955324285056"/>
    <n v="768"/>
    <n v="7"/>
    <n v="0"/>
    <n v="0"/>
    <n v="768"/>
    <m/>
    <m/>
    <n v="0"/>
    <x v="0"/>
    <s v="BRMAOTK01"/>
    <s v="BRMAOCHI"/>
    <n v="11.436796000000001"/>
    <n v="35.5"/>
    <n v="150"/>
    <n v="785.61088908544002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450"/>
    <n v="71000"/>
    <x v="1"/>
    <x v="22"/>
    <x v="19"/>
    <x v="20"/>
    <x v="21"/>
    <x v="21"/>
    <n v="27"/>
    <n v="26"/>
    <n v="29"/>
    <n v="30"/>
    <n v="30"/>
    <n v="27"/>
    <n v="30"/>
    <n v="325"/>
    <n v="7"/>
    <n v="180"/>
    <n v="7"/>
    <n v="180"/>
    <n v="2387.8699358927988"/>
    <n v="213"/>
    <n v="16848.337219850564"/>
    <n v="2021.8004663820675"/>
    <n v="110"/>
    <n v="150"/>
    <n v="1E-3"/>
    <n v="71"/>
    <n v="11793.836053895395"/>
    <n v="12124.836053895395"/>
    <n v="3180.9641611183101"/>
    <n v="4987.7302679777258"/>
    <n v="0.08"/>
    <n v="790.03191173340258"/>
    <n v="0.12"/>
    <n v="1454.9803264674474"/>
    <n v="15"/>
    <n v="30"/>
  </r>
  <r>
    <n v="373"/>
    <d v="2022-12-31T00:00:00"/>
    <x v="2"/>
    <s v="CLI208"/>
    <s v="CLI208"/>
    <s v="FORTALEZA"/>
    <s v="CE"/>
    <s v="CLI861"/>
    <s v="MANAUS"/>
    <s v="AM"/>
    <n v="2387.8699358927988"/>
    <n v="1441.3172649999999"/>
    <n v="0"/>
    <n v="7000"/>
    <n v="0"/>
    <x v="0"/>
    <x v="1"/>
    <s v="BRPECTK01"/>
    <s v="BRPECAPM"/>
    <n v="42.140103000000003"/>
    <n v="71.683000000000007"/>
    <n v="150"/>
    <n v="1276.71373571392"/>
    <n v="229.80847242850558"/>
    <n v="768"/>
    <n v="7"/>
    <n v="0"/>
    <n v="0"/>
    <n v="768"/>
    <m/>
    <m/>
    <n v="0"/>
    <x v="0"/>
    <s v="BRMAOTK01"/>
    <s v="BRMAOCHI"/>
    <n v="11.436796000000001"/>
    <n v="71.683000000000007"/>
    <n v="150"/>
    <n v="821.7938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646"/>
    <n v="143366"/>
    <x v="1"/>
    <x v="17"/>
    <x v="9"/>
    <x v="19"/>
    <x v="10"/>
    <x v="20"/>
    <n v="12"/>
    <n v="11"/>
    <n v="13"/>
    <n v="13"/>
    <n v="13"/>
    <n v="12"/>
    <n v="13"/>
    <n v="141"/>
    <n v="7"/>
    <n v="180"/>
    <n v="7"/>
    <n v="180"/>
    <n v="2387.8699358927988"/>
    <n v="430.09800000000001"/>
    <n v="17065.435219850566"/>
    <n v="2047.8522263820678"/>
    <n v="110"/>
    <n v="150"/>
    <n v="1E-3"/>
    <n v="143.36600000000001"/>
    <n v="11945.804653895395"/>
    <n v="12349.170653895395"/>
    <n v="3180.9641611183101"/>
    <n v="5139.6988679777241"/>
    <n v="0.08"/>
    <n v="801.66836453340238"/>
    <n v="0.12"/>
    <n v="1481.9004784674473"/>
    <n v="15"/>
    <n v="13"/>
  </r>
  <r>
    <n v="374"/>
    <d v="2022-12-31T00:00:00"/>
    <x v="2"/>
    <s v="CLI208"/>
    <s v="CLI208"/>
    <s v="FORTALEZA"/>
    <s v="CE"/>
    <s v="CLI491"/>
    <s v="MANAUS"/>
    <s v="AM"/>
    <n v="2387.8699358927988"/>
    <n v="1441.3172649999999"/>
    <n v="0"/>
    <n v="7000"/>
    <n v="0"/>
    <x v="0"/>
    <x v="1"/>
    <s v="BRPECTK01"/>
    <s v="BRPECAPM"/>
    <n v="42.140103000000003"/>
    <n v="60.329000000000001"/>
    <n v="150"/>
    <n v="1265.3597357139199"/>
    <n v="227.76475242850557"/>
    <n v="768"/>
    <n v="7"/>
    <n v="0"/>
    <n v="0"/>
    <n v="768"/>
    <m/>
    <m/>
    <n v="0"/>
    <x v="0"/>
    <s v="BRMAOTK01"/>
    <s v="BRMAOCHI"/>
    <n v="11.436796000000001"/>
    <n v="60.329000000000001"/>
    <n v="150"/>
    <n v="810.4398890854399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682"/>
    <n v="120658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2387.8699358927988"/>
    <n v="361.97399999999999"/>
    <n v="16997.311219850562"/>
    <n v="2039.6773463820673"/>
    <n v="110"/>
    <n v="150"/>
    <n v="1E-3"/>
    <n v="120.658"/>
    <n v="11898.117853895394"/>
    <n v="12278.775853895393"/>
    <n v="3180.9641611183101"/>
    <n v="5092.012067977721"/>
    <n v="0.08"/>
    <n v="798.0169181334021"/>
    <n v="0.12"/>
    <n v="1473.453102467447"/>
    <n v="15"/>
    <n v="5"/>
  </r>
  <r>
    <n v="375"/>
    <d v="2022-12-31T00:00:00"/>
    <x v="2"/>
    <s v="CLI208"/>
    <s v="CLI208"/>
    <s v="FORTALEZA"/>
    <s v="CE"/>
    <s v="CLI861"/>
    <s v="MANAUS"/>
    <s v="AM"/>
    <n v="2387.8699358927988"/>
    <n v="1441.3172649999999"/>
    <n v="0"/>
    <n v="7000"/>
    <n v="0"/>
    <x v="0"/>
    <x v="1"/>
    <s v="BRPECTK01"/>
    <s v="BRPECAPM"/>
    <n v="42.140103000000003"/>
    <n v="65.942999999999998"/>
    <n v="150"/>
    <n v="1270.97373571392"/>
    <n v="228.77527242850559"/>
    <n v="768"/>
    <n v="7"/>
    <n v="0"/>
    <n v="0"/>
    <n v="768"/>
    <m/>
    <m/>
    <n v="0"/>
    <x v="0"/>
    <s v="BRMAOTK01"/>
    <s v="BRMAOCHI"/>
    <n v="11.436796000000001"/>
    <n v="65.942999999999998"/>
    <n v="150"/>
    <n v="816.0538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182"/>
    <n v="13188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87.8699358927988"/>
    <n v="395.65800000000002"/>
    <n v="17030.995219850563"/>
    <n v="2043.7194263820675"/>
    <n v="110"/>
    <n v="150"/>
    <n v="1E-3"/>
    <n v="131.886"/>
    <n v="11921.696653895393"/>
    <n v="12313.582653895393"/>
    <n v="3180.9641611183101"/>
    <n v="5115.5908679777222"/>
    <n v="0.08"/>
    <n v="799.82238053340222"/>
    <n v="0.12"/>
    <n v="1477.6299184674472"/>
    <n v="15"/>
    <n v="1"/>
  </r>
  <r>
    <n v="376"/>
    <d v="2022-12-31T00:00:00"/>
    <x v="2"/>
    <s v="CLI208"/>
    <s v="CLI208"/>
    <s v="FORTALEZA"/>
    <s v="CE"/>
    <s v="CLI1308"/>
    <s v="MANAUS"/>
    <s v="AM"/>
    <n v="2387.8699358927988"/>
    <n v="1441.3172649999999"/>
    <n v="0"/>
    <n v="7000"/>
    <n v="0"/>
    <x v="0"/>
    <x v="1"/>
    <s v="BRPECTK01"/>
    <s v="BRPECAPM"/>
    <n v="42.140103000000003"/>
    <n v="63.980000000000004"/>
    <n v="150"/>
    <n v="1269.01073571392"/>
    <n v="228.42193242850558"/>
    <n v="768"/>
    <n v="7"/>
    <n v="0"/>
    <n v="0"/>
    <n v="768"/>
    <m/>
    <m/>
    <n v="0"/>
    <x v="0"/>
    <s v="BRMAOTK01"/>
    <s v="BRMAOCHI"/>
    <n v="11.436796000000001"/>
    <n v="63.980000000000004"/>
    <n v="150"/>
    <n v="814.0908890854400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339"/>
    <n v="12796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87.8699358927988"/>
    <n v="383.88"/>
    <n v="17019.217219850565"/>
    <n v="2042.3060663820677"/>
    <n v="110"/>
    <n v="150"/>
    <n v="1E-3"/>
    <n v="127.96000000000001"/>
    <n v="11913.452053895395"/>
    <n v="12301.412053895394"/>
    <n v="3180.9641611183101"/>
    <n v="5107.3462679777222"/>
    <n v="0.08"/>
    <n v="799.19107973340215"/>
    <n v="0.12"/>
    <n v="1476.1694464674472"/>
    <n v="15"/>
    <n v="1"/>
  </r>
  <r>
    <n v="377"/>
    <d v="2022-12-31T00:00:00"/>
    <x v="2"/>
    <s v="CLI209"/>
    <s v="CLI209"/>
    <s v="NOVA IGUACU"/>
    <s v="RJ"/>
    <s v="CLI858"/>
    <s v="JABOATAO DOS GUARARAPES"/>
    <s v="PE"/>
    <n v="2259.7670290000001"/>
    <n v="0"/>
    <n v="0"/>
    <n v="0"/>
    <n v="0"/>
    <x v="0"/>
    <x v="4"/>
    <s v="BRIGITK01"/>
    <s v="BRIGITCO"/>
    <n v="53.998964000000001"/>
    <n v="29.790500000000002"/>
    <n v="150"/>
    <n v="1410.5297099609602"/>
    <n v="282.10594199219207"/>
    <n v="704"/>
    <n v="7"/>
    <n v="0"/>
    <n v="0"/>
    <n v="704"/>
    <m/>
    <m/>
    <n v="0"/>
    <x v="2"/>
    <s v="BRSUATK01"/>
    <s v="BRSUATCO"/>
    <n v="43.495365"/>
    <n v="29.790500000000002"/>
    <n v="150"/>
    <n v="1254.9016648736001"/>
    <n v="225.882299677248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076"/>
    <n v="5958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259.7670290000001"/>
    <n v="178.74299999999999"/>
    <n v="15944.138503257844"/>
    <n v="1116.0896952280491"/>
    <n v="110"/>
    <n v="150"/>
    <n v="1E-3"/>
    <n v="59.581000000000003"/>
    <n v="11160.896952280489"/>
    <n v="11480.477952280489"/>
    <n v="3180.9641611183101"/>
    <n v="3296.0824163276197"/>
    <n v="0.08"/>
    <n v="664.56466686211922"/>
    <n v="7.0000000000000007E-2"/>
    <n v="803.63345665963436"/>
    <n v="15"/>
    <n v="1"/>
  </r>
  <r>
    <n v="378"/>
    <d v="2022-12-31T00:00:00"/>
    <x v="2"/>
    <s v="CLI210"/>
    <s v="CLI210"/>
    <s v="MANAUS"/>
    <s v="AM"/>
    <s v="CLI866"/>
    <s v="SAO PAULO"/>
    <s v="SP"/>
    <n v="3929.9226880000001"/>
    <n v="0"/>
    <n v="2877.9279630000001"/>
    <n v="7000"/>
    <n v="0"/>
    <x v="0"/>
    <x v="2"/>
    <s v="BRMAOTK01"/>
    <s v="BRMAOCHI"/>
    <n v="11.436796000000001"/>
    <n v="40.553000000000004"/>
    <n v="150"/>
    <n v="790.66388908544002"/>
    <n v="0"/>
    <n v="832"/>
    <n v="7"/>
    <n v="0"/>
    <n v="0"/>
    <n v="832"/>
    <m/>
    <m/>
    <n v="0"/>
    <x v="1"/>
    <s v="BRSSZTK01"/>
    <s v="BRSSZTCO"/>
    <n v="85.841132000000002"/>
    <n v="40.553000000000004"/>
    <n v="150"/>
    <n v="1893.0861500364801"/>
    <n v="340.75550700656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608"/>
    <n v="81106"/>
    <x v="0"/>
    <x v="5"/>
    <x v="6"/>
    <x v="5"/>
    <x v="5"/>
    <x v="6"/>
    <n v="5"/>
    <n v="5"/>
    <n v="5"/>
    <n v="5"/>
    <n v="4"/>
    <n v="4"/>
    <n v="4"/>
    <n v="52"/>
    <n v="7"/>
    <n v="110"/>
    <n v="7"/>
    <n v="110"/>
    <n v="3929.9226880000001"/>
    <n v="243.31800000000001"/>
    <n v="27350.673777300482"/>
    <n v="3282.080853276058"/>
    <n v="75"/>
    <n v="150"/>
    <n v="1E-3"/>
    <n v="81.106000000000009"/>
    <n v="19145.471644110337"/>
    <n v="19451.577644110337"/>
    <n v="3180.9641611183101"/>
    <n v="11819.863443870105"/>
    <n v="0.08"/>
    <n v="1314.1657678385482"/>
    <n v="0.12"/>
    <n v="2334.1893172932405"/>
    <n v="15"/>
    <n v="5"/>
  </r>
  <r>
    <n v="379"/>
    <d v="2022-12-31T00:00:00"/>
    <x v="2"/>
    <s v="CLI210"/>
    <s v="CLI210"/>
    <s v="MANAUS"/>
    <s v="AM"/>
    <s v="CLI865"/>
    <s v="MARACANAU"/>
    <s v="CE"/>
    <n v="3026.293353"/>
    <n v="0"/>
    <n v="1441.5450940000001"/>
    <n v="7000"/>
    <n v="0"/>
    <x v="0"/>
    <x v="2"/>
    <s v="BRMAOTK01"/>
    <s v="BRMAOCHI"/>
    <n v="11.436796000000001"/>
    <n v="98.758499999999998"/>
    <n v="150"/>
    <n v="848.86938908544005"/>
    <n v="0"/>
    <n v="832"/>
    <n v="7"/>
    <n v="0"/>
    <n v="0"/>
    <n v="832"/>
    <m/>
    <m/>
    <n v="0"/>
    <x v="3"/>
    <s v="BRPECTK01"/>
    <s v="BRPECAPM"/>
    <n v="52.945568000000002"/>
    <n v="98.758499999999998"/>
    <n v="150"/>
    <n v="1463.88992065152"/>
    <n v="263.5001857172736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043"/>
    <n v="19751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26.293353"/>
    <n v="592.55100000000004"/>
    <n v="21563.396108488883"/>
    <n v="2587.6075330186659"/>
    <n v="110"/>
    <n v="150"/>
    <n v="1E-3"/>
    <n v="197.517"/>
    <n v="15094.377275942217"/>
    <n v="15551.894275942217"/>
    <n v="3180.9641611183101"/>
    <n v="8163.1708050869474"/>
    <n v="0.08"/>
    <n v="1038.0507824390388"/>
    <n v="0.12"/>
    <n v="1866.227313113066"/>
    <n v="15"/>
    <n v="1"/>
  </r>
  <r>
    <n v="380"/>
    <d v="2022-12-31T00:00:00"/>
    <x v="2"/>
    <s v="CLI211"/>
    <s v="CLI211"/>
    <s v="SOBRAL"/>
    <s v="CE"/>
    <s v="CLI500"/>
    <s v="MANAUS"/>
    <s v="AM"/>
    <n v="2186.7677723808802"/>
    <n v="1217.122284"/>
    <n v="0"/>
    <n v="7000"/>
    <n v="0"/>
    <x v="0"/>
    <x v="1"/>
    <s v="BRPECTK01"/>
    <s v="BRPECAPM"/>
    <n v="210.270591"/>
    <n v="113.4675"/>
    <n v="150"/>
    <n v="3809.6271494342404"/>
    <n v="685.7328868981632"/>
    <n v="768"/>
    <n v="7"/>
    <n v="0"/>
    <n v="0"/>
    <n v="768"/>
    <m/>
    <m/>
    <n v="0"/>
    <x v="0"/>
    <s v="BRMAOTK01"/>
    <s v="BRMAOCHI"/>
    <n v="11.436796000000001"/>
    <n v="113.4675"/>
    <n v="150"/>
    <n v="863.57838908543999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643"/>
    <n v="22693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186.7677723808802"/>
    <n v="680.80500000000006"/>
    <n v="15950.465471527665"/>
    <n v="1914.0558565833196"/>
    <n v="110"/>
    <n v="150"/>
    <n v="1E-3"/>
    <n v="226.935"/>
    <n v="11165.325830069365"/>
    <n v="11652.260830069365"/>
    <n v="3180.9641611183101"/>
    <n v="1868.0911304313745"/>
    <n v="0.08"/>
    <n v="503.46579237212171"/>
    <n v="0.12"/>
    <n v="1398.2712996083237"/>
    <n v="15"/>
    <n v="1"/>
  </r>
  <r>
    <n v="381"/>
    <d v="2022-12-31T00:00:00"/>
    <x v="3"/>
    <s v="CLI212"/>
    <s v="CLI212"/>
    <s v="GUARULHOS"/>
    <s v="SP"/>
    <s v="CLI771"/>
    <s v="MANAUS"/>
    <s v="AM"/>
    <n v="2680.9932138622717"/>
    <n v="2887.376076"/>
    <n v="0"/>
    <n v="7000"/>
    <n v="0"/>
    <x v="0"/>
    <x v="0"/>
    <s v="BRSSZTK01"/>
    <s v="BRSSZTCO"/>
    <n v="96.951807000000002"/>
    <n v="47.619"/>
    <n v="150"/>
    <n v="2064.7750216684799"/>
    <n v="371.65950390032634"/>
    <n v="640"/>
    <n v="7"/>
    <n v="0"/>
    <n v="0"/>
    <n v="640"/>
    <m/>
    <m/>
    <n v="0"/>
    <x v="0"/>
    <s v="BRMAOTK01S"/>
    <s v="BRMAOCHI"/>
    <n v="11.436796000000001"/>
    <n v="47.619"/>
    <n v="150"/>
    <n v="797.72988908544005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727"/>
    <n v="9523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80.9932138622717"/>
    <n v="285.714"/>
    <n v="18911.639675610131"/>
    <n v="1323.8147772927093"/>
    <n v="110"/>
    <n v="150"/>
    <n v="1E-3"/>
    <n v="95.238"/>
    <n v="12679.736850567284"/>
    <n v="13034.974850567283"/>
    <n v="3180.9641611183101"/>
    <n v="6047.2356677804928"/>
    <n v="0.08"/>
    <n v="784.06483487304297"/>
    <n v="7.0000000000000007E-2"/>
    <n v="912.4482395397099"/>
    <n v="15"/>
    <n v="1"/>
  </r>
  <r>
    <n v="382"/>
    <d v="2022-12-31T00:00:00"/>
    <x v="2"/>
    <s v="CLI213"/>
    <s v="CLI213"/>
    <s v="SIMOES FILHO"/>
    <s v="BA"/>
    <s v="CLI1194"/>
    <s v="MANAUS"/>
    <s v="AM"/>
    <n v="2610.3853225311195"/>
    <n v="2050.9635060000001"/>
    <n v="0"/>
    <n v="7000"/>
    <n v="0"/>
    <x v="0"/>
    <x v="5"/>
    <s v="BRSSATK01"/>
    <s v="BRSSATCO"/>
    <n v="26.551053"/>
    <n v="91.864500000000007"/>
    <n v="150"/>
    <n v="1065.91789392192"/>
    <n v="191.86522090594559"/>
    <n v="704"/>
    <n v="7"/>
    <n v="0"/>
    <n v="0"/>
    <n v="704"/>
    <m/>
    <m/>
    <n v="0"/>
    <x v="0"/>
    <s v="BRMAOTK01"/>
    <s v="BRMAOCHI"/>
    <n v="11.436796000000001"/>
    <n v="91.864500000000007"/>
    <n v="150"/>
    <n v="841.97538908544004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150"/>
    <n v="183729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610.3853225311195"/>
    <n v="551.18700000000001"/>
    <n v="18697.617309895933"/>
    <n v="2243.714077187512"/>
    <n v="110"/>
    <n v="150"/>
    <n v="1E-3"/>
    <n v="183.72900000000001"/>
    <n v="13088.332116927153"/>
    <n v="13532.061116927152"/>
    <n v="3180.9641611183101"/>
    <n v="6612.2036728014809"/>
    <n v="0.08"/>
    <n v="914.58420904110767"/>
    <n v="0.12"/>
    <n v="1623.8473340312582"/>
    <n v="15"/>
    <n v="2"/>
  </r>
  <r>
    <n v="383"/>
    <d v="2022-12-31T00:00:00"/>
    <x v="2"/>
    <s v="CLI216"/>
    <s v="CLI216"/>
    <s v="PORTO REAL"/>
    <s v="RJ"/>
    <s v="CLI870"/>
    <s v="HORIZONTE"/>
    <s v="CE"/>
    <n v="2553.1438629999998"/>
    <n v="0"/>
    <n v="0"/>
    <n v="0"/>
    <n v="0"/>
    <x v="0"/>
    <x v="4"/>
    <s v="BRIGITK01"/>
    <s v="BRIGITCO"/>
    <n v="118.03772500000001"/>
    <n v="42.108000000000004"/>
    <n v="150"/>
    <n v="2371.6864777440005"/>
    <n v="474.33729554880011"/>
    <n v="704"/>
    <n v="7"/>
    <n v="0"/>
    <n v="0"/>
    <n v="704"/>
    <m/>
    <m/>
    <n v="0"/>
    <x v="3"/>
    <s v="BRPECTK01"/>
    <s v="BRPECAPM"/>
    <n v="85.942437000000012"/>
    <n v="42.108000000000004"/>
    <n v="150"/>
    <n v="1896.1421497516803"/>
    <n v="341.30558695530243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896"/>
    <n v="84216"/>
    <x v="1"/>
    <x v="9"/>
    <x v="3"/>
    <x v="3"/>
    <x v="4"/>
    <x v="4"/>
    <n v="9"/>
    <n v="9"/>
    <n v="9"/>
    <n v="9"/>
    <n v="9"/>
    <n v="9"/>
    <n v="9"/>
    <n v="102"/>
    <n v="7"/>
    <n v="180"/>
    <n v="7"/>
    <n v="180"/>
    <n v="2553.1438629999998"/>
    <n v="252.648"/>
    <n v="18010.353847878483"/>
    <n v="1260.7247693514939"/>
    <n v="110"/>
    <n v="150"/>
    <n v="1E-3"/>
    <n v="84.216000000000008"/>
    <n v="12607.247693514937"/>
    <n v="12951.463693514937"/>
    <n v="3180.9641611183101"/>
    <n v="3740.6709049009464"/>
    <n v="0.08"/>
    <n v="629.43937468121237"/>
    <n v="7.0000000000000007E-2"/>
    <n v="906.60245854604568"/>
    <n v="15"/>
    <n v="9"/>
  </r>
  <r>
    <n v="384"/>
    <d v="2022-12-31T00:00:00"/>
    <x v="2"/>
    <s v="CLI216"/>
    <s v="CLI216"/>
    <s v="PORTO REAL"/>
    <s v="RJ"/>
    <s v="CLI869"/>
    <s v="AQUIRAZ"/>
    <s v="CE"/>
    <n v="2580.3455019999997"/>
    <n v="0"/>
    <n v="0"/>
    <n v="0"/>
    <n v="0"/>
    <x v="0"/>
    <x v="4"/>
    <s v="BRIGITK01"/>
    <s v="BRIGITCO"/>
    <n v="118.03772500000001"/>
    <n v="96.103499999999997"/>
    <n v="150"/>
    <n v="2425.6819777440005"/>
    <n v="485.13639554880012"/>
    <n v="704"/>
    <n v="7"/>
    <n v="0"/>
    <n v="0"/>
    <n v="704"/>
    <m/>
    <m/>
    <n v="0"/>
    <x v="3"/>
    <s v="BRPECTK01"/>
    <s v="BRPECAPM"/>
    <n v="71.623824999999997"/>
    <n v="96.103499999999997"/>
    <n v="150"/>
    <n v="1737.9839304479999"/>
    <n v="312.83710748063999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77"/>
    <n v="192207"/>
    <x v="1"/>
    <x v="14"/>
    <x v="1"/>
    <x v="12"/>
    <x v="1"/>
    <x v="1"/>
    <n v="6"/>
    <n v="6"/>
    <n v="7"/>
    <n v="7"/>
    <n v="7"/>
    <n v="6"/>
    <n v="7"/>
    <n v="74"/>
    <n v="7"/>
    <n v="180"/>
    <n v="7"/>
    <n v="180"/>
    <n v="2580.3455019999997"/>
    <n v="576.62099999999998"/>
    <n v="18519.052090261921"/>
    <n v="1296.3336463183346"/>
    <n v="110"/>
    <n v="150"/>
    <n v="1E-3"/>
    <n v="192.20699999999999"/>
    <n v="12963.336463183345"/>
    <n v="13415.543463183345"/>
    <n v="3180.9641611183101"/>
    <n v="4308.9133938730356"/>
    <n v="0.08"/>
    <n v="676.31232415695251"/>
    <n v="7.0000000000000007E-2"/>
    <n v="939.08804242283429"/>
    <n v="15"/>
    <n v="7"/>
  </r>
  <r>
    <n v="385"/>
    <d v="2022-12-31T00:00:00"/>
    <x v="2"/>
    <s v="CLI217"/>
    <s v="CLI217"/>
    <s v="TATUI"/>
    <s v="SP"/>
    <s v="CLI870"/>
    <s v="HORIZONTE"/>
    <s v="CE"/>
    <n v="2819.625184"/>
    <n v="0"/>
    <n v="0"/>
    <n v="0"/>
    <n v="0"/>
    <x v="0"/>
    <x v="0"/>
    <s v="BRSSZTK01"/>
    <s v="BRSSZTCO"/>
    <n v="218.56849499999998"/>
    <n v="72.673000000000002"/>
    <n v="150"/>
    <n v="3891.7797057568005"/>
    <n v="700.52034703622405"/>
    <n v="640"/>
    <n v="7"/>
    <n v="0"/>
    <n v="0"/>
    <n v="640"/>
    <m/>
    <m/>
    <n v="0"/>
    <x v="3"/>
    <s v="BRPECTK01"/>
    <s v="BRPECAPM"/>
    <n v="85.942437000000012"/>
    <n v="72.673000000000002"/>
    <n v="150"/>
    <n v="1926.7071497516804"/>
    <n v="346.8072869553024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107"/>
    <n v="145346"/>
    <x v="1"/>
    <x v="4"/>
    <x v="3"/>
    <x v="3"/>
    <x v="4"/>
    <x v="4"/>
    <n v="9"/>
    <n v="8"/>
    <n v="9"/>
    <n v="9"/>
    <n v="9"/>
    <n v="8"/>
    <n v="9"/>
    <n v="99"/>
    <n v="7"/>
    <n v="180"/>
    <n v="7"/>
    <n v="180"/>
    <n v="2819.625184"/>
    <n v="436.03800000000001"/>
    <n v="20003.407839536645"/>
    <n v="1400.2385487675654"/>
    <n v="110"/>
    <n v="150"/>
    <n v="1E-3"/>
    <n v="145.346"/>
    <n v="14002.38548767565"/>
    <n v="14407.73148767565"/>
    <n v="3180.9641611183101"/>
    <n v="3730.2804710488585"/>
    <n v="0.08"/>
    <n v="603.35335985405129"/>
    <n v="7.0000000000000007E-2"/>
    <n v="1008.5412041372956"/>
    <n v="15"/>
    <n v="9"/>
  </r>
  <r>
    <n v="386"/>
    <d v="2022-12-31T00:00:00"/>
    <x v="1"/>
    <s v="CLI217"/>
    <s v="CLI217"/>
    <s v="TATUI"/>
    <s v="SP"/>
    <s v="CLI869"/>
    <s v="AQUIRAZ"/>
    <s v="CE"/>
    <n v="2846.826822"/>
    <n v="0"/>
    <n v="0"/>
    <n v="0"/>
    <n v="0"/>
    <x v="0"/>
    <x v="0"/>
    <s v="BRSSZTK01S"/>
    <s v="BRSSZTCO"/>
    <n v="218.56849499999998"/>
    <n v="110.38250000000001"/>
    <n v="150"/>
    <n v="3929.4892057568004"/>
    <n v="707.308057036224"/>
    <n v="640"/>
    <n v="7"/>
    <n v="0"/>
    <n v="0"/>
    <n v="640"/>
    <m/>
    <m/>
    <n v="0"/>
    <x v="3"/>
    <s v="BRPECTK01"/>
    <s v="BRPECAPM"/>
    <n v="71.623824999999997"/>
    <n v="110.38250000000001"/>
    <n v="150"/>
    <n v="1752.2629304479999"/>
    <n v="315.4073274806399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676"/>
    <n v="220765"/>
    <x v="1"/>
    <x v="1"/>
    <x v="1"/>
    <x v="1"/>
    <x v="8"/>
    <x v="1"/>
    <n v="6"/>
    <n v="5"/>
    <n v="6"/>
    <n v="6"/>
    <n v="6"/>
    <n v="6"/>
    <n v="6"/>
    <n v="66"/>
    <n v="7"/>
    <n v="180"/>
    <n v="7"/>
    <n v="180"/>
    <n v="2846.826822"/>
    <n v="662.29499999999996"/>
    <n v="20414.390075129118"/>
    <n v="1429.0073052590385"/>
    <n v="110"/>
    <n v="150"/>
    <n v="1E-3"/>
    <n v="220.76500000000001"/>
    <n v="11539.430608560622"/>
    <n v="12020.195608560622"/>
    <n v="3180.9641611183101"/>
    <n v="5408.9685169943114"/>
    <n v="0.08"/>
    <n v="425.25824702711662"/>
    <n v="7.0000000000000007E-2"/>
    <n v="841.41369259924363"/>
    <n v="15"/>
    <n v="6"/>
  </r>
  <r>
    <n v="387"/>
    <d v="2022-12-31T00:00:00"/>
    <x v="1"/>
    <s v="CLI217"/>
    <s v="CLI217"/>
    <s v="TATUI"/>
    <s v="SP"/>
    <s v="CLI870"/>
    <s v="HORIZONTE"/>
    <s v="CE"/>
    <n v="2819.625184"/>
    <n v="0"/>
    <n v="0"/>
    <n v="0"/>
    <n v="0"/>
    <x v="0"/>
    <x v="0"/>
    <s v="BRSSZTK01S"/>
    <s v="BRSSZTCO"/>
    <n v="218.56849499999998"/>
    <n v="68.739999999999995"/>
    <n v="150"/>
    <n v="3887.8467057568"/>
    <n v="699.81240703622393"/>
    <n v="640"/>
    <n v="7"/>
    <n v="0"/>
    <n v="0"/>
    <n v="640"/>
    <m/>
    <m/>
    <n v="0"/>
    <x v="3"/>
    <s v="BRPECTK01"/>
    <s v="BRPECAPM"/>
    <n v="85.942437000000012"/>
    <n v="68.739999999999995"/>
    <n v="150"/>
    <n v="1922.7741497516804"/>
    <n v="346.09934695530245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139"/>
    <n v="13748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19.625184"/>
    <n v="412.44"/>
    <n v="19979.809839536643"/>
    <n v="1398.5866887675652"/>
    <n v="110"/>
    <n v="150"/>
    <n v="1E-3"/>
    <n v="137.47999999999999"/>
    <n v="11264.37419364589"/>
    <n v="11661.85419364589"/>
    <n v="3180.9641611183101"/>
    <n v="4880.1158827758991"/>
    <n v="0.08"/>
    <n v="384.42572673167069"/>
    <n v="7.0000000000000007E-2"/>
    <n v="816.3297935552124"/>
    <n v="15"/>
    <n v="1"/>
  </r>
  <r>
    <n v="388"/>
    <d v="2022-12-31T00:00:00"/>
    <x v="0"/>
    <s v="CLI218"/>
    <s v="CLI218"/>
    <s v="MANAUS"/>
    <s v="AM"/>
    <s v="CLI791"/>
    <s v="ITAGUAI"/>
    <s v="RJ"/>
    <n v="4129.6512739999998"/>
    <n v="0"/>
    <n v="3075.8502579999999"/>
    <n v="7000"/>
    <n v="0"/>
    <x v="0"/>
    <x v="2"/>
    <s v="BRMAOTK01S"/>
    <s v="BRMAOCHI"/>
    <n v="11.436796000000001"/>
    <n v="61.099000000000004"/>
    <n v="150"/>
    <n v="811.20988908544007"/>
    <n v="0"/>
    <n v="832"/>
    <n v="7"/>
    <n v="0"/>
    <n v="0"/>
    <n v="832"/>
    <m/>
    <m/>
    <n v="0"/>
    <x v="4"/>
    <s v="BRIGITK01S"/>
    <s v="BRIGITCO"/>
    <n v="14.539448"/>
    <n v="61.099000000000004"/>
    <n v="150"/>
    <n v="857.18076681472007"/>
    <n v="0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321"/>
    <n v="12219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4129.6512739999998"/>
    <n v="366.59399999999999"/>
    <n v="28830.298615683041"/>
    <n v="3459.635833881965"/>
    <n v="110"/>
    <n v="150"/>
    <n v="1E-3"/>
    <n v="122.19800000000001"/>
    <n v="19013.335571848016"/>
    <n v="19395.533571848016"/>
    <n v="3180.9641611183101"/>
    <n v="14383.569410729706"/>
    <n v="0.08"/>
    <n v="1418.1714332758286"/>
    <n v="0.12"/>
    <n v="2327.4640286217618"/>
    <n v="15"/>
    <n v="1"/>
  </r>
  <r>
    <n v="389"/>
    <d v="2022-12-31T00:00:00"/>
    <x v="0"/>
    <s v="CLI218"/>
    <s v="CLI218"/>
    <s v="MANAUS"/>
    <s v="AM"/>
    <s v="CLI1214"/>
    <s v="ITAGUAI"/>
    <s v="RJ"/>
    <n v="4129.6512739999998"/>
    <n v="0"/>
    <n v="3075.8502579999999"/>
    <n v="7000"/>
    <n v="0"/>
    <x v="0"/>
    <x v="2"/>
    <s v="BRMAOTK01S"/>
    <s v="BRMAOCHI"/>
    <n v="11.436796000000001"/>
    <n v="61.47"/>
    <n v="150"/>
    <n v="811.58088908544005"/>
    <n v="0"/>
    <n v="832"/>
    <n v="7"/>
    <n v="0"/>
    <n v="0"/>
    <n v="832"/>
    <m/>
    <m/>
    <n v="0"/>
    <x v="4"/>
    <s v="BRIGITK01S"/>
    <s v="BRIGITCO"/>
    <n v="14.539448"/>
    <n v="61.47"/>
    <n v="150"/>
    <n v="857.55176681472005"/>
    <n v="0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022"/>
    <n v="12294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4129.6512739999998"/>
    <n v="368.82"/>
    <n v="28832.52461568304"/>
    <n v="3459.9029538819645"/>
    <n v="110"/>
    <n v="150"/>
    <n v="1E-3"/>
    <n v="122.94"/>
    <n v="19014.374371848018"/>
    <n v="19397.314371848017"/>
    <n v="3180.9641611183101"/>
    <n v="14385.350210729706"/>
    <n v="0.08"/>
    <n v="1418.2545372758289"/>
    <n v="0.12"/>
    <n v="2327.6777246217621"/>
    <n v="15"/>
    <n v="1"/>
  </r>
  <r>
    <n v="390"/>
    <d v="2022-12-31T00:00:00"/>
    <x v="2"/>
    <s v="CLI219"/>
    <s v="CLI219"/>
    <s v="RIO CLARO"/>
    <s v="SP"/>
    <s v="CLI436"/>
    <s v="MANAUS"/>
    <s v="AM"/>
    <n v="2525.2887849135604"/>
    <n v="2709.0958969999997"/>
    <n v="0"/>
    <n v="7000"/>
    <n v="0"/>
    <x v="0"/>
    <x v="0"/>
    <s v="BRSSZTK01"/>
    <s v="BRSSZTCO"/>
    <n v="254.22760699999998"/>
    <n v="85.032499999999999"/>
    <n v="150"/>
    <n v="4432.48743098048"/>
    <n v="797.84773757648634"/>
    <n v="640"/>
    <n v="7"/>
    <n v="0"/>
    <n v="0"/>
    <n v="640"/>
    <m/>
    <m/>
    <n v="0"/>
    <x v="0"/>
    <s v="BRMAOTK01"/>
    <s v="BRMAOCHI"/>
    <n v="11.436796000000001"/>
    <n v="85.032499999999999"/>
    <n v="150"/>
    <n v="835.14338908544005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288"/>
    <n v="170065"/>
    <x v="1"/>
    <x v="3"/>
    <x v="2"/>
    <x v="2"/>
    <x v="3"/>
    <x v="3"/>
    <n v="1"/>
    <n v="1"/>
    <n v="1"/>
    <n v="1"/>
    <n v="2"/>
    <n v="1"/>
    <n v="2"/>
    <n v="14"/>
    <n v="7"/>
    <n v="180"/>
    <n v="7"/>
    <n v="180"/>
    <n v="2525.2887849135604"/>
    <n v="510.19499999999999"/>
    <n v="18078.738126796594"/>
    <n v="1265.5116688757616"/>
    <n v="110"/>
    <n v="150"/>
    <n v="1E-3"/>
    <n v="170.065"/>
    <n v="12655.116688757615"/>
    <n v="13085.181688757615"/>
    <n v="3180.9641611183101"/>
    <n v="2894.5867075733845"/>
    <n v="0.08"/>
    <n v="561.57625048921682"/>
    <n v="7.0000000000000007E-2"/>
    <n v="915.9627182130331"/>
    <n v="15"/>
    <n v="2"/>
  </r>
  <r>
    <n v="391"/>
    <d v="2022-12-31T00:00:00"/>
    <x v="2"/>
    <s v="CLI220"/>
    <s v="CLI220"/>
    <s v="MANAUS"/>
    <s v="AM"/>
    <s v="CLI853"/>
    <s v="GUARULHOS"/>
    <s v="SP"/>
    <n v="3939.5816420000001"/>
    <n v="0"/>
    <n v="2887.376076"/>
    <n v="7000"/>
    <n v="0"/>
    <x v="0"/>
    <x v="2"/>
    <s v="BRMAOTK01"/>
    <s v="BRMAOCHI"/>
    <n v="11.436796000000001"/>
    <n v="114.7045"/>
    <n v="150"/>
    <n v="864.81538908544007"/>
    <n v="0"/>
    <n v="832"/>
    <n v="7"/>
    <n v="0"/>
    <n v="0"/>
    <n v="832"/>
    <m/>
    <m/>
    <n v="0"/>
    <x v="1"/>
    <s v="BRSSZTK01"/>
    <s v="BRSSZTCO"/>
    <n v="96.951807000000002"/>
    <n v="114.7045"/>
    <n v="150"/>
    <n v="2131.86052166848"/>
    <n v="383.7348939003263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929"/>
    <n v="22940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39.5816420000001"/>
    <n v="688.22699999999998"/>
    <n v="27861.176347556324"/>
    <n v="3343.3411617067586"/>
    <n v="110"/>
    <n v="150"/>
    <n v="1E-3"/>
    <n v="229.40899999999999"/>
    <n v="19502.823443289424"/>
    <n v="19992.232443289424"/>
    <n v="3180.9641611183101"/>
    <n v="12047.592371417191"/>
    <n v="0.08"/>
    <n v="1328.945731090814"/>
    <n v="0.12"/>
    <n v="2399.0678931947309"/>
    <n v="15"/>
    <n v="1"/>
  </r>
  <r>
    <n v="392"/>
    <d v="2022-12-31T00:00:00"/>
    <x v="2"/>
    <s v="CLI221"/>
    <s v="CLI221"/>
    <s v="MARACANAU"/>
    <s v="CE"/>
    <s v="CLI1231"/>
    <s v="MANAUS"/>
    <s v="AM"/>
    <n v="2379.3453616800616"/>
    <n v="1441.5450940000001"/>
    <n v="0"/>
    <n v="7000"/>
    <n v="0"/>
    <x v="0"/>
    <x v="1"/>
    <s v="BRPECTK01"/>
    <s v="BRPECAPM"/>
    <n v="52.945568000000002"/>
    <n v="108.35300000000001"/>
    <n v="150"/>
    <n v="1473.4844206515202"/>
    <n v="265.22719571727362"/>
    <n v="768"/>
    <n v="7"/>
    <n v="0"/>
    <n v="0"/>
    <n v="768"/>
    <m/>
    <m/>
    <n v="0"/>
    <x v="0"/>
    <s v="BRMAOTK01"/>
    <s v="BRMAOCHI"/>
    <n v="11.436796000000001"/>
    <n v="108.35300000000001"/>
    <n v="150"/>
    <n v="858.46388908544009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210"/>
    <n v="21670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650.11800000000005"/>
    <n v="17227.565177354834"/>
    <n v="2067.3078212825799"/>
    <n v="110"/>
    <n v="150"/>
    <n v="1E-3"/>
    <n v="216.70600000000002"/>
    <n v="12059.295624148383"/>
    <n v="12536.001624148383"/>
    <n v="3180.9641611183101"/>
    <n v="5093.0891532931109"/>
    <n v="0.08"/>
    <n v="795.10608949553182"/>
    <n v="0.12"/>
    <n v="1504.3201948978058"/>
    <n v="15"/>
    <n v="1"/>
  </r>
  <r>
    <n v="393"/>
    <d v="2022-12-31T00:00:00"/>
    <x v="2"/>
    <s v="CLI221"/>
    <s v="CLI221"/>
    <s v="MARACANAU"/>
    <s v="CE"/>
    <s v="CLI901"/>
    <s v="MANAUS"/>
    <s v="AM"/>
    <n v="2379.3453616800616"/>
    <n v="1441.5450940000001"/>
    <n v="0"/>
    <n v="7000"/>
    <n v="0"/>
    <x v="0"/>
    <x v="1"/>
    <s v="BRPECTK01"/>
    <s v="BRPECAPM"/>
    <n v="52.945568000000002"/>
    <n v="93.242500000000007"/>
    <n v="150"/>
    <n v="1458.3739206515202"/>
    <n v="262.5073057172736"/>
    <n v="768"/>
    <n v="7"/>
    <n v="0"/>
    <n v="0"/>
    <n v="768"/>
    <m/>
    <m/>
    <n v="0"/>
    <x v="0"/>
    <s v="BRMAOTK01"/>
    <s v="BRMAOCHI"/>
    <n v="11.436796000000001"/>
    <n v="93.242500000000007"/>
    <n v="150"/>
    <n v="843.35338908544009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568"/>
    <n v="18648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559.45500000000004"/>
    <n v="17136.902177354837"/>
    <n v="2056.4282612825805"/>
    <n v="110"/>
    <n v="150"/>
    <n v="1E-3"/>
    <n v="186.48500000000001"/>
    <n v="11995.831524148385"/>
    <n v="12442.316524148386"/>
    <n v="3180.9641611183101"/>
    <n v="5029.6250532931153"/>
    <n v="0.08"/>
    <n v="790.24655269553216"/>
    <n v="0.12"/>
    <n v="1493.0779828978061"/>
    <n v="15"/>
    <n v="1"/>
  </r>
  <r>
    <n v="394"/>
    <d v="2022-12-31T00:00:00"/>
    <x v="2"/>
    <s v="CLI221"/>
    <s v="CLI221"/>
    <s v="MARACANAU"/>
    <s v="CE"/>
    <s v="CLI905"/>
    <s v="MANAUS"/>
    <s v="AM"/>
    <n v="2379.3453616800616"/>
    <n v="1441.5450940000001"/>
    <n v="0"/>
    <n v="7000"/>
    <n v="0"/>
    <x v="0"/>
    <x v="1"/>
    <s v="BRPECTK01"/>
    <s v="BRPECAPM"/>
    <n v="52.945568000000002"/>
    <n v="34.503"/>
    <n v="150"/>
    <n v="1399.63442065152"/>
    <n v="251.93419571727361"/>
    <n v="768"/>
    <n v="7"/>
    <n v="0"/>
    <n v="0"/>
    <n v="768"/>
    <m/>
    <m/>
    <n v="0"/>
    <x v="0"/>
    <s v="BRMAOTK01"/>
    <s v="BRMAOCHI"/>
    <n v="11.436796000000001"/>
    <n v="34.503"/>
    <n v="150"/>
    <n v="784.6138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24"/>
    <n v="6900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207.018"/>
    <n v="16784.465177354836"/>
    <n v="2014.1358212825803"/>
    <n v="110"/>
    <n v="150"/>
    <n v="1E-3"/>
    <n v="69.006"/>
    <n v="11749.125624148384"/>
    <n v="12078.131624148384"/>
    <n v="3180.9641611183101"/>
    <n v="4782.9191532931127"/>
    <n v="0.08"/>
    <n v="771.35592949553211"/>
    <n v="0.12"/>
    <n v="1449.3757948978059"/>
    <n v="15"/>
    <n v="1"/>
  </r>
  <r>
    <n v="395"/>
    <d v="2022-12-31T00:00:00"/>
    <x v="2"/>
    <s v="CLI221"/>
    <s v="CLI221"/>
    <s v="MARACANAU"/>
    <s v="CE"/>
    <s v="CLI1261"/>
    <s v="MANAUS"/>
    <s v="AM"/>
    <n v="2379.3453616800616"/>
    <n v="1441.5450940000001"/>
    <n v="0"/>
    <n v="7000"/>
    <n v="0"/>
    <x v="0"/>
    <x v="1"/>
    <s v="BRPECTK01"/>
    <s v="BRPECAPM"/>
    <n v="52.945568000000002"/>
    <n v="98.930999999999997"/>
    <n v="150"/>
    <n v="1464.0624206515201"/>
    <n v="263.5312357172736"/>
    <n v="768"/>
    <n v="7"/>
    <n v="0"/>
    <n v="0"/>
    <n v="768"/>
    <m/>
    <m/>
    <n v="0"/>
    <x v="0"/>
    <s v="BRMAOTK01"/>
    <s v="BRMAOCHI"/>
    <n v="11.436796000000001"/>
    <n v="98.930999999999997"/>
    <n v="150"/>
    <n v="849.0418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974"/>
    <n v="19786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593.58600000000001"/>
    <n v="17171.033177354835"/>
    <n v="2060.5239812825803"/>
    <n v="110"/>
    <n v="150"/>
    <n v="1E-3"/>
    <n v="197.86199999999999"/>
    <n v="12019.723224148383"/>
    <n v="12477.585224148383"/>
    <n v="3180.9641611183101"/>
    <n v="5053.5167532931118"/>
    <n v="0.08"/>
    <n v="792.07597429553198"/>
    <n v="0.12"/>
    <n v="1497.3102268978059"/>
    <n v="15"/>
    <n v="1"/>
  </r>
  <r>
    <n v="396"/>
    <d v="2022-12-31T00:00:00"/>
    <x v="2"/>
    <s v="CLI222"/>
    <s v="CLI222"/>
    <s v="RIO DE JANEIRO"/>
    <s v="RJ"/>
    <s v="CLI1217"/>
    <s v="SIMOES FILHO"/>
    <s v="BA"/>
    <n v="1556.1325149999998"/>
    <n v="0"/>
    <n v="0"/>
    <n v="0"/>
    <n v="0"/>
    <x v="0"/>
    <x v="4"/>
    <s v="BRIGITK01"/>
    <s v="BRIGITCO"/>
    <n v="78.029871"/>
    <n v="104.5855"/>
    <n v="150"/>
    <n v="1841.38200785344"/>
    <n v="368.27640157068799"/>
    <n v="704"/>
    <n v="7"/>
    <n v="0"/>
    <n v="0"/>
    <n v="704"/>
    <m/>
    <m/>
    <n v="0"/>
    <x v="5"/>
    <s v="BRSSATK01"/>
    <s v="BRSSATCO"/>
    <n v="26.551053"/>
    <n v="104.5855"/>
    <n v="150"/>
    <n v="1078.63889392192"/>
    <n v="194.1550009059456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872"/>
    <n v="209171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1556.1325149999998"/>
    <n v="627.51300000000003"/>
    <n v="11614.554664064402"/>
    <n v="813.01882648450828"/>
    <n v="110"/>
    <n v="150"/>
    <n v="1E-3"/>
    <n v="209.17099999999999"/>
    <n v="8130.188264845081"/>
    <n v="8599.3592648450813"/>
    <n v="3180.9641611183101"/>
    <n v="800.37420195141067"/>
    <n v="0.08"/>
    <n v="409.35255684744703"/>
    <n v="7.0000000000000007E-2"/>
    <n v="601.95514853915574"/>
    <n v="15"/>
    <n v="3"/>
  </r>
  <r>
    <n v="397"/>
    <d v="2022-12-31T00:00:00"/>
    <x v="2"/>
    <s v="CLI222"/>
    <s v="CLI222"/>
    <s v="RIO DE JANEIRO"/>
    <s v="RJ"/>
    <s v="CLI1216"/>
    <s v="CABO DE SANTO AGOSTINHO"/>
    <s v="PE"/>
    <n v="2241.9811359999999"/>
    <n v="0"/>
    <n v="0"/>
    <n v="0"/>
    <n v="0"/>
    <x v="0"/>
    <x v="4"/>
    <s v="BRIGITK01"/>
    <s v="BRIGITCO"/>
    <n v="78.029871"/>
    <n v="35.866"/>
    <n v="150"/>
    <n v="1772.66250785344"/>
    <n v="354.53250157068805"/>
    <n v="704"/>
    <n v="7"/>
    <n v="0"/>
    <n v="0"/>
    <n v="704"/>
    <m/>
    <m/>
    <n v="0"/>
    <x v="2"/>
    <s v="BRSUATK01"/>
    <s v="BRSUATCO"/>
    <n v="23.080721"/>
    <n v="35.866"/>
    <n v="150"/>
    <n v="958.50073399744008"/>
    <n v="172.53013211953922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955"/>
    <n v="71732"/>
    <x v="1"/>
    <x v="0"/>
    <x v="0"/>
    <x v="0"/>
    <x v="2"/>
    <x v="2"/>
    <n v="3"/>
    <n v="3"/>
    <n v="3"/>
    <n v="3"/>
    <n v="3"/>
    <n v="3"/>
    <n v="3"/>
    <n v="32"/>
    <n v="7"/>
    <n v="180"/>
    <n v="7"/>
    <n v="180"/>
    <n v="2241.9811359999999"/>
    <n v="215.196"/>
    <n v="15859.80821533056"/>
    <n v="1110.1865750731392"/>
    <n v="110"/>
    <n v="150"/>
    <n v="1E-3"/>
    <n v="71.731999999999999"/>
    <n v="11101.865750731391"/>
    <n v="11433.597750731391"/>
    <n v="3180.9641611183101"/>
    <n v="3183.4703477622011"/>
    <n v="0.08"/>
    <n v="654.0297500152227"/>
    <n v="7.0000000000000007E-2"/>
    <n v="800.35184255119748"/>
    <n v="15"/>
    <n v="3"/>
  </r>
  <r>
    <n v="398"/>
    <d v="2022-12-31T00:00:00"/>
    <x v="2"/>
    <s v="CLI226"/>
    <s v="CLI226"/>
    <s v="SANTA GERTRUDES"/>
    <s v="SP"/>
    <s v="CLI691"/>
    <s v="MANAUS"/>
    <s v="AM"/>
    <n v="2530.6905541302044"/>
    <n v="2714.9531979999997"/>
    <n v="0"/>
    <n v="7000"/>
    <n v="0"/>
    <x v="0"/>
    <x v="0"/>
    <s v="BRSSZTK01"/>
    <s v="BRSSZTCO"/>
    <n v="247.601833"/>
    <n v="43.054500000000004"/>
    <n v="150"/>
    <n v="4292.3377229011203"/>
    <n v="772.62079012220158"/>
    <n v="640"/>
    <n v="7"/>
    <n v="0"/>
    <n v="0"/>
    <n v="640"/>
    <m/>
    <m/>
    <n v="0"/>
    <x v="0"/>
    <s v="BRMAOTK01"/>
    <s v="BRMAOCHI"/>
    <n v="11.436796000000001"/>
    <n v="43.054500000000004"/>
    <n v="150"/>
    <n v="793.1653890854399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796"/>
    <n v="86109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30.6905541302044"/>
    <n v="258.327"/>
    <n v="17863.553325476056"/>
    <n v="1250.448732783324"/>
    <n v="110"/>
    <n v="150"/>
    <n v="1E-3"/>
    <n v="86.109000000000009"/>
    <n v="12504.487327833238"/>
    <n v="12850.596327833238"/>
    <n v="3180.9641611183101"/>
    <n v="2842.1290547283684"/>
    <n v="0.08"/>
    <n v="559.39779405795809"/>
    <n v="7.0000000000000007E-2"/>
    <n v="899.54174294832671"/>
    <n v="15"/>
    <n v="2"/>
  </r>
  <r>
    <n v="399"/>
    <d v="2022-12-31T00:00:00"/>
    <x v="2"/>
    <s v="CLI227"/>
    <s v="CLI227"/>
    <s v="JOAO PESSOA"/>
    <s v="PB"/>
    <s v="CLI933"/>
    <s v="MANAUS"/>
    <s v="AM"/>
    <n v="2824.1131625356697"/>
    <n v="2026.6121250000001"/>
    <n v="0"/>
    <n v="7000"/>
    <n v="0"/>
    <x v="0"/>
    <x v="3"/>
    <s v="BRSUATK01"/>
    <s v="BRSUATCO"/>
    <n v="167.74277900000001"/>
    <n v="44.948500000000003"/>
    <n v="150"/>
    <n v="3110.9888690425605"/>
    <n v="373.31866428510727"/>
    <n v="1344"/>
    <n v="7"/>
    <n v="0"/>
    <n v="0"/>
    <n v="1344"/>
    <m/>
    <m/>
    <n v="0"/>
    <x v="0"/>
    <s v="BRMAOTK01"/>
    <s v="BRMAOCHI"/>
    <n v="11.436796000000001"/>
    <n v="44.948500000000003"/>
    <n v="150"/>
    <n v="795.05938908543999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90"/>
    <n v="8989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1131625356697"/>
    <n v="269.69100000000003"/>
    <n v="19867.538522253231"/>
    <n v="2384.1046226703875"/>
    <n v="110"/>
    <n v="150"/>
    <n v="1E-3"/>
    <n v="89.897000000000006"/>
    <n v="13907.276965577261"/>
    <n v="14257.173965577262"/>
    <n v="3180.9641611183101"/>
    <n v="4734.1615463309499"/>
    <n v="0.08"/>
    <n v="798.2245634531323"/>
    <n v="0.12"/>
    <n v="1710.8608758692712"/>
    <n v="15"/>
    <n v="1"/>
  </r>
  <r>
    <n v="400"/>
    <d v="2022-12-31T00:00:00"/>
    <x v="2"/>
    <s v="CLI230"/>
    <s v="CLI230"/>
    <s v="ITUPEVA"/>
    <s v="SP"/>
    <s v="CLI1075"/>
    <s v="JABOATAO DOS GUARARAPES"/>
    <s v="PE"/>
    <n v="2580.258648"/>
    <n v="0"/>
    <n v="0"/>
    <n v="0"/>
    <n v="0"/>
    <x v="0"/>
    <x v="0"/>
    <s v="BRSSZTK01"/>
    <s v="BRSSZTCO"/>
    <n v="154.896703"/>
    <n v="64.983500000000006"/>
    <n v="150"/>
    <n v="2940.6881855379197"/>
    <n v="529.32387339682555"/>
    <n v="640"/>
    <n v="7"/>
    <n v="0"/>
    <n v="0"/>
    <n v="640"/>
    <m/>
    <m/>
    <n v="0"/>
    <x v="2"/>
    <s v="BRSUATK01"/>
    <s v="BRSUATCO"/>
    <n v="43.495365"/>
    <n v="64.983500000000006"/>
    <n v="150"/>
    <n v="1290.0946648736001"/>
    <n v="232.2170396772480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245"/>
    <n v="129967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580.258648"/>
    <n v="389.90100000000001"/>
    <n v="18331.742268222086"/>
    <n v="1283.2219587755462"/>
    <n v="110"/>
    <n v="150"/>
    <n v="1E-3"/>
    <n v="129.96700000000001"/>
    <n v="12832.219587755459"/>
    <n v="13222.186587755459"/>
    <n v="3180.9641611183101"/>
    <n v="3556.4395762256286"/>
    <n v="0.08"/>
    <n v="658.38902594158924"/>
    <n v="7.0000000000000007E-2"/>
    <n v="925.55306114288226"/>
    <n v="15"/>
    <n v="2"/>
  </r>
  <r>
    <n v="401"/>
    <d v="2022-12-31T00:00:00"/>
    <x v="2"/>
    <s v="CLI230"/>
    <s v="CLI230"/>
    <s v="ITUPEVA"/>
    <s v="SP"/>
    <s v="CLI1076"/>
    <s v="SIMOES FILHO"/>
    <s v="BA"/>
    <n v="1868.6113049999999"/>
    <n v="0"/>
    <n v="0"/>
    <n v="0"/>
    <n v="0"/>
    <x v="0"/>
    <x v="0"/>
    <s v="BRSSZTK01"/>
    <s v="BRSSZTCO"/>
    <n v="154.896703"/>
    <n v="99.317999999999998"/>
    <n v="150"/>
    <n v="2975.0226855379201"/>
    <n v="535.50408339682565"/>
    <n v="640"/>
    <n v="7"/>
    <n v="0"/>
    <n v="0"/>
    <n v="640"/>
    <m/>
    <m/>
    <n v="0"/>
    <x v="5"/>
    <s v="BRSSATK01"/>
    <s v="BRSSATCO"/>
    <n v="26.551053"/>
    <n v="99.317999999999998"/>
    <n v="150"/>
    <n v="1073.3713939219201"/>
    <n v="193.2068509059456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670"/>
    <n v="19863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868.6113049999999"/>
    <n v="595.90800000000002"/>
    <n v="13704.980627802801"/>
    <n v="959.34864394619615"/>
    <n v="110"/>
    <n v="150"/>
    <n v="1E-3"/>
    <n v="198.636"/>
    <n v="9593.4864394619599"/>
    <n v="10052.12243946196"/>
    <n v="3180.9641611183101"/>
    <n v="1208.76419888381"/>
    <n v="0.08"/>
    <n v="422.00139405594786"/>
    <n v="7.0000000000000007E-2"/>
    <n v="703.64857076233727"/>
    <n v="15"/>
    <n v="1"/>
  </r>
  <r>
    <n v="402"/>
    <d v="2022-12-31T00:00:00"/>
    <x v="2"/>
    <s v="CLI231"/>
    <s v="CLI231"/>
    <s v="JUNDIAI"/>
    <s v="SP"/>
    <s v="CLI1075"/>
    <s v="JABOATAO DOS GUARARAPES"/>
    <s v="PE"/>
    <n v="2562.6843799999997"/>
    <n v="0"/>
    <n v="0"/>
    <n v="0"/>
    <n v="0"/>
    <x v="0"/>
    <x v="0"/>
    <s v="BRSSZTK01"/>
    <s v="BRSSZTCO"/>
    <n v="139.13710800000001"/>
    <n v="115.449"/>
    <n v="150"/>
    <n v="2757.6494398771201"/>
    <n v="496.37689917788163"/>
    <n v="640"/>
    <n v="7"/>
    <n v="0"/>
    <n v="0"/>
    <n v="640"/>
    <m/>
    <m/>
    <n v="0"/>
    <x v="2"/>
    <s v="BRSUATK01"/>
    <s v="BRSUATCO"/>
    <n v="43.495365"/>
    <n v="115.449"/>
    <n v="150"/>
    <n v="1340.5601648736001"/>
    <n v="241.30082967724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546"/>
    <n v="230898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2562.6843799999997"/>
    <n v="692.69399999999996"/>
    <n v="18515.189117204798"/>
    <n v="1296.0632382043359"/>
    <n v="110"/>
    <n v="150"/>
    <n v="1E-3"/>
    <n v="230.898"/>
    <n v="12960.632382043357"/>
    <n v="13451.530382043356"/>
    <n v="3180.9641611183101"/>
    <n v="3918.3566161743261"/>
    <n v="0.08"/>
    <n v="689.25144387500052"/>
    <n v="7.0000000000000007E-2"/>
    <n v="941.607126743035"/>
    <n v="15"/>
    <n v="5"/>
  </r>
  <r>
    <n v="403"/>
    <d v="2022-12-31T00:00:00"/>
    <x v="2"/>
    <s v="CLI231"/>
    <s v="CLI231"/>
    <s v="JUNDIAI"/>
    <s v="SP"/>
    <s v="CLI1076"/>
    <s v="SIMOES FILHO"/>
    <s v="BA"/>
    <n v="1851.0370370000001"/>
    <n v="0"/>
    <n v="0"/>
    <n v="0"/>
    <n v="0"/>
    <x v="0"/>
    <x v="0"/>
    <s v="BRSSZTK01"/>
    <s v="BRSSZTCO"/>
    <n v="139.13710800000001"/>
    <n v="63.939"/>
    <n v="150"/>
    <n v="2706.1394398771199"/>
    <n v="487.10509917788158"/>
    <n v="640"/>
    <n v="7"/>
    <n v="0"/>
    <n v="0"/>
    <n v="640"/>
    <m/>
    <m/>
    <n v="0"/>
    <x v="5"/>
    <s v="BRSSATK01"/>
    <s v="BRSSATCO"/>
    <n v="26.551053"/>
    <n v="63.939"/>
    <n v="150"/>
    <n v="1037.99239392192"/>
    <n v="186.83863090594559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177"/>
    <n v="127878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1851.0370370000001"/>
    <n v="383.63400000000001"/>
    <n v="13373.360476785523"/>
    <n v="936.13523337498668"/>
    <n v="110"/>
    <n v="150"/>
    <n v="1E-3"/>
    <n v="127.878"/>
    <n v="9361.3523337498664"/>
    <n v="9749.230333749867"/>
    <n v="3180.9641611183101"/>
    <n v="1210.1343388325172"/>
    <n v="0.08"/>
    <n v="426.49238158936004"/>
    <n v="7.0000000000000007E-2"/>
    <n v="682.44612336249077"/>
    <n v="15"/>
    <n v="3"/>
  </r>
  <r>
    <n v="404"/>
    <d v="2022-12-31T00:00:00"/>
    <x v="2"/>
    <s v="CLI234"/>
    <s v="CLI234"/>
    <s v="GUARULHOS"/>
    <s v="SP"/>
    <s v="CLI875"/>
    <s v="MANAUS"/>
    <s v="AM"/>
    <n v="2680.9932138622717"/>
    <n v="2887.376076"/>
    <n v="0"/>
    <n v="7000"/>
    <n v="0"/>
    <x v="0"/>
    <x v="0"/>
    <s v="BRSSZTK01"/>
    <s v="BRSSZTCO"/>
    <n v="96.951807000000002"/>
    <n v="82.76"/>
    <n v="150"/>
    <n v="2099.91602166848"/>
    <n v="377.98488390032639"/>
    <n v="640"/>
    <n v="7"/>
    <n v="0"/>
    <n v="0"/>
    <n v="640"/>
    <m/>
    <m/>
    <n v="0"/>
    <x v="0"/>
    <s v="BRMAOTK01"/>
    <s v="BRMAOCHI"/>
    <n v="11.436796000000001"/>
    <n v="82.76"/>
    <n v="150"/>
    <n v="832.87088908544001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41"/>
    <n v="16552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80.9932138622717"/>
    <n v="496.56"/>
    <n v="19122.485675610133"/>
    <n v="1338.5739972927095"/>
    <n v="110"/>
    <n v="150"/>
    <n v="1E-3"/>
    <n v="165.52"/>
    <n v="13385.739972927093"/>
    <n v="13811.259972927093"/>
    <n v="3180.9641611183101"/>
    <n v="5955.5089010548636"/>
    <n v="0.08"/>
    <n v="840.03905426182791"/>
    <n v="7.0000000000000007E-2"/>
    <n v="966.78819810489665"/>
    <n v="15"/>
    <n v="1"/>
  </r>
  <r>
    <n v="405"/>
    <d v="2022-12-31T00:00:00"/>
    <x v="2"/>
    <s v="CLI236"/>
    <s v="CLI236"/>
    <s v="ITAPORANGA DAJUDA"/>
    <s v="SE"/>
    <s v="CLI598"/>
    <s v="MANAUS"/>
    <s v="AM"/>
    <n v="2654.460307961835"/>
    <n v="2014.0964350000002"/>
    <n v="0"/>
    <n v="7000"/>
    <n v="0"/>
    <x v="0"/>
    <x v="5"/>
    <s v="BRSSATK01"/>
    <s v="BRSSATCO"/>
    <n v="293.28653200000002"/>
    <n v="93.902000000000001"/>
    <n v="150"/>
    <n v="5020.0789614924806"/>
    <n v="602.40947537909767"/>
    <n v="704"/>
    <n v="7"/>
    <n v="0"/>
    <n v="0"/>
    <n v="704"/>
    <m/>
    <m/>
    <n v="0"/>
    <x v="0"/>
    <s v="BRMAOTK01"/>
    <s v="BRMAOCHI"/>
    <n v="11.436796000000001"/>
    <n v="93.902000000000001"/>
    <n v="150"/>
    <n v="844.01288908544007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151"/>
    <n v="18780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54.460307961835"/>
    <n v="563.41200000000003"/>
    <n v="19009.153772956506"/>
    <n v="2281.0984527547807"/>
    <n v="110"/>
    <n v="150"/>
    <n v="1E-3"/>
    <n v="187.804"/>
    <n v="13306.407641069554"/>
    <n v="13754.211641069554"/>
    <n v="3180.9641611183101"/>
    <n v="2878.1556293733224"/>
    <n v="0.08"/>
    <n v="583.01682520900283"/>
    <n v="0.12"/>
    <n v="1650.5053969283465"/>
    <n v="15"/>
    <n v="1"/>
  </r>
  <r>
    <n v="406"/>
    <d v="2022-12-31T00:00:00"/>
    <x v="2"/>
    <s v="CLI237"/>
    <s v="CLI237"/>
    <s v="SIMOES FILHO"/>
    <s v="BA"/>
    <s v="CLI759"/>
    <s v="MANAUS"/>
    <s v="AM"/>
    <n v="2610.3853225311195"/>
    <n v="2050.9635060000001"/>
    <n v="0"/>
    <n v="7000"/>
    <n v="0"/>
    <x v="0"/>
    <x v="5"/>
    <s v="BRSSATK01"/>
    <s v="BRSSATCO"/>
    <n v="26.551053"/>
    <n v="91.880499999999998"/>
    <n v="150"/>
    <n v="1065.9338939219201"/>
    <n v="191.86810090594562"/>
    <n v="704"/>
    <n v="7"/>
    <n v="0"/>
    <n v="0"/>
    <n v="704"/>
    <m/>
    <m/>
    <n v="0"/>
    <x v="0"/>
    <s v="BRMAOTK01"/>
    <s v="BRMAOCHI"/>
    <n v="11.436796000000001"/>
    <n v="91.880499999999998"/>
    <n v="150"/>
    <n v="841.99138908544001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970"/>
    <n v="18376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0.3853225311195"/>
    <n v="551.28300000000002"/>
    <n v="18697.713309895931"/>
    <n v="2243.7255971875115"/>
    <n v="110"/>
    <n v="150"/>
    <n v="1E-3"/>
    <n v="183.761"/>
    <n v="13088.399316927151"/>
    <n v="13532.160316927151"/>
    <n v="3180.9641611183101"/>
    <n v="6612.2708728014804"/>
    <n v="0.08"/>
    <n v="914.58935464110766"/>
    <n v="0.12"/>
    <n v="1623.859238031258"/>
    <n v="15"/>
    <n v="1"/>
  </r>
  <r>
    <n v="407"/>
    <d v="2022-12-31T00:00:00"/>
    <x v="2"/>
    <s v="CLI238"/>
    <s v="CLI238"/>
    <s v="RIO DE JANEIRO"/>
    <s v="RJ"/>
    <s v="CLI893"/>
    <s v="JABOATAO DOS GUARARAPES"/>
    <s v="PE"/>
    <n v="2267.7798579999999"/>
    <n v="0"/>
    <n v="0"/>
    <n v="0"/>
    <n v="0"/>
    <x v="0"/>
    <x v="4"/>
    <s v="BRIGITK01"/>
    <s v="BRIGITCO"/>
    <n v="78.029871"/>
    <n v="111.29650000000001"/>
    <n v="150"/>
    <n v="1848.09300785344"/>
    <n v="369.61860157068804"/>
    <n v="704"/>
    <n v="7"/>
    <n v="0"/>
    <n v="0"/>
    <n v="704"/>
    <m/>
    <m/>
    <n v="0"/>
    <x v="2"/>
    <s v="BRSUATK01"/>
    <s v="BRSUATCO"/>
    <n v="43.495365"/>
    <n v="111.29650000000001"/>
    <n v="150"/>
    <n v="1336.4076648736"/>
    <n v="240.55337967724799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204"/>
    <n v="22259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267.7798579999999"/>
    <n v="667.779"/>
    <n v="16487.589304483681"/>
    <n v="1154.1312513138578"/>
    <n v="110"/>
    <n v="150"/>
    <n v="1E-3"/>
    <n v="222.59300000000002"/>
    <n v="11541.312513138577"/>
    <n v="12023.905513138578"/>
    <n v="3180.9641611183101"/>
    <n v="3320.4406792932282"/>
    <n v="0.08"/>
    <n v="658.33862873308817"/>
    <n v="7.0000000000000007E-2"/>
    <n v="841.67338591970054"/>
    <n v="15"/>
    <n v="1"/>
  </r>
  <r>
    <n v="408"/>
    <d v="2022-12-31T00:00:00"/>
    <x v="3"/>
    <s v="CLI239"/>
    <s v="CLI239"/>
    <s v="ARAPIRACA"/>
    <s v="AL"/>
    <s v="CLI947"/>
    <s v="MANAUS"/>
    <s v="AM"/>
    <n v="2685.2668581005119"/>
    <n v="1931.5732520000001"/>
    <n v="0"/>
    <n v="7000"/>
    <n v="0"/>
    <x v="0"/>
    <x v="3"/>
    <s v="BRSUATK01"/>
    <s v="BRSUATCO"/>
    <n v="325.67641200000003"/>
    <n v="55.253"/>
    <n v="150"/>
    <n v="5461.3391530956806"/>
    <n v="655.36069837148159"/>
    <n v="1344"/>
    <n v="7"/>
    <n v="0"/>
    <n v="0"/>
    <n v="1344"/>
    <m/>
    <m/>
    <n v="0"/>
    <x v="0"/>
    <s v="BRMAOTK01S"/>
    <s v="BRMAOCHI"/>
    <n v="11.436796000000001"/>
    <n v="55.253"/>
    <n v="150"/>
    <n v="805.36388908544006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650"/>
    <n v="110506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685.2668581005119"/>
    <n v="331.51800000000003"/>
    <n v="18986.465822686256"/>
    <n v="2278.3758987223505"/>
    <n v="110"/>
    <n v="150"/>
    <n v="1E-3"/>
    <n v="110.506"/>
    <n v="12726.771353520569"/>
    <n v="13097.277353520569"/>
    <n v="3180.9641611183101"/>
    <n v="2018.9740393065781"/>
    <n v="0.08"/>
    <n v="494.01708903743736"/>
    <n v="0.12"/>
    <n v="1571.6732824224682"/>
    <n v="15"/>
    <n v="2"/>
  </r>
  <r>
    <n v="409"/>
    <d v="2022-12-31T00:00:00"/>
    <x v="0"/>
    <s v="CLI240"/>
    <s v="CLI240"/>
    <s v="IPOJUCA"/>
    <s v="PE"/>
    <s v="CLI788"/>
    <s v="MANAUS"/>
    <s v="AM"/>
    <n v="2824.7841972531837"/>
    <n v="2060.3329469999999"/>
    <n v="0"/>
    <n v="7000"/>
    <n v="0"/>
    <x v="0"/>
    <x v="3"/>
    <s v="BRSUATK01S"/>
    <s v="BRSUATCO"/>
    <n v="23.753726"/>
    <n v="113.6105"/>
    <n v="150"/>
    <n v="1046.2169068006401"/>
    <n v="0"/>
    <n v="1344"/>
    <n v="7"/>
    <n v="0"/>
    <n v="0"/>
    <n v="1344"/>
    <m/>
    <m/>
    <n v="0"/>
    <x v="0"/>
    <s v="BRMAOTK01S"/>
    <s v="BRMAOCHI"/>
    <n v="11.436796000000001"/>
    <n v="113.6105"/>
    <n v="150"/>
    <n v="863.7213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574"/>
    <n v="227221"/>
    <x v="1"/>
    <x v="0"/>
    <x v="5"/>
    <x v="4"/>
    <x v="0"/>
    <x v="0"/>
    <n v="3"/>
    <n v="3"/>
    <n v="4"/>
    <n v="4"/>
    <n v="4"/>
    <n v="3"/>
    <n v="4"/>
    <n v="40"/>
    <n v="7"/>
    <n v="180"/>
    <n v="7"/>
    <n v="180"/>
    <n v="2824.7841972531837"/>
    <n v="681.66300000000001"/>
    <n v="20284.067492178485"/>
    <n v="2434.0880990614182"/>
    <n v="110"/>
    <n v="150"/>
    <n v="1E-3"/>
    <n v="227.221"/>
    <n v="12861.890437404682"/>
    <n v="13349.111437404681"/>
    <n v="3180.9641611183101"/>
    <n v="7732.1472762863705"/>
    <n v="0.08"/>
    <n v="915.13385132148801"/>
    <n v="0.12"/>
    <n v="1601.8933724885617"/>
    <n v="15"/>
    <n v="4"/>
  </r>
  <r>
    <n v="410"/>
    <d v="2022-12-31T00:00:00"/>
    <x v="2"/>
    <s v="CLI242"/>
    <s v="CLI242"/>
    <s v="CABO DE SANTO AGOSTINHO"/>
    <s v="PE"/>
    <s v="CLI377"/>
    <s v="MANAUS"/>
    <s v="AM"/>
    <n v="2825.8436369633364"/>
    <n v="2055.2547009999998"/>
    <n v="0"/>
    <n v="7000"/>
    <n v="0"/>
    <x v="0"/>
    <x v="3"/>
    <s v="BRSUATK01"/>
    <s v="BRSUATCO"/>
    <n v="23.080721"/>
    <n v="112.10300000000001"/>
    <n v="150"/>
    <n v="1034.73773399744"/>
    <n v="186.25279211953921"/>
    <n v="1344"/>
    <n v="7"/>
    <n v="0"/>
    <n v="0"/>
    <n v="1344"/>
    <m/>
    <m/>
    <n v="0"/>
    <x v="0"/>
    <s v="BRMAOTK01"/>
    <s v="BRMAOCHI"/>
    <n v="11.436796000000001"/>
    <n v="112.10300000000001"/>
    <n v="150"/>
    <n v="862.21388908544009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157"/>
    <n v="22420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5.8436369633364"/>
    <n v="672.61800000000005"/>
    <n v="20282.217104872539"/>
    <n v="2433.8660525847044"/>
    <n v="110"/>
    <n v="150"/>
    <n v="1E-3"/>
    <n v="224.20600000000002"/>
    <n v="14197.551973410777"/>
    <n v="14681.757973410777"/>
    <n v="3180.9641611183101"/>
    <n v="7167.8421892095866"/>
    <n v="0.08"/>
    <n v="1007.8842846566687"/>
    <n v="0.12"/>
    <n v="1761.8109568092932"/>
    <n v="15"/>
    <n v="1"/>
  </r>
  <r>
    <n v="411"/>
    <d v="2022-12-31T00:00:00"/>
    <x v="2"/>
    <s v="CLI243"/>
    <s v="CLI243"/>
    <s v="MOGI-GUACU"/>
    <s v="SP"/>
    <s v="CLI377"/>
    <s v="MANAUS"/>
    <s v="AM"/>
    <n v="2557.9787527667677"/>
    <n v="2764.4105490000002"/>
    <n v="0"/>
    <n v="7000"/>
    <n v="0"/>
    <x v="0"/>
    <x v="0"/>
    <s v="BRSSZTK01"/>
    <s v="BRSSZTCO"/>
    <n v="240.49392499999999"/>
    <n v="67.103499999999997"/>
    <n v="150"/>
    <n v="4211.0714089120002"/>
    <n v="757.99285360416002"/>
    <n v="640"/>
    <n v="7"/>
    <n v="0"/>
    <n v="0"/>
    <n v="640"/>
    <m/>
    <m/>
    <n v="0"/>
    <x v="0"/>
    <s v="BRMAOTK01"/>
    <s v="BRMAOCHI"/>
    <n v="11.436796000000001"/>
    <n v="67.103499999999997"/>
    <n v="150"/>
    <n v="817.2143890854399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223"/>
    <n v="134207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557.9787527667677"/>
    <n v="402.62099999999998"/>
    <n v="18193.16039088901"/>
    <n v="1273.5212273622308"/>
    <n v="110"/>
    <n v="150"/>
    <n v="1E-3"/>
    <n v="134.20699999999999"/>
    <n v="12735.212273622306"/>
    <n v="13129.419273622307"/>
    <n v="3180.9641611183101"/>
    <n v="3178.1693145065569"/>
    <n v="0.08"/>
    <n v="587.45124976165664"/>
    <n v="7.0000000000000007E-2"/>
    <n v="919.05934915356158"/>
    <n v="15"/>
    <n v="2"/>
  </r>
  <r>
    <n v="412"/>
    <d v="2022-12-31T00:00:00"/>
    <x v="2"/>
    <s v="CLI243"/>
    <s v="CLI243"/>
    <s v="MOGI-GUACU"/>
    <s v="SP"/>
    <s v="CLI242"/>
    <s v="CABO DE SANTO AGOSTINHO"/>
    <s v="PE"/>
    <n v="2461.7884100000001"/>
    <n v="0"/>
    <n v="0"/>
    <n v="0"/>
    <n v="0"/>
    <x v="0"/>
    <x v="0"/>
    <s v="BRSSZTK01"/>
    <s v="BRSSZTCO"/>
    <n v="240.49392499999999"/>
    <n v="103.0675"/>
    <n v="150"/>
    <n v="4247.0354089120001"/>
    <n v="764.46637360416003"/>
    <n v="640"/>
    <n v="7"/>
    <n v="0"/>
    <n v="0"/>
    <n v="640"/>
    <m/>
    <m/>
    <n v="0"/>
    <x v="2"/>
    <s v="BRSUATK01"/>
    <s v="BRSUATCO"/>
    <n v="23.080721"/>
    <n v="103.0675"/>
    <n v="150"/>
    <n v="1025.7022339974401"/>
    <n v="184.6264021195392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043"/>
    <n v="20613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61.7884100000001"/>
    <n v="618.40499999999997"/>
    <n v="17755.719620773601"/>
    <n v="1242.9003734541523"/>
    <n v="110"/>
    <n v="150"/>
    <n v="1E-3"/>
    <n v="206.13499999999999"/>
    <n v="12429.00373454152"/>
    <n v="12895.138734541521"/>
    <n v="3180.9641611183101"/>
    <n v="2187.4369305137693"/>
    <n v="0.08"/>
    <n v="533.86466527267044"/>
    <n v="7.0000000000000007E-2"/>
    <n v="902.65971141790658"/>
    <n v="15"/>
    <n v="1"/>
  </r>
  <r>
    <n v="413"/>
    <d v="2022-12-31T00:00:00"/>
    <x v="1"/>
    <s v="CLI244"/>
    <s v="CLI244"/>
    <s v="SAO GONCALO"/>
    <s v="RJ"/>
    <s v="CLI463"/>
    <s v="IPOJUCA"/>
    <s v="PE"/>
    <n v="2210.5982730000001"/>
    <n v="0"/>
    <n v="0"/>
    <n v="0"/>
    <n v="0"/>
    <x v="0"/>
    <x v="4"/>
    <s v="BRIGITK01S"/>
    <s v="BRIGITCO"/>
    <n v="98.364702000000008"/>
    <n v="60.451999999999998"/>
    <n v="150"/>
    <n v="2098.5423782412799"/>
    <n v="419.70847564825601"/>
    <n v="704"/>
    <n v="7"/>
    <n v="0"/>
    <n v="0"/>
    <n v="704"/>
    <m/>
    <m/>
    <n v="0"/>
    <x v="2"/>
    <s v="BRSUATK01"/>
    <s v="BRSUATCO"/>
    <n v="23.753726"/>
    <n v="60.451999999999998"/>
    <n v="150"/>
    <n v="993.05840680064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750"/>
    <n v="120904"/>
    <x v="0"/>
    <x v="5"/>
    <x v="6"/>
    <x v="5"/>
    <x v="5"/>
    <x v="6"/>
    <n v="4"/>
    <n v="4"/>
    <n v="4"/>
    <n v="4"/>
    <n v="4"/>
    <n v="3"/>
    <n v="4"/>
    <n v="47"/>
    <n v="7"/>
    <n v="110"/>
    <n v="7"/>
    <n v="110"/>
    <n v="2210.5982730000001"/>
    <n v="362.71199999999999"/>
    <n v="15794.204448012084"/>
    <n v="1105.5943113608459"/>
    <n v="75"/>
    <n v="150"/>
    <n v="1E-3"/>
    <n v="120.904"/>
    <n v="9586.9634488395623"/>
    <n v="9932.8674488395627"/>
    <n v="3180.9641611183101"/>
    <n v="3420.8448809206134"/>
    <n v="0.08"/>
    <n v="513.72465505195089"/>
    <n v="7.0000000000000007E-2"/>
    <n v="695.30072141876951"/>
    <n v="15"/>
    <n v="4"/>
  </r>
  <r>
    <n v="414"/>
    <d v="2022-12-31T00:00:00"/>
    <x v="1"/>
    <s v="CLI244"/>
    <s v="CLI244"/>
    <s v="SAO GONCALO"/>
    <s v="RJ"/>
    <s v="CLI242"/>
    <s v="CABO DE SANTO AGOSTINHO"/>
    <s v="PE"/>
    <n v="2225.8927790000002"/>
    <n v="0"/>
    <n v="0"/>
    <n v="0"/>
    <n v="0"/>
    <x v="0"/>
    <x v="4"/>
    <s v="BRIGITK01S"/>
    <s v="BRIGITCO"/>
    <n v="98.364702000000008"/>
    <n v="110.622"/>
    <n v="150"/>
    <n v="2148.71237824128"/>
    <n v="429.742475648256"/>
    <n v="704"/>
    <n v="7"/>
    <n v="0"/>
    <n v="0"/>
    <n v="704"/>
    <m/>
    <m/>
    <n v="0"/>
    <x v="2"/>
    <s v="BRSUATK01"/>
    <s v="BRSUATCO"/>
    <n v="23.080721"/>
    <n v="110.622"/>
    <n v="150"/>
    <n v="1033.2567339974401"/>
    <n v="185.9862121195392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388"/>
    <n v="221244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225.8927790000002"/>
    <n v="663.73199999999997"/>
    <n v="16199.088826477844"/>
    <n v="1133.9362178534493"/>
    <n v="75"/>
    <n v="150"/>
    <n v="1E-3"/>
    <n v="221.244"/>
    <n v="9835.2635137655943"/>
    <n v="10281.507513765595"/>
    <n v="3180.9641611183101"/>
    <n v="3729.2866186498454"/>
    <n v="0.08"/>
    <n v="518.70477710072635"/>
    <n v="7.0000000000000007E-2"/>
    <n v="719.70552596359175"/>
    <n v="15"/>
    <n v="2"/>
  </r>
  <r>
    <n v="415"/>
    <d v="2022-12-31T00:00:00"/>
    <x v="1"/>
    <s v="CLI246"/>
    <s v="CLI246"/>
    <s v="MOGI-GUACU"/>
    <s v="SP"/>
    <s v="CLI584"/>
    <s v="FORTALEZA"/>
    <s v="CE"/>
    <n v="2703.2764559999996"/>
    <n v="0"/>
    <n v="0"/>
    <n v="0"/>
    <n v="0"/>
    <x v="0"/>
    <x v="0"/>
    <s v="BRSSZTK01S"/>
    <s v="BRSSZTCO"/>
    <n v="240.49392499999999"/>
    <n v="34.102499999999999"/>
    <n v="150"/>
    <n v="4178.0704089119999"/>
    <n v="752.05267360415996"/>
    <n v="640"/>
    <n v="7"/>
    <n v="0"/>
    <n v="0"/>
    <n v="640"/>
    <m/>
    <m/>
    <n v="0"/>
    <x v="3"/>
    <s v="BRPECTK01"/>
    <s v="BRPECAPM"/>
    <n v="42.140103000000003"/>
    <n v="34.102499999999999"/>
    <n v="150"/>
    <n v="1239.1332357139199"/>
    <n v="223.0439824285055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789"/>
    <n v="68205"/>
    <x v="1"/>
    <x v="1"/>
    <x v="6"/>
    <x v="1"/>
    <x v="5"/>
    <x v="6"/>
    <n v="5"/>
    <n v="5"/>
    <n v="5"/>
    <n v="5"/>
    <n v="5"/>
    <n v="5"/>
    <n v="5"/>
    <n v="57"/>
    <n v="7"/>
    <n v="180"/>
    <n v="7"/>
    <n v="180"/>
    <n v="2703.2764559999996"/>
    <n v="204.61500000000001"/>
    <n v="18981.865281637758"/>
    <n v="1328.7305697146433"/>
    <n v="110"/>
    <n v="150"/>
    <n v="1E-3"/>
    <n v="68.204999999999998"/>
    <n v="10362.65641090803"/>
    <n v="10690.86141090803"/>
    <n v="3180.9641611183101"/>
    <n v="4592.7640140757994"/>
    <n v="0.08"/>
    <n v="343.88488881995551"/>
    <n v="7.0000000000000007E-2"/>
    <n v="748.36029876356213"/>
    <n v="15"/>
    <n v="5"/>
  </r>
  <r>
    <n v="416"/>
    <d v="2022-12-31T00:00:00"/>
    <x v="1"/>
    <s v="CLI246"/>
    <s v="CLI246"/>
    <s v="MOGI-GUACU"/>
    <s v="SP"/>
    <s v="CLI569"/>
    <s v="SALVADOR"/>
    <s v="BA"/>
    <n v="1754.5540390000001"/>
    <n v="0"/>
    <n v="0"/>
    <n v="0"/>
    <n v="0"/>
    <x v="0"/>
    <x v="0"/>
    <s v="BRSSZTK01S"/>
    <s v="BRSSZTCO"/>
    <n v="240.49392499999999"/>
    <n v="55.863"/>
    <n v="150"/>
    <n v="4199.8309089119994"/>
    <n v="755.96956360415982"/>
    <n v="640"/>
    <n v="7"/>
    <n v="0"/>
    <n v="0"/>
    <n v="640"/>
    <m/>
    <m/>
    <n v="0"/>
    <x v="5"/>
    <s v="BRSSATK01"/>
    <s v="BRSSATCO"/>
    <n v="2.2452209999999999"/>
    <n v="55.863"/>
    <n v="150"/>
    <n v="669.78563127743996"/>
    <n v="0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072"/>
    <n v="111726"/>
    <x v="1"/>
    <x v="5"/>
    <x v="5"/>
    <x v="5"/>
    <x v="5"/>
    <x v="6"/>
    <n v="4"/>
    <n v="4"/>
    <n v="4"/>
    <n v="4"/>
    <n v="4"/>
    <n v="4"/>
    <n v="4"/>
    <n v="47"/>
    <n v="7"/>
    <n v="180"/>
    <n v="7"/>
    <n v="180"/>
    <n v="1754.5540390000001"/>
    <n v="335.178"/>
    <n v="12669.692296687443"/>
    <n v="886.87846076812104"/>
    <n v="110"/>
    <n v="150"/>
    <n v="1E-3"/>
    <n v="111.726"/>
    <n v="5928.9029714428098"/>
    <n v="6300.6289714428094"/>
    <n v="3180.9641611183101"/>
    <n v="835.8791790470591"/>
    <n v="0.08"/>
    <n v="54.003429411936835"/>
    <n v="7.0000000000000007E-2"/>
    <n v="441.04402800099672"/>
    <n v="15"/>
    <n v="4"/>
  </r>
  <r>
    <n v="417"/>
    <d v="2022-12-31T00:00:00"/>
    <x v="1"/>
    <s v="CLI246"/>
    <s v="CLI246"/>
    <s v="MOGI-GUACU"/>
    <s v="SP"/>
    <s v="CLI683"/>
    <s v="NATAL"/>
    <s v="RN"/>
    <n v="2686.5133250000003"/>
    <n v="0"/>
    <n v="0"/>
    <n v="0"/>
    <n v="0"/>
    <x v="0"/>
    <x v="0"/>
    <s v="BRSSZTK01S"/>
    <s v="BRSSZTCO"/>
    <n v="240.49392499999999"/>
    <n v="90.131"/>
    <n v="150"/>
    <n v="4234.0989089119994"/>
    <n v="762.1378036041599"/>
    <n v="640"/>
    <n v="7"/>
    <n v="0"/>
    <n v="0"/>
    <n v="640"/>
    <m/>
    <m/>
    <n v="0"/>
    <x v="3"/>
    <s v="BRPECTK01"/>
    <s v="BRPECAPM"/>
    <n v="553.99600899999996"/>
    <n v="90.131"/>
    <n v="150"/>
    <n v="8879.1464267897591"/>
    <n v="1065.4975712147711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27"/>
    <n v="180262"/>
    <x v="1"/>
    <x v="0"/>
    <x v="5"/>
    <x v="4"/>
    <x v="0"/>
    <x v="0"/>
    <n v="4"/>
    <n v="3"/>
    <n v="4"/>
    <n v="4"/>
    <n v="4"/>
    <n v="3"/>
    <n v="4"/>
    <n v="41"/>
    <n v="7"/>
    <n v="180"/>
    <n v="7"/>
    <n v="180"/>
    <n v="2686.5133250000003"/>
    <n v="540.78600000000006"/>
    <n v="19204.198529542005"/>
    <n v="1344.2938970679404"/>
    <n v="110"/>
    <n v="150"/>
    <n v="1E-3"/>
    <n v="180.262"/>
    <n v="10479.069734441004"/>
    <n v="10919.331734441004"/>
    <n v="3180.9641611183101"/>
    <n v="-2818.7788534670649"/>
    <n v="0.08"/>
    <n v="-321.72391808637479"/>
    <n v="7.0000000000000007E-2"/>
    <n v="764.35322141087033"/>
    <n v="15"/>
    <n v="4"/>
  </r>
  <r>
    <n v="418"/>
    <d v="2022-12-31T00:00:00"/>
    <x v="1"/>
    <s v="CLI246"/>
    <s v="CLI246"/>
    <s v="MOGI-GUACU"/>
    <s v="SP"/>
    <s v="CLI1071"/>
    <s v="RECIFE"/>
    <s v="PE"/>
    <n v="2494.9894629999999"/>
    <n v="0"/>
    <n v="0"/>
    <n v="0"/>
    <n v="0"/>
    <x v="0"/>
    <x v="0"/>
    <s v="BRSSZTK01S"/>
    <s v="BRSSZTCO"/>
    <n v="240.49392499999999"/>
    <n v="76.516000000000005"/>
    <n v="150"/>
    <n v="4220.4839089119996"/>
    <n v="759.68710360415992"/>
    <n v="640"/>
    <n v="7"/>
    <n v="0"/>
    <n v="0"/>
    <n v="640"/>
    <m/>
    <m/>
    <n v="0"/>
    <x v="2"/>
    <s v="BRSUATK01"/>
    <s v="BRSUATCO"/>
    <n v="51.681188999999996"/>
    <n v="76.516000000000005"/>
    <n v="150"/>
    <n v="1422.91357218496"/>
    <n v="256.124442993292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057"/>
    <n v="153032"/>
    <x v="1"/>
    <x v="0"/>
    <x v="0"/>
    <x v="4"/>
    <x v="2"/>
    <x v="2"/>
    <n v="3"/>
    <n v="3"/>
    <n v="3"/>
    <n v="3"/>
    <n v="3"/>
    <n v="3"/>
    <n v="3"/>
    <n v="33"/>
    <n v="7"/>
    <n v="180"/>
    <n v="7"/>
    <n v="180"/>
    <n v="2494.9894629999999"/>
    <n v="459.096"/>
    <n v="17821.877643654483"/>
    <n v="1247.531435055814"/>
    <n v="110"/>
    <n v="150"/>
    <n v="1E-3"/>
    <n v="153.03200000000001"/>
    <n v="9520.9756143197374"/>
    <n v="9934.0076143197366"/>
    <n v="3180.9641611183101"/>
    <n v="3076.1298810164667"/>
    <n v="0.08"/>
    <n v="261.98388693002596"/>
    <n v="7.0000000000000007E-2"/>
    <n v="695.38053300238164"/>
    <n v="15"/>
    <n v="3"/>
  </r>
  <r>
    <n v="419"/>
    <d v="2022-12-31T00:00:00"/>
    <x v="1"/>
    <s v="CLI246"/>
    <s v="CLI246"/>
    <s v="MOGI-GUACU"/>
    <s v="SP"/>
    <s v="CLI1186"/>
    <s v="JABOATAO DOS GUARARAPES"/>
    <s v="PE"/>
    <n v="2487.5871320000001"/>
    <n v="0"/>
    <n v="0"/>
    <n v="0"/>
    <n v="0"/>
    <x v="0"/>
    <x v="0"/>
    <s v="BRSSZTK01S"/>
    <s v="BRSSZTCO"/>
    <n v="240.49392499999999"/>
    <n v="74.464500000000001"/>
    <n v="150"/>
    <n v="4218.432408912"/>
    <n v="759.31783360416"/>
    <n v="640"/>
    <n v="7"/>
    <n v="0"/>
    <n v="0"/>
    <n v="640"/>
    <m/>
    <m/>
    <n v="0"/>
    <x v="2"/>
    <s v="BRSUATK01"/>
    <s v="BRSUATCO"/>
    <n v="43.495365"/>
    <n v="74.464500000000001"/>
    <n v="150"/>
    <n v="1299.5756648736001"/>
    <n v="233.9236196772480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653"/>
    <n v="148929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487.5871320000001"/>
    <n v="446.78700000000003"/>
    <n v="17759.299709926723"/>
    <n v="1243.1509796948708"/>
    <n v="110"/>
    <n v="150"/>
    <n v="1E-3"/>
    <n v="148.929"/>
    <n v="9478.6071107103053"/>
    <n v="9887.5361107103054"/>
    <n v="3180.9641611183101"/>
    <n v="3152.9962847183947"/>
    <n v="0.08"/>
    <n v="270.10292669146378"/>
    <n v="7.0000000000000007E-2"/>
    <n v="692.12752774972148"/>
    <n v="15"/>
    <n v="3"/>
  </r>
  <r>
    <n v="420"/>
    <d v="2022-12-31T00:00:00"/>
    <x v="1"/>
    <s v="CLI246"/>
    <s v="CLI246"/>
    <s v="MOGI-GUACU"/>
    <s v="SP"/>
    <s v="CLI1196"/>
    <s v="MANAUS"/>
    <s v="AM"/>
    <n v="2557.9787527667677"/>
    <n v="2764.4105490000002"/>
    <n v="0"/>
    <n v="7000"/>
    <n v="0"/>
    <x v="0"/>
    <x v="0"/>
    <s v="BRSSZTK01S"/>
    <s v="BRSSZTCO"/>
    <n v="240.49392499999999"/>
    <n v="71.650000000000006"/>
    <n v="150"/>
    <n v="4215.6179089119996"/>
    <n v="758.81122360415986"/>
    <n v="640"/>
    <n v="7"/>
    <n v="0"/>
    <n v="0"/>
    <n v="640"/>
    <m/>
    <m/>
    <n v="0"/>
    <x v="0"/>
    <s v="BRMAOTK01"/>
    <s v="BRMAOCHI"/>
    <n v="11.436796000000001"/>
    <n v="71.650000000000006"/>
    <n v="150"/>
    <n v="821.7608890854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450"/>
    <n v="14330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57.9787527667677"/>
    <n v="429.90000000000003"/>
    <n v="18220.439390889012"/>
    <n v="1275.4307573622309"/>
    <n v="110"/>
    <n v="150"/>
    <n v="1E-3"/>
    <n v="143.30000000000001"/>
    <n v="9803.3750373839084"/>
    <n v="10206.675037383908"/>
    <n v="3180.9641611183101"/>
    <n v="4461.9499871801563"/>
    <n v="0.08"/>
    <n v="352.8388012625847"/>
    <n v="7.0000000000000007E-2"/>
    <n v="714.46725261687357"/>
    <n v="15"/>
    <n v="2"/>
  </r>
  <r>
    <n v="421"/>
    <d v="2022-12-31T00:00:00"/>
    <x v="1"/>
    <s v="CLI246"/>
    <s v="CLI246"/>
    <s v="MOGI-GUACU"/>
    <s v="SP"/>
    <s v="CLI613"/>
    <s v="RECIFE"/>
    <s v="PE"/>
    <n v="2494.9894629999999"/>
    <n v="0"/>
    <n v="0"/>
    <n v="0"/>
    <n v="0"/>
    <x v="0"/>
    <x v="0"/>
    <s v="BRSSZTK01S"/>
    <s v="BRSSZTCO"/>
    <n v="240.49392499999999"/>
    <n v="31.558500000000002"/>
    <n v="150"/>
    <n v="4175.5264089120001"/>
    <n v="751.59475360416002"/>
    <n v="640"/>
    <n v="7"/>
    <n v="0"/>
    <n v="0"/>
    <n v="640"/>
    <m/>
    <m/>
    <n v="0"/>
    <x v="2"/>
    <s v="BRSUATK01"/>
    <s v="BRSUATCO"/>
    <n v="51.681188999999996"/>
    <n v="31.558500000000002"/>
    <n v="150"/>
    <n v="1377.95607218496"/>
    <n v="248.0320929932927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877"/>
    <n v="63117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494.9894629999999"/>
    <n v="189.351"/>
    <n v="17552.13264365448"/>
    <n v="1228.6492850558138"/>
    <n v="110"/>
    <n v="150"/>
    <n v="1E-3"/>
    <n v="63.117000000000004"/>
    <n v="9363.6243643197358"/>
    <n v="9686.741364319736"/>
    <n v="3180.9641611183101"/>
    <n v="2873.8211310164666"/>
    <n v="0.08"/>
    <n v="250.69056293002581"/>
    <n v="7.0000000000000007E-2"/>
    <n v="678.07189550238161"/>
    <n v="15"/>
    <n v="2"/>
  </r>
  <r>
    <n v="422"/>
    <d v="2022-12-31T00:00:00"/>
    <x v="1"/>
    <s v="CLI246"/>
    <s v="CLI246"/>
    <s v="MOGI-GUACU"/>
    <s v="SP"/>
    <s v="CLI633"/>
    <s v="CAMPINA GRANDE"/>
    <s v="PB"/>
    <n v="2483.1795940000002"/>
    <n v="0"/>
    <n v="0"/>
    <n v="0"/>
    <n v="0"/>
    <x v="0"/>
    <x v="0"/>
    <s v="BRSSZTK01S"/>
    <s v="BRSSZTCO"/>
    <n v="240.49392499999999"/>
    <n v="121.48400000000001"/>
    <n v="150"/>
    <n v="4265.4519089120004"/>
    <n v="767.78134360416004"/>
    <n v="640"/>
    <n v="7"/>
    <n v="0"/>
    <n v="0"/>
    <n v="640"/>
    <m/>
    <m/>
    <n v="0"/>
    <x v="2"/>
    <s v="BRSUATK01"/>
    <s v="BRSUATCO"/>
    <n v="220.11418"/>
    <n v="121.48400000000001"/>
    <n v="150"/>
    <n v="3963.4925639551998"/>
    <n v="475.61910767462393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527"/>
    <n v="24296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83.1795940000002"/>
    <n v="728.904"/>
    <n v="18011.485295670242"/>
    <n v="1260.8039706969171"/>
    <n v="110"/>
    <n v="150"/>
    <n v="1E-3"/>
    <n v="242.96800000000002"/>
    <n v="9622.2233707307678"/>
    <n v="10125.191370730769"/>
    <n v="3180.9641611183101"/>
    <n v="726.73464565725817"/>
    <n v="0.08"/>
    <n v="52.227715726782783"/>
    <n v="7.0000000000000007E-2"/>
    <n v="708.76339595115383"/>
    <n v="15"/>
    <n v="1"/>
  </r>
  <r>
    <n v="423"/>
    <d v="2022-12-31T00:00:00"/>
    <x v="1"/>
    <s v="CLI246"/>
    <s v="CLI246"/>
    <s v="MOGI-GUACU"/>
    <s v="SP"/>
    <s v="CLI888"/>
    <s v="MANAUS"/>
    <s v="AM"/>
    <n v="2557.9787527667677"/>
    <n v="2764.4105490000002"/>
    <n v="0"/>
    <n v="7000"/>
    <n v="0"/>
    <x v="0"/>
    <x v="0"/>
    <s v="BRSSZTK01S"/>
    <s v="BRSSZTCO"/>
    <n v="240.49392499999999"/>
    <n v="31.061500000000002"/>
    <n v="150"/>
    <n v="4175.0294089119998"/>
    <n v="751.50529360415999"/>
    <n v="640"/>
    <n v="7"/>
    <n v="0"/>
    <n v="0"/>
    <n v="640"/>
    <m/>
    <m/>
    <n v="0"/>
    <x v="0"/>
    <s v="BRMAOTK01"/>
    <s v="BRMAOCHI"/>
    <n v="11.436796000000001"/>
    <n v="31.061500000000002"/>
    <n v="150"/>
    <n v="781.17238908544005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637"/>
    <n v="6212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57.9787527667677"/>
    <n v="186.369"/>
    <n v="17976.90839088901"/>
    <n v="1258.3835873622309"/>
    <n v="110"/>
    <n v="150"/>
    <n v="1E-3"/>
    <n v="62.123000000000005"/>
    <n v="9661.3152873839063"/>
    <n v="9983.4382873839058"/>
    <n v="3180.9641611183101"/>
    <n v="4279.3017371801543"/>
    <n v="0.08"/>
    <n v="342.05849566258445"/>
    <n v="7.0000000000000007E-2"/>
    <n v="698.8406801168735"/>
    <n v="15"/>
    <n v="1"/>
  </r>
  <r>
    <n v="424"/>
    <d v="2022-12-31T00:00:00"/>
    <x v="1"/>
    <s v="CLI246"/>
    <s v="CLI246"/>
    <s v="MOGI-GUACU"/>
    <s v="SP"/>
    <s v="CLI614"/>
    <s v="SAO LOURENCO DA MATA"/>
    <s v="PE"/>
    <n v="2498.3477370000001"/>
    <n v="0"/>
    <n v="0"/>
    <n v="0"/>
    <n v="0"/>
    <x v="0"/>
    <x v="0"/>
    <s v="BRSSZTK01S"/>
    <s v="BRSSZTCO"/>
    <n v="240.49392499999999"/>
    <n v="107.628"/>
    <n v="150"/>
    <n v="4251.5959089119997"/>
    <n v="765.28726360415988"/>
    <n v="640"/>
    <n v="7"/>
    <n v="0"/>
    <n v="0"/>
    <n v="640"/>
    <m/>
    <m/>
    <n v="0"/>
    <x v="2"/>
    <s v="BRSUATK01"/>
    <s v="BRSUATCO"/>
    <n v="62.633781000000006"/>
    <n v="107.628"/>
    <n v="150"/>
    <n v="1616.30618491584"/>
    <n v="290.9351132848511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779"/>
    <n v="21525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98.3477370000001"/>
    <n v="645.76800000000003"/>
    <n v="18031.355548057523"/>
    <n v="1262.1948883640268"/>
    <n v="110"/>
    <n v="150"/>
    <n v="1E-3"/>
    <n v="215.256"/>
    <n v="9645.8317474018659"/>
    <n v="10121.087747401865"/>
    <n v="3180.9641611183101"/>
    <n v="3069.8174013677149"/>
    <n v="0.08"/>
    <n v="255.75706213480115"/>
    <n v="7.0000000000000007E-2"/>
    <n v="708.47614231813066"/>
    <n v="15"/>
    <n v="1"/>
  </r>
  <r>
    <n v="425"/>
    <d v="2022-12-31T00:00:00"/>
    <x v="1"/>
    <s v="CLI246"/>
    <s v="CLI246"/>
    <s v="MOGI-GUACU"/>
    <s v="SP"/>
    <s v="CLI589"/>
    <s v="FORTALEZA"/>
    <s v="CE"/>
    <n v="2703.2764559999996"/>
    <n v="0"/>
    <n v="0"/>
    <n v="0"/>
    <n v="0"/>
    <x v="0"/>
    <x v="0"/>
    <s v="BRSSZTK01S"/>
    <s v="BRSSZTCO"/>
    <n v="240.49392499999999"/>
    <n v="116.1375"/>
    <n v="150"/>
    <n v="4260.1054089119998"/>
    <n v="766.81897360415996"/>
    <n v="640"/>
    <n v="7"/>
    <n v="0"/>
    <n v="0"/>
    <n v="640"/>
    <m/>
    <m/>
    <n v="0"/>
    <x v="3"/>
    <s v="BRPECTK01"/>
    <s v="BRPECAPM"/>
    <n v="42.140103000000003"/>
    <n v="116.1375"/>
    <n v="150"/>
    <n v="1321.16823571392"/>
    <n v="237.8102824285055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322"/>
    <n v="23227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03.2764559999996"/>
    <n v="696.82500000000005"/>
    <n v="19474.075281637757"/>
    <n v="1363.185269714643"/>
    <n v="110"/>
    <n v="150"/>
    <n v="1E-3"/>
    <n v="232.27500000000001"/>
    <n v="10649.77891090803"/>
    <n v="11142.053910908029"/>
    <n v="3180.9641611183101"/>
    <n v="4961.9215140757988"/>
    <n v="0.08"/>
    <n v="364.49208081995562"/>
    <n v="7.0000000000000007E-2"/>
    <n v="779.94377376356215"/>
    <n v="15"/>
    <n v="1"/>
  </r>
  <r>
    <n v="426"/>
    <d v="2022-12-31T00:00:00"/>
    <x v="1"/>
    <s v="CLI246"/>
    <s v="CLI246"/>
    <s v="MOGI-GUACU"/>
    <s v="SP"/>
    <s v="CLI613"/>
    <s v="RECIFE"/>
    <s v="PE"/>
    <n v="2494.9894629999999"/>
    <n v="0"/>
    <n v="0"/>
    <n v="0"/>
    <n v="0"/>
    <x v="0"/>
    <x v="0"/>
    <s v="BRSSZTK01S"/>
    <s v="BRSSZTCO"/>
    <n v="240.49392499999999"/>
    <n v="37.213999999999999"/>
    <n v="150"/>
    <n v="4181.1819089119999"/>
    <n v="752.61274360415996"/>
    <n v="640"/>
    <n v="7"/>
    <n v="0"/>
    <n v="0"/>
    <n v="640"/>
    <m/>
    <m/>
    <n v="0"/>
    <x v="2"/>
    <s v="BRSUATK01"/>
    <s v="BRSUATCO"/>
    <n v="51.681188999999996"/>
    <n v="37.213999999999999"/>
    <n v="150"/>
    <n v="1383.6115721849599"/>
    <n v="249.05008299329276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00"/>
    <n v="7442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94.9894629999999"/>
    <n v="223.28399999999999"/>
    <n v="17586.065643654481"/>
    <n v="1231.0245950558137"/>
    <n v="110"/>
    <n v="150"/>
    <n v="1E-3"/>
    <n v="74.427999999999997"/>
    <n v="9383.4186143197367"/>
    <n v="9717.8466143197365"/>
    <n v="3180.9641611183101"/>
    <n v="2899.2708810164663"/>
    <n v="0.08"/>
    <n v="252.11122453002594"/>
    <n v="7.0000000000000007E-2"/>
    <n v="680.24926300238167"/>
    <n v="15"/>
    <n v="1"/>
  </r>
  <r>
    <n v="427"/>
    <d v="2022-12-31T00:00:00"/>
    <x v="1"/>
    <s v="CLI246"/>
    <s v="CLI246"/>
    <s v="MOGI-GUACU"/>
    <s v="SP"/>
    <s v="CLI1185"/>
    <s v="FORTALEZA"/>
    <s v="CE"/>
    <n v="2703.2764559999996"/>
    <n v="0"/>
    <n v="0"/>
    <n v="0"/>
    <n v="0"/>
    <x v="0"/>
    <x v="0"/>
    <s v="BRSSZTK01S"/>
    <s v="BRSSZTCO"/>
    <n v="240.49392499999999"/>
    <n v="76.218000000000004"/>
    <n v="150"/>
    <n v="4220.1859089119998"/>
    <n v="759.63346360415994"/>
    <n v="640"/>
    <n v="7"/>
    <n v="0"/>
    <n v="0"/>
    <n v="640"/>
    <m/>
    <m/>
    <n v="0"/>
    <x v="3"/>
    <s v="BRPECTK01"/>
    <s v="BRPECAPM"/>
    <n v="42.140103000000003"/>
    <n v="76.218000000000004"/>
    <n v="150"/>
    <n v="1281.24873571392"/>
    <n v="230.6247724285055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819"/>
    <n v="15243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03.2764559999996"/>
    <n v="457.30799999999999"/>
    <n v="19234.558281637757"/>
    <n v="1346.4190797146432"/>
    <n v="110"/>
    <n v="150"/>
    <n v="1E-3"/>
    <n v="152.43600000000001"/>
    <n v="10510.06066090803"/>
    <n v="10922.496660908029"/>
    <n v="3180.9641611183101"/>
    <n v="4782.2837640757989"/>
    <n v="0.08"/>
    <n v="354.46430241995552"/>
    <n v="7.0000000000000007E-2"/>
    <n v="764.57476626356208"/>
    <n v="15"/>
    <n v="1"/>
  </r>
  <r>
    <n v="428"/>
    <d v="2022-12-31T00:00:00"/>
    <x v="1"/>
    <s v="CLI246"/>
    <s v="CLI246"/>
    <s v="MOGI-GUACU"/>
    <s v="SP"/>
    <s v="CLI630"/>
    <s v="RECIFE"/>
    <s v="PE"/>
    <n v="2494.9894629999999"/>
    <n v="0"/>
    <n v="0"/>
    <n v="0"/>
    <n v="0"/>
    <x v="0"/>
    <x v="0"/>
    <s v="BRSSZTK01S"/>
    <s v="BRSSZTCO"/>
    <n v="240.49392499999999"/>
    <n v="48.647500000000001"/>
    <n v="150"/>
    <n v="4192.615408912"/>
    <n v="754.67077360415999"/>
    <n v="640"/>
    <n v="7"/>
    <n v="0"/>
    <n v="0"/>
    <n v="640"/>
    <m/>
    <m/>
    <n v="0"/>
    <x v="2"/>
    <s v="BRSUATK01"/>
    <s v="BRSUATCO"/>
    <n v="51.681188999999996"/>
    <n v="48.647500000000001"/>
    <n v="150"/>
    <n v="1395.04507218496"/>
    <n v="251.1081129932927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80"/>
    <n v="9729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94.9894629999999"/>
    <n v="291.88499999999999"/>
    <n v="17654.66664365448"/>
    <n v="1235.8266650558137"/>
    <n v="110"/>
    <n v="150"/>
    <n v="1E-3"/>
    <n v="97.295000000000002"/>
    <n v="9423.4358643197356"/>
    <n v="9780.7308643197357"/>
    <n v="3180.9641611183101"/>
    <n v="2950.7216310164663"/>
    <n v="0.08"/>
    <n v="254.98331973002584"/>
    <n v="7.0000000000000007E-2"/>
    <n v="684.65116050238157"/>
    <n v="15"/>
    <n v="1"/>
  </r>
  <r>
    <n v="429"/>
    <d v="2022-12-31T00:00:00"/>
    <x v="0"/>
    <s v="CLI247"/>
    <s v="CLI247"/>
    <s v="IPOJUCA"/>
    <s v="PE"/>
    <s v="CLI908"/>
    <s v="MANAUS"/>
    <s v="AM"/>
    <n v="2824.7841972531837"/>
    <n v="2060.3329469999999"/>
    <n v="0"/>
    <n v="7000"/>
    <n v="0"/>
    <x v="0"/>
    <x v="3"/>
    <s v="BRSUATK01S"/>
    <s v="BRSUATCO"/>
    <n v="23.753726"/>
    <n v="27.581500000000002"/>
    <n v="150"/>
    <n v="960.18790680064001"/>
    <n v="0"/>
    <n v="1344"/>
    <n v="7"/>
    <n v="0"/>
    <n v="0"/>
    <n v="1344"/>
    <m/>
    <m/>
    <n v="0"/>
    <x v="0"/>
    <s v="BRMAOTK01S"/>
    <s v="BRMAOCHI"/>
    <n v="11.436796000000001"/>
    <n v="27.581500000000002"/>
    <n v="150"/>
    <n v="777.6923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800"/>
    <n v="5516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165.489"/>
    <n v="19767.893492178486"/>
    <n v="2372.1472190614181"/>
    <n v="110"/>
    <n v="150"/>
    <n v="1E-3"/>
    <n v="55.163000000000004"/>
    <n v="12621.009237404684"/>
    <n v="12936.172237404684"/>
    <n v="3180.9641611183101"/>
    <n v="7319.2080762863734"/>
    <n v="0.08"/>
    <n v="895.86335532148837"/>
    <n v="0.12"/>
    <n v="1552.340668488562"/>
    <n v="15"/>
    <n v="1"/>
  </r>
  <r>
    <n v="430"/>
    <d v="2022-12-31T00:00:00"/>
    <x v="2"/>
    <s v="CLI248"/>
    <s v="CLI248"/>
    <s v="RIO DE JANEIRO"/>
    <s v="RJ"/>
    <s v="CLI897"/>
    <s v="MANAUS"/>
    <s v="AM"/>
    <n v="2844.6830251676256"/>
    <n v="3090.4427809999997"/>
    <n v="0"/>
    <n v="7000"/>
    <n v="0"/>
    <x v="0"/>
    <x v="4"/>
    <s v="BRIGITK01"/>
    <s v="BRIGITCO"/>
    <n v="78.029871"/>
    <n v="60.795999999999999"/>
    <n v="150"/>
    <n v="1797.5925078534401"/>
    <n v="359.51850157068804"/>
    <n v="704"/>
    <n v="7"/>
    <n v="0"/>
    <n v="0"/>
    <n v="704"/>
    <m/>
    <m/>
    <n v="0"/>
    <x v="0"/>
    <s v="BRMAOTK01"/>
    <s v="BRMAOCHI"/>
    <n v="11.436796000000001"/>
    <n v="60.795999999999999"/>
    <n v="150"/>
    <n v="810.90688908544007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804"/>
    <n v="121592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844.6830251676256"/>
    <n v="364.77600000000001"/>
    <n v="20102.312636592342"/>
    <n v="1407.1618845614641"/>
    <n v="110"/>
    <n v="150"/>
    <n v="1E-3"/>
    <n v="121.592"/>
    <n v="14071.618845614639"/>
    <n v="14453.21084561464"/>
    <n v="3180.9641611183101"/>
    <n v="6837.7472875574495"/>
    <n v="0.08"/>
    <n v="918.81543576840579"/>
    <n v="7.0000000000000007E-2"/>
    <n v="1011.7247591930249"/>
    <n v="15"/>
    <n v="2"/>
  </r>
  <r>
    <n v="431"/>
    <d v="2022-12-31T00:00:00"/>
    <x v="2"/>
    <s v="CLI248"/>
    <s v="CLI248"/>
    <s v="RIO DE JANEIRO"/>
    <s v="RJ"/>
    <s v="CLI898"/>
    <s v="OLINDA"/>
    <s v="PE"/>
    <n v="2281.8488560000001"/>
    <n v="0"/>
    <n v="0"/>
    <n v="0"/>
    <n v="0"/>
    <x v="0"/>
    <x v="4"/>
    <s v="BRIGITK01"/>
    <s v="BRIGITCO"/>
    <n v="78.029871"/>
    <n v="33.305999999999997"/>
    <n v="150"/>
    <n v="1770.1025078534401"/>
    <n v="354.02050157068805"/>
    <n v="704"/>
    <n v="7"/>
    <n v="0"/>
    <n v="0"/>
    <n v="704"/>
    <m/>
    <m/>
    <n v="0"/>
    <x v="2"/>
    <s v="BRSUATK01"/>
    <s v="BRSUATCO"/>
    <n v="58.370082000000004"/>
    <n v="33.305999999999997"/>
    <n v="150"/>
    <n v="1478.81049176448"/>
    <n v="266.18588851760637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23"/>
    <n v="6661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281.8488560000001"/>
    <n v="199.83600000000001"/>
    <n v="16115.188307141763"/>
    <n v="1128.0631814999235"/>
    <n v="110"/>
    <n v="150"/>
    <n v="1E-3"/>
    <n v="66.611999999999995"/>
    <n v="11280.631814999233"/>
    <n v="11607.243814999232"/>
    <n v="3180.9641611183101"/>
    <n v="2839.3666542630021"/>
    <n v="0.08"/>
    <n v="619.04995402344139"/>
    <n v="7.0000000000000007E-2"/>
    <n v="812.50706704994639"/>
    <n v="15"/>
    <n v="1"/>
  </r>
  <r>
    <n v="432"/>
    <d v="2022-12-31T00:00:00"/>
    <x v="0"/>
    <s v="CLI251"/>
    <s v="CLI251"/>
    <s v="SANTOS"/>
    <s v="SP"/>
    <s v="CLI910"/>
    <s v="MANAUS"/>
    <s v="AM"/>
    <n v="2738.1624465451514"/>
    <n v="2948.3907220000001"/>
    <n v="0"/>
    <n v="7000"/>
    <n v="0"/>
    <x v="0"/>
    <x v="0"/>
    <s v="BRSSZTK01S"/>
    <s v="BRSSZTCO"/>
    <n v="14.583465"/>
    <n v="104.258"/>
    <n v="150"/>
    <n v="900.99195085760005"/>
    <n v="162.17855115436799"/>
    <n v="640"/>
    <n v="7"/>
    <n v="0"/>
    <n v="0"/>
    <n v="640"/>
    <m/>
    <m/>
    <n v="0"/>
    <x v="0"/>
    <s v="BRMAOTK01S"/>
    <s v="BRMAOCHI"/>
    <n v="11.436796000000001"/>
    <n v="104.258"/>
    <n v="150"/>
    <n v="854.3688890854400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80"/>
    <n v="20851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38.1624465451514"/>
    <n v="625.548"/>
    <n v="19639.707647990264"/>
    <n v="1374.7795353593187"/>
    <n v="110"/>
    <n v="150"/>
    <n v="1E-3"/>
    <n v="208.51599999999999"/>
    <n v="12519.042765633058"/>
    <n v="12987.558765633057"/>
    <n v="3180.9641611183101"/>
    <n v="8064.5946045147466"/>
    <n v="0.08"/>
    <n v="885.60154996285189"/>
    <n v="7.0000000000000007E-2"/>
    <n v="909.12911359431405"/>
    <n v="15"/>
    <n v="1"/>
  </r>
  <r>
    <n v="433"/>
    <d v="2022-12-31T00:00:00"/>
    <x v="2"/>
    <s v="CLI252"/>
    <s v="CLI252"/>
    <s v="EUSEBIO"/>
    <s v="CE"/>
    <s v="CLI1038"/>
    <s v="MANAUS"/>
    <s v="AM"/>
    <n v="2398.2748939157436"/>
    <n v="1458.154974"/>
    <n v="0"/>
    <n v="7000"/>
    <n v="0"/>
    <x v="0"/>
    <x v="1"/>
    <s v="BRPECTK01"/>
    <s v="BRPECAPM"/>
    <n v="65.770497000000006"/>
    <n v="33.654499999999999"/>
    <n v="150"/>
    <n v="1588.8082766700802"/>
    <n v="285.9854898006144"/>
    <n v="768"/>
    <n v="7"/>
    <n v="0"/>
    <n v="0"/>
    <n v="768"/>
    <m/>
    <m/>
    <n v="0"/>
    <x v="0"/>
    <s v="BRMAOTK01"/>
    <s v="BRMAOCHI"/>
    <n v="11.436796000000001"/>
    <n v="33.654499999999999"/>
    <n v="150"/>
    <n v="783.7653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746"/>
    <n v="6730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98.2748939157436"/>
    <n v="201.92699999999999"/>
    <n v="16907.92387358606"/>
    <n v="2028.9508648303272"/>
    <n v="110"/>
    <n v="150"/>
    <n v="1E-3"/>
    <n v="67.308999999999997"/>
    <n v="11835.546711510242"/>
    <n v="12162.855711510241"/>
    <n v="3180.9641611183101"/>
    <n v="4679.3178846364099"/>
    <n v="0.08"/>
    <n v="760.34372447632848"/>
    <n v="0.12"/>
    <n v="1459.5426853812289"/>
    <n v="15"/>
    <n v="1"/>
  </r>
  <r>
    <n v="434"/>
    <d v="2022-12-31T00:00:00"/>
    <x v="2"/>
    <s v="CLI253"/>
    <s v="CLI253"/>
    <s v="SALVADOR"/>
    <s v="BA"/>
    <s v="CLI1038"/>
    <s v="MANAUS"/>
    <s v="AM"/>
    <n v="2607.4651122464215"/>
    <n v="2075.7147789999999"/>
    <n v="0"/>
    <n v="7000"/>
    <n v="0"/>
    <x v="0"/>
    <x v="5"/>
    <s v="BRSSATK01"/>
    <s v="BRSSATCO"/>
    <n v="2.2452209999999999"/>
    <n v="25.690999999999999"/>
    <n v="150"/>
    <n v="639.61363127743994"/>
    <n v="0"/>
    <n v="704"/>
    <n v="7"/>
    <n v="0"/>
    <n v="0"/>
    <n v="704"/>
    <m/>
    <m/>
    <n v="0"/>
    <x v="0"/>
    <s v="BRMAOTK01"/>
    <s v="BRMAOCHI"/>
    <n v="11.436796000000001"/>
    <n v="25.690999999999999"/>
    <n v="150"/>
    <n v="775.80188908544005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691"/>
    <n v="51382"/>
    <x v="1"/>
    <x v="5"/>
    <x v="6"/>
    <x v="5"/>
    <x v="5"/>
    <x v="6"/>
    <n v="5"/>
    <n v="4"/>
    <n v="5"/>
    <n v="5"/>
    <n v="5"/>
    <n v="4"/>
    <n v="5"/>
    <n v="53"/>
    <n v="7"/>
    <n v="180"/>
    <n v="7"/>
    <n v="180"/>
    <n v="2607.4651122464215"/>
    <n v="154.14600000000002"/>
    <n v="18280.745278660961"/>
    <n v="2193.6894334393151"/>
    <n v="110"/>
    <n v="150"/>
    <n v="1E-3"/>
    <n v="51.381999999999998"/>
    <n v="12796.521695062673"/>
    <n v="13107.903695062672"/>
    <n v="3180.9641611183101"/>
    <n v="6680.524013581482"/>
    <n v="0.08"/>
    <n v="935.39905397598341"/>
    <n v="0.12"/>
    <n v="1572.9484434075207"/>
    <n v="15"/>
    <n v="5"/>
  </r>
  <r>
    <n v="435"/>
    <d v="2022-12-31T00:00:00"/>
    <x v="2"/>
    <s v="CLI254"/>
    <s v="CLI254"/>
    <s v="SIMOES FILHO"/>
    <s v="BA"/>
    <s v="CLI1038"/>
    <s v="MANAUS"/>
    <s v="AM"/>
    <n v="2610.3853225311195"/>
    <n v="2050.9635060000001"/>
    <n v="0"/>
    <n v="7000"/>
    <n v="0"/>
    <x v="0"/>
    <x v="5"/>
    <s v="BRSSATK01"/>
    <s v="BRSSATCO"/>
    <n v="26.551053"/>
    <n v="107.6585"/>
    <n v="150"/>
    <n v="1081.7118939219199"/>
    <n v="194.70814090594558"/>
    <n v="704"/>
    <n v="7"/>
    <n v="0"/>
    <n v="0"/>
    <n v="704"/>
    <m/>
    <m/>
    <n v="0"/>
    <x v="0"/>
    <s v="BRMAOTK01"/>
    <s v="BRMAOCHI"/>
    <n v="11.436796000000001"/>
    <n v="107.6585"/>
    <n v="150"/>
    <n v="857.76938908544003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735"/>
    <n v="21531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0.3853225311195"/>
    <n v="645.95100000000002"/>
    <n v="18792.381309895933"/>
    <n v="2255.0857571875117"/>
    <n v="110"/>
    <n v="150"/>
    <n v="1E-3"/>
    <n v="215.31700000000001"/>
    <n v="13154.666916927152"/>
    <n v="13629.983916927151"/>
    <n v="3180.9641611183101"/>
    <n v="6678.5384728014797"/>
    <n v="0.08"/>
    <n v="919.66355944110762"/>
    <n v="0.12"/>
    <n v="1635.598070031258"/>
    <n v="15"/>
    <n v="1"/>
  </r>
  <r>
    <n v="436"/>
    <d v="2022-12-31T00:00:00"/>
    <x v="2"/>
    <s v="CLI255"/>
    <s v="CLI255"/>
    <s v="CAMPINAS"/>
    <s v="SP"/>
    <s v="CLI779"/>
    <s v="MANAUS"/>
    <s v="AM"/>
    <n v="2599.0868537985457"/>
    <n v="2789.9946060000002"/>
    <n v="0"/>
    <n v="7000"/>
    <n v="0"/>
    <x v="0"/>
    <x v="0"/>
    <s v="BRSSZTK01"/>
    <s v="BRSSZTCO"/>
    <n v="176.124787"/>
    <n v="122.70650000000001"/>
    <n v="150"/>
    <n v="3312.9400640556805"/>
    <n v="596.32921153002246"/>
    <n v="640"/>
    <n v="7"/>
    <n v="0"/>
    <n v="0"/>
    <n v="640"/>
    <m/>
    <m/>
    <n v="0"/>
    <x v="0"/>
    <s v="BRMAOTK01"/>
    <s v="BRMAOCHI"/>
    <n v="11.436796000000001"/>
    <n v="122.70650000000001"/>
    <n v="150"/>
    <n v="872.81738908544003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117"/>
    <n v="24541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99.0868537985457"/>
    <n v="736.23900000000003"/>
    <n v="18805.941860671777"/>
    <n v="1316.4159302470246"/>
    <n v="110"/>
    <n v="150"/>
    <n v="1E-3"/>
    <n v="245.41300000000001"/>
    <n v="13164.159302470243"/>
    <n v="13669.572302470244"/>
    <n v="3180.9641611183101"/>
    <n v="4560.850688210814"/>
    <n v="0.08"/>
    <n v="710.99885102392818"/>
    <n v="7.0000000000000007E-2"/>
    <n v="956.87006117291719"/>
    <n v="15"/>
    <n v="1"/>
  </r>
  <r>
    <n v="437"/>
    <d v="2022-12-31T00:00:00"/>
    <x v="2"/>
    <s v="CLI256"/>
    <s v="CLI256"/>
    <s v="JABOATAO DOS GUARARAPES"/>
    <s v="PE"/>
    <s v="CLI1038"/>
    <s v="MANAUS"/>
    <s v="AM"/>
    <n v="2824.724442364587"/>
    <n v="2038.9469220000001"/>
    <n v="0"/>
    <n v="7000"/>
    <n v="0"/>
    <x v="0"/>
    <x v="3"/>
    <s v="BRSUATK01"/>
    <s v="BRSUATCO"/>
    <n v="43.495365"/>
    <n v="58.8005"/>
    <n v="150"/>
    <n v="1283.9116648736001"/>
    <n v="231.104099677248"/>
    <n v="1344"/>
    <n v="7"/>
    <n v="0"/>
    <n v="0"/>
    <n v="1344"/>
    <m/>
    <m/>
    <n v="0"/>
    <x v="0"/>
    <s v="BRMAOTK01"/>
    <s v="BRMAOCHI"/>
    <n v="11.436796000000001"/>
    <n v="58.8005"/>
    <n v="150"/>
    <n v="808.9113890854400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890"/>
    <n v="11760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24442364587"/>
    <n v="352.803"/>
    <n v="19954.801699120217"/>
    <n v="2394.5762038944258"/>
    <n v="110"/>
    <n v="150"/>
    <n v="1E-3"/>
    <n v="117.601"/>
    <n v="13968.361189384152"/>
    <n v="14345.962189384152"/>
    <n v="3180.9641611183101"/>
    <n v="6636.1749743068012"/>
    <n v="0.08"/>
    <n v="961.76280285982909"/>
    <n v="0.12"/>
    <n v="1721.5154627260981"/>
    <n v="15"/>
    <n v="1"/>
  </r>
  <r>
    <n v="438"/>
    <d v="2022-12-31T00:00:00"/>
    <x v="2"/>
    <s v="CLI258"/>
    <s v="CLI258"/>
    <s v="PAULINIA"/>
    <s v="SP"/>
    <s v="CLI779"/>
    <s v="MANAUS"/>
    <s v="AM"/>
    <n v="2581.066007709137"/>
    <n v="2775.6534539999998"/>
    <n v="0"/>
    <n v="7000"/>
    <n v="0"/>
    <x v="0"/>
    <x v="0"/>
    <s v="BRSSZTK01"/>
    <s v="BRSSZTCO"/>
    <n v="195.69980799999999"/>
    <n v="100.41200000000001"/>
    <n v="150"/>
    <n v="3580.6816032051197"/>
    <n v="644.5226885769215"/>
    <n v="640"/>
    <n v="7"/>
    <n v="0"/>
    <n v="0"/>
    <n v="640"/>
    <m/>
    <m/>
    <n v="0"/>
    <x v="0"/>
    <s v="BRMAOTK01"/>
    <s v="BRMAOCHI"/>
    <n v="11.436796000000001"/>
    <n v="100.41200000000001"/>
    <n v="150"/>
    <n v="850.5228890854400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338"/>
    <n v="200824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81.066007709137"/>
    <n v="602.47199999999998"/>
    <n v="18549.796015712447"/>
    <n v="1298.4857210998714"/>
    <n v="110"/>
    <n v="150"/>
    <n v="1E-3"/>
    <n v="200.82400000000001"/>
    <n v="12984.857210998713"/>
    <n v="13445.681210998713"/>
    <n v="3180.9641611183101"/>
    <n v="4091.5125575898442"/>
    <n v="0.08"/>
    <n v="669.59632241049871"/>
    <n v="7.0000000000000007E-2"/>
    <n v="941.19768476990998"/>
    <n v="15"/>
    <n v="2"/>
  </r>
  <r>
    <n v="439"/>
    <d v="2022-12-31T00:00:00"/>
    <x v="2"/>
    <s v="CLI259"/>
    <s v="CLI259"/>
    <s v="CAMACARI"/>
    <s v="BA"/>
    <s v="CLI1244"/>
    <s v="MANAUS"/>
    <s v="AM"/>
    <n v="2614.6546466064642"/>
    <n v="2060.860854"/>
    <n v="0"/>
    <n v="7000"/>
    <n v="0"/>
    <x v="0"/>
    <x v="5"/>
    <s v="BRSSATK01"/>
    <s v="BRSSATCO"/>
    <n v="43.370353000000001"/>
    <n v="97.841999999999999"/>
    <n v="150"/>
    <n v="1321.1009070739201"/>
    <n v="237.79816327330562"/>
    <n v="704"/>
    <n v="7"/>
    <n v="0"/>
    <n v="0"/>
    <n v="704"/>
    <m/>
    <m/>
    <n v="0"/>
    <x v="0"/>
    <s v="BRMAOTK01"/>
    <s v="BRMAOCHI"/>
    <n v="11.436796000000001"/>
    <n v="97.841999999999999"/>
    <n v="150"/>
    <n v="847.95288908544001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684"/>
    <n v="195684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614.6546466064642"/>
    <n v="587.05200000000002"/>
    <n v="18762.475118918635"/>
    <n v="2251.4970142702364"/>
    <n v="110"/>
    <n v="150"/>
    <n v="1E-3"/>
    <n v="195.684"/>
    <n v="13133.732583243043"/>
    <n v="13589.416583243043"/>
    <n v="3180.9641611183101"/>
    <n v="6408.398625965372"/>
    <n v="0.08"/>
    <n v="894.60516990483018"/>
    <n v="0.12"/>
    <n v="1630.729989989165"/>
    <n v="15"/>
    <n v="2"/>
  </r>
  <r>
    <n v="440"/>
    <d v="2022-12-31T00:00:00"/>
    <x v="2"/>
    <s v="CLI259"/>
    <s v="CLI259"/>
    <s v="CAMACARI"/>
    <s v="BA"/>
    <s v="CLI1253"/>
    <s v="MANAUS"/>
    <s v="AM"/>
    <n v="2614.6546466064642"/>
    <n v="2060.860854"/>
    <n v="0"/>
    <n v="7000"/>
    <n v="0"/>
    <x v="0"/>
    <x v="5"/>
    <s v="BRSSATK01"/>
    <s v="BRSSATCO"/>
    <n v="43.370353000000001"/>
    <n v="112.646"/>
    <n v="150"/>
    <n v="1335.90490707392"/>
    <n v="240.46288327330558"/>
    <n v="704"/>
    <n v="7"/>
    <n v="0"/>
    <n v="0"/>
    <n v="704"/>
    <m/>
    <m/>
    <n v="0"/>
    <x v="0"/>
    <s v="BRMAOTK01"/>
    <s v="BRMAOCHI"/>
    <n v="11.436796000000001"/>
    <n v="112.646"/>
    <n v="150"/>
    <n v="862.75688908543998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115"/>
    <n v="22529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4.6546466064642"/>
    <n v="675.87599999999998"/>
    <n v="18851.299118918636"/>
    <n v="2262.1558942702363"/>
    <n v="110"/>
    <n v="150"/>
    <n v="1E-3"/>
    <n v="225.292"/>
    <n v="13195.909383243044"/>
    <n v="13681.201383243044"/>
    <n v="3180.9641611183101"/>
    <n v="6470.5754259653731"/>
    <n v="0.08"/>
    <n v="899.36613630483032"/>
    <n v="0.12"/>
    <n v="1641.7441659891651"/>
    <n v="15"/>
    <n v="1"/>
  </r>
  <r>
    <n v="441"/>
    <d v="2022-12-31T00:00:00"/>
    <x v="2"/>
    <s v="CLI260"/>
    <s v="CLI260"/>
    <s v="MOGI DAS CRUZES"/>
    <s v="SP"/>
    <s v="CLI259"/>
    <s v="CAMACARI"/>
    <s v="BA"/>
    <n v="1860.5555200000001"/>
    <n v="0"/>
    <n v="0"/>
    <n v="0"/>
    <n v="0"/>
    <x v="0"/>
    <x v="0"/>
    <s v="BRSSZTK01"/>
    <s v="BRSSZTCO"/>
    <n v="87.132406000000003"/>
    <n v="48.145000000000003"/>
    <n v="150"/>
    <n v="1919.8104920358403"/>
    <n v="345.56588856645124"/>
    <n v="640"/>
    <n v="7"/>
    <n v="0"/>
    <n v="0"/>
    <n v="640"/>
    <m/>
    <m/>
    <n v="0"/>
    <x v="5"/>
    <s v="BRSSATK01"/>
    <s v="BRSSATCO"/>
    <n v="43.370353000000001"/>
    <n v="48.145000000000003"/>
    <n v="150"/>
    <n v="1271.40390707392"/>
    <n v="228.85270327330559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996"/>
    <n v="96290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1860.5555200000001"/>
    <n v="288.87"/>
    <n v="13343.236114099203"/>
    <n v="934.0265279869443"/>
    <n v="110"/>
    <n v="150"/>
    <n v="1E-3"/>
    <n v="96.29"/>
    <n v="9340.2652798694417"/>
    <n v="9696.5552798694425"/>
    <n v="3180.9641611183101"/>
    <n v="1710.3767196413723"/>
    <n v="0.08"/>
    <n v="474.47378311359404"/>
    <n v="7.0000000000000007E-2"/>
    <n v="678.75886959086108"/>
    <n v="15"/>
    <n v="3"/>
  </r>
  <r>
    <n v="442"/>
    <d v="2022-12-31T00:00:00"/>
    <x v="2"/>
    <s v="CLI260"/>
    <s v="CLI260"/>
    <s v="MOGI DAS CRUZES"/>
    <s v="SP"/>
    <s v="CLI259"/>
    <s v="CAMACARI"/>
    <s v="BA"/>
    <n v="1860.5555200000001"/>
    <n v="0"/>
    <n v="0"/>
    <n v="0"/>
    <n v="0"/>
    <x v="0"/>
    <x v="0"/>
    <s v="BRSSZTK01"/>
    <s v="BRSSZTCO"/>
    <n v="87.132406000000003"/>
    <n v="67.027500000000003"/>
    <n v="150"/>
    <n v="1938.6929920358402"/>
    <n v="348.96473856645122"/>
    <n v="640"/>
    <n v="7"/>
    <n v="0"/>
    <n v="0"/>
    <n v="640"/>
    <m/>
    <m/>
    <n v="0"/>
    <x v="5"/>
    <s v="BRSSATK01"/>
    <s v="BRSSATCO"/>
    <n v="43.370353000000001"/>
    <n v="67.027500000000003"/>
    <n v="150"/>
    <n v="1290.2864070739199"/>
    <n v="232.25155327330557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153"/>
    <n v="13405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1860.5555200000001"/>
    <n v="402.16500000000002"/>
    <n v="13456.531114099203"/>
    <n v="941.95717798694432"/>
    <n v="110"/>
    <n v="150"/>
    <n v="1E-3"/>
    <n v="134.05500000000001"/>
    <n v="9419.5717798694423"/>
    <n v="9813.6267798694425"/>
    <n v="3180.9641611183101"/>
    <n v="1789.6832196413729"/>
    <n v="0.08"/>
    <n v="480.27448711359409"/>
    <n v="7.0000000000000007E-2"/>
    <n v="686.95387459086101"/>
    <n v="15"/>
    <n v="2"/>
  </r>
  <r>
    <n v="443"/>
    <d v="2022-12-31T00:00:00"/>
    <x v="2"/>
    <s v="CLI261"/>
    <s v="CLI261"/>
    <s v="GOIANA"/>
    <s v="PE"/>
    <s v="CLI436"/>
    <s v="MANAUS"/>
    <s v="AM"/>
    <n v="2815.9583485990656"/>
    <n v="2035.8442130000001"/>
    <n v="0"/>
    <n v="7000"/>
    <n v="0"/>
    <x v="0"/>
    <x v="3"/>
    <s v="BRSUATK01"/>
    <s v="BRSUATCO"/>
    <n v="112.63067699999999"/>
    <n v="53.648000000000003"/>
    <n v="150"/>
    <n v="2303.1121940652802"/>
    <n v="414.5601949317504"/>
    <n v="1344"/>
    <n v="7"/>
    <n v="0"/>
    <n v="0"/>
    <n v="1344"/>
    <m/>
    <m/>
    <n v="0"/>
    <x v="0"/>
    <s v="BRMAOTK01"/>
    <s v="BRMAOCHI"/>
    <n v="11.436796000000001"/>
    <n v="53.648000000000003"/>
    <n v="150"/>
    <n v="803.75888908544005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941"/>
    <n v="107296"/>
    <x v="1"/>
    <x v="5"/>
    <x v="5"/>
    <x v="5"/>
    <x v="5"/>
    <x v="0"/>
    <n v="4"/>
    <n v="4"/>
    <n v="4"/>
    <n v="4"/>
    <n v="4"/>
    <n v="4"/>
    <n v="4"/>
    <n v="46"/>
    <n v="7"/>
    <n v="180"/>
    <n v="7"/>
    <n v="180"/>
    <n v="2815.9583485990656"/>
    <n v="321.88800000000003"/>
    <n v="19864.356507002311"/>
    <n v="2383.7227808402772"/>
    <n v="110"/>
    <n v="150"/>
    <n v="1E-3"/>
    <n v="107.29600000000001"/>
    <n v="13905.049554901616"/>
    <n v="14272.345554901616"/>
    <n v="3180.9641611183101"/>
    <n v="5548.510310632586"/>
    <n v="0.08"/>
    <n v="860.07314214553173"/>
    <n v="0.12"/>
    <n v="1712.6814665881939"/>
    <n v="15"/>
    <n v="4"/>
  </r>
  <r>
    <n v="444"/>
    <d v="2022-12-31T00:00:00"/>
    <x v="2"/>
    <s v="CLI261"/>
    <s v="CLI261"/>
    <s v="GOIANA"/>
    <s v="PE"/>
    <s v="CLI606"/>
    <s v="MANAUS"/>
    <s v="AM"/>
    <n v="2815.9583485990656"/>
    <n v="2035.8442130000001"/>
    <n v="0"/>
    <n v="7000"/>
    <n v="0"/>
    <x v="0"/>
    <x v="3"/>
    <s v="BRSUATK01"/>
    <s v="BRSUATCO"/>
    <n v="112.63067699999999"/>
    <n v="68.301500000000004"/>
    <n v="150"/>
    <n v="2317.7656940652801"/>
    <n v="417.1978249317504"/>
    <n v="1344"/>
    <n v="7"/>
    <n v="0"/>
    <n v="0"/>
    <n v="1344"/>
    <m/>
    <m/>
    <n v="0"/>
    <x v="0"/>
    <s v="BRMAOTK01"/>
    <s v="BRMAOCHI"/>
    <n v="11.436796000000001"/>
    <n v="68.301500000000004"/>
    <n v="150"/>
    <n v="818.41238908544005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754"/>
    <n v="13660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15.9583485990656"/>
    <n v="409.80900000000003"/>
    <n v="19952.277507002313"/>
    <n v="2394.2733008402774"/>
    <n v="110"/>
    <n v="150"/>
    <n v="1E-3"/>
    <n v="136.60300000000001"/>
    <n v="13966.594254901618"/>
    <n v="14363.197254901617"/>
    <n v="3180.9641611183101"/>
    <n v="5610.0550106325863"/>
    <n v="0.08"/>
    <n v="864.78570774553168"/>
    <n v="0.12"/>
    <n v="1723.5836705881941"/>
    <n v="15"/>
    <n v="1"/>
  </r>
  <r>
    <n v="445"/>
    <d v="2022-12-31T00:00:00"/>
    <x v="2"/>
    <s v="CLI262"/>
    <s v="CLI262"/>
    <s v="GUAPIMIRIM"/>
    <s v="RJ"/>
    <s v="CLI934"/>
    <s v="FEIRA DE SANTANA"/>
    <s v="BA"/>
    <n v="1435.909725"/>
    <n v="0"/>
    <n v="0"/>
    <n v="0"/>
    <n v="0"/>
    <x v="0"/>
    <x v="4"/>
    <s v="BRIGITK01"/>
    <s v="BRIGITCO"/>
    <n v="118.40086700000001"/>
    <n v="109.91800000000001"/>
    <n v="150"/>
    <n v="2444.8770220268802"/>
    <n v="488.97540440537608"/>
    <n v="704"/>
    <n v="7"/>
    <n v="0"/>
    <n v="0"/>
    <n v="704"/>
    <m/>
    <m/>
    <n v="0"/>
    <x v="5"/>
    <s v="BRSSATK01"/>
    <s v="BRSSATCO"/>
    <n v="112.075299"/>
    <n v="109.91800000000001"/>
    <n v="150"/>
    <n v="2351.1533581753602"/>
    <n v="423.20760447156482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62"/>
    <n v="21983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1435.909725"/>
    <n v="659.50800000000004"/>
    <n v="10830.121506086001"/>
    <n v="758.1085054260202"/>
    <n v="110"/>
    <n v="150"/>
    <n v="1E-3"/>
    <n v="219.83600000000001"/>
    <n v="7581.0850542602002"/>
    <n v="8060.9210542602004"/>
    <n v="3180.9641611183101"/>
    <n v="-1614.0734870603505"/>
    <n v="0.08"/>
    <n v="188.21661321448147"/>
    <n v="7.0000000000000007E-2"/>
    <n v="564.26447379821411"/>
    <n v="15"/>
    <n v="2"/>
  </r>
  <r>
    <n v="446"/>
    <d v="2022-12-31T00:00:00"/>
    <x v="3"/>
    <s v="CLI262"/>
    <s v="CLI262"/>
    <s v="GUAPIMIRIM"/>
    <s v="RJ"/>
    <s v="CLI935"/>
    <s v="IPOJUCA"/>
    <s v="PE"/>
    <n v="2168.3280989999998"/>
    <n v="0"/>
    <n v="0"/>
    <n v="0"/>
    <n v="0"/>
    <x v="0"/>
    <x v="4"/>
    <s v="BRIGITK01"/>
    <s v="BRIGITCO"/>
    <n v="118.40086700000001"/>
    <n v="42.694499999999998"/>
    <n v="150"/>
    <n v="2377.6535220268802"/>
    <n v="475.53070440537607"/>
    <n v="704"/>
    <n v="7"/>
    <n v="0"/>
    <n v="0"/>
    <n v="704"/>
    <m/>
    <m/>
    <n v="0"/>
    <x v="2"/>
    <s v="BRSUATK01S"/>
    <s v="BRSUATCO"/>
    <n v="23.753726"/>
    <n v="42.694499999999998"/>
    <n v="150"/>
    <n v="975.30090680063995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958"/>
    <n v="8538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168.3280989999998"/>
    <n v="256.16700000000003"/>
    <n v="15400.604387185042"/>
    <n v="1078.0423071029529"/>
    <n v="110"/>
    <n v="150"/>
    <n v="1E-3"/>
    <n v="85.388999999999996"/>
    <n v="10097.712436269081"/>
    <n v="10443.10143626908"/>
    <n v="3180.9641611183101"/>
    <n v="2546.4837531238904"/>
    <n v="0.08"/>
    <n v="529.16930424289478"/>
    <n v="7.0000000000000007E-2"/>
    <n v="731.01710053883573"/>
    <n v="15"/>
    <n v="1"/>
  </r>
  <r>
    <n v="447"/>
    <d v="2022-12-31T00:00:00"/>
    <x v="1"/>
    <s v="CLI267"/>
    <s v="CLI267"/>
    <s v="QUEIMADOS"/>
    <s v="RJ"/>
    <s v="CLI936"/>
    <s v="CAMACARI"/>
    <s v="BA"/>
    <n v="1571.6725060000001"/>
    <n v="0"/>
    <n v="0"/>
    <n v="0"/>
    <n v="0"/>
    <x v="0"/>
    <x v="4"/>
    <s v="BRIGITK01S"/>
    <s v="BRIGITCO"/>
    <n v="50.863956000000002"/>
    <n v="55.361000000000004"/>
    <n v="150"/>
    <n v="1389.6499250278403"/>
    <n v="277.92998500556808"/>
    <n v="704"/>
    <n v="7"/>
    <n v="0"/>
    <n v="0"/>
    <n v="704"/>
    <m/>
    <m/>
    <n v="0"/>
    <x v="5"/>
    <s v="BRSSATK01"/>
    <s v="BRSSATCO"/>
    <n v="43.370353000000001"/>
    <n v="55.361000000000004"/>
    <n v="150"/>
    <n v="1278.6199070739201"/>
    <n v="230.15158327330562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35"/>
    <n v="110722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1571.6725060000001"/>
    <n v="332.166"/>
    <n v="11424.739121345761"/>
    <n v="799.73173849420334"/>
    <n v="110"/>
    <n v="150"/>
    <n v="1E-3"/>
    <n v="110.72200000000001"/>
    <n v="7024.5624374225436"/>
    <n v="7395.2844374225433"/>
    <n v="3180.9641611183101"/>
    <n v="1237.7003692303128"/>
    <n v="0.08"/>
    <n v="337.51464296335274"/>
    <n v="7.0000000000000007E-2"/>
    <n v="517.6699106195781"/>
    <n v="15"/>
    <n v="2"/>
  </r>
  <r>
    <n v="448"/>
    <d v="2022-12-31T00:00:00"/>
    <x v="2"/>
    <s v="CLI270"/>
    <s v="CLI270"/>
    <s v="SAO GONCALO"/>
    <s v="RJ"/>
    <s v="CLI942"/>
    <s v="JABOATAO DOS GUARARAPES"/>
    <s v="PE"/>
    <n v="2251.6914999999999"/>
    <n v="0"/>
    <n v="0"/>
    <n v="0"/>
    <n v="0"/>
    <x v="0"/>
    <x v="4"/>
    <s v="BRIGITK01"/>
    <s v="BRIGITCO"/>
    <n v="98.364702000000008"/>
    <n v="115.9695"/>
    <n v="150"/>
    <n v="2154.0598782412799"/>
    <n v="430.81197564825601"/>
    <n v="704"/>
    <n v="7"/>
    <n v="0"/>
    <n v="0"/>
    <n v="704"/>
    <m/>
    <m/>
    <n v="0"/>
    <x v="2"/>
    <s v="BRSUATK01"/>
    <s v="BRSUATCO"/>
    <n v="43.495365"/>
    <n v="115.9695"/>
    <n v="150"/>
    <n v="1341.0806648736"/>
    <n v="241.39451967724798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570"/>
    <n v="231939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251.6914999999999"/>
    <n v="695.81700000000001"/>
    <n v="16406.371908840003"/>
    <n v="1148.4460336188004"/>
    <n v="110"/>
    <n v="150"/>
    <n v="1E-3"/>
    <n v="231.93899999999999"/>
    <n v="11484.460336188002"/>
    <n v="11976.399336188002"/>
    <n v="3180.9641611183101"/>
    <n v="2962.2946319548123"/>
    <n v="0.08"/>
    <n v="624.72418381980947"/>
    <n v="7.0000000000000007E-2"/>
    <n v="838.34795353316019"/>
    <n v="15"/>
    <n v="3"/>
  </r>
  <r>
    <n v="449"/>
    <d v="2022-12-31T00:00:00"/>
    <x v="2"/>
    <s v="CLI272"/>
    <s v="CLI272"/>
    <s v="CABO DE SANTO AGOSTINHO"/>
    <s v="PE"/>
    <s v="CLI273"/>
    <s v="DUQUE DE CAXIAS"/>
    <s v="RJ"/>
    <n v="2227.9254730000002"/>
    <n v="0"/>
    <n v="0"/>
    <n v="0"/>
    <n v="0"/>
    <x v="0"/>
    <x v="3"/>
    <s v="BRSUATK01"/>
    <s v="BRSUATCO"/>
    <n v="23.080721"/>
    <n v="114.727"/>
    <n v="150"/>
    <n v="1037.3617339974401"/>
    <n v="186.7251121195392"/>
    <n v="1344"/>
    <n v="7"/>
    <n v="0"/>
    <n v="0"/>
    <n v="1344"/>
    <m/>
    <m/>
    <n v="0"/>
    <x v="4"/>
    <s v="BRIGITK01"/>
    <s v="BRIGITCO"/>
    <n v="68.801226"/>
    <n v="114.727"/>
    <n v="150"/>
    <n v="1714.7859972006399"/>
    <n v="342.95719944012802"/>
    <n v="704"/>
    <n v="7"/>
    <n v="0"/>
    <n v="0"/>
    <n v="704"/>
    <s v="BRSUADP01"/>
    <n v="95"/>
    <n v="70"/>
    <n v="0"/>
    <n v="0"/>
    <n v="0"/>
    <n v="95"/>
    <n v="260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585"/>
    <n v="22945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227.9254730000002"/>
    <n v="688.36199999999997"/>
    <n v="16237.522770124084"/>
    <n v="1948.50273241489"/>
    <n v="110"/>
    <n v="150"/>
    <n v="1E-3"/>
    <n v="229.45400000000001"/>
    <n v="11366.265939086858"/>
    <n v="11855.719939086857"/>
    <n v="3180.9641611183101"/>
    <n v="3614.6080467704674"/>
    <n v="0.08"/>
    <n v="685.91119170632874"/>
    <n v="0.12"/>
    <n v="1422.6863926904227"/>
    <n v="15"/>
    <n v="1"/>
  </r>
  <r>
    <n v="450"/>
    <d v="2022-12-31T00:00:00"/>
    <x v="2"/>
    <s v="CLI273"/>
    <s v="CLI273"/>
    <s v="DUQUE DE CAXIAS"/>
    <s v="RJ"/>
    <s v="CLI604"/>
    <s v="FEIRA DE SANTANA"/>
    <s v="BA"/>
    <n v="1476.025333"/>
    <n v="0"/>
    <n v="0"/>
    <n v="0"/>
    <n v="0"/>
    <x v="0"/>
    <x v="4"/>
    <s v="BRIGITK01"/>
    <s v="BRIGITCO"/>
    <n v="68.801226"/>
    <n v="70.003500000000003"/>
    <n v="150"/>
    <n v="1670.0624972006399"/>
    <n v="334.01249944012801"/>
    <n v="704"/>
    <n v="7"/>
    <n v="0"/>
    <n v="0"/>
    <n v="704"/>
    <m/>
    <m/>
    <n v="0"/>
    <x v="5"/>
    <s v="BRSSATK01"/>
    <s v="BRSSATCO"/>
    <n v="112.075299"/>
    <n v="70.003500000000003"/>
    <n v="150"/>
    <n v="2311.2388581753598"/>
    <n v="416.02299447156474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784"/>
    <n v="140007"/>
    <x v="1"/>
    <x v="23"/>
    <x v="13"/>
    <x v="13"/>
    <x v="16"/>
    <x v="13"/>
    <n v="14"/>
    <n v="14"/>
    <n v="16"/>
    <n v="16"/>
    <n v="16"/>
    <n v="14"/>
    <n v="16"/>
    <n v="173"/>
    <n v="7"/>
    <n v="180"/>
    <n v="7"/>
    <n v="180"/>
    <n v="1476.025333"/>
    <n v="420.02100000000002"/>
    <n v="10863.057995389683"/>
    <n v="760.41405967727792"/>
    <n v="110"/>
    <n v="150"/>
    <n v="1E-3"/>
    <n v="140.00700000000001"/>
    <n v="7604.1405967727778"/>
    <n v="8004.1475967727774"/>
    <n v="3180.9641611183101"/>
    <n v="-856.11791972153242"/>
    <n v="0.08"/>
    <n v="261.82485979880681"/>
    <n v="7.0000000000000007E-2"/>
    <n v="560.29033177409451"/>
    <n v="15"/>
    <n v="16"/>
  </r>
  <r>
    <n v="451"/>
    <d v="2022-12-31T00:00:00"/>
    <x v="2"/>
    <s v="CLI273"/>
    <s v="CLI273"/>
    <s v="DUQUE DE CAXIAS"/>
    <s v="RJ"/>
    <s v="CLI604"/>
    <s v="FEIRA DE SANTANA"/>
    <s v="BA"/>
    <n v="1476.025333"/>
    <n v="0"/>
    <n v="0"/>
    <n v="0"/>
    <n v="0"/>
    <x v="0"/>
    <x v="4"/>
    <s v="BRIGITK01"/>
    <s v="BRIGITCO"/>
    <n v="68.801226"/>
    <n v="60.109000000000002"/>
    <n v="150"/>
    <n v="1660.1679972006398"/>
    <n v="332.033599440128"/>
    <n v="704"/>
    <n v="7"/>
    <n v="0"/>
    <n v="0"/>
    <n v="704"/>
    <m/>
    <m/>
    <n v="0"/>
    <x v="5"/>
    <s v="BRSSATK01"/>
    <s v="BRSSATCO"/>
    <n v="112.075299"/>
    <n v="60.109000000000002"/>
    <n v="150"/>
    <n v="2301.34435817536"/>
    <n v="414.24198447156476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902"/>
    <n v="120218"/>
    <x v="1"/>
    <x v="14"/>
    <x v="1"/>
    <x v="1"/>
    <x v="8"/>
    <x v="1"/>
    <n v="6"/>
    <n v="5"/>
    <n v="6"/>
    <n v="6"/>
    <n v="6"/>
    <n v="6"/>
    <n v="6"/>
    <n v="67"/>
    <n v="7"/>
    <n v="180"/>
    <n v="7"/>
    <n v="180"/>
    <n v="1476.025333"/>
    <n v="360.654"/>
    <n v="10803.690995389683"/>
    <n v="756.25836967727787"/>
    <n v="110"/>
    <n v="150"/>
    <n v="1E-3"/>
    <n v="120.218"/>
    <n v="7562.5836967727773"/>
    <n v="7942.8016967727772"/>
    <n v="3180.9641611183101"/>
    <n v="-897.67481972153246"/>
    <n v="0.08"/>
    <n v="258.80110059880678"/>
    <n v="7.0000000000000007E-2"/>
    <n v="555.9961187740945"/>
    <n v="15"/>
    <n v="6"/>
  </r>
  <r>
    <n v="452"/>
    <d v="2022-12-31T00:00:00"/>
    <x v="2"/>
    <s v="CLI273"/>
    <s v="CLI273"/>
    <s v="DUQUE DE CAXIAS"/>
    <s v="RJ"/>
    <s v="CLI1081"/>
    <s v="MANAUS"/>
    <s v="AM"/>
    <n v="2827.2440195071563"/>
    <n v="3072.1998579999999"/>
    <n v="0"/>
    <n v="7000"/>
    <n v="0"/>
    <x v="0"/>
    <x v="4"/>
    <s v="BRIGITK01"/>
    <s v="BRIGITCO"/>
    <n v="68.801226"/>
    <n v="102.5825"/>
    <n v="150"/>
    <n v="1702.6414972006398"/>
    <n v="340.52829944012797"/>
    <n v="704"/>
    <n v="7"/>
    <n v="0"/>
    <n v="0"/>
    <n v="704"/>
    <m/>
    <m/>
    <n v="0"/>
    <x v="0"/>
    <s v="BRMAOTK01"/>
    <s v="BRMAOCHI"/>
    <n v="11.436796000000001"/>
    <n v="102.5825"/>
    <n v="150"/>
    <n v="852.69338908544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077"/>
    <n v="205165"/>
    <x v="1"/>
    <x v="5"/>
    <x v="6"/>
    <x v="5"/>
    <x v="5"/>
    <x v="6"/>
    <n v="4"/>
    <n v="4"/>
    <n v="4"/>
    <n v="4"/>
    <n v="5"/>
    <n v="4"/>
    <n v="4"/>
    <n v="49"/>
    <n v="7"/>
    <n v="180"/>
    <n v="7"/>
    <n v="180"/>
    <n v="2827.2440195071563"/>
    <n v="615.495"/>
    <n v="20234.604046712317"/>
    <n v="1416.4222832698622"/>
    <n v="110"/>
    <n v="150"/>
    <n v="1E-3"/>
    <n v="205.16499999999999"/>
    <n v="14164.222832698621"/>
    <n v="14629.387832698621"/>
    <n v="3180.9641611183101"/>
    <n v="7067.0887852942305"/>
    <n v="0.08"/>
    <n v="938.68197175779312"/>
    <n v="7.0000000000000007E-2"/>
    <n v="1024.0571482889036"/>
    <n v="15"/>
    <n v="5"/>
  </r>
  <r>
    <n v="453"/>
    <d v="2022-12-31T00:00:00"/>
    <x v="2"/>
    <s v="CLI274"/>
    <s v="CLI274"/>
    <s v="PIRACICABA"/>
    <s v="SP"/>
    <s v="CLI691"/>
    <s v="MANAUS"/>
    <s v="AM"/>
    <n v="2549.3093575522189"/>
    <n v="2745.0091000000002"/>
    <n v="0"/>
    <n v="7000"/>
    <n v="0"/>
    <x v="0"/>
    <x v="0"/>
    <s v="BRSSZTK01"/>
    <s v="BRSSZTCO"/>
    <n v="236.276138"/>
    <n v="30.178000000000001"/>
    <n v="150"/>
    <n v="4111.6524773363199"/>
    <n v="740.09744592053755"/>
    <n v="640"/>
    <n v="7"/>
    <n v="0"/>
    <n v="0"/>
    <n v="640"/>
    <m/>
    <m/>
    <n v="0"/>
    <x v="0"/>
    <s v="BRMAOTK01"/>
    <s v="BRMAOCHI"/>
    <n v="11.436796000000001"/>
    <n v="30.178000000000001"/>
    <n v="150"/>
    <n v="780.28888908544002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03"/>
    <n v="60356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549.3093575522189"/>
    <n v="181.06800000000001"/>
    <n v="17912.73387476282"/>
    <n v="1253.8913712333974"/>
    <n v="110"/>
    <n v="150"/>
    <n v="1E-3"/>
    <n v="60.356000000000002"/>
    <n v="12538.913712333973"/>
    <n v="12859.269712333973"/>
    <n v="3180.9641611183101"/>
    <n v="3044.364184793903"/>
    <n v="0.08"/>
    <n v="578.17847199933408"/>
    <n v="7.0000000000000007E-2"/>
    <n v="900.14887986337817"/>
    <n v="15"/>
    <n v="2"/>
  </r>
  <r>
    <n v="454"/>
    <d v="2022-12-31T00:00:00"/>
    <x v="0"/>
    <s v="CLI275"/>
    <s v="CLI275"/>
    <s v="MANAUS"/>
    <s v="AM"/>
    <s v="CLI989"/>
    <s v="IPOJUCA"/>
    <s v="PE"/>
    <n v="3513.7510560000001"/>
    <n v="0"/>
    <n v="2060.3329469999999"/>
    <n v="7000"/>
    <n v="0"/>
    <x v="0"/>
    <x v="2"/>
    <s v="BRMAOTK01S"/>
    <s v="BRMAOCHI"/>
    <n v="11.436796000000001"/>
    <n v="118.67100000000001"/>
    <n v="150"/>
    <n v="868.78188908544007"/>
    <n v="0"/>
    <n v="832"/>
    <n v="7"/>
    <n v="0"/>
    <n v="0"/>
    <n v="832"/>
    <m/>
    <m/>
    <n v="0"/>
    <x v="2"/>
    <s v="BRSUATK01S"/>
    <s v="BRSUATCO"/>
    <n v="23.753726"/>
    <n v="118.67100000000001"/>
    <n v="150"/>
    <n v="1051.2774068006402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045"/>
    <n v="237342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3513.7510560000001"/>
    <n v="712.02600000000007"/>
    <n v="24993.176871253763"/>
    <n v="2999.1812245504516"/>
    <n v="110"/>
    <n v="150"/>
    <n v="1E-3"/>
    <n v="237.34200000000001"/>
    <n v="16151.182302757377"/>
    <n v="16648.524302757378"/>
    <n v="3180.9641611183101"/>
    <n v="10996.560141639067"/>
    <n v="0.08"/>
    <n v="1178.2772005497038"/>
    <n v="0.12"/>
    <n v="1997.8229163308852"/>
    <n v="15"/>
    <n v="3"/>
  </r>
  <r>
    <n v="455"/>
    <d v="2022-12-31T00:00:00"/>
    <x v="0"/>
    <s v="CLI275"/>
    <s v="CLI275"/>
    <s v="MANAUS"/>
    <s v="AM"/>
    <s v="CLI1193"/>
    <s v="CAUCAIA"/>
    <s v="CE"/>
    <n v="3014.7999490000002"/>
    <n v="0"/>
    <n v="1428.051281"/>
    <n v="7000"/>
    <n v="0"/>
    <x v="0"/>
    <x v="2"/>
    <s v="BRMAOTK01S"/>
    <s v="BRMAOCHI"/>
    <n v="11.436796000000001"/>
    <n v="93.207499999999996"/>
    <n v="150"/>
    <n v="843.31838908544"/>
    <n v="0"/>
    <n v="832"/>
    <n v="7"/>
    <n v="0"/>
    <n v="0"/>
    <n v="832"/>
    <m/>
    <m/>
    <n v="0"/>
    <x v="3"/>
    <s v="BRPECTK01S"/>
    <s v="BRPECAPM"/>
    <n v="34.109209"/>
    <n v="93.207499999999996"/>
    <n v="150"/>
    <n v="1179.2473704377601"/>
    <n v="212.2645266787968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396"/>
    <n v="18641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014.7999490000002"/>
    <n v="559.245"/>
    <n v="21452.038861661043"/>
    <n v="2574.244663399325"/>
    <n v="110"/>
    <n v="150"/>
    <n v="1E-3"/>
    <n v="186.41499999999999"/>
    <n v="13600.631171496489"/>
    <n v="14047.046171496489"/>
    <n v="3180.9641611183101"/>
    <n v="8971.0820103781789"/>
    <n v="0.08"/>
    <n v="944.97727082355937"/>
    <n v="0.12"/>
    <n v="1685.6455405795787"/>
    <n v="15"/>
    <n v="2"/>
  </r>
  <r>
    <n v="456"/>
    <d v="2022-12-31T00:00:00"/>
    <x v="0"/>
    <s v="CLI275"/>
    <s v="CLI275"/>
    <s v="MANAUS"/>
    <s v="AM"/>
    <s v="CLI542"/>
    <s v="IPOJUCA"/>
    <s v="PE"/>
    <n v="3513.7510560000001"/>
    <n v="0"/>
    <n v="2060.3329469999999"/>
    <n v="7000"/>
    <n v="0"/>
    <x v="0"/>
    <x v="2"/>
    <s v="BRMAOTK01S"/>
    <s v="BRMAOCHI"/>
    <n v="11.436796000000001"/>
    <n v="42.182499999999997"/>
    <n v="150"/>
    <n v="792.29338908544003"/>
    <n v="0"/>
    <n v="832"/>
    <n v="7"/>
    <n v="0"/>
    <n v="0"/>
    <n v="832"/>
    <m/>
    <m/>
    <n v="0"/>
    <x v="2"/>
    <s v="BRSUATK01S"/>
    <s v="BRSUATCO"/>
    <n v="23.753726"/>
    <n v="42.182499999999997"/>
    <n v="150"/>
    <n v="974.78890680064001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190"/>
    <n v="8436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513.7510560000001"/>
    <n v="253.095"/>
    <n v="24534.245871253763"/>
    <n v="2944.1095045504512"/>
    <n v="110"/>
    <n v="150"/>
    <n v="1E-3"/>
    <n v="84.364999999999995"/>
    <n v="15937.014502757376"/>
    <n v="16281.379502757376"/>
    <n v="3180.9641611183101"/>
    <n v="10629.415341639065"/>
    <n v="0.08"/>
    <n v="1161.1437765497037"/>
    <n v="0.12"/>
    <n v="1953.765540330885"/>
    <n v="15"/>
    <n v="2"/>
  </r>
  <r>
    <n v="457"/>
    <d v="2022-12-31T00:00:00"/>
    <x v="0"/>
    <s v="CLI275"/>
    <s v="CLI275"/>
    <s v="MANAUS"/>
    <s v="AM"/>
    <s v="CLI650"/>
    <s v="ITAGUAI"/>
    <s v="RJ"/>
    <n v="4129.6512739999998"/>
    <n v="0"/>
    <n v="3075.8502579999999"/>
    <n v="7000"/>
    <n v="0"/>
    <x v="0"/>
    <x v="2"/>
    <s v="BRMAOTK01S"/>
    <s v="BRMAOCHI"/>
    <n v="11.436796000000001"/>
    <n v="116.02200000000001"/>
    <n v="150"/>
    <n v="866.13288908544007"/>
    <n v="0"/>
    <n v="832"/>
    <n v="7"/>
    <n v="0"/>
    <n v="0"/>
    <n v="832"/>
    <m/>
    <m/>
    <n v="0"/>
    <x v="4"/>
    <s v="BRIGITK01S"/>
    <s v="BRIGITCO"/>
    <n v="14.539448"/>
    <n v="116.02200000000001"/>
    <n v="150"/>
    <n v="912.10376681472007"/>
    <n v="0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033"/>
    <n v="232044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4129.6512739999998"/>
    <n v="696.13200000000006"/>
    <n v="29159.836615683042"/>
    <n v="3499.1803938819648"/>
    <n v="110"/>
    <n v="150"/>
    <n v="1E-3"/>
    <n v="232.04400000000001"/>
    <n v="19167.119971848017"/>
    <n v="19659.163971848018"/>
    <n v="3180.9641611183101"/>
    <n v="14647.199810729708"/>
    <n v="0.08"/>
    <n v="1430.4741852758289"/>
    <n v="0.12"/>
    <n v="2359.0996766217622"/>
    <n v="15"/>
    <n v="2"/>
  </r>
  <r>
    <n v="458"/>
    <d v="2022-12-31T00:00:00"/>
    <x v="0"/>
    <s v="CLI275"/>
    <s v="CLI275"/>
    <s v="MANAUS"/>
    <s v="AM"/>
    <s v="CLI993"/>
    <s v="IPOJUCA"/>
    <s v="PE"/>
    <n v="3513.7510560000001"/>
    <n v="0"/>
    <n v="2060.3329469999999"/>
    <n v="7000"/>
    <n v="0"/>
    <x v="0"/>
    <x v="2"/>
    <s v="BRMAOTK01S"/>
    <s v="BRMAOCHI"/>
    <n v="11.436796000000001"/>
    <n v="42.624000000000002"/>
    <n v="150"/>
    <n v="792.73488908544005"/>
    <n v="0"/>
    <n v="832"/>
    <n v="7"/>
    <n v="0"/>
    <n v="0"/>
    <n v="832"/>
    <m/>
    <m/>
    <n v="0"/>
    <x v="2"/>
    <s v="BRSUATK01S"/>
    <s v="BRSUATCO"/>
    <n v="23.753726"/>
    <n v="42.624000000000002"/>
    <n v="150"/>
    <n v="975.23040680064003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704"/>
    <n v="8524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3.7510560000001"/>
    <n v="255.744"/>
    <n v="24536.89487125376"/>
    <n v="2944.4273845504513"/>
    <n v="110"/>
    <n v="150"/>
    <n v="1E-3"/>
    <n v="85.248000000000005"/>
    <n v="15938.250702757374"/>
    <n v="16283.498702757373"/>
    <n v="3180.9641611183101"/>
    <n v="10631.534541639063"/>
    <n v="0.08"/>
    <n v="1161.2426725497035"/>
    <n v="0.12"/>
    <n v="1954.0198443308848"/>
    <n v="15"/>
    <n v="1"/>
  </r>
  <r>
    <n v="459"/>
    <d v="2022-12-31T00:00:00"/>
    <x v="0"/>
    <s v="CLI275"/>
    <s v="CLI275"/>
    <s v="MANAUS"/>
    <s v="AM"/>
    <s v="CLI1161"/>
    <s v="CAUCAIA"/>
    <s v="CE"/>
    <n v="3014.7999490000002"/>
    <n v="0"/>
    <n v="1428.051281"/>
    <n v="7000"/>
    <n v="0"/>
    <x v="0"/>
    <x v="2"/>
    <s v="BRMAOTK01S"/>
    <s v="BRMAOCHI"/>
    <n v="11.436796000000001"/>
    <n v="48.752000000000002"/>
    <n v="150"/>
    <n v="798.86288908543997"/>
    <n v="0"/>
    <n v="832"/>
    <n v="7"/>
    <n v="0"/>
    <n v="0"/>
    <n v="832"/>
    <m/>
    <m/>
    <n v="0"/>
    <x v="3"/>
    <s v="BRPECTK01S"/>
    <s v="BRPECAPM"/>
    <n v="34.109209"/>
    <n v="48.752000000000002"/>
    <n v="150"/>
    <n v="1134.7918704377598"/>
    <n v="204.26253667879675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840"/>
    <n v="9750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292.512"/>
    <n v="21185.305861661043"/>
    <n v="2542.2367033993251"/>
    <n v="110"/>
    <n v="150"/>
    <n v="1E-3"/>
    <n v="97.504000000000005"/>
    <n v="13476.155771496489"/>
    <n v="13833.65977149649"/>
    <n v="3180.9641611183101"/>
    <n v="8757.6956103781795"/>
    <n v="0.08"/>
    <n v="935.65939802355967"/>
    <n v="0.12"/>
    <n v="1660.0391725795787"/>
    <n v="15"/>
    <n v="1"/>
  </r>
  <r>
    <n v="460"/>
    <d v="2022-12-31T00:00:00"/>
    <x v="0"/>
    <s v="CLI275"/>
    <s v="CLI275"/>
    <s v="MANAUS"/>
    <s v="AM"/>
    <s v="CLI827"/>
    <s v="CAUCAIA"/>
    <s v="CE"/>
    <n v="3014.7999490000002"/>
    <n v="0"/>
    <n v="1428.051281"/>
    <n v="7000"/>
    <n v="0"/>
    <x v="0"/>
    <x v="2"/>
    <s v="BRMAOTK01S"/>
    <s v="BRMAOCHI"/>
    <n v="11.436796000000001"/>
    <n v="79.330500000000001"/>
    <n v="150"/>
    <n v="829.44138908544005"/>
    <n v="0"/>
    <n v="832"/>
    <n v="7"/>
    <n v="0"/>
    <n v="0"/>
    <n v="832"/>
    <m/>
    <m/>
    <n v="0"/>
    <x v="3"/>
    <s v="BRPECTK01S"/>
    <s v="BRPECAPM"/>
    <n v="34.109209"/>
    <n v="79.330500000000001"/>
    <n v="150"/>
    <n v="1165.3703704377599"/>
    <n v="209.7666666787967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68"/>
    <n v="15866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475.983"/>
    <n v="21368.776861661045"/>
    <n v="2564.2532233993252"/>
    <n v="110"/>
    <n v="150"/>
    <n v="1E-3"/>
    <n v="158.661"/>
    <n v="13561.775571496491"/>
    <n v="13980.436571496492"/>
    <n v="3180.9641611183101"/>
    <n v="8904.4724103781809"/>
    <n v="0.08"/>
    <n v="942.06865162355962"/>
    <n v="0.12"/>
    <n v="1677.6523885795789"/>
    <n v="15"/>
    <n v="1"/>
  </r>
  <r>
    <n v="461"/>
    <d v="2022-12-31T00:00:00"/>
    <x v="0"/>
    <s v="CLI275"/>
    <s v="CLI275"/>
    <s v="MANAUS"/>
    <s v="AM"/>
    <s v="CLI804"/>
    <s v="CAUCAIA"/>
    <s v="CE"/>
    <n v="3014.7999490000002"/>
    <n v="0"/>
    <n v="1428.051281"/>
    <n v="7000"/>
    <n v="0"/>
    <x v="0"/>
    <x v="2"/>
    <s v="BRMAOTK01S"/>
    <s v="BRMAOCHI"/>
    <n v="11.436796000000001"/>
    <n v="84.983500000000006"/>
    <n v="150"/>
    <n v="835.09438908544007"/>
    <n v="0"/>
    <n v="832"/>
    <n v="7"/>
    <n v="0"/>
    <n v="0"/>
    <n v="832"/>
    <m/>
    <m/>
    <n v="0"/>
    <x v="3"/>
    <s v="BRPECTK01S"/>
    <s v="BRPECAPM"/>
    <n v="34.109209"/>
    <n v="84.983500000000006"/>
    <n v="150"/>
    <n v="1171.0233704377601"/>
    <n v="210.7842066787968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396"/>
    <n v="16996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509.90100000000001"/>
    <n v="21402.694861661046"/>
    <n v="2568.3233833993254"/>
    <n v="110"/>
    <n v="150"/>
    <n v="1E-3"/>
    <n v="169.96700000000001"/>
    <n v="13577.603971496492"/>
    <n v="14007.570971496492"/>
    <n v="3180.9641611183101"/>
    <n v="8931.6068103781818"/>
    <n v="0.08"/>
    <n v="943.25352042355973"/>
    <n v="0.12"/>
    <n v="1680.9085165795791"/>
    <n v="15"/>
    <n v="1"/>
  </r>
  <r>
    <n v="462"/>
    <d v="2022-12-31T00:00:00"/>
    <x v="0"/>
    <s v="CLI275"/>
    <s v="CLI275"/>
    <s v="MANAUS"/>
    <s v="AM"/>
    <s v="CLI913"/>
    <s v="CAUCAIA"/>
    <s v="CE"/>
    <n v="3014.7999490000002"/>
    <n v="0"/>
    <n v="1428.051281"/>
    <n v="7000"/>
    <n v="0"/>
    <x v="0"/>
    <x v="2"/>
    <s v="BRMAOTK01S"/>
    <s v="BRMAOCHI"/>
    <n v="11.436796000000001"/>
    <n v="62.1235"/>
    <n v="150"/>
    <n v="812.23438908544006"/>
    <n v="0"/>
    <n v="832"/>
    <n v="7"/>
    <n v="0"/>
    <n v="0"/>
    <n v="832"/>
    <m/>
    <m/>
    <n v="0"/>
    <x v="3"/>
    <s v="BRPECTK01S"/>
    <s v="BRPECAPM"/>
    <n v="34.109209"/>
    <n v="62.1235"/>
    <n v="150"/>
    <n v="1148.16337043776"/>
    <n v="206.669406678796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23"/>
    <n v="12424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372.74099999999999"/>
    <n v="21265.534861661043"/>
    <n v="2551.8641833993252"/>
    <n v="110"/>
    <n v="150"/>
    <n v="1E-3"/>
    <n v="124.247"/>
    <n v="13513.59597149649"/>
    <n v="13897.84297149649"/>
    <n v="3180.9641611183101"/>
    <n v="8821.878810378179"/>
    <n v="0.08"/>
    <n v="938.46206442355935"/>
    <n v="0.12"/>
    <n v="1667.7411565795787"/>
    <n v="15"/>
    <n v="1"/>
  </r>
  <r>
    <n v="463"/>
    <d v="2022-12-31T00:00:00"/>
    <x v="2"/>
    <s v="CLI276"/>
    <s v="CLI276"/>
    <s v="MANAUS"/>
    <s v="AM"/>
    <s v="CLI1127"/>
    <s v="CAJAMAR"/>
    <s v="SP"/>
    <n v="3898.610596"/>
    <n v="0"/>
    <n v="2846.7739100000003"/>
    <n v="7000"/>
    <n v="0"/>
    <x v="0"/>
    <x v="2"/>
    <s v="BRMAOTK01"/>
    <s v="BRMAOCHI"/>
    <n v="11.436796000000001"/>
    <n v="58.856500000000004"/>
    <n v="150"/>
    <n v="808.96738908544"/>
    <n v="0"/>
    <n v="832"/>
    <n v="7"/>
    <n v="0"/>
    <n v="0"/>
    <n v="832"/>
    <m/>
    <m/>
    <n v="0"/>
    <x v="1"/>
    <s v="BRSSZTK01"/>
    <s v="BRSSZTCO"/>
    <n v="123.50964200000001"/>
    <n v="58.856500000000004"/>
    <n v="150"/>
    <n v="2469.5104020428798"/>
    <n v="444.5118723677183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701"/>
    <n v="117713"/>
    <x v="1"/>
    <x v="24"/>
    <x v="20"/>
    <x v="21"/>
    <x v="22"/>
    <x v="22"/>
    <n v="51"/>
    <n v="49"/>
    <n v="55"/>
    <n v="55"/>
    <n v="55"/>
    <n v="51"/>
    <n v="55"/>
    <n v="605"/>
    <n v="7"/>
    <n v="180"/>
    <n v="7"/>
    <n v="180"/>
    <n v="3898.610596"/>
    <n v="353.13900000000001"/>
    <n v="27247.855613012161"/>
    <n v="3269.7426735614595"/>
    <n v="110"/>
    <n v="150"/>
    <n v="1E-3"/>
    <n v="117.71300000000001"/>
    <n v="19073.498929108511"/>
    <n v="19451.211929108511"/>
    <n v="3180.9641611183101"/>
    <n v="11224.76997686188"/>
    <n v="0.08"/>
    <n v="1258.2577812489978"/>
    <n v="0.12"/>
    <n v="2334.1454314930211"/>
    <n v="15"/>
    <n v="55"/>
  </r>
  <r>
    <n v="464"/>
    <d v="2022-12-31T00:00:00"/>
    <x v="2"/>
    <s v="CLI276"/>
    <s v="CLI276"/>
    <s v="MANAUS"/>
    <s v="AM"/>
    <s v="CLI1128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73.313000000000002"/>
    <n v="150"/>
    <n v="823.42388908544001"/>
    <n v="0"/>
    <n v="832"/>
    <n v="7"/>
    <n v="0"/>
    <n v="0"/>
    <n v="832"/>
    <m/>
    <m/>
    <n v="0"/>
    <x v="2"/>
    <s v="BRSUATK01"/>
    <s v="BRSUATCO"/>
    <n v="43.495365"/>
    <n v="73.313000000000002"/>
    <n v="150"/>
    <n v="1298.4241648736001"/>
    <n v="233.7163496772480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851"/>
    <n v="146626"/>
    <x v="1"/>
    <x v="4"/>
    <x v="3"/>
    <x v="3"/>
    <x v="7"/>
    <x v="4"/>
    <n v="8"/>
    <n v="8"/>
    <n v="9"/>
    <n v="9"/>
    <n v="9"/>
    <n v="8"/>
    <n v="9"/>
    <n v="97"/>
    <n v="7"/>
    <n v="180"/>
    <n v="7"/>
    <n v="180"/>
    <n v="3493.6139780000003"/>
    <n v="439.87799999999999"/>
    <n v="24584.278780038887"/>
    <n v="2950.1134536046661"/>
    <n v="110"/>
    <n v="150"/>
    <n v="1E-3"/>
    <n v="146.626"/>
    <n v="17208.99514602722"/>
    <n v="17615.621146027221"/>
    <n v="3180.9641611183101"/>
    <n v="9841.80893094987"/>
    <n v="0.08"/>
    <n v="1220.8045393912746"/>
    <n v="0.12"/>
    <n v="2113.8745375232666"/>
    <n v="15"/>
    <n v="9"/>
  </r>
  <r>
    <n v="465"/>
    <d v="2022-12-31T00:00:00"/>
    <x v="2"/>
    <s v="CLI276"/>
    <s v="CLI276"/>
    <s v="MANAUS"/>
    <s v="AM"/>
    <s v="CLI1297"/>
    <s v="JUNDIAI"/>
    <s v="SP"/>
    <n v="3878.5104309999997"/>
    <n v="0"/>
    <n v="2826.507944"/>
    <n v="7000"/>
    <n v="0"/>
    <x v="0"/>
    <x v="2"/>
    <s v="BRMAOTK01"/>
    <s v="BRMAOCHI"/>
    <n v="11.436796000000001"/>
    <n v="54.704000000000001"/>
    <n v="150"/>
    <n v="804.81488908543997"/>
    <n v="0"/>
    <n v="832"/>
    <n v="7"/>
    <n v="0"/>
    <n v="0"/>
    <n v="832"/>
    <m/>
    <m/>
    <n v="0"/>
    <x v="1"/>
    <s v="BRSSZTK01"/>
    <s v="BRSSZTCO"/>
    <n v="139.13710800000001"/>
    <n v="54.704000000000001"/>
    <n v="150"/>
    <n v="2696.9044398771202"/>
    <n v="485.4427991778816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251"/>
    <n v="109408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878.5104309999997"/>
    <n v="328.22399999999999"/>
    <n v="27086.441196503758"/>
    <n v="3250.3729435804507"/>
    <n v="110"/>
    <n v="150"/>
    <n v="1E-3"/>
    <n v="109.408"/>
    <n v="18960.508837552628"/>
    <n v="19329.916837552628"/>
    <n v="3180.9641611183101"/>
    <n v="10880.233347471758"/>
    <n v="0.08"/>
    <n v="1227.420376752975"/>
    <n v="0.12"/>
    <n v="2319.5900205063153"/>
    <n v="15"/>
    <n v="2"/>
  </r>
  <r>
    <n v="466"/>
    <d v="2022-12-31T00:00:00"/>
    <x v="2"/>
    <s v="CLI276"/>
    <s v="CLI276"/>
    <s v="MANAUS"/>
    <s v="AM"/>
    <s v="CLI1097"/>
    <s v="JUNDIAI"/>
    <s v="SP"/>
    <n v="3878.5104309999997"/>
    <n v="0"/>
    <n v="2826.507944"/>
    <n v="7000"/>
    <n v="0"/>
    <x v="0"/>
    <x v="2"/>
    <s v="BRMAOTK01"/>
    <s v="BRMAOCHI"/>
    <n v="11.436796000000001"/>
    <n v="63.694499999999998"/>
    <n v="150"/>
    <n v="813.80538908543997"/>
    <n v="0"/>
    <n v="832"/>
    <n v="7"/>
    <n v="0"/>
    <n v="0"/>
    <n v="832"/>
    <m/>
    <m/>
    <n v="0"/>
    <x v="1"/>
    <s v="BRSSZTK01"/>
    <s v="BRSSZTCO"/>
    <n v="139.13710800000001"/>
    <n v="63.694499999999998"/>
    <n v="150"/>
    <n v="2705.8949398771201"/>
    <n v="487.0610891778816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77"/>
    <n v="12738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78.5104309999997"/>
    <n v="382.16700000000003"/>
    <n v="27140.384196503761"/>
    <n v="3256.8461035804512"/>
    <n v="110"/>
    <n v="150"/>
    <n v="1E-3"/>
    <n v="127.389"/>
    <n v="18998.268937552632"/>
    <n v="19385.657937552631"/>
    <n v="3180.9641611183101"/>
    <n v="10917.993447471761"/>
    <n v="0.08"/>
    <n v="1230.3117215529753"/>
    <n v="0.12"/>
    <n v="2326.2789525063158"/>
    <n v="15"/>
    <n v="1"/>
  </r>
  <r>
    <n v="467"/>
    <d v="2022-12-31T00:00:00"/>
    <x v="2"/>
    <s v="CLI276"/>
    <s v="CLI276"/>
    <s v="MANAUS"/>
    <s v="AM"/>
    <s v="CLI808"/>
    <s v="CAJAMAR"/>
    <s v="SP"/>
    <n v="3898.610596"/>
    <n v="0"/>
    <n v="2846.7739100000003"/>
    <n v="7000"/>
    <n v="0"/>
    <x v="0"/>
    <x v="2"/>
    <s v="BRMAOTK01"/>
    <s v="BRMAOCHI"/>
    <n v="11.436796000000001"/>
    <n v="70.625"/>
    <n v="150"/>
    <n v="820.73588908544002"/>
    <n v="0"/>
    <n v="832"/>
    <n v="7"/>
    <n v="0"/>
    <n v="0"/>
    <n v="832"/>
    <m/>
    <m/>
    <n v="0"/>
    <x v="1"/>
    <s v="BRSSZTK01"/>
    <s v="BRSSZTCO"/>
    <n v="123.50964200000001"/>
    <n v="70.625"/>
    <n v="150"/>
    <n v="2481.27890204288"/>
    <n v="446.6302023677183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84"/>
    <n v="14125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98.610596"/>
    <n v="423.75"/>
    <n v="27318.466613012162"/>
    <n v="3278.2159935614595"/>
    <n v="110"/>
    <n v="150"/>
    <n v="1E-3"/>
    <n v="141.25"/>
    <n v="19122.926629108511"/>
    <n v="19524.176629108511"/>
    <n v="3180.9641611183101"/>
    <n v="11274.197676861881"/>
    <n v="0.08"/>
    <n v="1262.0425308489978"/>
    <n v="0.12"/>
    <n v="2342.9011954930211"/>
    <n v="15"/>
    <n v="1"/>
  </r>
  <r>
    <n v="468"/>
    <d v="2022-12-31T00:00:00"/>
    <x v="2"/>
    <s v="CLI276"/>
    <s v="CLI276"/>
    <s v="MANAUS"/>
    <s v="AM"/>
    <s v="CLI999"/>
    <s v="LOUVEIRA"/>
    <s v="SP"/>
    <n v="3865.5848300000002"/>
    <n v="0"/>
    <n v="2812.8709169999997"/>
    <n v="7000"/>
    <n v="0"/>
    <x v="0"/>
    <x v="2"/>
    <s v="BRMAOTK01"/>
    <s v="BRMAOCHI"/>
    <n v="11.436796000000001"/>
    <n v="46.140999999999998"/>
    <n v="150"/>
    <n v="796.25188908543998"/>
    <n v="0"/>
    <n v="832"/>
    <n v="7"/>
    <n v="0"/>
    <n v="0"/>
    <n v="832"/>
    <m/>
    <m/>
    <n v="0"/>
    <x v="1"/>
    <s v="BRSSZTK01"/>
    <s v="BRSSZTCO"/>
    <n v="152.74309700000001"/>
    <n v="46.140999999999998"/>
    <n v="150"/>
    <n v="2889.9364807340803"/>
    <n v="520.1885665321344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78"/>
    <n v="9228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65.5848300000002"/>
    <n v="276.846"/>
    <n v="26947.285957136806"/>
    <n v="3233.6743148564165"/>
    <n v="110"/>
    <n v="150"/>
    <n v="1E-3"/>
    <n v="92.281999999999996"/>
    <n v="18863.100169995763"/>
    <n v="19215.382169995763"/>
    <n v="3180.9641611183101"/>
    <n v="10581.22963905793"/>
    <n v="0.08"/>
    <n v="1200.7204186915285"/>
    <n v="0.12"/>
    <n v="2305.8458603994914"/>
    <n v="15"/>
    <n v="1"/>
  </r>
  <r>
    <n v="469"/>
    <d v="2022-12-31T00:00:00"/>
    <x v="2"/>
    <s v="CLI280"/>
    <s v="CLI280"/>
    <s v="EMBU"/>
    <s v="SP"/>
    <s v="CLI952"/>
    <s v="JABOATAO DOS GUARARAPES"/>
    <s v="PE"/>
    <n v="2607.8438760000004"/>
    <n v="0"/>
    <n v="0"/>
    <n v="0"/>
    <n v="0"/>
    <x v="0"/>
    <x v="0"/>
    <s v="BRSSZTK01"/>
    <s v="BRSSZTCO"/>
    <n v="100.40395600000001"/>
    <n v="108.15050000000001"/>
    <n v="150"/>
    <n v="2176.4557706278401"/>
    <n v="391.76203871301124"/>
    <n v="640"/>
    <n v="7"/>
    <n v="0"/>
    <n v="0"/>
    <n v="640"/>
    <m/>
    <m/>
    <n v="0"/>
    <x v="2"/>
    <s v="BRSUATK01"/>
    <s v="BRSUATCO"/>
    <n v="43.495365"/>
    <n v="108.15050000000001"/>
    <n v="150"/>
    <n v="1333.2616648736"/>
    <n v="239.9870996772479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709"/>
    <n v="216301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607.8438760000004"/>
    <n v="648.90300000000002"/>
    <n v="18778.074448160962"/>
    <n v="1314.4652113712675"/>
    <n v="110"/>
    <n v="150"/>
    <n v="1E-3"/>
    <n v="216.30100000000002"/>
    <n v="13144.652113712673"/>
    <n v="13620.953113712672"/>
    <n v="3180.9641611183101"/>
    <n v="4676.2715170929223"/>
    <n v="0.08"/>
    <n v="758.3589231856779"/>
    <n v="7.0000000000000007E-2"/>
    <n v="953.46671795988721"/>
    <n v="15"/>
    <n v="2"/>
  </r>
  <r>
    <n v="470"/>
    <d v="2022-12-31T00:00:00"/>
    <x v="2"/>
    <s v="CLI280"/>
    <s v="CLI280"/>
    <s v="EMBU"/>
    <s v="SP"/>
    <s v="CLI952"/>
    <s v="JABOATAO DOS GUARARAPES"/>
    <s v="PE"/>
    <n v="2607.8438760000004"/>
    <n v="0"/>
    <n v="0"/>
    <n v="0"/>
    <n v="0"/>
    <x v="0"/>
    <x v="0"/>
    <s v="BRSSZTK01"/>
    <s v="BRSSZTCO"/>
    <n v="100.40395600000001"/>
    <n v="36.619500000000002"/>
    <n v="150"/>
    <n v="2104.9247706278402"/>
    <n v="378.88645871301122"/>
    <n v="640"/>
    <n v="7"/>
    <n v="0"/>
    <n v="0"/>
    <n v="640"/>
    <m/>
    <m/>
    <n v="0"/>
    <x v="2"/>
    <s v="BRSUATK01"/>
    <s v="BRSUATCO"/>
    <n v="43.495365"/>
    <n v="36.619500000000002"/>
    <n v="150"/>
    <n v="1261.7306648736001"/>
    <n v="227.11151967724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614"/>
    <n v="73239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2607.8438760000004"/>
    <n v="219.71700000000001"/>
    <n v="18348.888448160964"/>
    <n v="1284.4221913712677"/>
    <n v="110"/>
    <n v="150"/>
    <n v="1E-3"/>
    <n v="73.239000000000004"/>
    <n v="12844.221913712674"/>
    <n v="13177.460913712674"/>
    <n v="3180.9641611183101"/>
    <n v="4375.8413170929234"/>
    <n v="0.08"/>
    <n v="736.38459998567794"/>
    <n v="7.0000000000000007E-2"/>
    <n v="922.42226395988723"/>
    <n v="15"/>
    <n v="2"/>
  </r>
  <r>
    <n v="471"/>
    <d v="2022-12-31T00:00:00"/>
    <x v="2"/>
    <s v="CLI281"/>
    <s v="CLI281"/>
    <s v="EMBU SAO PAULO"/>
    <s v="SP"/>
    <s v="CLI952"/>
    <s v="JABOATAO DOS GUARARAPES"/>
    <s v="PE"/>
    <n v="2607.8438760000004"/>
    <n v="0"/>
    <n v="0"/>
    <n v="0"/>
    <n v="0"/>
    <x v="0"/>
    <x v="0"/>
    <s v="BRSSZTK01"/>
    <s v="BRSSZTCO"/>
    <n v="100.40395600000001"/>
    <n v="51.459000000000003"/>
    <n v="150"/>
    <n v="2119.7642706278402"/>
    <n v="381.55756871301122"/>
    <n v="640"/>
    <n v="7"/>
    <n v="0"/>
    <n v="0"/>
    <n v="640"/>
    <m/>
    <m/>
    <n v="0"/>
    <x v="2"/>
    <s v="BRSUATK01"/>
    <s v="BRSUATCO"/>
    <n v="43.495365"/>
    <n v="51.459000000000003"/>
    <n v="150"/>
    <n v="1276.5701648736001"/>
    <n v="229.7826296772480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081"/>
    <n v="102918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2607.8438760000004"/>
    <n v="308.75400000000002"/>
    <n v="18437.925448160964"/>
    <n v="1290.6547813712675"/>
    <n v="110"/>
    <n v="150"/>
    <n v="1E-3"/>
    <n v="102.91800000000001"/>
    <n v="12906.547813712674"/>
    <n v="13269.465813712673"/>
    <n v="3180.9641611183101"/>
    <n v="4438.1672170929232"/>
    <n v="0.08"/>
    <n v="740.94329438567809"/>
    <n v="7.0000000000000007E-2"/>
    <n v="928.86260695988722"/>
    <n v="15"/>
    <n v="2"/>
  </r>
  <r>
    <n v="472"/>
    <d v="2022-12-31T00:00:00"/>
    <x v="0"/>
    <s v="CLI282"/>
    <s v="CLI282"/>
    <s v="MANAUS"/>
    <s v="AM"/>
    <s v="CLI283"/>
    <s v="SANTOS"/>
    <s v="SP"/>
    <n v="4001.3210899999999"/>
    <n v="0"/>
    <n v="2948.3907220000001"/>
    <n v="7000"/>
    <n v="0"/>
    <x v="0"/>
    <x v="2"/>
    <s v="BRMAOTK01S"/>
    <s v="BRMAOCHI"/>
    <n v="11.436796000000001"/>
    <n v="117.0515"/>
    <n v="150"/>
    <n v="867.16238908544005"/>
    <n v="0"/>
    <n v="832"/>
    <n v="7"/>
    <n v="0"/>
    <n v="0"/>
    <n v="832"/>
    <m/>
    <m/>
    <n v="0"/>
    <x v="1"/>
    <s v="BRSSZTK01S"/>
    <s v="BRSSZTCO"/>
    <n v="14.583465"/>
    <n v="117.0515"/>
    <n v="150"/>
    <n v="913.78545085760004"/>
    <n v="164.4813811543679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357"/>
    <n v="234103"/>
    <x v="0"/>
    <x v="14"/>
    <x v="12"/>
    <x v="12"/>
    <x v="1"/>
    <x v="12"/>
    <n v="7"/>
    <n v="7"/>
    <n v="7"/>
    <n v="7"/>
    <n v="7"/>
    <n v="6"/>
    <n v="6"/>
    <n v="77"/>
    <n v="7"/>
    <n v="110"/>
    <n v="7"/>
    <n v="110"/>
    <n v="4001.3210899999999"/>
    <n v="702.30899999999997"/>
    <n v="28294.528469346405"/>
    <n v="3395.3434163215684"/>
    <n v="75"/>
    <n v="150"/>
    <n v="1E-3"/>
    <n v="234.10300000000001"/>
    <n v="18559.506440582358"/>
    <n v="19018.609440582357"/>
    <n v="3180.9641611183101"/>
    <n v="14070.645279464046"/>
    <n v="0.08"/>
    <n v="1365.8544175587961"/>
    <n v="0.12"/>
    <n v="2282.2331328698829"/>
    <n v="15"/>
    <n v="7"/>
  </r>
  <r>
    <n v="473"/>
    <d v="2022-12-31T00:00:00"/>
    <x v="0"/>
    <s v="CLI283"/>
    <s v="CLI283"/>
    <s v="SANTOS"/>
    <s v="SP"/>
    <s v="CLI1173"/>
    <s v="MANAUS"/>
    <s v="AM"/>
    <n v="2738.1624465451514"/>
    <n v="2948.3907220000001"/>
    <n v="0"/>
    <n v="7000"/>
    <n v="0"/>
    <x v="0"/>
    <x v="0"/>
    <s v="BRSSZTK01S"/>
    <s v="BRSSZTCO"/>
    <n v="14.583465"/>
    <n v="52.416499999999999"/>
    <n v="150"/>
    <n v="849.15045085760005"/>
    <n v="152.847081154368"/>
    <n v="640"/>
    <n v="7"/>
    <n v="0"/>
    <n v="0"/>
    <n v="640"/>
    <m/>
    <m/>
    <n v="0"/>
    <x v="0"/>
    <s v="BRMAOTK01S"/>
    <s v="BRMAOCHI"/>
    <n v="11.436796000000001"/>
    <n v="52.416499999999999"/>
    <n v="150"/>
    <n v="802.5273890854400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965"/>
    <n v="104833"/>
    <x v="0"/>
    <x v="2"/>
    <x v="0"/>
    <x v="0"/>
    <x v="2"/>
    <x v="2"/>
    <n v="2"/>
    <n v="2"/>
    <n v="3"/>
    <n v="3"/>
    <n v="2"/>
    <n v="2"/>
    <n v="2"/>
    <n v="26"/>
    <n v="7"/>
    <n v="110"/>
    <n v="7"/>
    <n v="110"/>
    <n v="2738.1624465451514"/>
    <n v="314.49900000000002"/>
    <n v="19328.658647990265"/>
    <n v="1353.0061053593188"/>
    <n v="75"/>
    <n v="150"/>
    <n v="1E-3"/>
    <n v="104.833"/>
    <n v="12373.886565633056"/>
    <n v="12703.719565633057"/>
    <n v="3180.9641611183101"/>
    <n v="7780.7554045147463"/>
    <n v="0.08"/>
    <n v="871.93557156285181"/>
    <n v="7.0000000000000007E-2"/>
    <n v="889.26036959431406"/>
    <n v="15"/>
    <n v="3"/>
  </r>
  <r>
    <n v="474"/>
    <d v="2022-12-31T00:00:00"/>
    <x v="0"/>
    <s v="CLI283"/>
    <s v="CLI283"/>
    <s v="SANTOS"/>
    <s v="SP"/>
    <s v="CLI778"/>
    <s v="MANAUS"/>
    <s v="AM"/>
    <n v="2738.1624465451514"/>
    <n v="2948.3907220000001"/>
    <n v="0"/>
    <n v="7000"/>
    <n v="0"/>
    <x v="0"/>
    <x v="0"/>
    <s v="BRSSZTK01S"/>
    <s v="BRSSZTCO"/>
    <n v="14.583465"/>
    <n v="50.002499999999998"/>
    <n v="150"/>
    <n v="846.73645085759995"/>
    <n v="152.41256115436798"/>
    <n v="640"/>
    <n v="7"/>
    <n v="0"/>
    <n v="0"/>
    <n v="640"/>
    <m/>
    <m/>
    <n v="0"/>
    <x v="0"/>
    <s v="BRMAOTK01S"/>
    <s v="BRMAOCHI"/>
    <n v="11.436796000000001"/>
    <n v="50.002499999999998"/>
    <n v="150"/>
    <n v="800.1133890854400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325"/>
    <n v="100005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738.1624465451514"/>
    <n v="300.01499999999999"/>
    <n v="19314.174647990265"/>
    <n v="1351.9922253593186"/>
    <n v="75"/>
    <n v="150"/>
    <n v="1E-3"/>
    <n v="100.005"/>
    <n v="12367.127365633058"/>
    <n v="12692.132365633057"/>
    <n v="3180.9641611183101"/>
    <n v="7769.1682045147463"/>
    <n v="0.08"/>
    <n v="871.42959716285202"/>
    <n v="7.0000000000000007E-2"/>
    <n v="888.44926559431406"/>
    <n v="15"/>
    <n v="1"/>
  </r>
  <r>
    <n v="475"/>
    <d v="2022-12-31T00:00:00"/>
    <x v="2"/>
    <s v="CLI284"/>
    <s v="CLI284"/>
    <s v="CAMACARI"/>
    <s v="BA"/>
    <s v="CLI875"/>
    <s v="MANAUS"/>
    <s v="AM"/>
    <n v="2614.6546466064642"/>
    <n v="2060.860854"/>
    <n v="0"/>
    <n v="7000"/>
    <n v="0"/>
    <x v="0"/>
    <x v="5"/>
    <s v="BRSSATK01"/>
    <s v="BRSSATCO"/>
    <n v="43.370353000000001"/>
    <n v="28.64"/>
    <n v="150"/>
    <n v="1251.8989070739201"/>
    <n v="225.3418032733056"/>
    <n v="704"/>
    <n v="7"/>
    <n v="0"/>
    <n v="0"/>
    <n v="704"/>
    <m/>
    <m/>
    <n v="0"/>
    <x v="0"/>
    <s v="BRMAOTK01"/>
    <s v="BRMAOCHI"/>
    <n v="11.436796000000001"/>
    <n v="28.64"/>
    <n v="150"/>
    <n v="778.75088908544001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943"/>
    <n v="5728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4.6546466064642"/>
    <n v="171.84"/>
    <n v="18347.263118918636"/>
    <n v="2201.6715742702363"/>
    <n v="110"/>
    <n v="150"/>
    <n v="1E-3"/>
    <n v="57.28"/>
    <n v="12843.084183243045"/>
    <n v="13160.364183243046"/>
    <n v="3180.9641611183101"/>
    <n v="6117.7502259653738"/>
    <n v="0.08"/>
    <n v="872.34980670483026"/>
    <n v="0.12"/>
    <n v="1579.2437019891654"/>
    <n v="15"/>
    <n v="1"/>
  </r>
  <r>
    <n v="476"/>
    <d v="2022-12-31T00:00:00"/>
    <x v="2"/>
    <s v="CLI285"/>
    <s v="CLI285"/>
    <s v="PAULINIA"/>
    <s v="SP"/>
    <s v="CLI875"/>
    <s v="MANAUS"/>
    <s v="AM"/>
    <n v="2581.066007709137"/>
    <n v="2775.6534539999998"/>
    <n v="0"/>
    <n v="7000"/>
    <n v="0"/>
    <x v="0"/>
    <x v="0"/>
    <s v="BRSSZTK01"/>
    <s v="BRSSZTCO"/>
    <n v="195.69980799999999"/>
    <n v="53.181000000000004"/>
    <n v="150"/>
    <n v="3533.4506032051199"/>
    <n v="636.02110857692162"/>
    <n v="640"/>
    <n v="7"/>
    <n v="0"/>
    <n v="0"/>
    <n v="640"/>
    <m/>
    <m/>
    <n v="0"/>
    <x v="0"/>
    <s v="BRMAOTK01"/>
    <s v="BRMAOCHI"/>
    <n v="11.436796000000001"/>
    <n v="53.181000000000004"/>
    <n v="150"/>
    <n v="803.2918890854400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851"/>
    <n v="10636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81.066007709137"/>
    <n v="319.08600000000001"/>
    <n v="18266.410015712445"/>
    <n v="1278.6487010998712"/>
    <n v="110"/>
    <n v="150"/>
    <n v="1E-3"/>
    <n v="106.36200000000001"/>
    <n v="12786.487010998711"/>
    <n v="13152.849010998711"/>
    <n v="3180.9641611183101"/>
    <n v="3893.1423575898411"/>
    <n v="0.08"/>
    <n v="654.40683281049837"/>
    <n v="7.0000000000000007E-2"/>
    <n v="920.69943076990978"/>
    <n v="15"/>
    <n v="1"/>
  </r>
  <r>
    <n v="477"/>
    <d v="2022-12-31T00:00:00"/>
    <x v="2"/>
    <s v="CLI286"/>
    <s v="CLI286"/>
    <s v="DUQUE DE CAXIAS"/>
    <s v="RJ"/>
    <s v="CLI454"/>
    <s v="RECIFE"/>
    <s v="PE"/>
    <n v="2256.9392659999999"/>
    <n v="0"/>
    <n v="0"/>
    <n v="0"/>
    <n v="0"/>
    <x v="0"/>
    <x v="4"/>
    <s v="BRIGITK01"/>
    <s v="BRIGITCO"/>
    <n v="68.801226"/>
    <n v="117.81450000000001"/>
    <n v="150"/>
    <n v="1717.8734972006398"/>
    <n v="343.57469944012797"/>
    <n v="704"/>
    <n v="7"/>
    <n v="0"/>
    <n v="0"/>
    <n v="704"/>
    <m/>
    <m/>
    <n v="0"/>
    <x v="2"/>
    <s v="BRSUATK01"/>
    <s v="BRSUATCO"/>
    <n v="51.681188999999996"/>
    <n v="117.81450000000001"/>
    <n v="150"/>
    <n v="1464.2120721849599"/>
    <n v="263.55817299329277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251"/>
    <n v="235629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256.9392659999999"/>
    <n v="706.88700000000006"/>
    <n v="16453.079277835361"/>
    <n v="1151.7155494484753"/>
    <n v="110"/>
    <n v="150"/>
    <n v="1E-3"/>
    <n v="235.62900000000002"/>
    <n v="11517.155494484752"/>
    <n v="12012.784494484753"/>
    <n v="3180.9641611183101"/>
    <n v="3311.7347639808418"/>
    <n v="0.08"/>
    <n v="657.88528421325839"/>
    <n v="7.0000000000000007E-2"/>
    <n v="840.89491461393277"/>
    <n v="15"/>
    <n v="2"/>
  </r>
  <r>
    <n v="478"/>
    <d v="2022-12-31T00:00:00"/>
    <x v="2"/>
    <s v="CLI286"/>
    <s v="CLI286"/>
    <s v="DUQUE DE CAXIAS"/>
    <s v="RJ"/>
    <s v="CLI61"/>
    <s v="CAMACARI"/>
    <s v="BA"/>
    <n v="1553.920842"/>
    <n v="0"/>
    <n v="0"/>
    <n v="0"/>
    <n v="0"/>
    <x v="0"/>
    <x v="4"/>
    <s v="BRIGITK01"/>
    <s v="BRIGITCO"/>
    <n v="68.801226"/>
    <n v="113.89150000000001"/>
    <n v="150"/>
    <n v="1713.9504972006398"/>
    <n v="342.79009944012796"/>
    <n v="704"/>
    <n v="7"/>
    <n v="0"/>
    <n v="0"/>
    <n v="704"/>
    <m/>
    <m/>
    <n v="0"/>
    <x v="5"/>
    <s v="BRSSATK01"/>
    <s v="BRSSATCO"/>
    <n v="43.370353000000001"/>
    <n v="113.89150000000001"/>
    <n v="150"/>
    <n v="1337.15040707392"/>
    <n v="240.68707327330557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596"/>
    <n v="22778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553.920842"/>
    <n v="683.34900000000005"/>
    <n v="11655.371281188322"/>
    <n v="815.87598968318264"/>
    <n v="110"/>
    <n v="150"/>
    <n v="1E-3"/>
    <n v="227.78300000000002"/>
    <n v="8158.7598968318243"/>
    <n v="8646.5428968318247"/>
    <n v="3180.9641611183101"/>
    <n v="716.47783143895458"/>
    <n v="0.08"/>
    <n v="400.9571855875065"/>
    <n v="7.0000000000000007E-2"/>
    <n v="605.25800277822782"/>
    <n v="15"/>
    <n v="1"/>
  </r>
  <r>
    <n v="479"/>
    <d v="2022-12-31T00:00:00"/>
    <x v="2"/>
    <s v="CLI288"/>
    <s v="CLI288"/>
    <s v="LIMEIRA"/>
    <s v="SP"/>
    <s v="CLI691"/>
    <s v="MANAUS"/>
    <s v="AM"/>
    <n v="2548.2808239196929"/>
    <n v="2734.72939"/>
    <n v="0"/>
    <n v="7000"/>
    <n v="0"/>
    <x v="0"/>
    <x v="0"/>
    <s v="BRSSZTK01"/>
    <s v="BRSSZTCO"/>
    <n v="228.25198399999999"/>
    <n v="76.649000000000001"/>
    <n v="150"/>
    <n v="4039.23247621376"/>
    <n v="727.06184571847677"/>
    <n v="640"/>
    <n v="7"/>
    <n v="0"/>
    <n v="0"/>
    <n v="640"/>
    <m/>
    <m/>
    <n v="0"/>
    <x v="0"/>
    <s v="BRMAOTK01"/>
    <s v="BRMAOCHI"/>
    <n v="11.436796000000001"/>
    <n v="76.649000000000001"/>
    <n v="150"/>
    <n v="826.75988908544002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510"/>
    <n v="15329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48.2808239196929"/>
    <n v="459.89400000000001"/>
    <n v="18184.575144005681"/>
    <n v="1272.9202600803978"/>
    <n v="110"/>
    <n v="150"/>
    <n v="1E-3"/>
    <n v="153.298"/>
    <n v="12729.202600803976"/>
    <n v="13142.500600803976"/>
    <n v="3180.9641611183101"/>
    <n v="3353.544074386466"/>
    <n v="0.08"/>
    <n v="603.955711182904"/>
    <n v="7.0000000000000007E-2"/>
    <n v="919.97504205627843"/>
    <n v="15"/>
    <n v="1"/>
  </r>
  <r>
    <n v="480"/>
    <d v="2022-12-31T00:00:00"/>
    <x v="2"/>
    <s v="CLI290"/>
    <s v="CLI290"/>
    <s v="EUSEBIO"/>
    <s v="CE"/>
    <s v="CLI779"/>
    <s v="MANAUS"/>
    <s v="AM"/>
    <n v="2398.2748939157436"/>
    <n v="1458.154974"/>
    <n v="0"/>
    <n v="7000"/>
    <n v="0"/>
    <x v="0"/>
    <x v="1"/>
    <s v="BRPECTK01"/>
    <s v="BRPECAPM"/>
    <n v="65.770497000000006"/>
    <n v="50.667999999999999"/>
    <n v="150"/>
    <n v="1605.82177667008"/>
    <n v="289.04791980061441"/>
    <n v="768"/>
    <n v="7"/>
    <n v="0"/>
    <n v="0"/>
    <n v="768"/>
    <m/>
    <m/>
    <n v="0"/>
    <x v="0"/>
    <s v="BRMAOTK01"/>
    <s v="BRMAOCHI"/>
    <n v="11.436796000000001"/>
    <n v="50.667999999999999"/>
    <n v="150"/>
    <n v="800.77888908544003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102"/>
    <n v="101336"/>
    <x v="1"/>
    <x v="13"/>
    <x v="12"/>
    <x v="17"/>
    <x v="7"/>
    <x v="12"/>
    <n v="7"/>
    <n v="7"/>
    <n v="7"/>
    <n v="7"/>
    <n v="8"/>
    <n v="7"/>
    <n v="8"/>
    <n v="84"/>
    <n v="7"/>
    <n v="180"/>
    <n v="7"/>
    <n v="180"/>
    <n v="2398.2748939157436"/>
    <n v="304.00799999999998"/>
    <n v="17010.004873586062"/>
    <n v="2041.2005848303274"/>
    <n v="110"/>
    <n v="150"/>
    <n v="1E-3"/>
    <n v="101.336"/>
    <n v="11907.003411510243"/>
    <n v="12268.339411510242"/>
    <n v="3180.9641611183101"/>
    <n v="4750.7745846364105"/>
    <n v="0.08"/>
    <n v="765.81526607632861"/>
    <n v="0.12"/>
    <n v="1472.2007293812289"/>
    <n v="15"/>
    <n v="8"/>
  </r>
  <r>
    <n v="481"/>
    <d v="2022-12-31T00:00:00"/>
    <x v="2"/>
    <s v="CLI290"/>
    <s v="CLI290"/>
    <s v="EUSEBIO"/>
    <s v="CE"/>
    <s v="CLI779"/>
    <s v="MANAUS"/>
    <s v="AM"/>
    <n v="2398.2748939157436"/>
    <n v="1458.154974"/>
    <n v="0"/>
    <n v="7000"/>
    <n v="0"/>
    <x v="0"/>
    <x v="1"/>
    <s v="BRPECTK01"/>
    <s v="BRPECAPM"/>
    <n v="65.770497000000006"/>
    <n v="98.396000000000001"/>
    <n v="150"/>
    <n v="1653.5497766700801"/>
    <n v="297.63895980061437"/>
    <n v="768"/>
    <n v="7"/>
    <n v="0"/>
    <n v="0"/>
    <n v="768"/>
    <m/>
    <m/>
    <n v="0"/>
    <x v="0"/>
    <s v="BRMAOTK01"/>
    <s v="BRMAOCHI"/>
    <n v="11.436796000000001"/>
    <n v="98.396000000000001"/>
    <n v="150"/>
    <n v="848.5068890854399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46"/>
    <n v="196792"/>
    <x v="1"/>
    <x v="14"/>
    <x v="12"/>
    <x v="12"/>
    <x v="1"/>
    <x v="12"/>
    <n v="6"/>
    <n v="6"/>
    <n v="7"/>
    <n v="7"/>
    <n v="7"/>
    <n v="6"/>
    <n v="7"/>
    <n v="76"/>
    <n v="7"/>
    <n v="180"/>
    <n v="7"/>
    <n v="180"/>
    <n v="2398.2748939157436"/>
    <n v="590.37599999999998"/>
    <n v="17296.37287358606"/>
    <n v="2075.5647448303271"/>
    <n v="110"/>
    <n v="150"/>
    <n v="1E-3"/>
    <n v="196.792"/>
    <n v="12107.461011510242"/>
    <n v="12564.253011510242"/>
    <n v="3180.9641611183101"/>
    <n v="4951.2321846364121"/>
    <n v="0.08"/>
    <n v="781.1645908763287"/>
    <n v="0.12"/>
    <n v="1507.7103613812289"/>
    <n v="15"/>
    <n v="7"/>
  </r>
  <r>
    <n v="482"/>
    <d v="2022-12-31T00:00:00"/>
    <x v="2"/>
    <s v="CLI290"/>
    <s v="CLI290"/>
    <s v="EUSEBIO"/>
    <s v="CE"/>
    <s v="CLI883"/>
    <s v="MANAUS"/>
    <s v="AM"/>
    <n v="2398.2748939157436"/>
    <n v="1458.154974"/>
    <n v="0"/>
    <n v="7000"/>
    <n v="0"/>
    <x v="0"/>
    <x v="1"/>
    <s v="BRPECTK01"/>
    <s v="BRPECAPM"/>
    <n v="65.770497000000006"/>
    <n v="72.6905"/>
    <n v="150"/>
    <n v="1627.84427667008"/>
    <n v="293.01196980061439"/>
    <n v="768"/>
    <n v="7"/>
    <n v="0"/>
    <n v="0"/>
    <n v="768"/>
    <m/>
    <m/>
    <n v="0"/>
    <x v="0"/>
    <s v="BRMAOTK01"/>
    <s v="BRMAOCHI"/>
    <n v="11.436796000000001"/>
    <n v="72.6905"/>
    <n v="150"/>
    <n v="822.8013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682"/>
    <n v="14538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98.2748939157436"/>
    <n v="436.14300000000003"/>
    <n v="17142.13987358606"/>
    <n v="2057.0567848303272"/>
    <n v="110"/>
    <n v="150"/>
    <n v="1E-3"/>
    <n v="145.381"/>
    <n v="11999.497911510241"/>
    <n v="12404.878911510241"/>
    <n v="3180.9641611183101"/>
    <n v="4843.2690846364112"/>
    <n v="0.08"/>
    <n v="772.89770207632864"/>
    <n v="0.12"/>
    <n v="1488.5854693812289"/>
    <n v="15"/>
    <n v="1"/>
  </r>
  <r>
    <n v="483"/>
    <d v="2022-12-31T00:00:00"/>
    <x v="2"/>
    <s v="CLI290"/>
    <s v="CLI290"/>
    <s v="EUSEBIO"/>
    <s v="CE"/>
    <s v="CLI694"/>
    <s v="MANAUS"/>
    <s v="AM"/>
    <n v="2398.2748939157436"/>
    <n v="1458.154974"/>
    <n v="0"/>
    <n v="7000"/>
    <n v="0"/>
    <x v="0"/>
    <x v="1"/>
    <s v="BRPECTK01"/>
    <s v="BRPECAPM"/>
    <n v="65.770497000000006"/>
    <n v="84.204999999999998"/>
    <n v="150"/>
    <n v="1639.35877667008"/>
    <n v="295.08457980061439"/>
    <n v="768"/>
    <n v="7"/>
    <n v="0"/>
    <n v="0"/>
    <n v="768"/>
    <m/>
    <m/>
    <n v="0"/>
    <x v="0"/>
    <s v="BRMAOTK01"/>
    <s v="BRMAOCHI"/>
    <n v="11.436796000000001"/>
    <n v="84.204999999999998"/>
    <n v="150"/>
    <n v="834.3158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075"/>
    <n v="16841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98.2748939157436"/>
    <n v="505.23"/>
    <n v="17211.22687358606"/>
    <n v="2065.3472248303269"/>
    <n v="110"/>
    <n v="150"/>
    <n v="1E-3"/>
    <n v="168.41"/>
    <n v="12047.858811510241"/>
    <n v="12476.268811510241"/>
    <n v="3180.9641611183101"/>
    <n v="4891.6299846364109"/>
    <n v="0.08"/>
    <n v="776.60076527632862"/>
    <n v="0.12"/>
    <n v="1497.1522573812288"/>
    <n v="15"/>
    <n v="1"/>
  </r>
  <r>
    <n v="484"/>
    <d v="2022-12-31T00:00:00"/>
    <x v="2"/>
    <s v="CLI290"/>
    <s v="CLI290"/>
    <s v="EUSEBIO"/>
    <s v="CE"/>
    <s v="CLI1038"/>
    <s v="MANAUS"/>
    <s v="AM"/>
    <n v="2398.2748939157436"/>
    <n v="1458.154974"/>
    <n v="0"/>
    <n v="7000"/>
    <n v="0"/>
    <x v="0"/>
    <x v="1"/>
    <s v="BRPECTK01"/>
    <s v="BRPECAPM"/>
    <n v="65.770497000000006"/>
    <n v="80.408500000000004"/>
    <n v="150"/>
    <n v="1635.5622766700801"/>
    <n v="294.40120980061442"/>
    <n v="768"/>
    <n v="7"/>
    <n v="0"/>
    <n v="0"/>
    <n v="768"/>
    <m/>
    <m/>
    <n v="0"/>
    <x v="0"/>
    <s v="BRMAOTK01"/>
    <s v="BRMAOCHI"/>
    <n v="11.436796000000001"/>
    <n v="80.408500000000004"/>
    <n v="150"/>
    <n v="830.51938908544003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139"/>
    <n v="16081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98.2748939157436"/>
    <n v="482.45100000000002"/>
    <n v="17188.447873586061"/>
    <n v="2062.6137448303271"/>
    <n v="110"/>
    <n v="150"/>
    <n v="1E-3"/>
    <n v="160.81700000000001"/>
    <n v="12031.913511510242"/>
    <n v="12452.730511510243"/>
    <n v="3180.9641611183101"/>
    <n v="4875.6846846364115"/>
    <n v="0.08"/>
    <n v="775.37981087632852"/>
    <n v="0.12"/>
    <n v="1494.3276613812291"/>
    <n v="15"/>
    <n v="1"/>
  </r>
  <r>
    <n v="485"/>
    <d v="2022-12-31T00:00:00"/>
    <x v="3"/>
    <s v="CLI291"/>
    <s v="CLI291"/>
    <s v="FORTALEZA"/>
    <s v="CE"/>
    <s v="CLI838"/>
    <s v="MANAUS"/>
    <s v="AM"/>
    <n v="2387.8699358927988"/>
    <n v="1441.3172649999999"/>
    <n v="0"/>
    <n v="7000"/>
    <n v="0"/>
    <x v="0"/>
    <x v="1"/>
    <s v="BRPECTK01"/>
    <s v="BRPECAPM"/>
    <n v="42.140103000000003"/>
    <n v="34.858499999999999"/>
    <n v="150"/>
    <n v="1239.88923571392"/>
    <n v="223.18006242850561"/>
    <n v="768"/>
    <n v="7"/>
    <n v="0"/>
    <n v="0"/>
    <n v="768"/>
    <m/>
    <m/>
    <n v="0"/>
    <x v="0"/>
    <s v="BRMAOTK01S"/>
    <s v="BRMAOCHI"/>
    <n v="11.436796000000001"/>
    <n v="34.858499999999999"/>
    <n v="150"/>
    <n v="784.9693890854400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457"/>
    <n v="69717"/>
    <x v="1"/>
    <x v="1"/>
    <x v="1"/>
    <x v="1"/>
    <x v="8"/>
    <x v="1"/>
    <n v="5"/>
    <n v="5"/>
    <n v="6"/>
    <n v="6"/>
    <n v="6"/>
    <n v="5"/>
    <n v="6"/>
    <n v="64"/>
    <n v="7"/>
    <n v="180"/>
    <n v="7"/>
    <n v="180"/>
    <n v="2387.8699358927988"/>
    <n v="209.15100000000001"/>
    <n v="16844.488219850566"/>
    <n v="2021.3385863820679"/>
    <n v="110"/>
    <n v="150"/>
    <n v="1E-3"/>
    <n v="69.716999999999999"/>
    <n v="11241.663181535587"/>
    <n v="11571.380181535587"/>
    <n v="3180.9641611183101"/>
    <n v="5220.5267847033574"/>
    <n v="0.08"/>
    <n v="745.86731954461777"/>
    <n v="0.12"/>
    <n v="1388.5656217842704"/>
    <n v="15"/>
    <n v="6"/>
  </r>
  <r>
    <n v="486"/>
    <d v="2022-12-31T00:00:00"/>
    <x v="3"/>
    <s v="CLI291"/>
    <s v="CLI291"/>
    <s v="FORTALEZA"/>
    <s v="CE"/>
    <s v="CLI623"/>
    <s v="MANAUS"/>
    <s v="AM"/>
    <n v="2387.8699358927988"/>
    <n v="1441.3172649999999"/>
    <n v="0"/>
    <n v="7000"/>
    <n v="0"/>
    <x v="0"/>
    <x v="1"/>
    <s v="BRPECTK01"/>
    <s v="BRPECAPM"/>
    <n v="42.140103000000003"/>
    <n v="63.502000000000002"/>
    <n v="150"/>
    <n v="1268.5327357139199"/>
    <n v="228.33589242850559"/>
    <n v="768"/>
    <n v="7"/>
    <n v="0"/>
    <n v="0"/>
    <n v="768"/>
    <m/>
    <m/>
    <n v="0"/>
    <x v="0"/>
    <s v="BRMAOTK01S"/>
    <s v="BRMAOCHI"/>
    <n v="11.436796000000001"/>
    <n v="63.502000000000002"/>
    <n v="150"/>
    <n v="813.6128890854399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691"/>
    <n v="127004"/>
    <x v="1"/>
    <x v="0"/>
    <x v="5"/>
    <x v="4"/>
    <x v="0"/>
    <x v="0"/>
    <n v="3"/>
    <n v="3"/>
    <n v="4"/>
    <n v="4"/>
    <n v="4"/>
    <n v="3"/>
    <n v="4"/>
    <n v="40"/>
    <n v="7"/>
    <n v="180"/>
    <n v="7"/>
    <n v="180"/>
    <n v="2387.8699358927988"/>
    <n v="381.012"/>
    <n v="17016.349219850563"/>
    <n v="2041.9619063820674"/>
    <n v="110"/>
    <n v="150"/>
    <n v="1E-3"/>
    <n v="127.004"/>
    <n v="11341.915431535586"/>
    <n v="11728.919431535587"/>
    <n v="3180.9641611183101"/>
    <n v="5349.4225347033571"/>
    <n v="0.08"/>
    <n v="753.47503314461778"/>
    <n v="0.12"/>
    <n v="1407.4703317842705"/>
    <n v="15"/>
    <n v="4"/>
  </r>
  <r>
    <n v="487"/>
    <d v="2022-12-31T00:00:00"/>
    <x v="2"/>
    <s v="CLI291"/>
    <s v="CLI291"/>
    <s v="FORTALEZA"/>
    <s v="CE"/>
    <s v="CLI746"/>
    <s v="MANAUS"/>
    <s v="AM"/>
    <n v="2387.8699358927988"/>
    <n v="1441.3172649999999"/>
    <n v="0"/>
    <n v="7000"/>
    <n v="0"/>
    <x v="0"/>
    <x v="1"/>
    <s v="BRPECTK01"/>
    <s v="BRPECAPM"/>
    <n v="42.140103000000003"/>
    <n v="124.889"/>
    <n v="150"/>
    <n v="1329.9197357139199"/>
    <n v="239.38555242850558"/>
    <n v="768"/>
    <n v="7"/>
    <n v="0"/>
    <n v="0"/>
    <n v="768"/>
    <m/>
    <m/>
    <n v="0"/>
    <x v="0"/>
    <s v="BRMAOTK01"/>
    <s v="BRMAOCHI"/>
    <n v="11.436796000000001"/>
    <n v="124.889"/>
    <n v="150"/>
    <n v="874.99988908544003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059"/>
    <n v="249778"/>
    <x v="1"/>
    <x v="0"/>
    <x v="0"/>
    <x v="4"/>
    <x v="2"/>
    <x v="2"/>
    <n v="3"/>
    <n v="3"/>
    <n v="3"/>
    <n v="3"/>
    <n v="3"/>
    <n v="3"/>
    <n v="3"/>
    <n v="33"/>
    <n v="7"/>
    <n v="180"/>
    <n v="7"/>
    <n v="180"/>
    <n v="2387.8699358927988"/>
    <n v="749.33400000000006"/>
    <n v="17384.671219850563"/>
    <n v="2086.1605463820674"/>
    <n v="110"/>
    <n v="150"/>
    <n v="1E-3"/>
    <n v="249.77799999999999"/>
    <n v="12169.269853895394"/>
    <n v="12679.047853895394"/>
    <n v="3180.9641611183101"/>
    <n v="5363.1640679777229"/>
    <n v="0.08"/>
    <n v="818.77941413340216"/>
    <n v="0.12"/>
    <n v="1521.4857424674472"/>
    <n v="15"/>
    <n v="3"/>
  </r>
  <r>
    <n v="488"/>
    <d v="2022-12-31T00:00:00"/>
    <x v="3"/>
    <s v="CLI291"/>
    <s v="CLI291"/>
    <s v="FORTALEZA"/>
    <s v="CE"/>
    <s v="CLI1109"/>
    <s v="MANAUS"/>
    <s v="AM"/>
    <n v="2387.8699358927988"/>
    <n v="1441.3172649999999"/>
    <n v="0"/>
    <n v="7000"/>
    <n v="0"/>
    <x v="0"/>
    <x v="1"/>
    <s v="BRPECTK01"/>
    <s v="BRPECAPM"/>
    <n v="42.140103000000003"/>
    <n v="41.555"/>
    <n v="150"/>
    <n v="1246.58573571392"/>
    <n v="224.3854324285056"/>
    <n v="768"/>
    <n v="7"/>
    <n v="0"/>
    <n v="0"/>
    <n v="768"/>
    <m/>
    <m/>
    <n v="0"/>
    <x v="0"/>
    <s v="BRMAOTK01S"/>
    <s v="BRMAOCHI"/>
    <n v="11.436796000000001"/>
    <n v="41.555"/>
    <n v="150"/>
    <n v="791.6658890854399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185"/>
    <n v="83110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2387.8699358927988"/>
    <n v="249.33"/>
    <n v="16884.667219850566"/>
    <n v="2026.1600663820677"/>
    <n v="110"/>
    <n v="150"/>
    <n v="1E-3"/>
    <n v="83.11"/>
    <n v="11265.100931535588"/>
    <n v="11608.210931535588"/>
    <n v="3180.9641611183101"/>
    <n v="5250.6610347033584"/>
    <n v="0.08"/>
    <n v="747.64590994461787"/>
    <n v="0.12"/>
    <n v="1392.9853117842706"/>
    <n v="15"/>
    <n v="2"/>
  </r>
  <r>
    <n v="489"/>
    <d v="2022-12-31T00:00:00"/>
    <x v="3"/>
    <s v="CLI291"/>
    <s v="CLI291"/>
    <s v="FORTALEZA"/>
    <s v="CE"/>
    <s v="CLI1070"/>
    <s v="MANAUS"/>
    <s v="AM"/>
    <n v="2387.8699358927988"/>
    <n v="1441.3172649999999"/>
    <n v="0"/>
    <n v="7000"/>
    <n v="0"/>
    <x v="0"/>
    <x v="1"/>
    <s v="BRPECTK01"/>
    <s v="BRPECAPM"/>
    <n v="42.140103000000003"/>
    <n v="93.51"/>
    <n v="150"/>
    <n v="1298.54073571392"/>
    <n v="233.7373324285056"/>
    <n v="768"/>
    <n v="7"/>
    <n v="0"/>
    <n v="0"/>
    <n v="768"/>
    <m/>
    <m/>
    <n v="0"/>
    <x v="0"/>
    <s v="BRMAOTK01S"/>
    <s v="BRMAOCHI"/>
    <n v="11.436796000000001"/>
    <n v="93.51"/>
    <n v="150"/>
    <n v="843.6208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008"/>
    <n v="18702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87.8699358927988"/>
    <n v="561.06000000000006"/>
    <n v="17196.397219850565"/>
    <n v="2063.5676663820677"/>
    <n v="110"/>
    <n v="150"/>
    <n v="1E-3"/>
    <n v="187.02"/>
    <n v="11446.943431535587"/>
    <n v="11893.963431535587"/>
    <n v="3180.9641611183101"/>
    <n v="5484.4585347033571"/>
    <n v="0.08"/>
    <n v="761.44515794461779"/>
    <n v="0.12"/>
    <n v="1427.2756117842705"/>
    <n v="15"/>
    <n v="1"/>
  </r>
  <r>
    <n v="490"/>
    <d v="2022-12-31T00:00:00"/>
    <x v="3"/>
    <s v="CLI291"/>
    <s v="CLI291"/>
    <s v="FORTALEZA"/>
    <s v="CE"/>
    <s v="CLI541"/>
    <s v="MANAUS"/>
    <s v="AM"/>
    <n v="2387.8699358927988"/>
    <n v="1441.3172649999999"/>
    <n v="0"/>
    <n v="7000"/>
    <n v="0"/>
    <x v="0"/>
    <x v="1"/>
    <s v="BRPECTK01"/>
    <s v="BRPECAPM"/>
    <n v="42.140103000000003"/>
    <n v="87.475999999999999"/>
    <n v="150"/>
    <n v="1292.5067357139201"/>
    <n v="232.6512124285056"/>
    <n v="768"/>
    <n v="7"/>
    <n v="0"/>
    <n v="0"/>
    <n v="768"/>
    <m/>
    <m/>
    <n v="0"/>
    <x v="0"/>
    <s v="BRMAOTK01S"/>
    <s v="BRMAOCHI"/>
    <n v="11.436796000000001"/>
    <n v="87.475999999999999"/>
    <n v="150"/>
    <n v="837.58688908544002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449"/>
    <n v="17495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87.8699358927988"/>
    <n v="524.85599999999999"/>
    <n v="17160.193219850564"/>
    <n v="2059.2231863820675"/>
    <n v="110"/>
    <n v="150"/>
    <n v="1E-3"/>
    <n v="174.952"/>
    <n v="11425.824431535586"/>
    <n v="11860.776431535585"/>
    <n v="3180.9641611183101"/>
    <n v="5457.3055347033551"/>
    <n v="0.08"/>
    <n v="759.84252754461761"/>
    <n v="0.12"/>
    <n v="1423.2931717842703"/>
    <n v="15"/>
    <n v="1"/>
  </r>
  <r>
    <n v="491"/>
    <d v="2022-12-31T00:00:00"/>
    <x v="2"/>
    <s v="CLI292"/>
    <s v="CLI292"/>
    <s v="JABOATAO DOS GUARARAPES"/>
    <s v="PE"/>
    <s v="CLI770"/>
    <s v="MANAUS"/>
    <s v="AM"/>
    <n v="2824.724442364587"/>
    <n v="2038.9469220000001"/>
    <n v="0"/>
    <n v="7000"/>
    <n v="0"/>
    <x v="0"/>
    <x v="3"/>
    <s v="BRSUATK01"/>
    <s v="BRSUATCO"/>
    <n v="43.495365"/>
    <n v="57.772500000000001"/>
    <n v="150"/>
    <n v="1282.8836648736001"/>
    <n v="230.91905967724801"/>
    <n v="1344"/>
    <n v="7"/>
    <n v="0"/>
    <n v="0"/>
    <n v="1344"/>
    <m/>
    <m/>
    <n v="0"/>
    <x v="0"/>
    <s v="BRMAOTK01"/>
    <s v="BRMAOCHI"/>
    <n v="11.436796000000001"/>
    <n v="57.772500000000001"/>
    <n v="150"/>
    <n v="807.88338908544006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374"/>
    <n v="11554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24.724442364587"/>
    <n v="346.63499999999999"/>
    <n v="19948.633699120215"/>
    <n v="2393.8360438944255"/>
    <n v="110"/>
    <n v="150"/>
    <n v="1E-3"/>
    <n v="115.545"/>
    <n v="13964.04358938415"/>
    <n v="14339.58858938415"/>
    <n v="3180.9641611183101"/>
    <n v="6631.8573743067991"/>
    <n v="0.08"/>
    <n v="961.43219805982892"/>
    <n v="0.12"/>
    <n v="1720.7506307260978"/>
    <n v="15"/>
    <n v="2"/>
  </r>
  <r>
    <n v="492"/>
    <d v="2022-12-31T00:00:00"/>
    <x v="2"/>
    <s v="CLI293"/>
    <s v="CLI293"/>
    <s v="MARACANAU"/>
    <s v="CE"/>
    <s v="CLI779"/>
    <s v="MANAUS"/>
    <s v="AM"/>
    <n v="2379.3453616800616"/>
    <n v="1441.5450940000001"/>
    <n v="0"/>
    <n v="7000"/>
    <n v="0"/>
    <x v="0"/>
    <x v="1"/>
    <s v="BRPECTK01"/>
    <s v="BRPECAPM"/>
    <n v="52.945568000000002"/>
    <n v="35.445999999999998"/>
    <n v="150"/>
    <n v="1400.57742065152"/>
    <n v="252.1039357172736"/>
    <n v="768"/>
    <n v="7"/>
    <n v="0"/>
    <n v="0"/>
    <n v="768"/>
    <m/>
    <m/>
    <n v="0"/>
    <x v="0"/>
    <s v="BRMAOTK01"/>
    <s v="BRMAOCHI"/>
    <n v="11.436796000000001"/>
    <n v="35.445999999999998"/>
    <n v="150"/>
    <n v="785.55688908544005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170"/>
    <n v="70892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2379.3453616800616"/>
    <n v="212.67600000000002"/>
    <n v="16790.123177354835"/>
    <n v="2014.81478128258"/>
    <n v="110"/>
    <n v="150"/>
    <n v="1E-3"/>
    <n v="70.891999999999996"/>
    <n v="11753.086224148385"/>
    <n v="12083.978224148384"/>
    <n v="3180.9641611183101"/>
    <n v="4786.8797532931148"/>
    <n v="0.08"/>
    <n v="771.65919829553218"/>
    <n v="0.12"/>
    <n v="1450.077386897806"/>
    <n v="15"/>
    <n v="5"/>
  </r>
  <r>
    <n v="493"/>
    <d v="2022-12-31T00:00:00"/>
    <x v="2"/>
    <s v="CLI293"/>
    <s v="CLI293"/>
    <s v="MARACANAU"/>
    <s v="CE"/>
    <s v="CLI779"/>
    <s v="MANAUS"/>
    <s v="AM"/>
    <n v="2379.3453616800616"/>
    <n v="1441.5450940000001"/>
    <n v="0"/>
    <n v="7000"/>
    <n v="0"/>
    <x v="0"/>
    <x v="1"/>
    <s v="BRPECTK01"/>
    <s v="BRPECAPM"/>
    <n v="52.945568000000002"/>
    <n v="106.786"/>
    <n v="150"/>
    <n v="1471.9174206515202"/>
    <n v="264.94513571727362"/>
    <n v="768"/>
    <n v="7"/>
    <n v="0"/>
    <n v="0"/>
    <n v="768"/>
    <m/>
    <m/>
    <n v="0"/>
    <x v="0"/>
    <s v="BRMAOTK01"/>
    <s v="BRMAOCHI"/>
    <n v="11.436796000000001"/>
    <n v="106.786"/>
    <n v="150"/>
    <n v="856.8968890854400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120"/>
    <n v="213572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379.3453616800616"/>
    <n v="640.71600000000001"/>
    <n v="17218.163177354836"/>
    <n v="2066.1795812825803"/>
    <n v="110"/>
    <n v="150"/>
    <n v="1E-3"/>
    <n v="213.572"/>
    <n v="12052.714224148385"/>
    <n v="12526.286224148385"/>
    <n v="3180.9641611183101"/>
    <n v="5086.5077532931155"/>
    <n v="0.08"/>
    <n v="794.6021422955323"/>
    <n v="0.12"/>
    <n v="1503.1543468978061"/>
    <n v="15"/>
    <n v="3"/>
  </r>
  <r>
    <n v="494"/>
    <d v="2022-12-31T00:00:00"/>
    <x v="2"/>
    <s v="CLI293"/>
    <s v="CLI293"/>
    <s v="MARACANAU"/>
    <s v="CE"/>
    <s v="CLI1244"/>
    <s v="MANAUS"/>
    <s v="AM"/>
    <n v="2379.3453616800616"/>
    <n v="1441.5450940000001"/>
    <n v="0"/>
    <n v="7000"/>
    <n v="0"/>
    <x v="0"/>
    <x v="1"/>
    <s v="BRPECTK01"/>
    <s v="BRPECAPM"/>
    <n v="52.945568000000002"/>
    <n v="45.228999999999999"/>
    <n v="150"/>
    <n v="1410.3604206515201"/>
    <n v="253.86487571727361"/>
    <n v="768"/>
    <n v="7"/>
    <n v="0"/>
    <n v="0"/>
    <n v="768"/>
    <m/>
    <m/>
    <n v="0"/>
    <x v="0"/>
    <s v="BRMAOTK01"/>
    <s v="BRMAOCHI"/>
    <n v="11.436796000000001"/>
    <n v="45.228999999999999"/>
    <n v="150"/>
    <n v="795.3398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556"/>
    <n v="90458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9.3453616800616"/>
    <n v="271.37400000000002"/>
    <n v="16848.821177354836"/>
    <n v="2021.8585412825803"/>
    <n v="110"/>
    <n v="150"/>
    <n v="1E-3"/>
    <n v="90.457999999999998"/>
    <n v="11794.174824148384"/>
    <n v="12144.632824148384"/>
    <n v="3180.9641611183101"/>
    <n v="4827.9683532931122"/>
    <n v="0.08"/>
    <n v="774.80541109553189"/>
    <n v="0.12"/>
    <n v="1457.355938897806"/>
    <n v="15"/>
    <n v="2"/>
  </r>
  <r>
    <n v="495"/>
    <d v="2022-12-31T00:00:00"/>
    <x v="2"/>
    <s v="CLI293"/>
    <s v="CLI293"/>
    <s v="MARACANAU"/>
    <s v="CE"/>
    <s v="CLI1195"/>
    <s v="MANAUS"/>
    <s v="AM"/>
    <n v="2379.3453616800616"/>
    <n v="1441.5450940000001"/>
    <n v="0"/>
    <n v="7000"/>
    <n v="0"/>
    <x v="0"/>
    <x v="1"/>
    <s v="BRPECTK01"/>
    <s v="BRPECAPM"/>
    <n v="52.945568000000002"/>
    <n v="102.53750000000001"/>
    <n v="150"/>
    <n v="1467.66892065152"/>
    <n v="264.18040571727357"/>
    <n v="768"/>
    <n v="7"/>
    <n v="0"/>
    <n v="0"/>
    <n v="768"/>
    <m/>
    <m/>
    <n v="0"/>
    <x v="0"/>
    <s v="BRMAOTK01"/>
    <s v="BRMAOCHI"/>
    <n v="11.436796000000001"/>
    <n v="102.53750000000001"/>
    <n v="150"/>
    <n v="852.6483890854400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675"/>
    <n v="20507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9.3453616800616"/>
    <n v="615.22500000000002"/>
    <n v="17192.672177354834"/>
    <n v="2063.1206612825799"/>
    <n v="110"/>
    <n v="150"/>
    <n v="1E-3"/>
    <n v="205.07500000000002"/>
    <n v="12034.870524148384"/>
    <n v="12499.945524148385"/>
    <n v="3180.9641611183101"/>
    <n v="5068.6640532931142"/>
    <n v="0.08"/>
    <n v="793.23582469553207"/>
    <n v="0.12"/>
    <n v="1499.993462897806"/>
    <n v="15"/>
    <n v="2"/>
  </r>
  <r>
    <n v="496"/>
    <d v="2022-12-31T00:00:00"/>
    <x v="2"/>
    <s v="CLI293"/>
    <s v="CLI293"/>
    <s v="MARACANAU"/>
    <s v="CE"/>
    <s v="CLI1038"/>
    <s v="MANAUS"/>
    <s v="AM"/>
    <n v="2379.3453616800616"/>
    <n v="1441.5450940000001"/>
    <n v="0"/>
    <n v="7000"/>
    <n v="0"/>
    <x v="0"/>
    <x v="1"/>
    <s v="BRPECTK01"/>
    <s v="BRPECAPM"/>
    <n v="52.945568000000002"/>
    <n v="104.21000000000001"/>
    <n v="150"/>
    <n v="1469.3414206515201"/>
    <n v="264.4814557172736"/>
    <n v="768"/>
    <n v="7"/>
    <n v="0"/>
    <n v="0"/>
    <n v="768"/>
    <m/>
    <m/>
    <n v="0"/>
    <x v="0"/>
    <s v="BRMAOTK01"/>
    <s v="BRMAOCHI"/>
    <n v="11.436796000000001"/>
    <n v="104.21000000000001"/>
    <n v="150"/>
    <n v="854.3208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06"/>
    <n v="208420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2379.3453616800616"/>
    <n v="625.26"/>
    <n v="17202.707177354834"/>
    <n v="2064.3248612825801"/>
    <n v="110"/>
    <n v="150"/>
    <n v="1E-3"/>
    <n v="208.42000000000002"/>
    <n v="12041.895024148384"/>
    <n v="12510.315024148384"/>
    <n v="3180.9641611183101"/>
    <n v="5075.6885532931119"/>
    <n v="0.08"/>
    <n v="793.77370069553194"/>
    <n v="0.12"/>
    <n v="1501.237802897806"/>
    <n v="15"/>
    <n v="2"/>
  </r>
  <r>
    <n v="497"/>
    <d v="2022-12-31T00:00:00"/>
    <x v="2"/>
    <s v="CLI293"/>
    <s v="CLI293"/>
    <s v="MARACANAU"/>
    <s v="CE"/>
    <s v="CLI974"/>
    <s v="MANAUS"/>
    <s v="AM"/>
    <n v="2379.3453616800616"/>
    <n v="1441.5450940000001"/>
    <n v="0"/>
    <n v="7000"/>
    <n v="0"/>
    <x v="0"/>
    <x v="1"/>
    <s v="BRPECTK01"/>
    <s v="BRPECAPM"/>
    <n v="52.945568000000002"/>
    <n v="59.051500000000004"/>
    <n v="150"/>
    <n v="1424.1829206515201"/>
    <n v="256.35292571727359"/>
    <n v="768"/>
    <n v="7"/>
    <n v="0"/>
    <n v="0"/>
    <n v="768"/>
    <m/>
    <m/>
    <n v="0"/>
    <x v="0"/>
    <s v="BRMAOTK01"/>
    <s v="BRMAOCHI"/>
    <n v="11.436796000000001"/>
    <n v="59.051500000000004"/>
    <n v="150"/>
    <n v="809.16238908544005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39"/>
    <n v="11810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354.30900000000003"/>
    <n v="16931.756177354837"/>
    <n v="2031.8107412825802"/>
    <n v="110"/>
    <n v="150"/>
    <n v="1E-3"/>
    <n v="118.10300000000001"/>
    <n v="11852.229324148386"/>
    <n v="12230.332324148385"/>
    <n v="3180.9641611183101"/>
    <n v="4886.0228532931142"/>
    <n v="0.08"/>
    <n v="779.25072709553206"/>
    <n v="0.12"/>
    <n v="1467.6398788978061"/>
    <n v="15"/>
    <n v="1"/>
  </r>
  <r>
    <n v="498"/>
    <d v="2022-12-31T00:00:00"/>
    <x v="2"/>
    <s v="CLI293"/>
    <s v="CLI293"/>
    <s v="MARACANAU"/>
    <s v="CE"/>
    <s v="CLI561"/>
    <s v="MANAUS"/>
    <s v="AM"/>
    <n v="2379.3453616800616"/>
    <n v="1441.5450940000001"/>
    <n v="0"/>
    <n v="7000"/>
    <n v="0"/>
    <x v="0"/>
    <x v="1"/>
    <s v="BRPECTK01"/>
    <s v="BRPECAPM"/>
    <n v="52.945568000000002"/>
    <n v="102.202"/>
    <n v="150"/>
    <n v="1467.3334206515201"/>
    <n v="264.12001571727359"/>
    <n v="768"/>
    <n v="7"/>
    <n v="0"/>
    <n v="0"/>
    <n v="768"/>
    <m/>
    <m/>
    <n v="0"/>
    <x v="0"/>
    <s v="BRMAOTK01"/>
    <s v="BRMAOCHI"/>
    <n v="11.436796000000001"/>
    <n v="102.202"/>
    <n v="150"/>
    <n v="852.31288908544002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171"/>
    <n v="20440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613.21199999999999"/>
    <n v="17190.659177354835"/>
    <n v="2062.87910128258"/>
    <n v="110"/>
    <n v="150"/>
    <n v="1E-3"/>
    <n v="204.404"/>
    <n v="12033.461424148383"/>
    <n v="12497.865424148384"/>
    <n v="3180.9641611183101"/>
    <n v="5067.2549532931134"/>
    <n v="0.08"/>
    <n v="793.12792789553203"/>
    <n v="0.12"/>
    <n v="1499.7438508978059"/>
    <n v="15"/>
    <n v="1"/>
  </r>
  <r>
    <n v="499"/>
    <d v="2022-12-31T00:00:00"/>
    <x v="2"/>
    <s v="CLI293"/>
    <s v="CLI293"/>
    <s v="MARACANAU"/>
    <s v="CE"/>
    <s v="CLI561"/>
    <s v="MANAUS"/>
    <s v="AM"/>
    <n v="2379.3453616800616"/>
    <n v="1441.5450940000001"/>
    <n v="0"/>
    <n v="7000"/>
    <n v="0"/>
    <x v="0"/>
    <x v="1"/>
    <s v="BRPECTK01"/>
    <s v="BRPECAPM"/>
    <n v="52.945568000000002"/>
    <n v="28.163499999999999"/>
    <n v="150"/>
    <n v="1393.29492065152"/>
    <n v="250.79308571727358"/>
    <n v="768"/>
    <n v="7"/>
    <n v="0"/>
    <n v="0"/>
    <n v="768"/>
    <m/>
    <m/>
    <n v="0"/>
    <x v="0"/>
    <s v="BRMAOTK01"/>
    <s v="BRMAOCHI"/>
    <n v="11.436796000000001"/>
    <n v="28.163499999999999"/>
    <n v="150"/>
    <n v="778.27438908544002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353"/>
    <n v="5632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168.98099999999999"/>
    <n v="16746.428177354835"/>
    <n v="2009.5713812825802"/>
    <n v="110"/>
    <n v="150"/>
    <n v="1E-3"/>
    <n v="56.326999999999998"/>
    <n v="11722.499724148383"/>
    <n v="12038.826724148383"/>
    <n v="3180.9641611183101"/>
    <n v="4756.2932532931118"/>
    <n v="0.08"/>
    <n v="769.31714629553187"/>
    <n v="0.12"/>
    <n v="1444.6592068978059"/>
    <n v="15"/>
    <n v="1"/>
  </r>
  <r>
    <n v="500"/>
    <d v="2022-12-31T00:00:00"/>
    <x v="0"/>
    <s v="CLI294"/>
    <s v="CLI294"/>
    <s v="IPOJUCA"/>
    <s v="PE"/>
    <s v="CLI23"/>
    <s v="MANAUS"/>
    <s v="AM"/>
    <n v="2824.7841972531837"/>
    <n v="2060.3329469999999"/>
    <n v="0"/>
    <n v="7000"/>
    <n v="0"/>
    <x v="0"/>
    <x v="3"/>
    <s v="BRSUATK01S"/>
    <s v="BRSUATCO"/>
    <n v="23.753726"/>
    <n v="119.5445"/>
    <n v="150"/>
    <n v="1052.1509068006399"/>
    <n v="0"/>
    <n v="1344"/>
    <n v="7"/>
    <n v="0"/>
    <n v="0"/>
    <n v="1344"/>
    <m/>
    <m/>
    <n v="0"/>
    <x v="0"/>
    <s v="BRMAOTK01S"/>
    <s v="BRMAOCHI"/>
    <n v="11.436796000000001"/>
    <n v="119.5445"/>
    <n v="150"/>
    <n v="869.65538908543999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97"/>
    <n v="239089"/>
    <x v="0"/>
    <x v="25"/>
    <x v="21"/>
    <x v="22"/>
    <x v="23"/>
    <x v="23"/>
    <n v="54"/>
    <n v="54"/>
    <n v="56"/>
    <n v="55"/>
    <n v="51"/>
    <n v="44"/>
    <n v="47"/>
    <n v="602"/>
    <n v="7"/>
    <n v="110"/>
    <n v="7"/>
    <n v="110"/>
    <n v="2824.7841972531837"/>
    <n v="717.26700000000005"/>
    <n v="20319.671492178484"/>
    <n v="2438.3605790614179"/>
    <n v="75"/>
    <n v="150"/>
    <n v="1E-3"/>
    <n v="239.089"/>
    <n v="12878.505637404684"/>
    <n v="13342.594637404683"/>
    <n v="3180.9641611183101"/>
    <n v="7725.6304762863729"/>
    <n v="0.08"/>
    <n v="913.66306732148837"/>
    <n v="0.12"/>
    <n v="1601.111356488562"/>
    <n v="15"/>
    <n v="56"/>
  </r>
  <r>
    <n v="501"/>
    <d v="2022-12-31T00:00:00"/>
    <x v="0"/>
    <s v="CLI294"/>
    <s v="CLI294"/>
    <s v="IPOJUCA"/>
    <s v="PE"/>
    <s v="CLI733"/>
    <s v="ITAGUAI"/>
    <s v="RJ"/>
    <n v="2247.6655129999999"/>
    <n v="0"/>
    <n v="0"/>
    <n v="0"/>
    <n v="0"/>
    <x v="0"/>
    <x v="3"/>
    <s v="BRSUATK01S"/>
    <s v="BRSUATCO"/>
    <n v="23.753726"/>
    <n v="30.103999999999999"/>
    <n v="150"/>
    <n v="962.71040680064004"/>
    <n v="0"/>
    <n v="1344"/>
    <n v="7"/>
    <n v="0"/>
    <n v="0"/>
    <n v="1344"/>
    <m/>
    <m/>
    <n v="0"/>
    <x v="4"/>
    <s v="BRIGITK01S"/>
    <s v="BRIGITCO"/>
    <n v="14.539448"/>
    <n v="30.103999999999999"/>
    <n v="150"/>
    <n v="826.18576681472007"/>
    <n v="0"/>
    <n v="704"/>
    <n v="7"/>
    <n v="0"/>
    <n v="0"/>
    <n v="704"/>
    <s v="BRSUADP01"/>
    <n v="95"/>
    <n v="70"/>
    <n v="0"/>
    <n v="0"/>
    <n v="0"/>
    <n v="95"/>
    <n v="260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565"/>
    <n v="60208"/>
    <x v="0"/>
    <x v="7"/>
    <x v="8"/>
    <x v="23"/>
    <x v="24"/>
    <x v="8"/>
    <n v="19"/>
    <n v="19"/>
    <n v="20"/>
    <n v="20"/>
    <n v="19"/>
    <n v="16"/>
    <n v="17"/>
    <n v="218"/>
    <n v="7"/>
    <n v="110"/>
    <n v="7"/>
    <n v="110"/>
    <n v="2247.6655129999999"/>
    <n v="180.624"/>
    <n v="15863.838592162481"/>
    <n v="1903.6606310594977"/>
    <n v="75"/>
    <n v="150"/>
    <n v="1E-3"/>
    <n v="60.207999999999998"/>
    <n v="9852.4596929829841"/>
    <n v="10137.667692982985"/>
    <n v="3180.9641611183101"/>
    <n v="4648.703531864674"/>
    <n v="0.08"/>
    <n v="667.90172154941001"/>
    <n v="0.12"/>
    <n v="1216.5201231579581"/>
    <n v="15"/>
    <n v="20"/>
  </r>
  <r>
    <n v="502"/>
    <d v="2022-12-31T00:00:00"/>
    <x v="0"/>
    <s v="CLI294"/>
    <s v="CLI294"/>
    <s v="IPOJUCA"/>
    <s v="PE"/>
    <s v="CLI1144"/>
    <s v="MANAUS"/>
    <s v="AM"/>
    <n v="2824.7841972531837"/>
    <n v="2060.3329469999999"/>
    <n v="0"/>
    <n v="7000"/>
    <n v="0"/>
    <x v="0"/>
    <x v="3"/>
    <s v="BRSUATK01S"/>
    <s v="BRSUATCO"/>
    <n v="23.753726"/>
    <n v="82.887500000000003"/>
    <n v="150"/>
    <n v="1015.49390680064"/>
    <n v="0"/>
    <n v="1344"/>
    <n v="7"/>
    <n v="0"/>
    <n v="0"/>
    <n v="1344"/>
    <m/>
    <m/>
    <n v="0"/>
    <x v="0"/>
    <s v="BRMAOTK01S"/>
    <s v="BRMAOCHI"/>
    <n v="11.436796000000001"/>
    <n v="82.887500000000003"/>
    <n v="150"/>
    <n v="832.9983890854400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011"/>
    <n v="165775"/>
    <x v="0"/>
    <x v="23"/>
    <x v="22"/>
    <x v="13"/>
    <x v="25"/>
    <x v="24"/>
    <n v="16"/>
    <n v="16"/>
    <n v="17"/>
    <n v="17"/>
    <n v="16"/>
    <n v="13"/>
    <n v="14"/>
    <n v="181"/>
    <n v="7"/>
    <n v="110"/>
    <n v="7"/>
    <n v="110"/>
    <n v="2824.7841972531837"/>
    <n v="497.32499999999999"/>
    <n v="20099.729492178485"/>
    <n v="2411.9675390614179"/>
    <n v="75"/>
    <n v="150"/>
    <n v="1E-3"/>
    <n v="165.77500000000001"/>
    <n v="12775.866037404685"/>
    <n v="13166.641037404685"/>
    <n v="3180.9641611183101"/>
    <n v="7549.676876286374"/>
    <n v="0.08"/>
    <n v="905.45189932148833"/>
    <n v="0.12"/>
    <n v="1579.9969244885622"/>
    <n v="15"/>
    <n v="17"/>
  </r>
  <r>
    <n v="503"/>
    <d v="2022-12-31T00:00:00"/>
    <x v="0"/>
    <s v="CLI294"/>
    <s v="CLI294"/>
    <s v="IPOJUCA"/>
    <s v="PE"/>
    <s v="CLI606"/>
    <s v="MANAUS"/>
    <s v="AM"/>
    <n v="2824.7841972531837"/>
    <n v="2060.3329469999999"/>
    <n v="0"/>
    <n v="7000"/>
    <n v="0"/>
    <x v="0"/>
    <x v="3"/>
    <s v="BRSUATK01S"/>
    <s v="BRSUATCO"/>
    <n v="23.753726"/>
    <n v="87.51"/>
    <n v="150"/>
    <n v="1020.11640680064"/>
    <n v="0"/>
    <n v="1344"/>
    <n v="7"/>
    <n v="0"/>
    <n v="0"/>
    <n v="1344"/>
    <m/>
    <m/>
    <n v="0"/>
    <x v="0"/>
    <s v="BRMAOTK01S"/>
    <s v="BRMAOCHI"/>
    <n v="11.436796000000001"/>
    <n v="87.51"/>
    <n v="150"/>
    <n v="837.62088908544001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224"/>
    <n v="175020"/>
    <x v="0"/>
    <x v="20"/>
    <x v="13"/>
    <x v="18"/>
    <x v="14"/>
    <x v="25"/>
    <n v="15"/>
    <n v="15"/>
    <n v="16"/>
    <n v="16"/>
    <n v="14"/>
    <n v="12"/>
    <n v="13"/>
    <n v="168"/>
    <n v="7"/>
    <n v="110"/>
    <n v="7"/>
    <n v="110"/>
    <n v="2824.7841972531837"/>
    <n v="525.06000000000006"/>
    <n v="20127.464492178486"/>
    <n v="2415.2957390614183"/>
    <n v="75"/>
    <n v="150"/>
    <n v="1E-3"/>
    <n v="175.02"/>
    <n v="12788.809037404684"/>
    <n v="13188.829037404685"/>
    <n v="3180.9641611183101"/>
    <n v="7571.8648762863741"/>
    <n v="0.08"/>
    <n v="906.48733932148843"/>
    <n v="0.12"/>
    <n v="1582.6594844885622"/>
    <n v="15"/>
    <n v="16"/>
  </r>
  <r>
    <n v="504"/>
    <d v="2022-12-31T00:00:00"/>
    <x v="0"/>
    <s v="CLI294"/>
    <s v="CLI294"/>
    <s v="IPOJUCA"/>
    <s v="PE"/>
    <s v="CLI607"/>
    <s v="SAO PAULO"/>
    <s v="SP"/>
    <n v="2535.666514"/>
    <n v="0"/>
    <n v="0"/>
    <n v="0"/>
    <n v="0"/>
    <x v="0"/>
    <x v="3"/>
    <s v="BRSUATK01S"/>
    <s v="BRSUATCO"/>
    <n v="23.753726"/>
    <n v="62.729500000000002"/>
    <n v="150"/>
    <n v="995.33590680064003"/>
    <n v="0"/>
    <n v="1344"/>
    <n v="7"/>
    <n v="0"/>
    <n v="0"/>
    <n v="1344"/>
    <m/>
    <m/>
    <n v="0"/>
    <x v="1"/>
    <s v="BRSSZTK01S"/>
    <s v="BRSSZTCO"/>
    <n v="85.841132000000002"/>
    <n v="62.729500000000002"/>
    <n v="150"/>
    <n v="1915.26265003648"/>
    <n v="344.74727700656638"/>
    <n v="640"/>
    <n v="7"/>
    <n v="0"/>
    <n v="0"/>
    <n v="640"/>
    <s v="BRSUADP01"/>
    <n v="95"/>
    <n v="70"/>
    <n v="0"/>
    <n v="0"/>
    <n v="0"/>
    <n v="95"/>
    <n v="26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246"/>
    <n v="125459"/>
    <x v="0"/>
    <x v="21"/>
    <x v="9"/>
    <x v="8"/>
    <x v="10"/>
    <x v="20"/>
    <n v="11"/>
    <n v="11"/>
    <n v="12"/>
    <n v="12"/>
    <n v="11"/>
    <n v="10"/>
    <n v="10"/>
    <n v="128"/>
    <n v="7"/>
    <n v="110"/>
    <n v="7"/>
    <n v="110"/>
    <n v="2535.666514"/>
    <n v="376.37700000000001"/>
    <n v="18015.394869913445"/>
    <n v="2161.8473843896136"/>
    <n v="75"/>
    <n v="150"/>
    <n v="1E-3"/>
    <n v="125.459"/>
    <n v="10573.357419153428"/>
    <n v="10923.816419153429"/>
    <n v="3180.9641611183101"/>
    <n v="5498.8522580351182"/>
    <n v="0.08"/>
    <n v="613.47764682477941"/>
    <n v="0.12"/>
    <n v="1310.8579702984114"/>
    <n v="15"/>
    <n v="12"/>
  </r>
  <r>
    <n v="505"/>
    <d v="2022-12-31T00:00:00"/>
    <x v="0"/>
    <s v="CLI294"/>
    <s v="CLI294"/>
    <s v="IPOJUCA"/>
    <s v="PE"/>
    <s v="CLI734"/>
    <s v="RIO DE JANEIRO"/>
    <s v="RJ"/>
    <n v="2229.6063469999999"/>
    <n v="0"/>
    <n v="0"/>
    <n v="0"/>
    <n v="0"/>
    <x v="0"/>
    <x v="3"/>
    <s v="BRSUATK01S"/>
    <s v="BRSUATCO"/>
    <n v="23.753726"/>
    <n v="101.75700000000001"/>
    <n v="150"/>
    <n v="1034.36340680064"/>
    <n v="0"/>
    <n v="1344"/>
    <n v="7"/>
    <n v="0"/>
    <n v="0"/>
    <n v="1344"/>
    <m/>
    <m/>
    <n v="0"/>
    <x v="4"/>
    <s v="BRIGITK01S"/>
    <s v="BRIGITCO"/>
    <n v="78.029871"/>
    <n v="101.75700000000001"/>
    <n v="150"/>
    <n v="1838.5535078534401"/>
    <n v="367.71070157068806"/>
    <n v="704"/>
    <n v="7"/>
    <n v="0"/>
    <n v="0"/>
    <n v="704"/>
    <s v="BRSUADP01"/>
    <n v="95"/>
    <n v="70"/>
    <n v="0"/>
    <n v="0"/>
    <n v="0"/>
    <n v="95"/>
    <n v="260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456"/>
    <n v="203514"/>
    <x v="0"/>
    <x v="1"/>
    <x v="1"/>
    <x v="1"/>
    <x v="1"/>
    <x v="1"/>
    <n v="6"/>
    <n v="6"/>
    <n v="6"/>
    <n v="6"/>
    <n v="6"/>
    <n v="5"/>
    <n v="5"/>
    <n v="66"/>
    <n v="7"/>
    <n v="110"/>
    <n v="7"/>
    <n v="110"/>
    <n v="2229.6063469999999"/>
    <n v="610.54200000000003"/>
    <n v="16171.117518223122"/>
    <n v="1940.5341021867746"/>
    <n v="75"/>
    <n v="150"/>
    <n v="1E-3"/>
    <n v="203.51400000000001"/>
    <n v="9308.7404224983293"/>
    <n v="9737.2544224983285"/>
    <n v="3180.9641611183101"/>
    <n v="4248.2902613800179"/>
    <n v="0.08"/>
    <n v="519.73014450188487"/>
    <n v="0.12"/>
    <n v="1168.4705306997994"/>
    <n v="15"/>
    <n v="6"/>
  </r>
  <r>
    <n v="506"/>
    <d v="2022-12-31T00:00:00"/>
    <x v="0"/>
    <s v="CLI294"/>
    <s v="CLI294"/>
    <s v="IPOJUCA"/>
    <s v="PE"/>
    <s v="CLI953"/>
    <s v="SAO PAULO"/>
    <s v="SP"/>
    <n v="2535.666514"/>
    <n v="0"/>
    <n v="0"/>
    <n v="0"/>
    <n v="0"/>
    <x v="0"/>
    <x v="3"/>
    <s v="BRSUATK01S"/>
    <s v="BRSUATCO"/>
    <n v="23.753726"/>
    <n v="27.030999999999999"/>
    <n v="150"/>
    <n v="959.63740680063995"/>
    <n v="0"/>
    <n v="1344"/>
    <n v="7"/>
    <n v="0"/>
    <n v="0"/>
    <n v="1344"/>
    <m/>
    <m/>
    <n v="0"/>
    <x v="1"/>
    <s v="BRSSZTK01S"/>
    <s v="BRSSZTCO"/>
    <n v="85.841132000000002"/>
    <n v="27.030999999999999"/>
    <n v="150"/>
    <n v="1879.56415003648"/>
    <n v="338.32154700656639"/>
    <n v="640"/>
    <n v="7"/>
    <n v="0"/>
    <n v="0"/>
    <n v="640"/>
    <s v="BRSUADP01"/>
    <n v="95"/>
    <n v="70"/>
    <n v="0"/>
    <n v="0"/>
    <n v="0"/>
    <n v="95"/>
    <n v="26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039"/>
    <n v="54062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535.666514"/>
    <n v="162.18600000000001"/>
    <n v="17801.203869913446"/>
    <n v="2136.1444643896134"/>
    <n v="75"/>
    <n v="150"/>
    <n v="1E-3"/>
    <n v="54.061999999999998"/>
    <n v="10473.401619153427"/>
    <n v="10752.463619153426"/>
    <n v="3180.9641611183101"/>
    <n v="5327.4994580351158"/>
    <n v="0.08"/>
    <n v="605.99524122477919"/>
    <n v="0.12"/>
    <n v="1290.2956342984112"/>
    <n v="15"/>
    <n v="2"/>
  </r>
  <r>
    <n v="507"/>
    <d v="2022-12-31T00:00:00"/>
    <x v="0"/>
    <s v="CLI294"/>
    <s v="CLI294"/>
    <s v="IPOJUCA"/>
    <s v="PE"/>
    <s v="CLI979"/>
    <s v="SAO PAULO"/>
    <s v="SP"/>
    <n v="2535.666514"/>
    <n v="0"/>
    <n v="0"/>
    <n v="0"/>
    <n v="0"/>
    <x v="0"/>
    <x v="3"/>
    <s v="BRSUATK01S"/>
    <s v="BRSUATCO"/>
    <n v="23.753726"/>
    <n v="121.07550000000001"/>
    <n v="150"/>
    <n v="1053.68190680064"/>
    <n v="0"/>
    <n v="1344"/>
    <n v="7"/>
    <n v="0"/>
    <n v="0"/>
    <n v="1344"/>
    <m/>
    <m/>
    <n v="0"/>
    <x v="1"/>
    <s v="BRSSZTK01S"/>
    <s v="BRSSZTCO"/>
    <n v="85.841132000000002"/>
    <n v="121.07550000000001"/>
    <n v="150"/>
    <n v="1973.60865003648"/>
    <n v="355.24955700656636"/>
    <n v="640"/>
    <n v="7"/>
    <n v="0"/>
    <n v="0"/>
    <n v="640"/>
    <s v="BRSUADP01"/>
    <n v="95"/>
    <n v="70"/>
    <n v="0"/>
    <n v="0"/>
    <n v="0"/>
    <n v="95"/>
    <n v="26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737"/>
    <n v="242151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35.666514"/>
    <n v="726.45299999999997"/>
    <n v="18365.470869913446"/>
    <n v="2203.8565043896133"/>
    <n v="110"/>
    <n v="150"/>
    <n v="1E-3"/>
    <n v="242.15100000000001"/>
    <n v="10736.726219153426"/>
    <n v="11238.877219153426"/>
    <n v="3180.9641611183101"/>
    <n v="5813.9130580351157"/>
    <n v="0.08"/>
    <n v="628.50696842477907"/>
    <n v="0.12"/>
    <n v="1348.6652662984111"/>
    <n v="15"/>
    <n v="2"/>
  </r>
  <r>
    <n v="508"/>
    <d v="2022-12-31T00:00:00"/>
    <x v="0"/>
    <s v="CLI294"/>
    <s v="CLI294"/>
    <s v="IPOJUCA"/>
    <s v="PE"/>
    <s v="CLI1144"/>
    <s v="MANAUS"/>
    <s v="AM"/>
    <n v="2824.7841972531837"/>
    <n v="2060.3329469999999"/>
    <n v="0"/>
    <n v="7000"/>
    <n v="0"/>
    <x v="0"/>
    <x v="3"/>
    <s v="BRSUATK01S"/>
    <s v="BRSUATCO"/>
    <n v="23.753726"/>
    <n v="96.659000000000006"/>
    <n v="150"/>
    <n v="1029.26540680064"/>
    <n v="0"/>
    <n v="1344"/>
    <n v="7"/>
    <n v="0"/>
    <n v="0"/>
    <n v="1344"/>
    <m/>
    <m/>
    <n v="0"/>
    <x v="0"/>
    <s v="BRMAOTK01S"/>
    <s v="BRMAOCHI"/>
    <n v="11.436796000000001"/>
    <n v="96.659000000000006"/>
    <n v="150"/>
    <n v="846.76988908544001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47"/>
    <n v="19331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579.95400000000006"/>
    <n v="20182.358492178486"/>
    <n v="2421.8830190614181"/>
    <n v="110"/>
    <n v="150"/>
    <n v="1E-3"/>
    <n v="193.31800000000001"/>
    <n v="12814.426237404681"/>
    <n v="13267.74423740468"/>
    <n v="3180.9641611183101"/>
    <n v="7650.7800762863699"/>
    <n v="0.08"/>
    <n v="911.33671532148799"/>
    <n v="0.12"/>
    <n v="1592.1293084885615"/>
    <n v="15"/>
    <n v="1"/>
  </r>
  <r>
    <n v="509"/>
    <d v="2022-12-31T00:00:00"/>
    <x v="1"/>
    <s v="CLI294"/>
    <s v="CLI294"/>
    <s v="IPOJUCA"/>
    <s v="PE"/>
    <s v="CLI590"/>
    <s v="CONCHAL"/>
    <s v="SP"/>
    <n v="2462.264064"/>
    <n v="0"/>
    <n v="0"/>
    <n v="0"/>
    <n v="0"/>
    <x v="0"/>
    <x v="3"/>
    <s v="BRSUATK01S"/>
    <s v="BRSUATCO"/>
    <n v="23.753726"/>
    <n v="35.643000000000001"/>
    <n v="150"/>
    <n v="968.24940680064003"/>
    <n v="0"/>
    <n v="1344"/>
    <n v="7"/>
    <n v="0"/>
    <n v="0"/>
    <n v="1344"/>
    <m/>
    <m/>
    <n v="0"/>
    <x v="1"/>
    <s v="BRSSZTK01"/>
    <s v="BRSSZTCO"/>
    <n v="251.707233"/>
    <n v="35.643000000000001"/>
    <n v="150"/>
    <n v="4345.7544567571204"/>
    <n v="782.23580221628163"/>
    <n v="640"/>
    <n v="7"/>
    <n v="0"/>
    <n v="0"/>
    <n v="640"/>
    <s v="BRSUADP01"/>
    <n v="95"/>
    <n v="70"/>
    <n v="0"/>
    <n v="0"/>
    <n v="0"/>
    <n v="95"/>
    <n v="26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398"/>
    <n v="7128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62.264064"/>
    <n v="213.858"/>
    <n v="17354.402768061442"/>
    <n v="2082.5283321673728"/>
    <n v="110"/>
    <n v="150"/>
    <n v="1E-3"/>
    <n v="71.286000000000001"/>
    <n v="11470.307352882559"/>
    <n v="11801.593352882559"/>
    <n v="3180.9641611183101"/>
    <n v="2030.8747350071285"/>
    <n v="0.08"/>
    <n v="456.42829496868137"/>
    <n v="0.12"/>
    <n v="1416.191202345907"/>
    <n v="15"/>
    <n v="1"/>
  </r>
  <r>
    <n v="510"/>
    <d v="2022-12-31T00:00:00"/>
    <x v="2"/>
    <s v="CLI297"/>
    <s v="CLI297"/>
    <s v="TRES CORACOES"/>
    <s v="MG"/>
    <s v="CLI1228"/>
    <s v="MANAUS"/>
    <s v="AM"/>
    <n v="2604.8941502909552"/>
    <n v="2807.0495310000001"/>
    <n v="0"/>
    <n v="7000"/>
    <n v="0"/>
    <x v="0"/>
    <x v="4"/>
    <s v="BRIGITK01"/>
    <s v="BRIGITCO"/>
    <n v="309.223882"/>
    <n v="26.714500000000001"/>
    <n v="150"/>
    <n v="5189.0294389964802"/>
    <n v="622.68353267957764"/>
    <n v="704"/>
    <n v="7"/>
    <n v="0"/>
    <n v="0"/>
    <n v="704"/>
    <m/>
    <m/>
    <n v="0"/>
    <x v="0"/>
    <s v="BRMAOTK01"/>
    <s v="BRMAOCHI"/>
    <n v="11.436796000000001"/>
    <n v="26.714500000000001"/>
    <n v="150"/>
    <n v="776.82538908544007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38"/>
    <n v="5342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04.8941502909552"/>
    <n v="160.28700000000001"/>
    <n v="18269.426978859869"/>
    <n v="1278.8598885201909"/>
    <n v="110"/>
    <n v="150"/>
    <n v="1E-3"/>
    <n v="53.429000000000002"/>
    <n v="12788.598885201907"/>
    <n v="13102.027885201907"/>
    <n v="3180.9641611183101"/>
    <n v="2129.2088960016767"/>
    <n v="0.08"/>
    <n v="521.07916195523273"/>
    <n v="7.0000000000000007E-2"/>
    <n v="917.14195196413357"/>
    <n v="15"/>
    <n v="1"/>
  </r>
  <r>
    <n v="511"/>
    <d v="2022-12-31T00:00:00"/>
    <x v="2"/>
    <s v="CLI302"/>
    <s v="CLI302"/>
    <s v="MARILIA"/>
    <s v="SP"/>
    <s v="CLI1014"/>
    <s v="JABOATAO DOS GUARARAPES"/>
    <s v="PE"/>
    <n v="2672.6501680000001"/>
    <n v="0"/>
    <n v="0"/>
    <n v="0"/>
    <n v="0"/>
    <x v="0"/>
    <x v="0"/>
    <s v="BRSSZTK01"/>
    <s v="BRSSZTCO"/>
    <n v="501.28655599999996"/>
    <n v="64.180000000000007"/>
    <n v="150"/>
    <n v="8072.2184370918403"/>
    <n v="1452.9993186765312"/>
    <n v="640"/>
    <n v="7"/>
    <n v="0"/>
    <n v="0"/>
    <n v="640"/>
    <m/>
    <m/>
    <n v="0"/>
    <x v="2"/>
    <s v="BRSUATK01"/>
    <s v="BRSUATCO"/>
    <n v="43.495365"/>
    <n v="64.180000000000007"/>
    <n v="150"/>
    <n v="1289.2911648736001"/>
    <n v="232.07240967724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182"/>
    <n v="12836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672.6501680000001"/>
    <n v="385.08"/>
    <n v="18954.348384881283"/>
    <n v="1326.8043869416899"/>
    <n v="110"/>
    <n v="150"/>
    <n v="1E-3"/>
    <n v="128.36000000000001"/>
    <n v="13268.043869416897"/>
    <n v="13656.403869416898"/>
    <n v="3180.9641611183101"/>
    <n v="-1140.0698936668527"/>
    <n v="0.08"/>
    <n v="208.78580312781426"/>
    <n v="7.0000000000000007E-2"/>
    <n v="955.94827085918291"/>
    <n v="15"/>
    <n v="2"/>
  </r>
  <r>
    <n v="512"/>
    <d v="2022-12-31T00:00:00"/>
    <x v="0"/>
    <s v="CLI303"/>
    <s v="CLI303"/>
    <s v="MANAUS"/>
    <s v="AM"/>
    <s v="CLI1044"/>
    <s v="SAO PAULO"/>
    <s v="SP"/>
    <n v="3929.9226880000001"/>
    <n v="0"/>
    <n v="2877.9279630000001"/>
    <n v="7000"/>
    <n v="0"/>
    <x v="0"/>
    <x v="2"/>
    <s v="BRMAOTK01S"/>
    <s v="BRMAOCHI"/>
    <n v="11.436796000000001"/>
    <n v="106.619"/>
    <n v="150"/>
    <n v="856.72988908544005"/>
    <n v="0"/>
    <n v="832"/>
    <n v="7"/>
    <n v="0"/>
    <n v="0"/>
    <n v="832"/>
    <m/>
    <m/>
    <n v="0"/>
    <x v="1"/>
    <s v="BRSSZTK01S"/>
    <s v="BRSSZTCO"/>
    <n v="85.841132000000002"/>
    <n v="106.619"/>
    <n v="150"/>
    <n v="1959.15215003648"/>
    <n v="352.6473870065663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01"/>
    <n v="21323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29.9226880000001"/>
    <n v="639.71400000000006"/>
    <n v="27747.069777300483"/>
    <n v="3329.648373276058"/>
    <n v="110"/>
    <n v="150"/>
    <n v="1E-3"/>
    <n v="213.238"/>
    <n v="17451.831416724992"/>
    <n v="17925.069416724993"/>
    <n v="3180.9641611183101"/>
    <n v="12977.105255606682"/>
    <n v="0.08"/>
    <n v="1180.5231992477206"/>
    <n v="0.12"/>
    <n v="2151.0083300069991"/>
    <n v="15"/>
    <n v="1"/>
  </r>
  <r>
    <n v="513"/>
    <d v="2022-12-31T00:00:00"/>
    <x v="2"/>
    <s v="CLI305"/>
    <s v="CLI305"/>
    <s v="MOGI-MIRIM"/>
    <s v="SP"/>
    <s v="CLI1024"/>
    <s v="PAULISTA"/>
    <s v="PE"/>
    <n v="2516.7666250000002"/>
    <n v="0"/>
    <n v="0"/>
    <n v="0"/>
    <n v="0"/>
    <x v="0"/>
    <x v="0"/>
    <s v="BRSSZTK01"/>
    <s v="BRSSZTCO"/>
    <n v="233.47786100000002"/>
    <n v="76.233000000000004"/>
    <n v="150"/>
    <n v="4116.2464144070409"/>
    <n v="740.92435459326737"/>
    <n v="640"/>
    <n v="7"/>
    <n v="0"/>
    <n v="0"/>
    <n v="640"/>
    <m/>
    <m/>
    <n v="0"/>
    <x v="2"/>
    <s v="BRSUATK01"/>
    <s v="BRSUATCO"/>
    <n v="65.896101999999999"/>
    <n v="76.233000000000004"/>
    <n v="150"/>
    <n v="1633.2478207372799"/>
    <n v="293.98460773271034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03"/>
    <n v="152466"/>
    <x v="1"/>
    <x v="1"/>
    <x v="6"/>
    <x v="1"/>
    <x v="5"/>
    <x v="6"/>
    <n v="5"/>
    <n v="5"/>
    <n v="5"/>
    <n v="5"/>
    <n v="5"/>
    <n v="5"/>
    <n v="5"/>
    <n v="57"/>
    <n v="7"/>
    <n v="180"/>
    <n v="7"/>
    <n v="180"/>
    <n v="2516.7666250000002"/>
    <n v="457.39800000000002"/>
    <n v="17968.067479710007"/>
    <n v="1257.7647235797006"/>
    <n v="110"/>
    <n v="150"/>
    <n v="1E-3"/>
    <n v="152.46600000000001"/>
    <n v="12577.647235797005"/>
    <n v="12990.113235797005"/>
    <n v="3180.9641611183101"/>
    <n v="1805.6548395343757"/>
    <n v="0.08"/>
    <n v="496.45680306613667"/>
    <n v="7.0000000000000007E-2"/>
    <n v="909.30792650579042"/>
    <n v="15"/>
    <n v="5"/>
  </r>
  <r>
    <n v="514"/>
    <d v="2022-12-31T00:00:00"/>
    <x v="2"/>
    <s v="CLI305"/>
    <s v="CLI305"/>
    <s v="MOGI-MIRIM"/>
    <s v="SP"/>
    <s v="CLI1023"/>
    <s v="ABREU E LIMA"/>
    <s v="PE"/>
    <n v="2518.4419659999999"/>
    <n v="0"/>
    <n v="0"/>
    <n v="0"/>
    <n v="0"/>
    <x v="0"/>
    <x v="0"/>
    <s v="BRSSZTK01"/>
    <s v="BRSSZTCO"/>
    <n v="233.47786100000002"/>
    <n v="63.732500000000002"/>
    <n v="150"/>
    <n v="4103.7459144070408"/>
    <n v="738.67426459326737"/>
    <n v="640"/>
    <n v="7"/>
    <n v="0"/>
    <n v="0"/>
    <n v="640"/>
    <m/>
    <m/>
    <n v="0"/>
    <x v="2"/>
    <s v="BRSUATK01"/>
    <s v="BRSUATCO"/>
    <n v="68.774317999999994"/>
    <n v="63.732500000000002"/>
    <n v="150"/>
    <n v="1663.3928110515201"/>
    <n v="299.4107059892735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455"/>
    <n v="12746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18.4419659999999"/>
    <n v="382.39499999999998"/>
    <n v="17904.441653427362"/>
    <n v="1253.3109157399156"/>
    <n v="110"/>
    <n v="150"/>
    <n v="1E-3"/>
    <n v="127.465"/>
    <n v="12533.109157399153"/>
    <n v="12920.574157399153"/>
    <n v="3180.9641611183101"/>
    <n v="1718.4712708222828"/>
    <n v="0.08"/>
    <n v="489.22803690864413"/>
    <n v="7.0000000000000007E-2"/>
    <n v="904.44019101794072"/>
    <n v="15"/>
    <n v="1"/>
  </r>
  <r>
    <n v="515"/>
    <d v="2022-12-31T00:00:00"/>
    <x v="2"/>
    <s v="CLI306"/>
    <s v="CLI306"/>
    <s v="PAULISTA"/>
    <s v="PE"/>
    <s v="CLI908"/>
    <s v="MANAUS"/>
    <s v="AM"/>
    <n v="2836.7755386156769"/>
    <n v="2065.996979"/>
    <n v="0"/>
    <n v="7000"/>
    <n v="0"/>
    <x v="0"/>
    <x v="3"/>
    <s v="BRSUATK01"/>
    <s v="BRSUATCO"/>
    <n v="65.896101999999999"/>
    <n v="78.631"/>
    <n v="150"/>
    <n v="1635.64582073728"/>
    <n v="294.41624773271042"/>
    <n v="1344"/>
    <n v="7"/>
    <n v="0"/>
    <n v="0"/>
    <n v="1344"/>
    <m/>
    <m/>
    <n v="0"/>
    <x v="0"/>
    <s v="BRMAOTK01"/>
    <s v="BRMAOCHI"/>
    <n v="11.436796000000001"/>
    <n v="78.631"/>
    <n v="150"/>
    <n v="828.74188908543999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733"/>
    <n v="157262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2836.7755386156769"/>
    <n v="471.786"/>
    <n v="20155.62321171752"/>
    <n v="2418.6747854061023"/>
    <n v="110"/>
    <n v="150"/>
    <n v="1E-3"/>
    <n v="157.262"/>
    <n v="14108.936248202264"/>
    <n v="14526.198248202265"/>
    <n v="3180.9641611183101"/>
    <n v="6444.846377261234"/>
    <n v="0.08"/>
    <n v="941.39154325174684"/>
    <n v="0.12"/>
    <n v="1743.1437897842718"/>
    <n v="15"/>
    <n v="3"/>
  </r>
  <r>
    <n v="516"/>
    <d v="2022-12-31T00:00:00"/>
    <x v="2"/>
    <s v="CLI306"/>
    <s v="CLI306"/>
    <s v="PAULISTA"/>
    <s v="PE"/>
    <s v="CLI1268"/>
    <s v="MANAUS"/>
    <s v="AM"/>
    <n v="2836.7755386156769"/>
    <n v="2065.996979"/>
    <n v="0"/>
    <n v="7000"/>
    <n v="0"/>
    <x v="0"/>
    <x v="3"/>
    <s v="BRSUATK01"/>
    <s v="BRSUATCO"/>
    <n v="65.896101999999999"/>
    <n v="88.586500000000001"/>
    <n v="150"/>
    <n v="1645.6013207372798"/>
    <n v="296.20823773271036"/>
    <n v="1344"/>
    <n v="7"/>
    <n v="0"/>
    <n v="0"/>
    <n v="1344"/>
    <m/>
    <m/>
    <n v="0"/>
    <x v="0"/>
    <s v="BRMAOTK01"/>
    <s v="BRMAOCHI"/>
    <n v="11.436796000000001"/>
    <n v="88.586500000000001"/>
    <n v="150"/>
    <n v="838.6973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684"/>
    <n v="177173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836.7755386156769"/>
    <n v="531.51900000000001"/>
    <n v="20215.356211717521"/>
    <n v="2425.8427454061025"/>
    <n v="110"/>
    <n v="150"/>
    <n v="1E-3"/>
    <n v="177.173"/>
    <n v="14150.749348202264"/>
    <n v="14587.922348202264"/>
    <n v="3180.9641611183101"/>
    <n v="6486.6594772612334"/>
    <n v="0.08"/>
    <n v="944.59323205174678"/>
    <n v="0.12"/>
    <n v="1750.5506817842718"/>
    <n v="15"/>
    <n v="3"/>
  </r>
  <r>
    <n v="517"/>
    <d v="2022-12-31T00:00:00"/>
    <x v="2"/>
    <s v="CLI306"/>
    <s v="CLI306"/>
    <s v="PAULISTA"/>
    <s v="PE"/>
    <s v="CLI1155"/>
    <s v="BOA VISTA"/>
    <s v="RR"/>
    <n v="3102.2180949152394"/>
    <n v="2065.996979"/>
    <n v="0"/>
    <n v="7000"/>
    <n v="0"/>
    <x v="0"/>
    <x v="3"/>
    <s v="BRSUATK01"/>
    <s v="BRSUATCO"/>
    <n v="65.896101999999999"/>
    <n v="55.207000000000001"/>
    <n v="150"/>
    <n v="1612.22182073728"/>
    <n v="290.19992773271042"/>
    <n v="1344"/>
    <n v="7"/>
    <n v="0"/>
    <n v="0"/>
    <n v="1344"/>
    <m/>
    <m/>
    <n v="0"/>
    <x v="0"/>
    <s v="BRMAOTK01"/>
    <s v="BRMAOCHI"/>
    <n v="745.73917200000005"/>
    <n v="55.207000000000001"/>
    <n v="150"/>
    <n v="11685.211845422082"/>
    <n v="1402.2254214506497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13"/>
    <n v="110414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3102.2180949152394"/>
    <n v="331.24200000000002"/>
    <n v="21817.688993845597"/>
    <n v="2618.1226792614716"/>
    <n v="110"/>
    <n v="150"/>
    <n v="1E-3"/>
    <n v="110.414"/>
    <n v="15272.382295691918"/>
    <n v="15642.796295691918"/>
    <n v="3180.9641611183101"/>
    <n v="-3271.6015315857544"/>
    <n v="0.08"/>
    <n v="52.234982427935648"/>
    <n v="0.12"/>
    <n v="1877.1355554830302"/>
    <n v="15"/>
    <n v="2"/>
  </r>
  <r>
    <n v="518"/>
    <d v="2022-12-31T00:00:00"/>
    <x v="2"/>
    <s v="CLI308"/>
    <s v="CLI308"/>
    <s v="ITAPETININGA"/>
    <s v="SP"/>
    <s v="CLI584"/>
    <s v="FORTALEZA"/>
    <s v="CE"/>
    <n v="2885.8952549999999"/>
    <n v="0"/>
    <n v="0"/>
    <n v="0"/>
    <n v="0"/>
    <x v="0"/>
    <x v="0"/>
    <s v="BRSSZTK01"/>
    <s v="BRSSZTCO"/>
    <n v="241.84061"/>
    <n v="50.864000000000004"/>
    <n v="150"/>
    <n v="4214.7852557503993"/>
    <n v="758.6613460350718"/>
    <n v="640"/>
    <n v="7"/>
    <n v="0"/>
    <n v="0"/>
    <n v="640"/>
    <m/>
    <m/>
    <n v="0"/>
    <x v="3"/>
    <s v="BRPECTK01"/>
    <s v="BRPECAPM"/>
    <n v="42.140103000000003"/>
    <n v="50.864000000000004"/>
    <n v="150"/>
    <n v="1255.89473571392"/>
    <n v="226.061052428505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509"/>
    <n v="10172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85.8952549999999"/>
    <n v="305.18400000000003"/>
    <n v="20322.591240894802"/>
    <n v="1422.5813868626362"/>
    <n v="110"/>
    <n v="150"/>
    <n v="1E-3"/>
    <n v="101.72800000000001"/>
    <n v="14225.813868626361"/>
    <n v="14587.54186862636"/>
    <n v="3180.9641611183101"/>
    <n v="4257.8977160437298"/>
    <n v="0.08"/>
    <n v="650.57115829587713"/>
    <n v="7.0000000000000007E-2"/>
    <n v="1021.1279308038453"/>
    <n v="15"/>
    <n v="1"/>
  </r>
  <r>
    <n v="519"/>
    <d v="2022-12-31T00:00:00"/>
    <x v="2"/>
    <s v="CLI311"/>
    <s v="CLI311"/>
    <s v="CAIEIRAS"/>
    <s v="SP"/>
    <s v="CLI1035"/>
    <s v="JABOATAO DOS GUARARAPES"/>
    <s v="PE"/>
    <n v="2568.5361050000001"/>
    <n v="0"/>
    <n v="0"/>
    <n v="0"/>
    <n v="0"/>
    <x v="0"/>
    <x v="0"/>
    <s v="BRSSZTK01"/>
    <s v="BRSSZTCO"/>
    <n v="114.091466"/>
    <n v="70.641500000000008"/>
    <n v="150"/>
    <n v="2341.7496787942405"/>
    <n v="421.5149421829633"/>
    <n v="640"/>
    <n v="7"/>
    <n v="0"/>
    <n v="0"/>
    <n v="640"/>
    <m/>
    <m/>
    <n v="0"/>
    <x v="2"/>
    <s v="BRSUATK01"/>
    <s v="BRSUATCO"/>
    <n v="43.495365"/>
    <n v="70.641500000000008"/>
    <n v="150"/>
    <n v="1295.7526648736"/>
    <n v="233.2354796772479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003"/>
    <n v="141283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2568.5361050000001"/>
    <n v="423.84899999999999"/>
    <n v="18286.082947610805"/>
    <n v="1280.0258063327565"/>
    <n v="110"/>
    <n v="150"/>
    <n v="1E-3"/>
    <n v="141.28300000000002"/>
    <n v="12800.258063327563"/>
    <n v="13201.541063327562"/>
    <n v="3180.9641611183101"/>
    <n v="4129.0745585414115"/>
    <n v="0.08"/>
    <n v="712.74306382396082"/>
    <n v="7.0000000000000007E-2"/>
    <n v="924.10787443292941"/>
    <n v="15"/>
    <n v="3"/>
  </r>
  <r>
    <n v="520"/>
    <d v="2022-12-31T00:00:00"/>
    <x v="2"/>
    <s v="CLI312"/>
    <s v="CLI312"/>
    <s v="MOGI DAS CRUZES"/>
    <s v="SP"/>
    <s v="CLI738"/>
    <s v="RECIFE"/>
    <s v="PE"/>
    <n v="2563.5739449999996"/>
    <n v="0"/>
    <n v="0"/>
    <n v="0"/>
    <n v="0"/>
    <x v="0"/>
    <x v="0"/>
    <s v="BRSSZTK01"/>
    <s v="BRSSZTCO"/>
    <n v="87.132406000000003"/>
    <n v="106.58"/>
    <n v="150"/>
    <n v="1978.2454920358402"/>
    <n v="356.08418856645125"/>
    <n v="640"/>
    <n v="7"/>
    <n v="0"/>
    <n v="0"/>
    <n v="640"/>
    <m/>
    <m/>
    <n v="0"/>
    <x v="2"/>
    <s v="BRSUATK01"/>
    <s v="BRSUATCO"/>
    <n v="51.681188999999996"/>
    <n v="106.58"/>
    <n v="150"/>
    <n v="1452.9775721849599"/>
    <n v="261.53596299329274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206"/>
    <n v="21316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63.5739449999996"/>
    <n v="639.48"/>
    <n v="18468.016117537201"/>
    <n v="1292.7611282276043"/>
    <n v="110"/>
    <n v="150"/>
    <n v="1E-3"/>
    <n v="213.16"/>
    <n v="12927.611282276041"/>
    <n v="13400.77128227604"/>
    <n v="3180.9641611183101"/>
    <n v="4534.5840569369302"/>
    <n v="0.08"/>
    <n v="748.1542453196397"/>
    <n v="7.0000000000000007E-2"/>
    <n v="938.05398975932292"/>
    <n v="15"/>
    <n v="1"/>
  </r>
  <r>
    <n v="521"/>
    <d v="2022-12-31T00:00:00"/>
    <x v="1"/>
    <s v="CLI314"/>
    <s v="CLI314"/>
    <s v="PAULISTA"/>
    <s v="PE"/>
    <s v="CLI1175"/>
    <s v="MANAUS"/>
    <s v="AM"/>
    <n v="2836.7755386156769"/>
    <n v="2065.996979"/>
    <n v="0"/>
    <n v="7000"/>
    <n v="0"/>
    <x v="0"/>
    <x v="3"/>
    <s v="BRSUATK01S"/>
    <s v="BRSUATCO"/>
    <n v="65.896101999999999"/>
    <n v="63.736499999999999"/>
    <n v="150"/>
    <n v="1620.7513207372799"/>
    <n v="291.73523773271035"/>
    <n v="1344"/>
    <n v="7"/>
    <n v="0"/>
    <n v="0"/>
    <n v="1344"/>
    <m/>
    <m/>
    <n v="0"/>
    <x v="0"/>
    <s v="BRMAOTK01"/>
    <s v="BRMAOCHI"/>
    <n v="11.436796000000001"/>
    <n v="63.736499999999999"/>
    <n v="150"/>
    <n v="813.8473890854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336"/>
    <n v="12747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36.7755386156769"/>
    <n v="382.41899999999998"/>
    <n v="20066.256211717522"/>
    <n v="2407.9507454061027"/>
    <n v="110"/>
    <n v="150"/>
    <n v="1E-3"/>
    <n v="127.473"/>
    <n v="12911.853423686169"/>
    <n v="13299.326423686169"/>
    <n v="3180.9641611183101"/>
    <n v="6868.5148734824179"/>
    <n v="0.08"/>
    <n v="845.83939809045921"/>
    <n v="0.12"/>
    <n v="1595.9191708423402"/>
    <n v="15"/>
    <n v="2"/>
  </r>
  <r>
    <n v="522"/>
    <d v="2022-12-31T00:00:00"/>
    <x v="1"/>
    <s v="CLI314"/>
    <s v="CLI314"/>
    <s v="PAULISTA"/>
    <s v="PE"/>
    <s v="CLI1245"/>
    <s v="MANAUS"/>
    <s v="AM"/>
    <n v="2836.7755386156769"/>
    <n v="2065.996979"/>
    <n v="0"/>
    <n v="7000"/>
    <n v="0"/>
    <x v="0"/>
    <x v="3"/>
    <s v="BRSUATK01S"/>
    <s v="BRSUATCO"/>
    <n v="65.896101999999999"/>
    <n v="123.768"/>
    <n v="150"/>
    <n v="1680.78282073728"/>
    <n v="302.54090773271037"/>
    <n v="1344"/>
    <n v="7"/>
    <n v="0"/>
    <n v="0"/>
    <n v="1344"/>
    <m/>
    <m/>
    <n v="0"/>
    <x v="0"/>
    <s v="BRMAOTK01"/>
    <s v="BRMAOCHI"/>
    <n v="11.436796000000001"/>
    <n v="123.768"/>
    <n v="150"/>
    <n v="873.87888908544005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096"/>
    <n v="24753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6.7755386156769"/>
    <n v="742.60800000000006"/>
    <n v="20426.445211717521"/>
    <n v="2451.1734254061025"/>
    <n v="110"/>
    <n v="150"/>
    <n v="1E-3"/>
    <n v="247.536"/>
    <n v="13121.963673686167"/>
    <n v="13629.499673686167"/>
    <n v="3180.9641611183101"/>
    <n v="7138.6566234824168"/>
    <n v="0.08"/>
    <n v="861.78376449045891"/>
    <n v="0.12"/>
    <n v="1635.53996084234"/>
    <n v="15"/>
    <n v="1"/>
  </r>
  <r>
    <n v="523"/>
    <d v="2022-12-31T00:00:00"/>
    <x v="2"/>
    <s v="CLI315"/>
    <s v="CLI315"/>
    <s v="ARACARIGUAMA"/>
    <s v="SP"/>
    <s v="CLI484"/>
    <s v="MANAUS"/>
    <s v="AM"/>
    <n v="2647.7341932685958"/>
    <n v="2853.6338900000001"/>
    <n v="0"/>
    <n v="7000"/>
    <n v="0"/>
    <x v="0"/>
    <x v="0"/>
    <s v="BRSSZTK01"/>
    <s v="BRSSZTCO"/>
    <n v="133.95505300000002"/>
    <n v="87.72"/>
    <n v="150"/>
    <n v="2653.1397964819198"/>
    <n v="477.56516336674554"/>
    <n v="640"/>
    <n v="7"/>
    <n v="0"/>
    <n v="0"/>
    <n v="640"/>
    <m/>
    <m/>
    <n v="0"/>
    <x v="0"/>
    <s v="BRMAOTK01"/>
    <s v="BRMAOCHI"/>
    <n v="11.436796000000001"/>
    <n v="87.72"/>
    <n v="150"/>
    <n v="837.83088908544005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895"/>
    <n v="17544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647.7341932685958"/>
    <n v="526.32000000000005"/>
    <n v="18926.384997119305"/>
    <n v="1324.8469497983515"/>
    <n v="110"/>
    <n v="150"/>
    <n v="1E-3"/>
    <n v="175.44"/>
    <n v="13248.469497983513"/>
    <n v="13683.909497983514"/>
    <n v="3180.9641611183101"/>
    <n v="5269.9746512978436"/>
    <n v="0.08"/>
    <n v="777.22989192395266"/>
    <n v="7.0000000000000007E-2"/>
    <n v="957.87366485884604"/>
    <n v="15"/>
    <n v="2"/>
  </r>
  <r>
    <n v="524"/>
    <d v="2022-12-31T00:00:00"/>
    <x v="0"/>
    <s v="CLI316"/>
    <s v="CLI316"/>
    <s v="SANTOS"/>
    <s v="SP"/>
    <s v="CLI442"/>
    <s v="MANAUS"/>
    <s v="AM"/>
    <n v="2738.1624465451514"/>
    <n v="2948.3907220000001"/>
    <n v="0"/>
    <n v="7000"/>
    <n v="0"/>
    <x v="0"/>
    <x v="0"/>
    <s v="BRSSZTK01S"/>
    <s v="BRSSZTCO"/>
    <n v="14.583465"/>
    <n v="119.003"/>
    <n v="150"/>
    <n v="915.73695085760005"/>
    <n v="164.83265115436799"/>
    <n v="640"/>
    <n v="7"/>
    <n v="0"/>
    <n v="0"/>
    <n v="640"/>
    <m/>
    <m/>
    <n v="0"/>
    <x v="0"/>
    <s v="BRMAOTK01S"/>
    <s v="BRMAOCHI"/>
    <n v="11.436796000000001"/>
    <n v="119.003"/>
    <n v="150"/>
    <n v="869.1138890854400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323"/>
    <n v="238006"/>
    <x v="0"/>
    <x v="5"/>
    <x v="6"/>
    <x v="5"/>
    <x v="5"/>
    <x v="6"/>
    <n v="5"/>
    <n v="5"/>
    <n v="5"/>
    <n v="5"/>
    <n v="4"/>
    <n v="4"/>
    <n v="4"/>
    <n v="52"/>
    <n v="7"/>
    <n v="110"/>
    <n v="7"/>
    <n v="110"/>
    <n v="2738.1624465451514"/>
    <n v="714.01800000000003"/>
    <n v="19728.177647990266"/>
    <n v="1380.9724353593188"/>
    <n v="75"/>
    <n v="150"/>
    <n v="1E-3"/>
    <n v="238.006"/>
    <n v="12560.328765633056"/>
    <n v="13023.334765633055"/>
    <n v="3180.9641611183101"/>
    <n v="8100.3706045147446"/>
    <n v="0.08"/>
    <n v="885.89210196285194"/>
    <n v="7.0000000000000007E-2"/>
    <n v="911.63343359431394"/>
    <n v="15"/>
    <n v="5"/>
  </r>
  <r>
    <n v="525"/>
    <d v="2022-12-31T00:00:00"/>
    <x v="2"/>
    <s v="CLI319"/>
    <s v="CLI319"/>
    <s v="MACEIO"/>
    <s v="AL"/>
    <s v="CLI1289"/>
    <s v="MANAUS"/>
    <s v="AM"/>
    <n v="2781.9327585193778"/>
    <n v="2045.556644"/>
    <n v="0"/>
    <n v="7000"/>
    <n v="0"/>
    <x v="0"/>
    <x v="3"/>
    <s v="BRSUATK01"/>
    <s v="BRSUATCO"/>
    <n v="208.456062"/>
    <n v="98.628"/>
    <n v="150"/>
    <n v="3767.9024264716804"/>
    <n v="452.14829117660162"/>
    <n v="1344"/>
    <n v="7"/>
    <n v="0"/>
    <n v="0"/>
    <n v="1344"/>
    <m/>
    <m/>
    <n v="0"/>
    <x v="0"/>
    <s v="BRMAOTK01"/>
    <s v="BRMAOCHI"/>
    <n v="11.436796000000001"/>
    <n v="98.628"/>
    <n v="150"/>
    <n v="848.73888908544006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021"/>
    <n v="19725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81.9327585193778"/>
    <n v="591.76800000000003"/>
    <n v="19903.170085794754"/>
    <n v="2388.3804102953704"/>
    <n v="110"/>
    <n v="150"/>
    <n v="1E-3"/>
    <n v="197.256"/>
    <n v="13932.219060056328"/>
    <n v="14389.475060056327"/>
    <n v="3180.9641611183101"/>
    <n v="4155.8695833808961"/>
    <n v="0.08"/>
    <n v="745.6548362658084"/>
    <n v="0.12"/>
    <n v="1726.7370072067592"/>
    <n v="15"/>
    <n v="1"/>
  </r>
  <r>
    <n v="526"/>
    <d v="2022-12-31T00:00:00"/>
    <x v="2"/>
    <s v="CLI320"/>
    <s v="CLI320"/>
    <s v="MACEIO"/>
    <s v="AL"/>
    <s v="CLI1289"/>
    <s v="MANAUS"/>
    <s v="AM"/>
    <n v="2781.9327585193778"/>
    <n v="2045.556644"/>
    <n v="0"/>
    <n v="7000"/>
    <n v="0"/>
    <x v="0"/>
    <x v="3"/>
    <s v="BRSUATK01"/>
    <s v="BRSUATCO"/>
    <n v="208.456062"/>
    <n v="68.212500000000006"/>
    <n v="150"/>
    <n v="3737.4869264716804"/>
    <n v="448.49843117660163"/>
    <n v="1344"/>
    <n v="7"/>
    <n v="0"/>
    <n v="0"/>
    <n v="1344"/>
    <m/>
    <m/>
    <n v="0"/>
    <x v="0"/>
    <s v="BRMAOTK01"/>
    <s v="BRMAOCHI"/>
    <n v="11.436796000000001"/>
    <n v="68.212500000000006"/>
    <n v="150"/>
    <n v="818.3233890854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66"/>
    <n v="13642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781.9327585193778"/>
    <n v="409.27500000000003"/>
    <n v="19720.677085794756"/>
    <n v="2366.4812502953705"/>
    <n v="110"/>
    <n v="150"/>
    <n v="1E-3"/>
    <n v="136.42500000000001"/>
    <n v="13804.473960056328"/>
    <n v="14200.898960056327"/>
    <n v="3180.9641611183101"/>
    <n v="4028.1244833808964"/>
    <n v="0.08"/>
    <n v="735.72721706580842"/>
    <n v="0.12"/>
    <n v="1704.1078752067592"/>
    <n v="15"/>
    <n v="2"/>
  </r>
  <r>
    <n v="527"/>
    <d v="2022-12-31T00:00:00"/>
    <x v="2"/>
    <s v="CLI321"/>
    <s v="CLI321"/>
    <s v="SANTA RITA PASSA QUATRO"/>
    <s v="SP"/>
    <s v="CLI1051"/>
    <s v="MANAUS"/>
    <s v="AM"/>
    <n v="2133.2949347480489"/>
    <n v="2488.8944759999999"/>
    <n v="0"/>
    <n v="7000"/>
    <n v="0"/>
    <x v="0"/>
    <x v="0"/>
    <s v="BRSSZTK01"/>
    <s v="BRSSZTCO"/>
    <n v="701.24805500000002"/>
    <n v="38.432000000000002"/>
    <n v="150"/>
    <n v="11009.2279816352"/>
    <n v="1981.661036694336"/>
    <n v="640"/>
    <n v="7"/>
    <n v="0"/>
    <n v="0"/>
    <n v="640"/>
    <m/>
    <m/>
    <n v="0"/>
    <x v="0"/>
    <s v="BRMAOTK01"/>
    <s v="BRMAOCHI"/>
    <n v="11.436796000000001"/>
    <n v="38.432000000000002"/>
    <n v="150"/>
    <n v="788.5428890854400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984"/>
    <n v="76864"/>
    <x v="1"/>
    <x v="17"/>
    <x v="9"/>
    <x v="19"/>
    <x v="10"/>
    <x v="20"/>
    <n v="12"/>
    <n v="11"/>
    <n v="13"/>
    <n v="13"/>
    <n v="13"/>
    <n v="12"/>
    <n v="13"/>
    <n v="141"/>
    <n v="7"/>
    <n v="180"/>
    <n v="7"/>
    <n v="180"/>
    <n v="2133.2949347480489"/>
    <n v="230.59200000000001"/>
    <n v="15137.120570076613"/>
    <n v="1059.598439905363"/>
    <n v="110"/>
    <n v="150"/>
    <n v="1E-3"/>
    <n v="76.864000000000004"/>
    <n v="10595.984399053628"/>
    <n v="10932.848399053628"/>
    <n v="3180.9641611183101"/>
    <n v="-5787.8866327853229"/>
    <n v="0.08"/>
    <n v="-227.72668066890787"/>
    <n v="7.0000000000000007E-2"/>
    <n v="765.29938793375402"/>
    <n v="15"/>
    <n v="13"/>
  </r>
  <r>
    <n v="528"/>
    <d v="2022-12-31T00:00:00"/>
    <x v="0"/>
    <s v="CLI324"/>
    <s v="CLI324"/>
    <s v="MOSSORO"/>
    <s v="RN"/>
    <s v="CLI1311"/>
    <s v="SAO PAULO"/>
    <s v="SP"/>
    <n v="2682.7581270000001"/>
    <n v="0"/>
    <n v="0"/>
    <n v="0"/>
    <n v="0"/>
    <x v="0"/>
    <x v="1"/>
    <s v="BRPECTK01S"/>
    <s v="BRPECAPM"/>
    <n v="278.70183199999997"/>
    <n v="66.970500000000001"/>
    <n v="150"/>
    <n v="4777.0512120844805"/>
    <n v="573.24614545013765"/>
    <n v="768"/>
    <n v="7"/>
    <n v="0"/>
    <n v="0"/>
    <n v="768"/>
    <m/>
    <m/>
    <n v="0"/>
    <x v="1"/>
    <s v="BRSSZTK01S"/>
    <s v="BRSSZTCO"/>
    <n v="85.841132000000002"/>
    <n v="66.970500000000001"/>
    <n v="150"/>
    <n v="1919.5036500364799"/>
    <n v="345.51065700656636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05"/>
    <n v="133941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682.7581270000001"/>
    <n v="401.82300000000004"/>
    <n v="19039.734130131921"/>
    <n v="2284.7680956158306"/>
    <n v="75"/>
    <n v="150"/>
    <n v="1E-3"/>
    <n v="133.941"/>
    <n v="8640.2254876076713"/>
    <n v="8999.166487607672"/>
    <n v="3180.9641611183101"/>
    <n v="4080.2023264893619"/>
    <n v="0.08"/>
    <n v="110.7083858424006"/>
    <n v="0.12"/>
    <n v="1079.8999785129206"/>
    <n v="15"/>
    <n v="2"/>
  </r>
  <r>
    <n v="529"/>
    <d v="2022-12-31T00:00:00"/>
    <x v="0"/>
    <s v="CLI324"/>
    <s v="CLI324"/>
    <s v="MOSSORO"/>
    <s v="RN"/>
    <s v="CLI636"/>
    <s v="GUARULHOS"/>
    <s v="SP"/>
    <n v="2675.0657310000001"/>
    <n v="0"/>
    <n v="0"/>
    <n v="0"/>
    <n v="0"/>
    <x v="0"/>
    <x v="1"/>
    <s v="BRPECTK01S"/>
    <s v="BRPECAPM"/>
    <n v="278.70183199999997"/>
    <n v="34.600500000000004"/>
    <n v="150"/>
    <n v="4744.6812120844797"/>
    <n v="569.36174545013751"/>
    <n v="768"/>
    <n v="7"/>
    <n v="0"/>
    <n v="0"/>
    <n v="768"/>
    <m/>
    <m/>
    <n v="0"/>
    <x v="1"/>
    <s v="BRSSZTK01S"/>
    <s v="BRSSZTCO"/>
    <n v="96.951807000000002"/>
    <n v="34.600500000000004"/>
    <n v="150"/>
    <n v="2051.7565216684798"/>
    <n v="369.31617390032636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958"/>
    <n v="69201"/>
    <x v="0"/>
    <x v="3"/>
    <x v="2"/>
    <x v="2"/>
    <x v="2"/>
    <x v="3"/>
    <n v="2"/>
    <n v="2"/>
    <n v="2"/>
    <n v="2"/>
    <n v="2"/>
    <n v="1"/>
    <n v="1"/>
    <n v="18"/>
    <n v="7"/>
    <n v="110"/>
    <n v="7"/>
    <n v="110"/>
    <n v="2675.0657310000001"/>
    <n v="207.60300000000001"/>
    <n v="18793.275376591759"/>
    <n v="2255.1930451910112"/>
    <n v="75"/>
    <n v="150"/>
    <n v="1E-3"/>
    <n v="69.201000000000008"/>
    <n v="8397.7863499871582"/>
    <n v="8691.9873499871574"/>
    <n v="3180.9641611183101"/>
    <n v="3773.0231888688472"/>
    <n v="0.08"/>
    <n v="76.549735750698744"/>
    <n v="0.12"/>
    <n v="1043.0384819984588"/>
    <n v="15"/>
    <n v="2"/>
  </r>
  <r>
    <n v="530"/>
    <d v="2022-12-31T00:00:00"/>
    <x v="2"/>
    <s v="CLI325"/>
    <s v="CLI325"/>
    <s v="JABOATAO DOS GUARARAPES"/>
    <s v="PE"/>
    <s v="CLI875"/>
    <s v="MANAUS"/>
    <s v="AM"/>
    <n v="2824.724442364587"/>
    <n v="2038.9469220000001"/>
    <n v="0"/>
    <n v="7000"/>
    <n v="0"/>
    <x v="0"/>
    <x v="3"/>
    <s v="BRSUATK01"/>
    <s v="BRSUATCO"/>
    <n v="43.495365"/>
    <n v="31.205000000000002"/>
    <n v="150"/>
    <n v="1256.3161648736"/>
    <n v="226.13690967724798"/>
    <n v="1344"/>
    <n v="7"/>
    <n v="0"/>
    <n v="0"/>
    <n v="1344"/>
    <m/>
    <m/>
    <n v="0"/>
    <x v="0"/>
    <s v="BRMAOTK01"/>
    <s v="BRMAOCHI"/>
    <n v="11.436796000000001"/>
    <n v="31.205000000000002"/>
    <n v="150"/>
    <n v="781.31588908544006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10"/>
    <n v="62410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824.724442364587"/>
    <n v="187.23"/>
    <n v="19789.228699120216"/>
    <n v="2374.707443894426"/>
    <n v="110"/>
    <n v="150"/>
    <n v="1E-3"/>
    <n v="62.410000000000004"/>
    <n v="13852.460089384151"/>
    <n v="14174.870089384151"/>
    <n v="3180.9641611183101"/>
    <n v="6520.2738743068003"/>
    <n v="0.08"/>
    <n v="952.88809005982898"/>
    <n v="0.12"/>
    <n v="1700.9844107260981"/>
    <n v="15"/>
    <n v="2"/>
  </r>
  <r>
    <n v="531"/>
    <d v="2022-12-31T00:00:00"/>
    <x v="2"/>
    <s v="CLI326"/>
    <s v="CLI326"/>
    <s v="MANAUS"/>
    <s v="AM"/>
    <s v="CLI969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38.036500000000004"/>
    <n v="150"/>
    <n v="788.14738908544007"/>
    <n v="0"/>
    <n v="832"/>
    <n v="7"/>
    <n v="0"/>
    <n v="0"/>
    <n v="832"/>
    <m/>
    <m/>
    <n v="0"/>
    <x v="2"/>
    <s v="BRSUATK01"/>
    <s v="BRSUATCO"/>
    <n v="43.495365"/>
    <n v="38.036500000000004"/>
    <n v="150"/>
    <n v="1263.1476648736"/>
    <n v="227.36657967724798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32"/>
    <n v="76073"/>
    <x v="1"/>
    <x v="26"/>
    <x v="23"/>
    <x v="16"/>
    <x v="26"/>
    <x v="18"/>
    <n v="24"/>
    <n v="23"/>
    <n v="26"/>
    <n v="26"/>
    <n v="26"/>
    <n v="24"/>
    <n v="26"/>
    <n v="287"/>
    <n v="7"/>
    <n v="180"/>
    <n v="7"/>
    <n v="180"/>
    <n v="3493.6139780000003"/>
    <n v="228.21899999999999"/>
    <n v="24372.619780038887"/>
    <n v="2924.7143736046664"/>
    <n v="110"/>
    <n v="150"/>
    <n v="1E-3"/>
    <n v="76.073000000000008"/>
    <n v="17060.833846027221"/>
    <n v="17396.906846027221"/>
    <n v="3180.9641611183101"/>
    <n v="9693.6476309498703"/>
    <n v="0.08"/>
    <n v="1209.4596169912747"/>
    <n v="0.12"/>
    <n v="2087.6288215232667"/>
    <n v="15"/>
    <n v="26"/>
  </r>
  <r>
    <n v="532"/>
    <d v="2022-12-31T00:00:00"/>
    <x v="2"/>
    <s v="CLI326"/>
    <s v="CLI326"/>
    <s v="MANAUS"/>
    <s v="AM"/>
    <s v="CLI1061"/>
    <s v="HORIZONTE"/>
    <s v="CE"/>
    <n v="3056.12417"/>
    <n v="0"/>
    <n v="1474.541962"/>
    <n v="7000"/>
    <n v="0"/>
    <x v="0"/>
    <x v="2"/>
    <s v="BRMAOTK01"/>
    <s v="BRMAOCHI"/>
    <n v="11.436796000000001"/>
    <n v="28.903500000000001"/>
    <n v="150"/>
    <n v="779.01438908544003"/>
    <n v="0"/>
    <n v="832"/>
    <n v="7"/>
    <n v="0"/>
    <n v="0"/>
    <n v="832"/>
    <m/>
    <m/>
    <n v="0"/>
    <x v="3"/>
    <s v="BRPECTK01"/>
    <s v="BRPECAPM"/>
    <n v="85.942437000000012"/>
    <n v="28.903500000000001"/>
    <n v="150"/>
    <n v="1882.9376497516803"/>
    <n v="338.92877695530245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636"/>
    <n v="57807"/>
    <x v="1"/>
    <x v="11"/>
    <x v="8"/>
    <x v="11"/>
    <x v="9"/>
    <x v="8"/>
    <n v="20"/>
    <n v="19"/>
    <n v="21"/>
    <n v="22"/>
    <n v="22"/>
    <n v="20"/>
    <n v="22"/>
    <n v="239"/>
    <n v="7"/>
    <n v="180"/>
    <n v="7"/>
    <n v="180"/>
    <n v="3056.12417"/>
    <n v="173.42099999999999"/>
    <n v="21346.845993503201"/>
    <n v="2561.621519220384"/>
    <n v="110"/>
    <n v="150"/>
    <n v="1E-3"/>
    <n v="57.807000000000002"/>
    <n v="14942.792195452239"/>
    <n v="15260.59919545224"/>
    <n v="3180.9641611183101"/>
    <n v="7522.6829954968089"/>
    <n v="0.08"/>
    <n v="980.77747037278539"/>
    <n v="0.12"/>
    <n v="1831.2719034542688"/>
    <n v="15"/>
    <n v="22"/>
  </r>
  <r>
    <n v="533"/>
    <d v="2022-12-31T00:00:00"/>
    <x v="2"/>
    <s v="CLI326"/>
    <s v="CLI326"/>
    <s v="MANAUS"/>
    <s v="AM"/>
    <s v="CLI572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67.668499999999995"/>
    <n v="150"/>
    <n v="817.77938908544002"/>
    <n v="0"/>
    <n v="832"/>
    <n v="7"/>
    <n v="0"/>
    <n v="0"/>
    <n v="832"/>
    <m/>
    <m/>
    <n v="0"/>
    <x v="2"/>
    <s v="BRSUATK01"/>
    <s v="BRSUATCO"/>
    <n v="43.495365"/>
    <n v="67.668499999999995"/>
    <n v="150"/>
    <n v="1292.7796648736"/>
    <n v="232.700339677248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925"/>
    <n v="135337"/>
    <x v="1"/>
    <x v="27"/>
    <x v="24"/>
    <x v="23"/>
    <x v="27"/>
    <x v="26"/>
    <n v="18"/>
    <n v="17"/>
    <n v="19"/>
    <n v="19"/>
    <n v="19"/>
    <n v="18"/>
    <n v="19"/>
    <n v="212"/>
    <n v="7"/>
    <n v="180"/>
    <n v="7"/>
    <n v="180"/>
    <n v="3493.6139780000003"/>
    <n v="406.01100000000002"/>
    <n v="24550.411780038885"/>
    <n v="2946.0494136046659"/>
    <n v="110"/>
    <n v="150"/>
    <n v="1E-3"/>
    <n v="135.33699999999999"/>
    <n v="17185.288246027219"/>
    <n v="17580.625246027219"/>
    <n v="3180.9641611183101"/>
    <n v="9818.1020309498672"/>
    <n v="0.08"/>
    <n v="1218.9892681912743"/>
    <n v="0.12"/>
    <n v="2109.6750295232664"/>
    <n v="15"/>
    <n v="19"/>
  </r>
  <r>
    <n v="534"/>
    <d v="2022-12-31T00:00:00"/>
    <x v="2"/>
    <s v="CLI326"/>
    <s v="CLI326"/>
    <s v="MANAUS"/>
    <s v="AM"/>
    <s v="CLI664"/>
    <s v="CAUCAIA"/>
    <s v="CE"/>
    <n v="3014.7999490000002"/>
    <n v="0"/>
    <n v="1428.051281"/>
    <n v="7000"/>
    <n v="0"/>
    <x v="0"/>
    <x v="2"/>
    <s v="BRMAOTK01"/>
    <s v="BRMAOCHI"/>
    <n v="11.436796000000001"/>
    <n v="95.332999999999998"/>
    <n v="150"/>
    <n v="845.44388908543999"/>
    <n v="0"/>
    <n v="832"/>
    <n v="7"/>
    <n v="0"/>
    <n v="0"/>
    <n v="832"/>
    <m/>
    <m/>
    <n v="0"/>
    <x v="3"/>
    <s v="BRPECTK01"/>
    <s v="BRPECAPM"/>
    <n v="34.109209"/>
    <n v="95.332999999999998"/>
    <n v="150"/>
    <n v="1181.37287043776"/>
    <n v="212.6471166787967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791"/>
    <n v="190666"/>
    <x v="1"/>
    <x v="20"/>
    <x v="25"/>
    <x v="18"/>
    <x v="20"/>
    <x v="15"/>
    <n v="13"/>
    <n v="13"/>
    <n v="14"/>
    <n v="14"/>
    <n v="14"/>
    <n v="13"/>
    <n v="14"/>
    <n v="156"/>
    <n v="7"/>
    <n v="180"/>
    <n v="7"/>
    <n v="180"/>
    <n v="3014.7999490000002"/>
    <n v="571.99800000000005"/>
    <n v="21464.791861661044"/>
    <n v="2575.7750233993252"/>
    <n v="110"/>
    <n v="150"/>
    <n v="1E-3"/>
    <n v="190.666"/>
    <n v="15025.354303162731"/>
    <n v="15476.02030316273"/>
    <n v="3180.9641611183101"/>
    <n v="8373.2393825212203"/>
    <n v="0.08"/>
    <n v="1058.9245141568588"/>
    <n v="0.12"/>
    <n v="1857.1224363795275"/>
    <n v="15"/>
    <n v="14"/>
  </r>
  <r>
    <n v="535"/>
    <d v="2022-12-31T00:00:00"/>
    <x v="2"/>
    <s v="CLI326"/>
    <s v="CLI326"/>
    <s v="MANAUS"/>
    <s v="AM"/>
    <s v="CLI502"/>
    <s v="PAULINIA"/>
    <s v="SP"/>
    <n v="3827.7121339999999"/>
    <n v="0"/>
    <n v="2775.6534539999998"/>
    <n v="7000"/>
    <n v="0"/>
    <x v="0"/>
    <x v="2"/>
    <s v="BRMAOTK01"/>
    <s v="BRMAOCHI"/>
    <n v="11.436796000000001"/>
    <n v="42.14"/>
    <n v="150"/>
    <n v="792.25088908544001"/>
    <n v="0"/>
    <n v="832"/>
    <n v="7"/>
    <n v="0"/>
    <n v="0"/>
    <n v="832"/>
    <m/>
    <m/>
    <n v="0"/>
    <x v="1"/>
    <s v="BRSSZTK01"/>
    <s v="BRSSZTCO"/>
    <n v="195.69980799999999"/>
    <n v="42.14"/>
    <n v="150"/>
    <n v="3522.4096032051198"/>
    <n v="634.0337285769215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45"/>
    <n v="84280"/>
    <x v="1"/>
    <x v="20"/>
    <x v="25"/>
    <x v="15"/>
    <x v="20"/>
    <x v="9"/>
    <n v="13"/>
    <n v="12"/>
    <n v="14"/>
    <n v="14"/>
    <n v="14"/>
    <n v="13"/>
    <n v="14"/>
    <n v="153"/>
    <n v="7"/>
    <n v="180"/>
    <n v="7"/>
    <n v="180"/>
    <n v="3827.7121339999999"/>
    <n v="252.84"/>
    <n v="26666.087993508641"/>
    <n v="3199.9305592210367"/>
    <n v="110"/>
    <n v="150"/>
    <n v="1E-3"/>
    <n v="84.28"/>
    <n v="18666.261595456046"/>
    <n v="19010.541595456045"/>
    <n v="3180.9641611183101"/>
    <n v="9747.9169420471735"/>
    <n v="0.08"/>
    <n v="1124.9477899670851"/>
    <n v="0.12"/>
    <n v="2281.2649914547251"/>
    <n v="15"/>
    <n v="14"/>
  </r>
  <r>
    <n v="536"/>
    <d v="2022-12-31T00:00:00"/>
    <x v="2"/>
    <s v="CLI326"/>
    <s v="CLI326"/>
    <s v="MANAUS"/>
    <s v="AM"/>
    <s v="CLI970"/>
    <s v="PAULINIA"/>
    <s v="SP"/>
    <n v="3827.7121339999999"/>
    <n v="0"/>
    <n v="2775.6534539999998"/>
    <n v="7000"/>
    <n v="0"/>
    <x v="0"/>
    <x v="2"/>
    <s v="BRMAOTK01"/>
    <s v="BRMAOCHI"/>
    <n v="11.436796000000001"/>
    <n v="79.322500000000005"/>
    <n v="150"/>
    <n v="829.43338908544001"/>
    <n v="0"/>
    <n v="832"/>
    <n v="7"/>
    <n v="0"/>
    <n v="0"/>
    <n v="832"/>
    <m/>
    <m/>
    <n v="0"/>
    <x v="1"/>
    <s v="BRSSZTK01"/>
    <s v="BRSSZTCO"/>
    <n v="195.69980799999999"/>
    <n v="79.322500000000005"/>
    <n v="150"/>
    <n v="3559.5921032051201"/>
    <n v="640.7265785769216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897"/>
    <n v="158645"/>
    <x v="1"/>
    <x v="17"/>
    <x v="25"/>
    <x v="15"/>
    <x v="10"/>
    <x v="9"/>
    <n v="12"/>
    <n v="12"/>
    <n v="13"/>
    <n v="13"/>
    <n v="13"/>
    <n v="12"/>
    <n v="13"/>
    <n v="145"/>
    <n v="7"/>
    <n v="180"/>
    <n v="7"/>
    <n v="180"/>
    <n v="3827.7121339999999"/>
    <n v="475.935"/>
    <n v="26889.182993508643"/>
    <n v="3226.7019592210368"/>
    <n v="110"/>
    <n v="150"/>
    <n v="1E-3"/>
    <n v="158.64500000000001"/>
    <n v="18822.428095456049"/>
    <n v="19241.073095456049"/>
    <n v="3180.9641611183101"/>
    <n v="9904.0834420471801"/>
    <n v="0.08"/>
    <n v="1136.9056819670857"/>
    <n v="0.12"/>
    <n v="2308.9287714547258"/>
    <n v="15"/>
    <n v="13"/>
  </r>
  <r>
    <n v="537"/>
    <d v="2022-12-31T00:00:00"/>
    <x v="2"/>
    <s v="CLI326"/>
    <s v="CLI326"/>
    <s v="MANAUS"/>
    <s v="AM"/>
    <s v="CLI1060"/>
    <s v="ALHANDRA"/>
    <s v="PB"/>
    <n v="3512.4340469999997"/>
    <n v="0"/>
    <n v="2039.6696010000001"/>
    <n v="7000"/>
    <n v="0"/>
    <x v="0"/>
    <x v="2"/>
    <s v="BRMAOTK01"/>
    <s v="BRMAOCHI"/>
    <n v="11.436796000000001"/>
    <n v="75.256"/>
    <n v="150"/>
    <n v="825.36688908543999"/>
    <n v="0"/>
    <n v="832"/>
    <n v="7"/>
    <n v="0"/>
    <n v="0"/>
    <n v="832"/>
    <m/>
    <m/>
    <n v="0"/>
    <x v="2"/>
    <s v="BRSUATK01"/>
    <s v="BRSUATCO"/>
    <n v="133.16569799999999"/>
    <n v="75.256"/>
    <n v="150"/>
    <n v="2628.9802076147198"/>
    <n v="315.47762491376636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496"/>
    <n v="150512"/>
    <x v="1"/>
    <x v="8"/>
    <x v="9"/>
    <x v="19"/>
    <x v="10"/>
    <x v="20"/>
    <n v="12"/>
    <n v="11"/>
    <n v="12"/>
    <n v="12"/>
    <n v="12"/>
    <n v="11"/>
    <n v="12"/>
    <n v="135"/>
    <n v="7"/>
    <n v="180"/>
    <n v="7"/>
    <n v="180"/>
    <n v="3512.4340469999997"/>
    <n v="451.536"/>
    <n v="24723.743115815119"/>
    <n v="2966.8491738978141"/>
    <n v="110"/>
    <n v="150"/>
    <n v="1E-3"/>
    <n v="150.512"/>
    <n v="17306.620181070582"/>
    <n v="17717.132181070581"/>
    <n v="3180.9641611183101"/>
    <n v="8610.8209232521112"/>
    <n v="0.08"/>
    <n v="1115.7845967565324"/>
    <n v="0.12"/>
    <n v="2126.0558617284696"/>
    <n v="15"/>
    <n v="12"/>
  </r>
  <r>
    <n v="538"/>
    <d v="2022-12-31T00:00:00"/>
    <x v="2"/>
    <s v="CLI326"/>
    <s v="CLI326"/>
    <s v="MANAUS"/>
    <s v="AM"/>
    <s v="CLI540"/>
    <s v="CAUCAIA"/>
    <s v="CE"/>
    <n v="3014.7999490000002"/>
    <n v="0"/>
    <n v="1428.051281"/>
    <n v="7000"/>
    <n v="0"/>
    <x v="0"/>
    <x v="2"/>
    <s v="BRMAOTK01"/>
    <s v="BRMAOCHI"/>
    <n v="11.436796000000001"/>
    <n v="68.756500000000003"/>
    <n v="150"/>
    <n v="818.86738908543998"/>
    <n v="0"/>
    <n v="832"/>
    <n v="7"/>
    <n v="0"/>
    <n v="0"/>
    <n v="832"/>
    <m/>
    <m/>
    <n v="0"/>
    <x v="3"/>
    <s v="BRPECTK01"/>
    <s v="BRPECAPM"/>
    <n v="34.109209"/>
    <n v="68.756500000000003"/>
    <n v="150"/>
    <n v="1154.7963704377598"/>
    <n v="207.86334667879677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864"/>
    <n v="137513"/>
    <x v="1"/>
    <x v="9"/>
    <x v="10"/>
    <x v="9"/>
    <x v="11"/>
    <x v="16"/>
    <n v="10"/>
    <n v="9"/>
    <n v="10"/>
    <n v="10"/>
    <n v="10"/>
    <n v="10"/>
    <n v="10"/>
    <n v="112"/>
    <n v="7"/>
    <n v="180"/>
    <n v="7"/>
    <n v="180"/>
    <n v="3014.7999490000002"/>
    <n v="412.53899999999999"/>
    <n v="21305.332861661045"/>
    <n v="2556.6399433993251"/>
    <n v="110"/>
    <n v="150"/>
    <n v="1E-3"/>
    <n v="137.51300000000001"/>
    <n v="14913.73300316273"/>
    <n v="15311.246003162731"/>
    <n v="3180.9641611183101"/>
    <n v="8261.6180825212195"/>
    <n v="0.08"/>
    <n v="1050.3775117568587"/>
    <n v="0.12"/>
    <n v="1837.3495203795276"/>
    <n v="15"/>
    <n v="10"/>
  </r>
  <r>
    <n v="539"/>
    <d v="2022-12-31T00:00:00"/>
    <x v="2"/>
    <s v="CLI326"/>
    <s v="CLI326"/>
    <s v="MANAUS"/>
    <s v="AM"/>
    <s v="CLI967"/>
    <s v="DIADEMA"/>
    <s v="SP"/>
    <n v="3943.754328"/>
    <n v="0"/>
    <n v="2891.7324800000001"/>
    <n v="7000"/>
    <n v="0"/>
    <x v="0"/>
    <x v="2"/>
    <s v="BRMAOTK01"/>
    <s v="BRMAOCHI"/>
    <n v="11.436796000000001"/>
    <n v="80.710499999999996"/>
    <n v="150"/>
    <n v="830.82138908544005"/>
    <n v="0"/>
    <n v="832"/>
    <n v="7"/>
    <n v="0"/>
    <n v="0"/>
    <n v="832"/>
    <m/>
    <m/>
    <n v="0"/>
    <x v="1"/>
    <s v="BRSSZTK01"/>
    <s v="BRSSZTCO"/>
    <n v="72.836216000000007"/>
    <n v="80.710499999999996"/>
    <n v="150"/>
    <n v="1740.5544914342399"/>
    <n v="313.2998084581631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218"/>
    <n v="161421"/>
    <x v="1"/>
    <x v="4"/>
    <x v="3"/>
    <x v="3"/>
    <x v="4"/>
    <x v="4"/>
    <n v="9"/>
    <n v="8"/>
    <n v="9"/>
    <n v="9"/>
    <n v="9"/>
    <n v="9"/>
    <n v="9"/>
    <n v="100"/>
    <n v="7"/>
    <n v="180"/>
    <n v="7"/>
    <n v="180"/>
    <n v="3943.754328"/>
    <n v="484.26300000000003"/>
    <n v="27685.548891274881"/>
    <n v="3322.2658669529856"/>
    <n v="110"/>
    <n v="150"/>
    <n v="1E-3"/>
    <n v="161.42099999999999"/>
    <n v="19379.884223892415"/>
    <n v="19801.305223892414"/>
    <n v="3180.9641611183101"/>
    <n v="12281.965182254426"/>
    <n v="0.08"/>
    <n v="1353.3303627931659"/>
    <n v="0.12"/>
    <n v="2376.1566268670895"/>
    <n v="15"/>
    <n v="9"/>
  </r>
  <r>
    <n v="540"/>
    <d v="2022-12-31T00:00:00"/>
    <x v="2"/>
    <s v="CLI326"/>
    <s v="CLI326"/>
    <s v="MANAUS"/>
    <s v="AM"/>
    <s v="CLI574"/>
    <s v="CAUCAIA"/>
    <s v="CE"/>
    <n v="3014.7999490000002"/>
    <n v="0"/>
    <n v="1428.051281"/>
    <n v="7000"/>
    <n v="0"/>
    <x v="0"/>
    <x v="2"/>
    <s v="BRMAOTK01"/>
    <s v="BRMAOCHI"/>
    <n v="11.436796000000001"/>
    <n v="65.471000000000004"/>
    <n v="150"/>
    <n v="815.58188908544003"/>
    <n v="0"/>
    <n v="832"/>
    <n v="7"/>
    <n v="0"/>
    <n v="0"/>
    <n v="832"/>
    <m/>
    <m/>
    <n v="0"/>
    <x v="3"/>
    <s v="BRPECTK01"/>
    <s v="BRPECAPM"/>
    <n v="34.109209"/>
    <n v="65.471000000000004"/>
    <n v="150"/>
    <n v="1151.5108704377599"/>
    <n v="207.2719566787967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863"/>
    <n v="130942"/>
    <x v="1"/>
    <x v="4"/>
    <x v="3"/>
    <x v="17"/>
    <x v="7"/>
    <x v="4"/>
    <n v="8"/>
    <n v="7"/>
    <n v="9"/>
    <n v="9"/>
    <n v="9"/>
    <n v="8"/>
    <n v="9"/>
    <n v="95"/>
    <n v="7"/>
    <n v="180"/>
    <n v="7"/>
    <n v="180"/>
    <n v="3014.7999490000002"/>
    <n v="392.82600000000002"/>
    <n v="21285.619861661045"/>
    <n v="2554.2743833993254"/>
    <n v="110"/>
    <n v="150"/>
    <n v="1E-3"/>
    <n v="130.94200000000001"/>
    <n v="14899.933903162731"/>
    <n v="15290.875903162731"/>
    <n v="3180.9641611183101"/>
    <n v="8247.8189825212194"/>
    <n v="0.08"/>
    <n v="1049.3208949568586"/>
    <n v="0.12"/>
    <n v="1834.9051083795275"/>
    <n v="15"/>
    <n v="9"/>
  </r>
  <r>
    <n v="541"/>
    <d v="2022-12-31T00:00:00"/>
    <x v="2"/>
    <s v="CLI326"/>
    <s v="CLI326"/>
    <s v="MANAUS"/>
    <s v="AM"/>
    <s v="CLI328"/>
    <s v="CAUCAIA"/>
    <s v="CE"/>
    <n v="3014.7999490000002"/>
    <n v="0"/>
    <n v="1428.051281"/>
    <n v="7000"/>
    <n v="0"/>
    <x v="0"/>
    <x v="2"/>
    <s v="BRMAOTK01"/>
    <s v="BRMAOCHI"/>
    <n v="11.436796000000001"/>
    <n v="54.817"/>
    <n v="150"/>
    <n v="804.92788908544003"/>
    <n v="0"/>
    <n v="832"/>
    <n v="7"/>
    <n v="0"/>
    <n v="0"/>
    <n v="832"/>
    <m/>
    <m/>
    <n v="0"/>
    <x v="3"/>
    <s v="BRPECTK01"/>
    <s v="BRPECAPM"/>
    <n v="34.109209"/>
    <n v="54.817"/>
    <n v="150"/>
    <n v="1140.8568704377599"/>
    <n v="205.3542366787967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261"/>
    <n v="109634"/>
    <x v="1"/>
    <x v="14"/>
    <x v="1"/>
    <x v="12"/>
    <x v="1"/>
    <x v="1"/>
    <n v="6"/>
    <n v="6"/>
    <n v="7"/>
    <n v="7"/>
    <n v="7"/>
    <n v="6"/>
    <n v="7"/>
    <n v="74"/>
    <n v="7"/>
    <n v="180"/>
    <n v="7"/>
    <n v="180"/>
    <n v="3014.7999490000002"/>
    <n v="328.90199999999999"/>
    <n v="21221.695861661043"/>
    <n v="2546.6035033993248"/>
    <n v="110"/>
    <n v="150"/>
    <n v="1E-3"/>
    <n v="109.634"/>
    <n v="14855.187103162729"/>
    <n v="15224.821103162729"/>
    <n v="3180.9641611183101"/>
    <n v="8203.0721825212186"/>
    <n v="0.08"/>
    <n v="1045.8945685568585"/>
    <n v="0.12"/>
    <n v="1826.9785323795275"/>
    <n v="15"/>
    <n v="7"/>
  </r>
  <r>
    <n v="542"/>
    <d v="2022-12-31T00:00:00"/>
    <x v="2"/>
    <s v="CLI326"/>
    <s v="CLI326"/>
    <s v="MANAUS"/>
    <s v="AM"/>
    <s v="CLI752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82.283500000000004"/>
    <n v="150"/>
    <n v="832.39438908544003"/>
    <n v="0"/>
    <n v="832"/>
    <n v="7"/>
    <n v="0"/>
    <n v="0"/>
    <n v="832"/>
    <m/>
    <m/>
    <n v="0"/>
    <x v="2"/>
    <s v="BRSUATK01"/>
    <s v="BRSUATCO"/>
    <n v="43.495365"/>
    <n v="82.283500000000004"/>
    <n v="150"/>
    <n v="1307.3946648736"/>
    <n v="235.33103967724799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59"/>
    <n v="164567"/>
    <x v="1"/>
    <x v="1"/>
    <x v="6"/>
    <x v="1"/>
    <x v="8"/>
    <x v="6"/>
    <n v="5"/>
    <n v="5"/>
    <n v="5"/>
    <n v="5"/>
    <n v="5"/>
    <n v="5"/>
    <n v="5"/>
    <n v="58"/>
    <n v="7"/>
    <n v="180"/>
    <n v="7"/>
    <n v="180"/>
    <n v="3493.6139780000003"/>
    <n v="493.70100000000002"/>
    <n v="24638.101780038887"/>
    <n v="2956.5722136046666"/>
    <n v="110"/>
    <n v="150"/>
    <n v="1E-3"/>
    <n v="164.56700000000001"/>
    <n v="17246.671246027221"/>
    <n v="17671.23824602722"/>
    <n v="3180.9641611183101"/>
    <n v="9879.4850309498706"/>
    <n v="0.08"/>
    <n v="1223.6894521912745"/>
    <n v="0.12"/>
    <n v="2120.5485895232664"/>
    <n v="15"/>
    <n v="5"/>
  </r>
  <r>
    <n v="543"/>
    <d v="2022-12-31T00:00:00"/>
    <x v="2"/>
    <s v="CLI326"/>
    <s v="CLI326"/>
    <s v="MANAUS"/>
    <s v="AM"/>
    <s v="CLI971"/>
    <s v="SAO PAULO"/>
    <s v="SP"/>
    <n v="3929.9226880000001"/>
    <n v="0"/>
    <n v="2877.9279630000001"/>
    <n v="7000"/>
    <n v="0"/>
    <x v="0"/>
    <x v="2"/>
    <s v="BRMAOTK01"/>
    <s v="BRMAOCHI"/>
    <n v="11.436796000000001"/>
    <n v="53.499499999999998"/>
    <n v="150"/>
    <n v="803.61038908544003"/>
    <n v="0"/>
    <n v="832"/>
    <n v="7"/>
    <n v="0"/>
    <n v="0"/>
    <n v="832"/>
    <m/>
    <m/>
    <n v="0"/>
    <x v="1"/>
    <s v="BRSSZTK01"/>
    <s v="BRSSZTCO"/>
    <n v="85.841132000000002"/>
    <n v="53.499499999999998"/>
    <n v="150"/>
    <n v="1906.0326500364799"/>
    <n v="343.0858770065663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34"/>
    <n v="106999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3929.9226880000001"/>
    <n v="320.99700000000001"/>
    <n v="27428.352777300483"/>
    <n v="3291.4023332760576"/>
    <n v="110"/>
    <n v="150"/>
    <n v="1E-3"/>
    <n v="106.999"/>
    <n v="19199.846944110337"/>
    <n v="19566.845944110337"/>
    <n v="3180.9641611183101"/>
    <n v="11909.238743870108"/>
    <n v="0.08"/>
    <n v="1321.1293622385481"/>
    <n v="0.12"/>
    <n v="2348.0215132932403"/>
    <n v="15"/>
    <n v="5"/>
  </r>
  <r>
    <n v="544"/>
    <d v="2022-12-31T00:00:00"/>
    <x v="2"/>
    <s v="CLI326"/>
    <s v="CLI326"/>
    <s v="MANAUS"/>
    <s v="AM"/>
    <s v="CLI655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82.598500000000001"/>
    <n v="150"/>
    <n v="832.70938908544008"/>
    <n v="0"/>
    <n v="832"/>
    <n v="7"/>
    <n v="0"/>
    <n v="0"/>
    <n v="832"/>
    <m/>
    <m/>
    <n v="0"/>
    <x v="2"/>
    <s v="BRSUATK01"/>
    <s v="BRSUATCO"/>
    <n v="43.495365"/>
    <n v="82.598500000000001"/>
    <n v="150"/>
    <n v="1307.7096648736001"/>
    <n v="235.3877396772480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283"/>
    <n v="165197"/>
    <x v="1"/>
    <x v="5"/>
    <x v="6"/>
    <x v="5"/>
    <x v="5"/>
    <x v="6"/>
    <n v="4"/>
    <n v="4"/>
    <n v="4"/>
    <n v="4"/>
    <n v="4"/>
    <n v="4"/>
    <n v="4"/>
    <n v="48"/>
    <n v="7"/>
    <n v="180"/>
    <n v="7"/>
    <n v="180"/>
    <n v="3493.6139780000003"/>
    <n v="495.59100000000001"/>
    <n v="24639.991780038887"/>
    <n v="2956.7990136046665"/>
    <n v="110"/>
    <n v="150"/>
    <n v="1E-3"/>
    <n v="165.197"/>
    <n v="17247.994246027218"/>
    <n v="17673.191246027218"/>
    <n v="3180.9641611183101"/>
    <n v="9880.8080309498655"/>
    <n v="0.08"/>
    <n v="1223.7907561912743"/>
    <n v="0.12"/>
    <n v="2120.7829495232659"/>
    <n v="15"/>
    <n v="4"/>
  </r>
  <r>
    <n v="545"/>
    <d v="2022-12-31T00:00:00"/>
    <x v="2"/>
    <s v="CLI326"/>
    <s v="CLI326"/>
    <s v="MANAUS"/>
    <s v="AM"/>
    <s v="CLI575"/>
    <s v="PAULINIA"/>
    <s v="SP"/>
    <n v="3827.7121339999999"/>
    <n v="0"/>
    <n v="2775.6534539999998"/>
    <n v="7000"/>
    <n v="0"/>
    <x v="0"/>
    <x v="2"/>
    <s v="BRMAOTK01"/>
    <s v="BRMAOCHI"/>
    <n v="11.436796000000001"/>
    <n v="76.771000000000001"/>
    <n v="150"/>
    <n v="826.88188908543998"/>
    <n v="0"/>
    <n v="832"/>
    <n v="7"/>
    <n v="0"/>
    <n v="0"/>
    <n v="832"/>
    <m/>
    <m/>
    <n v="0"/>
    <x v="1"/>
    <s v="BRSSZTK01"/>
    <s v="BRSSZTCO"/>
    <n v="195.69980799999999"/>
    <n v="76.771000000000001"/>
    <n v="150"/>
    <n v="3557.0406032051201"/>
    <n v="640.2673085769215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807"/>
    <n v="153542"/>
    <x v="1"/>
    <x v="0"/>
    <x v="0"/>
    <x v="4"/>
    <x v="2"/>
    <x v="2"/>
    <n v="3"/>
    <n v="3"/>
    <n v="3"/>
    <n v="3"/>
    <n v="3"/>
    <n v="3"/>
    <n v="3"/>
    <n v="33"/>
    <n v="7"/>
    <n v="180"/>
    <n v="7"/>
    <n v="180"/>
    <n v="3827.7121339999999"/>
    <n v="460.62600000000003"/>
    <n v="26873.873993508641"/>
    <n v="3224.864879221037"/>
    <n v="110"/>
    <n v="150"/>
    <n v="1E-3"/>
    <n v="153.542"/>
    <n v="18811.711795456049"/>
    <n v="19225.25379545605"/>
    <n v="3180.9641611183101"/>
    <n v="9893.3671420471783"/>
    <n v="0.08"/>
    <n v="1136.0851195670855"/>
    <n v="0.12"/>
    <n v="2307.0304554547261"/>
    <n v="15"/>
    <n v="3"/>
  </r>
  <r>
    <n v="546"/>
    <d v="2022-12-31T00:00:00"/>
    <x v="2"/>
    <s v="CLI326"/>
    <s v="CLI326"/>
    <s v="MANAUS"/>
    <s v="AM"/>
    <s v="CLI1282"/>
    <s v="CAUCAIA"/>
    <s v="CE"/>
    <n v="3014.7999490000002"/>
    <n v="0"/>
    <n v="1428.051281"/>
    <n v="7000"/>
    <n v="0"/>
    <x v="0"/>
    <x v="2"/>
    <s v="BRMAOTK01"/>
    <s v="BRMAOCHI"/>
    <n v="11.436796000000001"/>
    <n v="39.803000000000004"/>
    <n v="150"/>
    <n v="789.91388908544002"/>
    <n v="0"/>
    <n v="832"/>
    <n v="7"/>
    <n v="0"/>
    <n v="0"/>
    <n v="832"/>
    <m/>
    <m/>
    <n v="0"/>
    <x v="3"/>
    <s v="BRPECTK01"/>
    <s v="BRPECAPM"/>
    <n v="34.109209"/>
    <n v="39.803000000000004"/>
    <n v="150"/>
    <n v="1125.84287043776"/>
    <n v="202.65171667879679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707"/>
    <n v="79606"/>
    <x v="1"/>
    <x v="0"/>
    <x v="0"/>
    <x v="0"/>
    <x v="2"/>
    <x v="2"/>
    <n v="3"/>
    <n v="2"/>
    <n v="3"/>
    <n v="3"/>
    <n v="3"/>
    <n v="3"/>
    <n v="3"/>
    <n v="31"/>
    <n v="7"/>
    <n v="180"/>
    <n v="7"/>
    <n v="180"/>
    <n v="3014.7999490000002"/>
    <n v="238.81800000000001"/>
    <n v="21131.611861661044"/>
    <n v="2535.7934233993251"/>
    <n v="110"/>
    <n v="150"/>
    <n v="1E-3"/>
    <n v="79.606000000000009"/>
    <n v="14792.12830316273"/>
    <n v="15131.73430316273"/>
    <n v="3180.9641611183101"/>
    <n v="8140.0133825212197"/>
    <n v="0.08"/>
    <n v="1041.0660661568588"/>
    <n v="0.12"/>
    <n v="1815.8081163795275"/>
    <n v="15"/>
    <n v="3"/>
  </r>
  <r>
    <n v="547"/>
    <d v="2022-12-31T00:00:00"/>
    <x v="2"/>
    <s v="CLI326"/>
    <s v="CLI326"/>
    <s v="MANAUS"/>
    <s v="AM"/>
    <s v="CLI966"/>
    <s v="CAMPINAS"/>
    <s v="SP"/>
    <n v="3842.0099789999999"/>
    <n v="0"/>
    <n v="2789.9946060000002"/>
    <n v="7000"/>
    <n v="0"/>
    <x v="0"/>
    <x v="2"/>
    <s v="BRMAOTK01"/>
    <s v="BRMAOCHI"/>
    <n v="11.436796000000001"/>
    <n v="116.8415"/>
    <n v="150"/>
    <n v="866.95238908544002"/>
    <n v="0"/>
    <n v="832"/>
    <n v="7"/>
    <n v="0"/>
    <n v="0"/>
    <n v="832"/>
    <m/>
    <m/>
    <n v="0"/>
    <x v="1"/>
    <s v="BRSSZTK01"/>
    <s v="BRSSZTCO"/>
    <n v="176.124787"/>
    <n v="116.8415"/>
    <n v="150"/>
    <n v="3307.0750640556803"/>
    <n v="595.2735115300224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RT01"/>
    <n v="42.263237000000004"/>
    <n v="116.8415"/>
    <n v="150"/>
    <n v="1323.69666786368"/>
    <n v="238.26540021546239"/>
    <n v="900"/>
    <s v="RS01"/>
    <n v="0"/>
    <n v="1613.8215"/>
    <n v="0"/>
    <n v="290.48786999999999"/>
    <n v="224"/>
    <n v="4590.2714380791422"/>
    <s v="COMMODITY"/>
    <n v="27758"/>
    <n v="233683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3842.0099789999999"/>
    <n v="701.04899999999998"/>
    <n v="27211.39308698984"/>
    <n v="3265.3671704387807"/>
    <n v="110"/>
    <n v="150"/>
    <n v="1E-3"/>
    <n v="233.68299999999999"/>
    <n v="19047.975160892885"/>
    <n v="19541.658160892886"/>
    <n v="3180.9641611183101"/>
    <n v="5829.395108554314"/>
    <n v="0.08"/>
    <n v="814.56686065140821"/>
    <n v="0.12"/>
    <n v="2344.9989793071463"/>
    <n v="15"/>
    <n v="3"/>
  </r>
  <r>
    <n v="548"/>
    <d v="2022-12-31T00:00:00"/>
    <x v="2"/>
    <s v="CLI326"/>
    <s v="CLI326"/>
    <s v="MANAUS"/>
    <s v="AM"/>
    <s v="CLI718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65.855500000000006"/>
    <n v="150"/>
    <n v="815.96638908544003"/>
    <n v="0"/>
    <n v="832"/>
    <n v="7"/>
    <n v="0"/>
    <n v="0"/>
    <n v="832"/>
    <m/>
    <m/>
    <n v="0"/>
    <x v="2"/>
    <s v="BRSUATK01"/>
    <s v="BRSUATCO"/>
    <n v="43.495365"/>
    <n v="65.855500000000006"/>
    <n v="150"/>
    <n v="1290.9666648736002"/>
    <n v="232.37399967724801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371"/>
    <n v="131711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493.6139780000003"/>
    <n v="395.13299999999998"/>
    <n v="24539.533780038888"/>
    <n v="2944.7440536046665"/>
    <n v="110"/>
    <n v="150"/>
    <n v="1E-3"/>
    <n v="131.71100000000001"/>
    <n v="17177.673646027222"/>
    <n v="17569.384646027222"/>
    <n v="3180.9641611183101"/>
    <n v="9810.4874309498719"/>
    <n v="0.08"/>
    <n v="1218.4062073912748"/>
    <n v="0.12"/>
    <n v="2108.3261575232664"/>
    <n v="15"/>
    <n v="2"/>
  </r>
  <r>
    <n v="549"/>
    <d v="2022-12-31T00:00:00"/>
    <x v="2"/>
    <s v="CLI326"/>
    <s v="CLI326"/>
    <s v="MANAUS"/>
    <s v="AM"/>
    <s v="CLI696"/>
    <s v="PAULINIA"/>
    <s v="SP"/>
    <n v="3827.7121339999999"/>
    <n v="0"/>
    <n v="2775.6534539999998"/>
    <n v="7000"/>
    <n v="0"/>
    <x v="0"/>
    <x v="2"/>
    <s v="BRMAOTK01"/>
    <s v="BRMAOCHI"/>
    <n v="11.436796000000001"/>
    <n v="104.06700000000001"/>
    <n v="150"/>
    <n v="854.17788908544003"/>
    <n v="0"/>
    <n v="832"/>
    <n v="7"/>
    <n v="0"/>
    <n v="0"/>
    <n v="832"/>
    <m/>
    <m/>
    <n v="0"/>
    <x v="1"/>
    <s v="BRSSZTK01"/>
    <s v="BRSSZTCO"/>
    <n v="195.69980799999999"/>
    <n v="104.06700000000001"/>
    <n v="150"/>
    <n v="3584.3366032051199"/>
    <n v="645.1805885769215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989"/>
    <n v="208134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827.7121339999999"/>
    <n v="624.40200000000004"/>
    <n v="27037.649993508639"/>
    <n v="3244.5179992210365"/>
    <n v="110"/>
    <n v="150"/>
    <n v="1E-3"/>
    <n v="208.13400000000001"/>
    <n v="18926.354995456048"/>
    <n v="19394.488995456049"/>
    <n v="3180.9641611183101"/>
    <n v="10008.010342047179"/>
    <n v="0.08"/>
    <n v="1144.8635131670856"/>
    <n v="0.12"/>
    <n v="2327.3386794547259"/>
    <n v="15"/>
    <n v="2"/>
  </r>
  <r>
    <n v="550"/>
    <d v="2022-12-31T00:00:00"/>
    <x v="2"/>
    <s v="CLI326"/>
    <s v="CLI326"/>
    <s v="MANAUS"/>
    <s v="AM"/>
    <s v="CLI695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95.509"/>
    <n v="150"/>
    <n v="845.61988908544004"/>
    <n v="0"/>
    <n v="832"/>
    <n v="7"/>
    <n v="0"/>
    <n v="0"/>
    <n v="832"/>
    <m/>
    <m/>
    <n v="0"/>
    <x v="2"/>
    <s v="BRSUATK01"/>
    <s v="BRSUATCO"/>
    <n v="43.495365"/>
    <n v="95.509"/>
    <n v="150"/>
    <n v="1320.6201648736001"/>
    <n v="237.711629677248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245"/>
    <n v="191018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493.6139780000003"/>
    <n v="573.05399999999997"/>
    <n v="24717.454780038886"/>
    <n v="2966.094573604666"/>
    <n v="110"/>
    <n v="150"/>
    <n v="1E-3"/>
    <n v="191.018"/>
    <n v="17302.218346027221"/>
    <n v="17753.236346027221"/>
    <n v="3180.9641611183101"/>
    <n v="9935.0321309498704"/>
    <n v="0.08"/>
    <n v="1227.9427729912748"/>
    <n v="0.12"/>
    <n v="2130.3883615232662"/>
    <n v="15"/>
    <n v="2"/>
  </r>
  <r>
    <n v="551"/>
    <d v="2022-12-31T00:00:00"/>
    <x v="2"/>
    <s v="CLI326"/>
    <s v="CLI326"/>
    <s v="MANAUS"/>
    <s v="AM"/>
    <s v="CLI713"/>
    <s v="PAULINIA"/>
    <s v="SP"/>
    <n v="3827.7121339999999"/>
    <n v="0"/>
    <n v="2775.6534539999998"/>
    <n v="7000"/>
    <n v="0"/>
    <x v="0"/>
    <x v="2"/>
    <s v="BRMAOTK01"/>
    <s v="BRMAOCHI"/>
    <n v="11.436796000000001"/>
    <n v="98.451499999999996"/>
    <n v="150"/>
    <n v="848.56238908544003"/>
    <n v="0"/>
    <n v="832"/>
    <n v="7"/>
    <n v="0"/>
    <n v="0"/>
    <n v="832"/>
    <m/>
    <m/>
    <n v="0"/>
    <x v="1"/>
    <s v="BRSSZTK01"/>
    <s v="BRSSZTCO"/>
    <n v="195.69980799999999"/>
    <n v="98.451499999999996"/>
    <n v="150"/>
    <n v="3578.72110320512"/>
    <n v="644.1697985769216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496"/>
    <n v="19690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827.7121339999999"/>
    <n v="590.70900000000006"/>
    <n v="27003.95699350864"/>
    <n v="3240.4748392210367"/>
    <n v="110"/>
    <n v="150"/>
    <n v="1E-3"/>
    <n v="196.90299999999999"/>
    <n v="18902.769895456047"/>
    <n v="19359.672895456046"/>
    <n v="3180.9641611183101"/>
    <n v="9984.4252420471748"/>
    <n v="0.08"/>
    <n v="1143.057568367085"/>
    <n v="0.12"/>
    <n v="2323.1607474547254"/>
    <n v="15"/>
    <n v="2"/>
  </r>
  <r>
    <n v="552"/>
    <d v="2022-12-31T00:00:00"/>
    <x v="2"/>
    <s v="CLI326"/>
    <s v="CLI326"/>
    <s v="MANAUS"/>
    <s v="AM"/>
    <s v="CLI1059"/>
    <s v="CAUCAIA"/>
    <s v="CE"/>
    <n v="3014.7999490000002"/>
    <n v="0"/>
    <n v="1428.051281"/>
    <n v="7000"/>
    <n v="0"/>
    <x v="0"/>
    <x v="2"/>
    <s v="BRMAOTK01"/>
    <s v="BRMAOCHI"/>
    <n v="11.436796000000001"/>
    <n v="51.707000000000001"/>
    <n v="150"/>
    <n v="801.81788908544002"/>
    <n v="0"/>
    <n v="832"/>
    <n v="7"/>
    <n v="0"/>
    <n v="0"/>
    <n v="832"/>
    <m/>
    <m/>
    <n v="0"/>
    <x v="3"/>
    <s v="BRPECTK01"/>
    <s v="BRPECAPM"/>
    <n v="34.109209"/>
    <n v="51.707000000000001"/>
    <n v="150"/>
    <n v="1137.74687043776"/>
    <n v="204.79443667879679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973"/>
    <n v="103414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014.7999490000002"/>
    <n v="310.24200000000002"/>
    <n v="21203.035861661043"/>
    <n v="2544.3643033993249"/>
    <n v="110"/>
    <n v="150"/>
    <n v="1E-3"/>
    <n v="103.414"/>
    <n v="14842.125103162729"/>
    <n v="15205.53910316273"/>
    <n v="3180.9641611183101"/>
    <n v="8190.0101825212187"/>
    <n v="0.08"/>
    <n v="1044.8943925568587"/>
    <n v="0.12"/>
    <n v="1824.6646923795274"/>
    <n v="15"/>
    <n v="2"/>
  </r>
  <r>
    <n v="553"/>
    <d v="2022-12-31T00:00:00"/>
    <x v="2"/>
    <s v="CLI326"/>
    <s v="CLI326"/>
    <s v="MANAUS"/>
    <s v="AM"/>
    <s v="CLI1053"/>
    <s v="PAULINIA"/>
    <s v="SP"/>
    <n v="3827.7121339999999"/>
    <n v="0"/>
    <n v="2775.6534539999998"/>
    <n v="7000"/>
    <n v="0"/>
    <x v="0"/>
    <x v="2"/>
    <s v="BRMAOTK01"/>
    <s v="BRMAOCHI"/>
    <n v="11.436796000000001"/>
    <n v="86.287000000000006"/>
    <n v="150"/>
    <n v="836.39788908544006"/>
    <n v="0"/>
    <n v="832"/>
    <n v="7"/>
    <n v="0"/>
    <n v="0"/>
    <n v="832"/>
    <m/>
    <m/>
    <n v="0"/>
    <x v="1"/>
    <s v="BRSSZTK01"/>
    <s v="BRSSZTCO"/>
    <n v="195.69980799999999"/>
    <n v="86.287000000000006"/>
    <n v="150"/>
    <n v="3566.5566032051197"/>
    <n v="641.9801885769214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962"/>
    <n v="172574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827.7121339999999"/>
    <n v="517.72199999999998"/>
    <n v="26930.969993508643"/>
    <n v="3231.7163992210371"/>
    <n v="110"/>
    <n v="150"/>
    <n v="1E-3"/>
    <n v="172.57400000000001"/>
    <n v="18851.678995456048"/>
    <n v="19284.252995456049"/>
    <n v="3180.9641611183101"/>
    <n v="9933.3343420471774"/>
    <n v="0.08"/>
    <n v="1139.1454651670854"/>
    <n v="0.12"/>
    <n v="2314.1103594547258"/>
    <n v="15"/>
    <n v="2"/>
  </r>
  <r>
    <n v="554"/>
    <d v="2022-12-31T00:00:00"/>
    <x v="2"/>
    <s v="CLI326"/>
    <s v="CLI326"/>
    <s v="MANAUS"/>
    <s v="AM"/>
    <s v="CLI874"/>
    <s v="INDAIATUBA"/>
    <s v="SP"/>
    <n v="3858.71207"/>
    <n v="0"/>
    <n v="2806.0287439999997"/>
    <n v="7000"/>
    <n v="0"/>
    <x v="0"/>
    <x v="2"/>
    <s v="BRMAOTK01"/>
    <s v="BRMAOCHI"/>
    <n v="11.436796000000001"/>
    <n v="91.745000000000005"/>
    <n v="150"/>
    <n v="841.85588908544003"/>
    <n v="0"/>
    <n v="832"/>
    <n v="7"/>
    <n v="0"/>
    <n v="0"/>
    <n v="832"/>
    <m/>
    <m/>
    <n v="0"/>
    <x v="1"/>
    <s v="BRSSZTK01"/>
    <s v="BRSSZTCO"/>
    <n v="176.57806099999999"/>
    <n v="91.745000000000005"/>
    <n v="150"/>
    <n v="3288.6945617350402"/>
    <n v="591.9650211123072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627"/>
    <n v="18349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858.71207"/>
    <n v="550.47"/>
    <n v="27174.237318887204"/>
    <n v="3260.9084782664645"/>
    <n v="110"/>
    <n v="150"/>
    <n v="1E-3"/>
    <n v="183.49"/>
    <n v="19021.966123221042"/>
    <n v="19465.456123221044"/>
    <n v="3180.9641611183101"/>
    <n v="10386.941511282253"/>
    <n v="0.08"/>
    <n v="1179.4352521030605"/>
    <n v="0.12"/>
    <n v="2335.8547347865251"/>
    <n v="15"/>
    <n v="2"/>
  </r>
  <r>
    <n v="555"/>
    <d v="2022-12-31T00:00:00"/>
    <x v="2"/>
    <s v="CLI326"/>
    <s v="CLI326"/>
    <s v="MANAUS"/>
    <s v="AM"/>
    <s v="CLI555"/>
    <s v="PAULINIA"/>
    <s v="SP"/>
    <n v="3827.7121339999999"/>
    <n v="0"/>
    <n v="2775.6534539999998"/>
    <n v="7000"/>
    <n v="0"/>
    <x v="0"/>
    <x v="2"/>
    <s v="BRMAOTK01"/>
    <s v="BRMAOCHI"/>
    <n v="11.436796000000001"/>
    <n v="88.234999999999999"/>
    <n v="150"/>
    <n v="838.34588908544004"/>
    <n v="0"/>
    <n v="832"/>
    <n v="7"/>
    <n v="0"/>
    <n v="0"/>
    <n v="832"/>
    <m/>
    <m/>
    <n v="0"/>
    <x v="1"/>
    <s v="BRSSZTK01"/>
    <s v="BRSSZTCO"/>
    <n v="195.69980799999999"/>
    <n v="88.234999999999999"/>
    <n v="150"/>
    <n v="3568.50460320512"/>
    <n v="642.3308285769215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830"/>
    <n v="176470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3827.7121339999999"/>
    <n v="529.41"/>
    <n v="26942.657993508641"/>
    <n v="3233.1189592210367"/>
    <n v="110"/>
    <n v="150"/>
    <n v="1E-3"/>
    <n v="176.47"/>
    <n v="18859.860595456048"/>
    <n v="19296.330595456049"/>
    <n v="3180.9641611183101"/>
    <n v="9941.5159420471773"/>
    <n v="0.08"/>
    <n v="1139.7719419670852"/>
    <n v="0.12"/>
    <n v="2315.559671454726"/>
    <n v="15"/>
    <n v="2"/>
  </r>
  <r>
    <n v="556"/>
    <d v="2022-12-31T00:00:00"/>
    <x v="2"/>
    <s v="CLI326"/>
    <s v="CLI326"/>
    <s v="MANAUS"/>
    <s v="AM"/>
    <s v="CLI1102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108.962"/>
    <n v="150"/>
    <n v="859.07288908544001"/>
    <n v="0"/>
    <n v="832"/>
    <n v="7"/>
    <n v="0"/>
    <n v="0"/>
    <n v="832"/>
    <m/>
    <m/>
    <n v="0"/>
    <x v="2"/>
    <s v="BRSUATK01"/>
    <s v="BRSUATCO"/>
    <n v="43.495365"/>
    <n v="108.962"/>
    <n v="150"/>
    <n v="1334.0731648736"/>
    <n v="240.13316967724799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38"/>
    <n v="217924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3493.6139780000003"/>
    <n v="653.77200000000005"/>
    <n v="24798.172780038887"/>
    <n v="2975.7807336046662"/>
    <n v="110"/>
    <n v="150"/>
    <n v="1E-3"/>
    <n v="217.92400000000001"/>
    <n v="17358.720946027221"/>
    <n v="17836.64494602722"/>
    <n v="3180.9641611183101"/>
    <n v="9991.5347309498684"/>
    <n v="0.08"/>
    <n v="1232.2692577912744"/>
    <n v="0.12"/>
    <n v="2140.3973935232661"/>
    <n v="15"/>
    <n v="2"/>
  </r>
  <r>
    <n v="557"/>
    <d v="2022-12-31T00:00:00"/>
    <x v="2"/>
    <s v="CLI326"/>
    <s v="CLI326"/>
    <s v="MANAUS"/>
    <s v="AM"/>
    <s v="CLI705"/>
    <s v="CAUCAIA"/>
    <s v="CE"/>
    <n v="3014.7999490000002"/>
    <n v="0"/>
    <n v="1428.051281"/>
    <n v="7000"/>
    <n v="0"/>
    <x v="0"/>
    <x v="2"/>
    <s v="BRMAOTK01"/>
    <s v="BRMAOCHI"/>
    <n v="11.436796000000001"/>
    <n v="50.900500000000001"/>
    <n v="150"/>
    <n v="801.01138908543999"/>
    <n v="0"/>
    <n v="832"/>
    <n v="7"/>
    <n v="0"/>
    <n v="0"/>
    <n v="832"/>
    <m/>
    <m/>
    <n v="0"/>
    <x v="3"/>
    <s v="BRPECTK01"/>
    <s v="BRPECAPM"/>
    <n v="34.109209"/>
    <n v="50.900500000000001"/>
    <n v="150"/>
    <n v="1136.9403704377601"/>
    <n v="204.6492666787968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882"/>
    <n v="101801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3014.7999490000002"/>
    <n v="305.40300000000002"/>
    <n v="21198.196861661043"/>
    <n v="2543.7836233993253"/>
    <n v="110"/>
    <n v="150"/>
    <n v="1E-3"/>
    <n v="101.801"/>
    <n v="14838.737803162729"/>
    <n v="15200.538803162728"/>
    <n v="3180.9641611183101"/>
    <n v="8186.6228825212183"/>
    <n v="0.08"/>
    <n v="1044.6350221568587"/>
    <n v="0.12"/>
    <n v="1824.0646563795274"/>
    <n v="15"/>
    <n v="2"/>
  </r>
  <r>
    <n v="558"/>
    <d v="2022-12-31T00:00:00"/>
    <x v="2"/>
    <s v="CLI326"/>
    <s v="CLI326"/>
    <s v="MANAUS"/>
    <s v="AM"/>
    <s v="CLI1063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35.927"/>
    <n v="150"/>
    <n v="786.03788908544004"/>
    <n v="0"/>
    <n v="832"/>
    <n v="7"/>
    <n v="0"/>
    <n v="0"/>
    <n v="832"/>
    <m/>
    <m/>
    <n v="0"/>
    <x v="2"/>
    <s v="BRSUATK01"/>
    <s v="BRSUATCO"/>
    <n v="43.495365"/>
    <n v="35.927"/>
    <n v="150"/>
    <n v="1261.0381648736"/>
    <n v="226.986869677248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338"/>
    <n v="7185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93.6139780000003"/>
    <n v="215.56200000000001"/>
    <n v="24359.962780038888"/>
    <n v="2923.1955336046663"/>
    <n v="110"/>
    <n v="150"/>
    <n v="1E-3"/>
    <n v="71.853999999999999"/>
    <n v="17051.973946027221"/>
    <n v="17383.827946027221"/>
    <n v="3180.9641611183101"/>
    <n v="9684.787730949869"/>
    <n v="0.08"/>
    <n v="1208.7812017912745"/>
    <n v="0.12"/>
    <n v="2086.0593535232665"/>
    <n v="15"/>
    <n v="1"/>
  </r>
  <r>
    <n v="559"/>
    <d v="2022-12-31T00:00:00"/>
    <x v="2"/>
    <s v="CLI326"/>
    <s v="CLI326"/>
    <s v="MANAUS"/>
    <s v="AM"/>
    <s v="CLI1129"/>
    <s v="PAULINIA"/>
    <s v="SP"/>
    <n v="3827.7121339999999"/>
    <n v="0"/>
    <n v="2775.6534539999998"/>
    <n v="7000"/>
    <n v="0"/>
    <x v="0"/>
    <x v="2"/>
    <s v="BRMAOTK01"/>
    <s v="BRMAOCHI"/>
    <n v="11.436796000000001"/>
    <n v="87.44"/>
    <n v="150"/>
    <n v="837.55088908544008"/>
    <n v="0"/>
    <n v="832"/>
    <n v="7"/>
    <n v="0"/>
    <n v="0"/>
    <n v="832"/>
    <m/>
    <m/>
    <n v="0"/>
    <x v="1"/>
    <s v="BRSSZTK01"/>
    <s v="BRSSZTCO"/>
    <n v="195.69980799999999"/>
    <n v="87.44"/>
    <n v="150"/>
    <n v="3567.7096032051199"/>
    <n v="642.1877285769215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930"/>
    <n v="17488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27.7121339999999"/>
    <n v="524.64"/>
    <n v="26937.887993508641"/>
    <n v="3232.5465592210367"/>
    <n v="110"/>
    <n v="150"/>
    <n v="1E-3"/>
    <n v="174.88"/>
    <n v="18856.521595456048"/>
    <n v="19291.401595456049"/>
    <n v="3180.9641611183101"/>
    <n v="9938.1769420471792"/>
    <n v="0.08"/>
    <n v="1139.5162699670855"/>
    <n v="0.12"/>
    <n v="2314.9681914547259"/>
    <n v="15"/>
    <n v="1"/>
  </r>
  <r>
    <n v="560"/>
    <d v="2022-12-31T00:00:00"/>
    <x v="2"/>
    <s v="CLI326"/>
    <s v="CLI326"/>
    <s v="MANAUS"/>
    <s v="AM"/>
    <s v="CLI1064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77.117999999999995"/>
    <n v="150"/>
    <n v="827.22888908543996"/>
    <n v="0"/>
    <n v="832"/>
    <n v="7"/>
    <n v="0"/>
    <n v="0"/>
    <n v="832"/>
    <m/>
    <m/>
    <n v="0"/>
    <x v="2"/>
    <s v="BRSUATK01"/>
    <s v="BRSUATCO"/>
    <n v="43.495365"/>
    <n v="77.117999999999995"/>
    <n v="150"/>
    <n v="1302.2291648736"/>
    <n v="234.40124967724799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421"/>
    <n v="15423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93.6139780000003"/>
    <n v="462.70800000000003"/>
    <n v="24607.108780038885"/>
    <n v="2952.853053604666"/>
    <n v="110"/>
    <n v="150"/>
    <n v="1E-3"/>
    <n v="154.23599999999999"/>
    <n v="17224.976146027217"/>
    <n v="17639.212146027217"/>
    <n v="3180.9641611183101"/>
    <n v="9857.789930949868"/>
    <n v="0.08"/>
    <n v="1222.0282273912744"/>
    <n v="0.12"/>
    <n v="2116.705457523266"/>
    <n v="15"/>
    <n v="1"/>
  </r>
  <r>
    <n v="561"/>
    <d v="2022-12-31T00:00:00"/>
    <x v="2"/>
    <s v="CLI326"/>
    <s v="CLI326"/>
    <s v="MANAUS"/>
    <s v="AM"/>
    <s v="CLI1227"/>
    <s v="CAUCAIA"/>
    <s v="CE"/>
    <n v="3014.7999490000002"/>
    <n v="0"/>
    <n v="1428.051281"/>
    <n v="7000"/>
    <n v="0"/>
    <x v="0"/>
    <x v="2"/>
    <s v="BRMAOTK01"/>
    <s v="BRMAOCHI"/>
    <n v="11.436796000000001"/>
    <n v="86.665500000000009"/>
    <n v="150"/>
    <n v="836.77638908544009"/>
    <n v="0"/>
    <n v="832"/>
    <n v="7"/>
    <n v="0"/>
    <n v="0"/>
    <n v="832"/>
    <m/>
    <m/>
    <n v="0"/>
    <x v="3"/>
    <s v="BRPECTK01"/>
    <s v="BRPECAPM"/>
    <n v="34.109209"/>
    <n v="86.665500000000009"/>
    <n v="150"/>
    <n v="1172.7053704377599"/>
    <n v="211.0869666787967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594"/>
    <n v="17333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519.99300000000005"/>
    <n v="21412.786861661043"/>
    <n v="2569.5344233993251"/>
    <n v="110"/>
    <n v="150"/>
    <n v="1E-3"/>
    <n v="173.33100000000002"/>
    <n v="14988.950803162728"/>
    <n v="15422.281803162728"/>
    <n v="3180.9641611183101"/>
    <n v="8336.8358825212181"/>
    <n v="0.08"/>
    <n v="1056.1370461568586"/>
    <n v="0.12"/>
    <n v="1850.6738163795274"/>
    <n v="15"/>
    <n v="1"/>
  </r>
  <r>
    <n v="562"/>
    <d v="2022-12-31T00:00:00"/>
    <x v="2"/>
    <s v="CLI326"/>
    <s v="CLI326"/>
    <s v="MANAUS"/>
    <s v="AM"/>
    <s v="CLI1054"/>
    <s v="PAULINIA"/>
    <s v="SP"/>
    <n v="3827.7121339999999"/>
    <n v="0"/>
    <n v="2775.6534539999998"/>
    <n v="7000"/>
    <n v="0"/>
    <x v="0"/>
    <x v="2"/>
    <s v="BRMAOTK01"/>
    <s v="BRMAOCHI"/>
    <n v="11.436796000000001"/>
    <n v="84.310500000000005"/>
    <n v="150"/>
    <n v="834.42138908544007"/>
    <n v="0"/>
    <n v="832"/>
    <n v="7"/>
    <n v="0"/>
    <n v="0"/>
    <n v="832"/>
    <m/>
    <m/>
    <n v="0"/>
    <x v="1"/>
    <s v="BRSSZTK01"/>
    <s v="BRSSZTCO"/>
    <n v="195.69980799999999"/>
    <n v="84.310500000000005"/>
    <n v="150"/>
    <n v="3564.5801032051199"/>
    <n v="641.6244185769215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349"/>
    <n v="16862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27.7121339999999"/>
    <n v="505.863"/>
    <n v="26919.110993508642"/>
    <n v="3230.2933192210371"/>
    <n v="110"/>
    <n v="150"/>
    <n v="1E-3"/>
    <n v="168.62100000000001"/>
    <n v="18843.377695456049"/>
    <n v="19271.998695456048"/>
    <n v="3180.9641611183101"/>
    <n v="9925.0330420471764"/>
    <n v="0.08"/>
    <n v="1138.5098227670853"/>
    <n v="0.12"/>
    <n v="2312.6398434547259"/>
    <n v="15"/>
    <n v="1"/>
  </r>
  <r>
    <n v="563"/>
    <d v="2022-12-31T00:00:00"/>
    <x v="2"/>
    <s v="CLI326"/>
    <s v="CLI326"/>
    <s v="MANAUS"/>
    <s v="AM"/>
    <s v="CLI1131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48.162500000000001"/>
    <n v="150"/>
    <n v="798.27338908544004"/>
    <n v="0"/>
    <n v="832"/>
    <n v="7"/>
    <n v="0"/>
    <n v="0"/>
    <n v="832"/>
    <m/>
    <m/>
    <n v="0"/>
    <x v="2"/>
    <s v="BRSUATK01"/>
    <s v="BRSUATCO"/>
    <n v="43.495365"/>
    <n v="48.162500000000001"/>
    <n v="150"/>
    <n v="1273.2736648736"/>
    <n v="229.18925967724797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492"/>
    <n v="9632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93.6139780000003"/>
    <n v="288.97500000000002"/>
    <n v="24433.375780038885"/>
    <n v="2932.0050936046659"/>
    <n v="110"/>
    <n v="150"/>
    <n v="1E-3"/>
    <n v="96.325000000000003"/>
    <n v="17103.363046027218"/>
    <n v="17459.688046027219"/>
    <n v="3180.9641611183101"/>
    <n v="9736.1768309498693"/>
    <n v="0.08"/>
    <n v="1212.7161385912746"/>
    <n v="0.12"/>
    <n v="2095.162565523266"/>
    <n v="15"/>
    <n v="1"/>
  </r>
  <r>
    <n v="564"/>
    <d v="2022-12-31T00:00:00"/>
    <x v="2"/>
    <s v="CLI326"/>
    <s v="CLI326"/>
    <s v="MANAUS"/>
    <s v="AM"/>
    <s v="CLI1055"/>
    <s v="DIADEMA"/>
    <s v="SP"/>
    <n v="3943.754328"/>
    <n v="0"/>
    <n v="2891.7324800000001"/>
    <n v="7000"/>
    <n v="0"/>
    <x v="0"/>
    <x v="2"/>
    <s v="BRMAOTK01"/>
    <s v="BRMAOCHI"/>
    <n v="11.436796000000001"/>
    <n v="91.868499999999997"/>
    <n v="150"/>
    <n v="841.97938908544006"/>
    <n v="0"/>
    <n v="832"/>
    <n v="7"/>
    <n v="0"/>
    <n v="0"/>
    <n v="832"/>
    <m/>
    <m/>
    <n v="0"/>
    <x v="1"/>
    <s v="BRSSZTK01"/>
    <s v="BRSSZTCO"/>
    <n v="72.836216000000007"/>
    <n v="91.868499999999997"/>
    <n v="150"/>
    <n v="1751.7124914342401"/>
    <n v="315.3082484581631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464"/>
    <n v="18373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43.754328"/>
    <n v="551.21100000000001"/>
    <n v="27752.496891274881"/>
    <n v="3330.2996269529854"/>
    <n v="110"/>
    <n v="150"/>
    <n v="1E-3"/>
    <n v="183.73699999999999"/>
    <n v="19426.747823892416"/>
    <n v="19870.484823892417"/>
    <n v="3180.9641611183101"/>
    <n v="12328.828782254426"/>
    <n v="0.08"/>
    <n v="1356.9187755931657"/>
    <n v="0.12"/>
    <n v="2384.4581788670898"/>
    <n v="15"/>
    <n v="1"/>
  </r>
  <r>
    <n v="565"/>
    <d v="2022-12-31T00:00:00"/>
    <x v="2"/>
    <s v="CLI326"/>
    <s v="CLI326"/>
    <s v="MANAUS"/>
    <s v="AM"/>
    <s v="CLI1150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94.105500000000006"/>
    <n v="150"/>
    <n v="844.21638908544003"/>
    <n v="0"/>
    <n v="832"/>
    <n v="7"/>
    <n v="0"/>
    <n v="0"/>
    <n v="832"/>
    <m/>
    <m/>
    <n v="0"/>
    <x v="2"/>
    <s v="BRSUATK01"/>
    <s v="BRSUATCO"/>
    <n v="43.495365"/>
    <n v="94.105500000000006"/>
    <n v="150"/>
    <n v="1319.2166648736002"/>
    <n v="237.4589996772480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58"/>
    <n v="18821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93.6139780000003"/>
    <n v="564.63300000000004"/>
    <n v="24709.033780038888"/>
    <n v="2965.0840536046662"/>
    <n v="110"/>
    <n v="150"/>
    <n v="1E-3"/>
    <n v="188.21100000000001"/>
    <n v="17296.32364602722"/>
    <n v="17744.534646027219"/>
    <n v="3180.9641611183101"/>
    <n v="9929.1374309498697"/>
    <n v="0.08"/>
    <n v="1227.4914073912746"/>
    <n v="0.12"/>
    <n v="2129.3441575232664"/>
    <n v="15"/>
    <n v="1"/>
  </r>
  <r>
    <n v="566"/>
    <d v="2022-12-31T00:00:00"/>
    <x v="2"/>
    <s v="CLI326"/>
    <s v="CLI326"/>
    <s v="MANAUS"/>
    <s v="AM"/>
    <s v="CLI1197"/>
    <s v="DIADEMA"/>
    <s v="SP"/>
    <n v="3943.754328"/>
    <n v="0"/>
    <n v="2891.7324800000001"/>
    <n v="7000"/>
    <n v="0"/>
    <x v="0"/>
    <x v="2"/>
    <s v="BRMAOTK01"/>
    <s v="BRMAOCHI"/>
    <n v="11.436796000000001"/>
    <n v="53.0045"/>
    <n v="150"/>
    <n v="803.11538908544003"/>
    <n v="0"/>
    <n v="832"/>
    <n v="7"/>
    <n v="0"/>
    <n v="0"/>
    <n v="832"/>
    <m/>
    <m/>
    <n v="0"/>
    <x v="1"/>
    <s v="BRSSZTK01"/>
    <s v="BRSSZTCO"/>
    <n v="72.836216000000007"/>
    <n v="53.0045"/>
    <n v="150"/>
    <n v="1712.84849143424"/>
    <n v="308.3127284581631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532"/>
    <n v="10600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43.754328"/>
    <n v="318.02699999999999"/>
    <n v="27519.31289127488"/>
    <n v="3302.3175469529856"/>
    <n v="110"/>
    <n v="150"/>
    <n v="1E-3"/>
    <n v="106.009"/>
    <n v="19263.519023892415"/>
    <n v="19629.528023892413"/>
    <n v="3180.9641611183101"/>
    <n v="12165.599982254422"/>
    <n v="0.08"/>
    <n v="1344.4201131931654"/>
    <n v="0.12"/>
    <n v="2355.5433628670894"/>
    <n v="15"/>
    <n v="1"/>
  </r>
  <r>
    <n v="567"/>
    <d v="2022-12-31T00:00:00"/>
    <x v="2"/>
    <s v="CLI326"/>
    <s v="CLI326"/>
    <s v="MANAUS"/>
    <s v="AM"/>
    <s v="CLI916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97.168999999999997"/>
    <n v="150"/>
    <n v="847.27988908544"/>
    <n v="0"/>
    <n v="832"/>
    <n v="7"/>
    <n v="0"/>
    <n v="0"/>
    <n v="832"/>
    <m/>
    <m/>
    <n v="0"/>
    <x v="2"/>
    <s v="BRSUATK01"/>
    <s v="BRSUATCO"/>
    <n v="43.495365"/>
    <n v="97.168999999999997"/>
    <n v="150"/>
    <n v="1322.2801648736001"/>
    <n v="238.01042967724803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317"/>
    <n v="19433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93.6139780000003"/>
    <n v="583.01400000000001"/>
    <n v="24727.414780038886"/>
    <n v="2967.2897736046662"/>
    <n v="110"/>
    <n v="150"/>
    <n v="1E-3"/>
    <n v="194.33799999999999"/>
    <n v="17309.190346027219"/>
    <n v="17763.528346027219"/>
    <n v="3180.9641611183101"/>
    <n v="9942.0041309498683"/>
    <n v="0.08"/>
    <n v="1228.4766289912745"/>
    <n v="0.12"/>
    <n v="2131.6234015232662"/>
    <n v="15"/>
    <n v="1"/>
  </r>
  <r>
    <n v="568"/>
    <d v="2022-12-31T00:00:00"/>
    <x v="2"/>
    <s v="CLI326"/>
    <s v="CLI326"/>
    <s v="MANAUS"/>
    <s v="AM"/>
    <s v="CLI1057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43.9255"/>
    <n v="150"/>
    <n v="794.03638908544008"/>
    <n v="0"/>
    <n v="832"/>
    <n v="7"/>
    <n v="0"/>
    <n v="0"/>
    <n v="832"/>
    <m/>
    <m/>
    <n v="0"/>
    <x v="2"/>
    <s v="BRSUATK01"/>
    <s v="BRSUATCO"/>
    <n v="43.495365"/>
    <n v="43.9255"/>
    <n v="150"/>
    <n v="1269.0366648736001"/>
    <n v="228.4265996772480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72"/>
    <n v="8785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93.6139780000003"/>
    <n v="263.553"/>
    <n v="24407.953780038886"/>
    <n v="2928.954453604666"/>
    <n v="110"/>
    <n v="150"/>
    <n v="1E-3"/>
    <n v="87.850999999999999"/>
    <n v="17085.567646027219"/>
    <n v="17433.418646027218"/>
    <n v="3180.9641611183101"/>
    <n v="9718.3814309498684"/>
    <n v="0.08"/>
    <n v="1211.3535193912744"/>
    <n v="0.12"/>
    <n v="2092.0102375232659"/>
    <n v="15"/>
    <n v="1"/>
  </r>
  <r>
    <n v="569"/>
    <d v="2022-12-31T00:00:00"/>
    <x v="2"/>
    <s v="CLI326"/>
    <s v="CLI326"/>
    <s v="MANAUS"/>
    <s v="AM"/>
    <s v="CLI682"/>
    <s v="ALHANDRA"/>
    <s v="PB"/>
    <n v="3512.4340469999997"/>
    <n v="0"/>
    <n v="2039.6696010000001"/>
    <n v="7000"/>
    <n v="0"/>
    <x v="0"/>
    <x v="2"/>
    <s v="BRMAOTK01"/>
    <s v="BRMAOCHI"/>
    <n v="11.436796000000001"/>
    <n v="121.602"/>
    <n v="150"/>
    <n v="871.71288908544"/>
    <n v="0"/>
    <n v="832"/>
    <n v="7"/>
    <n v="0"/>
    <n v="0"/>
    <n v="832"/>
    <m/>
    <m/>
    <n v="0"/>
    <x v="2"/>
    <s v="BRSUATK01"/>
    <s v="BRSUATCO"/>
    <n v="133.16569799999999"/>
    <n v="121.602"/>
    <n v="150"/>
    <n v="2675.3262076147198"/>
    <n v="321.03914491376639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929"/>
    <n v="24320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2.4340469999997"/>
    <n v="729.61199999999997"/>
    <n v="25001.81911581512"/>
    <n v="3000.2182938978144"/>
    <n v="110"/>
    <n v="150"/>
    <n v="1E-3"/>
    <n v="243.20400000000001"/>
    <n v="17501.273381070583"/>
    <n v="18004.477381070585"/>
    <n v="3180.9641611183101"/>
    <n v="8805.4741232521137"/>
    <n v="0.08"/>
    <n v="1130.9119311565328"/>
    <n v="0.12"/>
    <n v="2160.5372857284701"/>
    <n v="15"/>
    <n v="1"/>
  </r>
  <r>
    <n v="570"/>
    <d v="2022-12-31T00:00:00"/>
    <x v="2"/>
    <s v="CLI326"/>
    <s v="CLI326"/>
    <s v="MANAUS"/>
    <s v="AM"/>
    <s v="CLI712"/>
    <s v="DIADEMA"/>
    <s v="SP"/>
    <n v="3943.754328"/>
    <n v="0"/>
    <n v="2891.7324800000001"/>
    <n v="7000"/>
    <n v="0"/>
    <x v="0"/>
    <x v="2"/>
    <s v="BRMAOTK01"/>
    <s v="BRMAOCHI"/>
    <n v="11.436796000000001"/>
    <n v="73.822000000000003"/>
    <n v="150"/>
    <n v="823.93288908544002"/>
    <n v="0"/>
    <n v="832"/>
    <n v="7"/>
    <n v="0"/>
    <n v="0"/>
    <n v="832"/>
    <m/>
    <m/>
    <n v="0"/>
    <x v="1"/>
    <s v="BRSSZTK01"/>
    <s v="BRSSZTCO"/>
    <n v="72.836216000000007"/>
    <n v="73.822000000000003"/>
    <n v="150"/>
    <n v="1733.6659914342399"/>
    <n v="312.0598784581631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498"/>
    <n v="14764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43.754328"/>
    <n v="442.93200000000002"/>
    <n v="27644.217891274882"/>
    <n v="3317.3061469529857"/>
    <n v="110"/>
    <n v="150"/>
    <n v="1E-3"/>
    <n v="147.64400000000001"/>
    <n v="19350.952523892418"/>
    <n v="19758.596523892418"/>
    <n v="3180.9641611183101"/>
    <n v="12253.033482254425"/>
    <n v="0.08"/>
    <n v="1351.1150211931658"/>
    <n v="0.12"/>
    <n v="2371.03158286709"/>
    <n v="15"/>
    <n v="1"/>
  </r>
  <r>
    <n v="571"/>
    <d v="2022-12-31T00:00:00"/>
    <x v="2"/>
    <s v="CLI326"/>
    <s v="CLI326"/>
    <s v="MANAUS"/>
    <s v="AM"/>
    <s v="CLI1047"/>
    <s v="PAULINIA"/>
    <s v="SP"/>
    <n v="3827.7121339999999"/>
    <n v="0"/>
    <n v="2775.6534539999998"/>
    <n v="7000"/>
    <n v="0"/>
    <x v="0"/>
    <x v="2"/>
    <s v="BRMAOTK01"/>
    <s v="BRMAOCHI"/>
    <n v="11.436796000000001"/>
    <n v="100.655"/>
    <n v="150"/>
    <n v="850.76588908543999"/>
    <n v="0"/>
    <n v="832"/>
    <n v="7"/>
    <n v="0"/>
    <n v="0"/>
    <n v="832"/>
    <m/>
    <m/>
    <n v="0"/>
    <x v="1"/>
    <s v="BRSSZTK01"/>
    <s v="BRSSZTCO"/>
    <n v="195.69980799999999"/>
    <n v="100.655"/>
    <n v="150"/>
    <n v="3580.9246032051201"/>
    <n v="644.5664285769215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742"/>
    <n v="20131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27.7121339999999"/>
    <n v="603.93000000000006"/>
    <n v="27017.177993508642"/>
    <n v="3242.061359221037"/>
    <n v="110"/>
    <n v="150"/>
    <n v="1E-3"/>
    <n v="201.31"/>
    <n v="18912.024595456049"/>
    <n v="19373.33459545605"/>
    <n v="3180.9641611183101"/>
    <n v="9993.6799420471798"/>
    <n v="0.08"/>
    <n v="1143.7662139670856"/>
    <n v="0.12"/>
    <n v="2324.8001514547259"/>
    <n v="15"/>
    <n v="1"/>
  </r>
  <r>
    <n v="572"/>
    <d v="2022-12-31T00:00:00"/>
    <x v="2"/>
    <s v="CLI326"/>
    <s v="CLI326"/>
    <s v="MANAUS"/>
    <s v="AM"/>
    <s v="CLI1096"/>
    <s v="CAUCAIA"/>
    <s v="CE"/>
    <n v="3014.7999490000002"/>
    <n v="0"/>
    <n v="1428.051281"/>
    <n v="7000"/>
    <n v="0"/>
    <x v="0"/>
    <x v="2"/>
    <s v="BRMAOTK01"/>
    <s v="BRMAOCHI"/>
    <n v="11.436796000000001"/>
    <n v="53.798000000000002"/>
    <n v="150"/>
    <n v="803.90888908544002"/>
    <n v="0"/>
    <n v="832"/>
    <n v="7"/>
    <n v="0"/>
    <n v="0"/>
    <n v="832"/>
    <m/>
    <m/>
    <n v="0"/>
    <x v="3"/>
    <s v="BRPECTK01"/>
    <s v="BRPECAPM"/>
    <n v="34.109209"/>
    <n v="53.798000000000002"/>
    <n v="150"/>
    <n v="1139.8378704377601"/>
    <n v="205.170816678796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508"/>
    <n v="10759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322.78800000000001"/>
    <n v="21215.581861661045"/>
    <n v="2545.8698233993255"/>
    <n v="110"/>
    <n v="150"/>
    <n v="1E-3"/>
    <n v="107.596"/>
    <n v="14850.90730316273"/>
    <n v="15218.50330316273"/>
    <n v="3180.9641611183101"/>
    <n v="8198.7923825212201"/>
    <n v="0.08"/>
    <n v="1045.5668581568586"/>
    <n v="0.12"/>
    <n v="1826.2203963795275"/>
    <n v="15"/>
    <n v="1"/>
  </r>
  <r>
    <n v="573"/>
    <d v="2022-12-31T00:00:00"/>
    <x v="2"/>
    <s v="CLI326"/>
    <s v="CLI326"/>
    <s v="MANAUS"/>
    <s v="AM"/>
    <s v="CLI871"/>
    <s v="PAULINIA"/>
    <s v="SP"/>
    <n v="3827.7121339999999"/>
    <n v="0"/>
    <n v="2775.6534539999998"/>
    <n v="7000"/>
    <n v="0"/>
    <x v="0"/>
    <x v="2"/>
    <s v="BRMAOTK01"/>
    <s v="BRMAOCHI"/>
    <n v="11.436796000000001"/>
    <n v="116.679"/>
    <n v="150"/>
    <n v="866.78988908544"/>
    <n v="0"/>
    <n v="832"/>
    <n v="7"/>
    <n v="0"/>
    <n v="0"/>
    <n v="832"/>
    <m/>
    <m/>
    <n v="0"/>
    <x v="1"/>
    <s v="BRSSZTK01"/>
    <s v="BRSSZTCO"/>
    <n v="195.69980799999999"/>
    <n v="116.679"/>
    <n v="150"/>
    <n v="3596.94860320512"/>
    <n v="647.4507485769215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226"/>
    <n v="23335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27.7121339999999"/>
    <n v="700.07400000000007"/>
    <n v="27113.321993508642"/>
    <n v="3253.598639221037"/>
    <n v="110"/>
    <n v="150"/>
    <n v="1E-3"/>
    <n v="233.358"/>
    <n v="18979.32539545605"/>
    <n v="19472.68339545605"/>
    <n v="3180.9641611183101"/>
    <n v="10060.980742047177"/>
    <n v="0.08"/>
    <n v="1148.9195323670854"/>
    <n v="0.12"/>
    <n v="2336.7220074547258"/>
    <n v="15"/>
    <n v="1"/>
  </r>
  <r>
    <n v="574"/>
    <d v="2022-12-31T00:00:00"/>
    <x v="2"/>
    <s v="CLI326"/>
    <s v="CLI326"/>
    <s v="MANAUS"/>
    <s v="AM"/>
    <s v="CLI948"/>
    <s v="PAULINIA"/>
    <s v="SP"/>
    <n v="3827.7121339999999"/>
    <n v="0"/>
    <n v="2775.6534539999998"/>
    <n v="7000"/>
    <n v="0"/>
    <x v="0"/>
    <x v="2"/>
    <s v="BRMAOTK01"/>
    <s v="BRMAOCHI"/>
    <n v="11.436796000000001"/>
    <n v="103.5385"/>
    <n v="150"/>
    <n v="853.64938908544002"/>
    <n v="0"/>
    <n v="832"/>
    <n v="7"/>
    <n v="0"/>
    <n v="0"/>
    <n v="832"/>
    <m/>
    <m/>
    <n v="0"/>
    <x v="1"/>
    <s v="BRSSZTK01"/>
    <s v="BRSSZTCO"/>
    <n v="195.69980799999999"/>
    <n v="103.5385"/>
    <n v="150"/>
    <n v="3583.80810320512"/>
    <n v="645.0854585769216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327"/>
    <n v="20707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27.7121339999999"/>
    <n v="621.23099999999999"/>
    <n v="27034.478993508641"/>
    <n v="3244.1374792210368"/>
    <n v="110"/>
    <n v="150"/>
    <n v="1E-3"/>
    <n v="207.077"/>
    <n v="18924.135295456046"/>
    <n v="19391.212295456047"/>
    <n v="3180.9641611183101"/>
    <n v="10005.790642047177"/>
    <n v="0.08"/>
    <n v="1144.6935475670853"/>
    <n v="0.12"/>
    <n v="2326.9454754547255"/>
    <n v="15"/>
    <n v="1"/>
  </r>
  <r>
    <n v="575"/>
    <d v="2022-12-31T00:00:00"/>
    <x v="2"/>
    <s v="CLI326"/>
    <s v="CLI326"/>
    <s v="MANAUS"/>
    <s v="AM"/>
    <s v="CLI917"/>
    <s v="DIADEMA"/>
    <s v="SP"/>
    <n v="3943.754328"/>
    <n v="0"/>
    <n v="2891.7324800000001"/>
    <n v="7000"/>
    <n v="0"/>
    <x v="0"/>
    <x v="2"/>
    <s v="BRMAOTK01"/>
    <s v="BRMAOCHI"/>
    <n v="11.436796000000001"/>
    <n v="58.772500000000001"/>
    <n v="150"/>
    <n v="808.88338908544006"/>
    <n v="0"/>
    <n v="832"/>
    <n v="7"/>
    <n v="0"/>
    <n v="0"/>
    <n v="832"/>
    <m/>
    <m/>
    <n v="0"/>
    <x v="1"/>
    <s v="BRSSZTK01"/>
    <s v="BRSSZTCO"/>
    <n v="72.836216000000007"/>
    <n v="58.772500000000001"/>
    <n v="150"/>
    <n v="1718.6164914342401"/>
    <n v="309.3509684581632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830"/>
    <n v="11754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43.754328"/>
    <n v="352.63499999999999"/>
    <n v="27553.92089127488"/>
    <n v="3306.4705069529855"/>
    <n v="110"/>
    <n v="150"/>
    <n v="1E-3"/>
    <n v="117.545"/>
    <n v="19287.744623892413"/>
    <n v="19665.289623892411"/>
    <n v="3180.9641611183101"/>
    <n v="12189.82558225442"/>
    <n v="0.08"/>
    <n v="1346.2751019931654"/>
    <n v="0.12"/>
    <n v="2359.8347548670895"/>
    <n v="15"/>
    <n v="1"/>
  </r>
  <r>
    <n v="576"/>
    <d v="2022-12-31T00:00:00"/>
    <x v="2"/>
    <s v="CLI326"/>
    <s v="CLI326"/>
    <s v="MANAUS"/>
    <s v="AM"/>
    <s v="CLI821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88.827500000000001"/>
    <n v="150"/>
    <n v="838.93838908544001"/>
    <n v="0"/>
    <n v="832"/>
    <n v="7"/>
    <n v="0"/>
    <n v="0"/>
    <n v="832"/>
    <m/>
    <m/>
    <n v="0"/>
    <x v="2"/>
    <s v="BRSUATK01"/>
    <s v="BRSUATCO"/>
    <n v="43.495365"/>
    <n v="88.827500000000001"/>
    <n v="150"/>
    <n v="1313.9386648736001"/>
    <n v="236.50895967724801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362"/>
    <n v="17765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93.6139780000003"/>
    <n v="532.96500000000003"/>
    <n v="24677.365780038886"/>
    <n v="2961.2838936046664"/>
    <n v="110"/>
    <n v="150"/>
    <n v="1E-3"/>
    <n v="177.655"/>
    <n v="17274.156046027219"/>
    <n v="17711.811046027218"/>
    <n v="3180.9641611183101"/>
    <n v="9906.9698309498672"/>
    <n v="0.08"/>
    <n v="1225.7940025912744"/>
    <n v="0.12"/>
    <n v="2125.4173255232663"/>
    <n v="15"/>
    <n v="1"/>
  </r>
  <r>
    <n v="577"/>
    <d v="2022-12-31T00:00:00"/>
    <x v="2"/>
    <s v="CLI326"/>
    <s v="CLI326"/>
    <s v="MANAUS"/>
    <s v="AM"/>
    <s v="CLI1067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99.308999999999997"/>
    <n v="150"/>
    <n v="849.41988908543999"/>
    <n v="0"/>
    <n v="832"/>
    <n v="7"/>
    <n v="0"/>
    <n v="0"/>
    <n v="832"/>
    <m/>
    <m/>
    <n v="0"/>
    <x v="2"/>
    <s v="BRSUATK01"/>
    <s v="BRSUATCO"/>
    <n v="43.495365"/>
    <n v="99.308999999999997"/>
    <n v="150"/>
    <n v="1324.4201648736"/>
    <n v="238.395629677248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930"/>
    <n v="19861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93.6139780000003"/>
    <n v="595.85400000000004"/>
    <n v="24740.254780038886"/>
    <n v="2968.8305736046664"/>
    <n v="110"/>
    <n v="150"/>
    <n v="1E-3"/>
    <n v="198.61799999999999"/>
    <n v="17318.17834602722"/>
    <n v="17776.796346027219"/>
    <n v="3180.9641611183101"/>
    <n v="9950.9921309498695"/>
    <n v="0.08"/>
    <n v="1229.1648529912745"/>
    <n v="0.12"/>
    <n v="2133.2155615232659"/>
    <n v="15"/>
    <n v="1"/>
  </r>
  <r>
    <n v="578"/>
    <d v="2022-12-31T00:00:00"/>
    <x v="2"/>
    <s v="CLI327"/>
    <s v="CLI327"/>
    <s v="MANAUS"/>
    <s v="AM"/>
    <s v="CLI1058"/>
    <s v="FORTALEZA"/>
    <s v="CE"/>
    <n v="3028.2401359999999"/>
    <n v="0"/>
    <n v="1441.3172649999999"/>
    <n v="7000"/>
    <n v="0"/>
    <x v="0"/>
    <x v="2"/>
    <s v="BRMAOTK01"/>
    <s v="BRMAOCHI"/>
    <n v="11.436796000000001"/>
    <n v="97.397999999999996"/>
    <n v="150"/>
    <n v="847.50888908544005"/>
    <n v="0"/>
    <n v="832"/>
    <n v="7"/>
    <n v="0"/>
    <n v="0"/>
    <n v="832"/>
    <m/>
    <m/>
    <n v="0"/>
    <x v="3"/>
    <s v="BRPECTK01"/>
    <s v="BRPECAPM"/>
    <n v="42.140103000000003"/>
    <n v="97.397999999999996"/>
    <n v="150"/>
    <n v="1302.4287357139199"/>
    <n v="234.43717242850556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217"/>
    <n v="194796"/>
    <x v="1"/>
    <x v="14"/>
    <x v="1"/>
    <x v="12"/>
    <x v="1"/>
    <x v="1"/>
    <n v="6"/>
    <n v="6"/>
    <n v="7"/>
    <n v="7"/>
    <n v="7"/>
    <n v="6"/>
    <n v="7"/>
    <n v="74"/>
    <n v="7"/>
    <n v="180"/>
    <n v="7"/>
    <n v="180"/>
    <n v="3028.2401359999999"/>
    <n v="584.38800000000003"/>
    <n v="21568.453633970563"/>
    <n v="2588.2144360764673"/>
    <n v="110"/>
    <n v="150"/>
    <n v="1E-3"/>
    <n v="194.79599999999999"/>
    <n v="15097.917543779393"/>
    <n v="15552.713543779393"/>
    <n v="3180.9641611183101"/>
    <n v="8326.8117578617221"/>
    <n v="0.08"/>
    <n v="1053.4670997241224"/>
    <n v="0.12"/>
    <n v="1866.3256252535271"/>
    <n v="15"/>
    <n v="7"/>
  </r>
  <r>
    <n v="579"/>
    <d v="2022-12-31T00:00:00"/>
    <x v="2"/>
    <s v="CLI328"/>
    <s v="CLI328"/>
    <s v="CAUCAIA"/>
    <s v="CE"/>
    <s v="CLI875"/>
    <s v="MANAUS"/>
    <s v="AM"/>
    <n v="2375.6902773690445"/>
    <n v="1428.051281"/>
    <n v="0"/>
    <n v="7000"/>
    <n v="0"/>
    <x v="0"/>
    <x v="1"/>
    <s v="BRPECTK01"/>
    <s v="BRPECAPM"/>
    <n v="34.109209"/>
    <n v="88.260500000000008"/>
    <n v="150"/>
    <n v="1174.30037043776"/>
    <n v="211.37406667879679"/>
    <n v="768"/>
    <n v="7"/>
    <n v="0"/>
    <n v="0"/>
    <n v="768"/>
    <m/>
    <m/>
    <n v="0"/>
    <x v="0"/>
    <s v="BRMAOTK01"/>
    <s v="BRMAOCHI"/>
    <n v="11.436796000000001"/>
    <n v="88.260500000000008"/>
    <n v="150"/>
    <n v="838.3713890854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302"/>
    <n v="176521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375.6902773690445"/>
    <n v="529.56299999999999"/>
    <n v="17082.188646002087"/>
    <n v="2049.8626375202502"/>
    <n v="110"/>
    <n v="150"/>
    <n v="1E-3"/>
    <n v="176.52100000000002"/>
    <n v="11957.532052201461"/>
    <n v="12394.053052201461"/>
    <n v="3180.9641611183101"/>
    <n v="5270.4171315599506"/>
    <n v="0.08"/>
    <n v="813.60057807995724"/>
    <n v="0.12"/>
    <n v="1487.2863662641753"/>
    <n v="15"/>
    <n v="3"/>
  </r>
  <r>
    <n v="580"/>
    <d v="2022-12-31T00:00:00"/>
    <x v="2"/>
    <s v="CLI329"/>
    <s v="CLI329"/>
    <s v="BELO JARDIM"/>
    <s v="PE"/>
    <s v="CLI1094"/>
    <s v="MANAUS"/>
    <s v="AM"/>
    <n v="2676.3884332704597"/>
    <n v="1875.0558659999999"/>
    <n v="0"/>
    <n v="7000"/>
    <n v="0"/>
    <x v="0"/>
    <x v="3"/>
    <s v="BRSUATK01"/>
    <s v="BRSUATCO"/>
    <n v="203.384749"/>
    <n v="94.168999999999997"/>
    <n v="150"/>
    <n v="3688.3036074233601"/>
    <n v="663.89464933620479"/>
    <n v="1344"/>
    <n v="7"/>
    <n v="0"/>
    <n v="0"/>
    <n v="1344"/>
    <m/>
    <m/>
    <n v="0"/>
    <x v="0"/>
    <s v="BRMAOTK01"/>
    <s v="BRMAOCHI"/>
    <n v="11.436796000000001"/>
    <n v="94.168999999999997"/>
    <n v="150"/>
    <n v="844.2798890854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24"/>
    <n v="188338"/>
    <x v="1"/>
    <x v="2"/>
    <x v="0"/>
    <x v="0"/>
    <x v="2"/>
    <x v="2"/>
    <n v="2"/>
    <n v="2"/>
    <n v="2"/>
    <n v="2"/>
    <n v="3"/>
    <n v="2"/>
    <n v="3"/>
    <n v="26"/>
    <n v="7"/>
    <n v="180"/>
    <n v="7"/>
    <n v="180"/>
    <n v="2676.3884332704597"/>
    <n v="565.01400000000001"/>
    <n v="19159.668794802365"/>
    <n v="2299.1602553762837"/>
    <n v="110"/>
    <n v="150"/>
    <n v="1E-3"/>
    <n v="188.33799999999999"/>
    <n v="13411.768156361655"/>
    <n v="13860.106156361655"/>
    <n v="3180.9641611183101"/>
    <n v="3710.5584987345451"/>
    <n v="0.08"/>
    <n v="693.09024084133205"/>
    <n v="0.12"/>
    <n v="1663.2127387633984"/>
    <n v="15"/>
    <n v="3"/>
  </r>
  <r>
    <n v="581"/>
    <d v="2022-12-31T00:00:00"/>
    <x v="2"/>
    <s v="CLI331"/>
    <s v="CLI331"/>
    <s v="VISCONDE DO RIO BRANCO"/>
    <s v="MG"/>
    <s v="CLI594"/>
    <s v="MANAUS"/>
    <s v="AM"/>
    <n v="2719.1872852649576"/>
    <n v="2901.2791740000002"/>
    <n v="0"/>
    <n v="7000"/>
    <n v="0"/>
    <x v="0"/>
    <x v="4"/>
    <s v="BRIGITK01"/>
    <s v="BRIGITCO"/>
    <n v="307.78053299999999"/>
    <n v="43.031500000000001"/>
    <n v="150"/>
    <n v="5183.9608564691198"/>
    <n v="622.07530277629439"/>
    <n v="704"/>
    <n v="7"/>
    <n v="0"/>
    <n v="0"/>
    <n v="704"/>
    <m/>
    <m/>
    <n v="0"/>
    <x v="0"/>
    <s v="BRMAOTK01"/>
    <s v="BRMAOCHI"/>
    <n v="11.436796000000001"/>
    <n v="43.031500000000001"/>
    <n v="150"/>
    <n v="793.14238908544007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382"/>
    <n v="8606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19.1872852649576"/>
    <n v="258.18900000000002"/>
    <n v="19143.489086742917"/>
    <n v="1340.0442360720042"/>
    <n v="110"/>
    <n v="150"/>
    <n v="1E-3"/>
    <n v="86.063000000000002"/>
    <n v="13400.442360720041"/>
    <n v="13746.505360720041"/>
    <n v="3180.9641611183101"/>
    <n v="2762.4379540471696"/>
    <n v="0.08"/>
    <n v="571.78614499113485"/>
    <n v="7.0000000000000007E-2"/>
    <n v="962.25537525040295"/>
    <n v="15"/>
    <n v="1"/>
  </r>
  <r>
    <n v="582"/>
    <d v="2022-12-31T00:00:00"/>
    <x v="2"/>
    <s v="CLI334"/>
    <s v="CLI334"/>
    <s v="ACARAPE"/>
    <s v="CE"/>
    <s v="CLI1231"/>
    <s v="MANAUS"/>
    <s v="AM"/>
    <n v="2371.6978102184148"/>
    <n v="1444.0521820000001"/>
    <n v="0"/>
    <n v="7000"/>
    <n v="0"/>
    <x v="0"/>
    <x v="1"/>
    <s v="BRPECTK01"/>
    <s v="BRPECAPM"/>
    <n v="104.91808400000001"/>
    <n v="88.899500000000003"/>
    <n v="150"/>
    <n v="2224.0889801177605"/>
    <n v="400.33601642119686"/>
    <n v="768"/>
    <n v="7"/>
    <n v="0"/>
    <n v="0"/>
    <n v="768"/>
    <m/>
    <m/>
    <n v="0"/>
    <x v="0"/>
    <s v="BRMAOTK01"/>
    <s v="BRMAOCHI"/>
    <n v="11.436796000000001"/>
    <n v="88.899500000000003"/>
    <n v="150"/>
    <n v="839.0103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980"/>
    <n v="177799"/>
    <x v="1"/>
    <x v="3"/>
    <x v="2"/>
    <x v="2"/>
    <x v="3"/>
    <x v="3"/>
    <n v="2"/>
    <n v="1"/>
    <n v="2"/>
    <n v="2"/>
    <n v="2"/>
    <n v="1"/>
    <n v="2"/>
    <n v="17"/>
    <n v="7"/>
    <n v="180"/>
    <n v="7"/>
    <n v="180"/>
    <n v="2371.6978102184148"/>
    <n v="533.39700000000005"/>
    <n v="17058.90996128085"/>
    <n v="2047.0691953537018"/>
    <n v="110"/>
    <n v="150"/>
    <n v="1E-3"/>
    <n v="177.79900000000001"/>
    <n v="11941.236972896593"/>
    <n v="12379.035972896594"/>
    <n v="3180.9641611183101"/>
    <n v="4204.9724425750828"/>
    <n v="0.08"/>
    <n v="713.2480469817757"/>
    <n v="0.12"/>
    <n v="1485.4843167475913"/>
    <n v="15"/>
    <n v="2"/>
  </r>
  <r>
    <n v="583"/>
    <d v="2022-12-31T00:00:00"/>
    <x v="2"/>
    <s v="CLI335"/>
    <s v="CLI335"/>
    <s v="SUZANO"/>
    <s v="SP"/>
    <s v="CLI811"/>
    <s v="MARACANAU"/>
    <s v="CE"/>
    <n v="2796.9572269999999"/>
    <n v="0"/>
    <n v="0"/>
    <n v="0"/>
    <n v="0"/>
    <x v="0"/>
    <x v="0"/>
    <s v="BRSSZTK01"/>
    <s v="BRSSZTCO"/>
    <n v="95.74942999999999"/>
    <n v="61.655000000000001"/>
    <n v="150"/>
    <n v="2060.9958345151999"/>
    <n v="370.97925021273596"/>
    <n v="640"/>
    <n v="7"/>
    <n v="0"/>
    <n v="0"/>
    <n v="640"/>
    <m/>
    <m/>
    <n v="0"/>
    <x v="3"/>
    <s v="BRPECTK01"/>
    <s v="BRPECAPM"/>
    <n v="52.945568000000002"/>
    <n v="61.655000000000001"/>
    <n v="150"/>
    <n v="1426.7864206515201"/>
    <n v="256.82155571727361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234"/>
    <n v="12331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96.9572269999999"/>
    <n v="369.93"/>
    <n v="19783.362650267922"/>
    <n v="1384.8353855187547"/>
    <n v="110"/>
    <n v="150"/>
    <n v="1E-3"/>
    <n v="123.31"/>
    <n v="13848.353855187544"/>
    <n v="14231.663855187544"/>
    <n v="3180.9641611183101"/>
    <n v="5884.917438902512"/>
    <n v="0.08"/>
    <n v="809.28646352726503"/>
    <n v="7.0000000000000007E-2"/>
    <n v="996.21646986312817"/>
    <n v="15"/>
    <n v="1"/>
  </r>
  <r>
    <n v="584"/>
    <d v="2022-12-31T00:00:00"/>
    <x v="2"/>
    <s v="CLI336"/>
    <s v="CLI336"/>
    <s v="MANAUS"/>
    <s v="AM"/>
    <s v="CLI1118"/>
    <s v="CARAPICUIBA"/>
    <s v="SP"/>
    <n v="3921.016138"/>
    <n v="0"/>
    <n v="2868.9442519999998"/>
    <n v="7000"/>
    <n v="0"/>
    <x v="0"/>
    <x v="2"/>
    <s v="BRMAOTK01"/>
    <s v="BRMAOCHI"/>
    <n v="11.436796000000001"/>
    <n v="37.701500000000003"/>
    <n v="150"/>
    <n v="787.81238908544003"/>
    <n v="0"/>
    <n v="832"/>
    <n v="7"/>
    <n v="0"/>
    <n v="0"/>
    <n v="832"/>
    <m/>
    <m/>
    <n v="0"/>
    <x v="1"/>
    <s v="BRSSZTK01"/>
    <s v="BRSSZTCO"/>
    <n v="105.882527"/>
    <n v="37.701500000000003"/>
    <n v="150"/>
    <n v="2187.1807848492799"/>
    <n v="393.6925412728703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55"/>
    <n v="75403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3921.016138"/>
    <n v="226.209"/>
    <n v="27273.08075251248"/>
    <n v="3272.7696903014976"/>
    <n v="110"/>
    <n v="150"/>
    <n v="1E-3"/>
    <n v="75.403000000000006"/>
    <n v="19091.156526758736"/>
    <n v="19426.559526758734"/>
    <n v="3180.9641611183101"/>
    <n v="11503.602191705704"/>
    <n v="0.08"/>
    <n v="1284.6299049240915"/>
    <n v="0.12"/>
    <n v="2331.1871432110479"/>
    <n v="15"/>
    <n v="3"/>
  </r>
  <r>
    <n v="585"/>
    <d v="2022-12-31T00:00:00"/>
    <x v="2"/>
    <s v="CLI338"/>
    <s v="CLI338"/>
    <s v="PAULINIA"/>
    <s v="SP"/>
    <s v="CLI1081"/>
    <s v="MANAUS"/>
    <s v="AM"/>
    <n v="2581.066007709137"/>
    <n v="2775.6534539999998"/>
    <n v="0"/>
    <n v="7000"/>
    <n v="0"/>
    <x v="0"/>
    <x v="0"/>
    <s v="BRSSZTK01"/>
    <s v="BRSSZTCO"/>
    <n v="195.69980799999999"/>
    <n v="67.929500000000004"/>
    <n v="150"/>
    <n v="3548.1991032051201"/>
    <n v="638.67583857692159"/>
    <n v="640"/>
    <n v="7"/>
    <n v="0"/>
    <n v="0"/>
    <n v="640"/>
    <m/>
    <m/>
    <n v="0"/>
    <x v="0"/>
    <s v="BRMAOTK01"/>
    <s v="BRMAOCHI"/>
    <n v="11.436796000000001"/>
    <n v="67.929500000000004"/>
    <n v="150"/>
    <n v="818.0403890854399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15"/>
    <n v="13585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81.066007709137"/>
    <n v="407.577"/>
    <n v="18354.901015712447"/>
    <n v="1284.8430710998714"/>
    <n v="110"/>
    <n v="150"/>
    <n v="1E-3"/>
    <n v="135.85900000000001"/>
    <n v="12848.430710998711"/>
    <n v="13244.289710998712"/>
    <n v="3180.9641611183101"/>
    <n v="3955.0860575898409"/>
    <n v="0.08"/>
    <n v="659.14995041049849"/>
    <n v="7.0000000000000007E-2"/>
    <n v="927.10027976990989"/>
    <n v="15"/>
    <n v="1"/>
  </r>
  <r>
    <n v="586"/>
    <d v="2022-12-31T00:00:00"/>
    <x v="2"/>
    <s v="CLI340"/>
    <s v="CLI340"/>
    <s v="CORDEIROPOLIS"/>
    <s v="SP"/>
    <s v="CLI600"/>
    <s v="SALVADOR"/>
    <s v="BA"/>
    <n v="1794.8251399999999"/>
    <n v="0"/>
    <n v="0"/>
    <n v="0"/>
    <n v="0"/>
    <x v="0"/>
    <x v="0"/>
    <s v="BRSSZTK01"/>
    <s v="BRSSZTCO"/>
    <n v="241.12192899999999"/>
    <n v="114.7895"/>
    <n v="150"/>
    <n v="4268.0623180985604"/>
    <n v="768.25121725774079"/>
    <n v="640"/>
    <n v="7"/>
    <n v="0"/>
    <n v="0"/>
    <n v="640"/>
    <m/>
    <m/>
    <n v="0"/>
    <x v="5"/>
    <s v="BRSSATK01"/>
    <s v="BRSSATCO"/>
    <n v="2.2452209999999999"/>
    <n v="114.7895"/>
    <n v="150"/>
    <n v="728.71213127743999"/>
    <n v="0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865"/>
    <n v="229579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1794.8251399999999"/>
    <n v="688.73699999999997"/>
    <n v="13296.730732734401"/>
    <n v="930.77115129140816"/>
    <n v="110"/>
    <n v="150"/>
    <n v="1E-3"/>
    <n v="229.57900000000001"/>
    <n v="9307.7115129140802"/>
    <n v="9797.29051291408"/>
    <n v="3180.9641611183101"/>
    <n v="5.5519024197697036"/>
    <n v="0.08"/>
    <n v="322.58118770242714"/>
    <n v="7.0000000000000007E-2"/>
    <n v="685.81033590398567"/>
    <n v="15"/>
    <n v="2"/>
  </r>
  <r>
    <n v="587"/>
    <d v="2022-12-31T00:00:00"/>
    <x v="2"/>
    <s v="CLI340"/>
    <s v="CLI340"/>
    <s v="CORDEIROPOLIS"/>
    <s v="SP"/>
    <s v="CLI706"/>
    <s v="RECIFE"/>
    <s v="PE"/>
    <n v="2535.2605639999997"/>
    <n v="0"/>
    <n v="0"/>
    <n v="0"/>
    <n v="0"/>
    <x v="0"/>
    <x v="0"/>
    <s v="BRSSZTK01"/>
    <s v="BRSSZTCO"/>
    <n v="241.12192899999999"/>
    <n v="80.527000000000001"/>
    <n v="150"/>
    <n v="4233.7998180985596"/>
    <n v="762.08396725774071"/>
    <n v="640"/>
    <n v="7"/>
    <n v="0"/>
    <n v="0"/>
    <n v="640"/>
    <m/>
    <m/>
    <n v="0"/>
    <x v="2"/>
    <s v="BRSUATK01"/>
    <s v="BRSUATCO"/>
    <n v="51.681188999999996"/>
    <n v="80.527000000000001"/>
    <n v="150"/>
    <n v="1426.92457218496"/>
    <n v="256.8464229932927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436"/>
    <n v="16105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5.2605639999997"/>
    <n v="483.16200000000003"/>
    <n v="18119.423079701442"/>
    <n v="1268.359615579101"/>
    <n v="110"/>
    <n v="150"/>
    <n v="1E-3"/>
    <n v="161.054"/>
    <n v="12683.596155791009"/>
    <n v="13104.650155791009"/>
    <n v="3180.9641611183101"/>
    <n v="2008.9616043891788"/>
    <n v="0.08"/>
    <n v="513.99963002051652"/>
    <n v="7.0000000000000007E-2"/>
    <n v="917.32551090537072"/>
    <n v="15"/>
    <n v="1"/>
  </r>
  <r>
    <n v="588"/>
    <d v="2022-12-31T00:00:00"/>
    <x v="2"/>
    <s v="CLI340"/>
    <s v="CLI340"/>
    <s v="CORDEIROPOLIS"/>
    <s v="SP"/>
    <s v="CLI562"/>
    <s v="RECIFE"/>
    <s v="PE"/>
    <n v="2535.2605639999997"/>
    <n v="0"/>
    <n v="0"/>
    <n v="0"/>
    <n v="0"/>
    <x v="0"/>
    <x v="0"/>
    <s v="BRSSZTK01"/>
    <s v="BRSSZTCO"/>
    <n v="241.12192899999999"/>
    <n v="34.981500000000004"/>
    <n v="150"/>
    <n v="4188.2543180985595"/>
    <n v="753.88577725774064"/>
    <n v="640"/>
    <n v="7"/>
    <n v="0"/>
    <n v="0"/>
    <n v="640"/>
    <m/>
    <m/>
    <n v="0"/>
    <x v="2"/>
    <s v="BRSUATK01"/>
    <s v="BRSUATCO"/>
    <n v="51.681188999999996"/>
    <n v="34.981500000000004"/>
    <n v="150"/>
    <n v="1381.37907218496"/>
    <n v="248.6482329932927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941"/>
    <n v="6996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5.2605639999997"/>
    <n v="209.88900000000001"/>
    <n v="17846.150079701441"/>
    <n v="1249.230505579101"/>
    <n v="110"/>
    <n v="150"/>
    <n v="1E-3"/>
    <n v="69.963000000000008"/>
    <n v="12492.305055791008"/>
    <n v="12822.268055791008"/>
    <n v="3180.9641611183101"/>
    <n v="1817.6705043891784"/>
    <n v="0.08"/>
    <n v="500.00805242051649"/>
    <n v="7.0000000000000007E-2"/>
    <n v="897.5587639053706"/>
    <n v="15"/>
    <n v="1"/>
  </r>
  <r>
    <n v="589"/>
    <d v="2022-12-31T00:00:00"/>
    <x v="2"/>
    <s v="CLI340"/>
    <s v="CLI340"/>
    <s v="CORDEIROPOLIS"/>
    <s v="SP"/>
    <s v="CLI489"/>
    <s v="RECIFE"/>
    <s v="PE"/>
    <n v="2535.2605639999997"/>
    <n v="0"/>
    <n v="0"/>
    <n v="0"/>
    <n v="0"/>
    <x v="0"/>
    <x v="0"/>
    <s v="BRSSZTK01"/>
    <s v="BRSSZTCO"/>
    <n v="241.12192899999999"/>
    <n v="117.9785"/>
    <n v="150"/>
    <n v="4271.2513180985598"/>
    <n v="768.8252372577407"/>
    <n v="640"/>
    <n v="7"/>
    <n v="0"/>
    <n v="0"/>
    <n v="640"/>
    <m/>
    <m/>
    <n v="0"/>
    <x v="2"/>
    <s v="BRSUATK01"/>
    <s v="BRSUATCO"/>
    <n v="51.681188999999996"/>
    <n v="117.9785"/>
    <n v="150"/>
    <n v="1464.3760721849599"/>
    <n v="263.58769299329276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485"/>
    <n v="23595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5.2605639999997"/>
    <n v="707.87099999999998"/>
    <n v="18344.132079701441"/>
    <n v="1284.0892455791011"/>
    <n v="110"/>
    <n v="150"/>
    <n v="1E-3"/>
    <n v="235.95699999999999"/>
    <n v="12840.892455791009"/>
    <n v="13336.849455791009"/>
    <n v="3180.9641611183101"/>
    <n v="2166.2579043891806"/>
    <n v="0.08"/>
    <n v="525.50473082051656"/>
    <n v="7.0000000000000007E-2"/>
    <n v="933.57946190537075"/>
    <n v="15"/>
    <n v="1"/>
  </r>
  <r>
    <n v="590"/>
    <d v="2022-12-31T00:00:00"/>
    <x v="2"/>
    <s v="CLI340"/>
    <s v="CLI340"/>
    <s v="CORDEIROPOLIS"/>
    <s v="SP"/>
    <s v="CLI559"/>
    <s v="FEIRA DE SANTANA"/>
    <s v="BA"/>
    <n v="1754.3466310000001"/>
    <n v="0"/>
    <n v="0"/>
    <n v="0"/>
    <n v="0"/>
    <x v="0"/>
    <x v="0"/>
    <s v="BRSSZTK01"/>
    <s v="BRSSZTCO"/>
    <n v="241.12192899999999"/>
    <n v="52.063000000000002"/>
    <n v="150"/>
    <n v="4205.3358180985597"/>
    <n v="756.96044725774073"/>
    <n v="640"/>
    <n v="7"/>
    <n v="0"/>
    <n v="0"/>
    <n v="640"/>
    <m/>
    <m/>
    <n v="0"/>
    <x v="5"/>
    <s v="BRSSATK01"/>
    <s v="BRSSATCO"/>
    <n v="112.075299"/>
    <n v="52.063000000000002"/>
    <n v="150"/>
    <n v="2293.2983581753601"/>
    <n v="412.79370447156481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466"/>
    <n v="10412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754.3466310000001"/>
    <n v="312.37799999999999"/>
    <n v="12645.483797255763"/>
    <n v="885.18386580790354"/>
    <n v="110"/>
    <n v="150"/>
    <n v="1E-3"/>
    <n v="104.126"/>
    <n v="8851.8386580790338"/>
    <n v="9215.9646580790341"/>
    <n v="3180.9641611183101"/>
    <n v="-2077.6336793131959"/>
    <n v="0.08"/>
    <n v="123.80610640606467"/>
    <n v="7.0000000000000007E-2"/>
    <n v="645.11752606553239"/>
    <n v="15"/>
    <n v="1"/>
  </r>
  <r>
    <n v="591"/>
    <d v="2022-12-31T00:00:00"/>
    <x v="2"/>
    <s v="CLI340"/>
    <s v="CLI340"/>
    <s v="CORDEIROPOLIS"/>
    <s v="SP"/>
    <s v="CLI566"/>
    <s v="CAMPINA GRANDE"/>
    <s v="PB"/>
    <n v="2523.450695"/>
    <n v="0"/>
    <n v="0"/>
    <n v="0"/>
    <n v="0"/>
    <x v="0"/>
    <x v="0"/>
    <s v="BRSSZTK01"/>
    <s v="BRSSZTCO"/>
    <n v="241.12192899999999"/>
    <n v="30.483499999999999"/>
    <n v="150"/>
    <n v="4183.7563180985599"/>
    <n v="753.0761372577407"/>
    <n v="640"/>
    <n v="7"/>
    <n v="0"/>
    <n v="0"/>
    <n v="640"/>
    <m/>
    <m/>
    <n v="0"/>
    <x v="2"/>
    <s v="BRSUATK01"/>
    <s v="BRSUATCO"/>
    <n v="220.11418"/>
    <n v="30.483499999999999"/>
    <n v="150"/>
    <n v="3872.4920639551997"/>
    <n v="464.69904767462396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076"/>
    <n v="6096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23.450695"/>
    <n v="182.90100000000001"/>
    <n v="17738.961731717205"/>
    <n v="1241.7273212202044"/>
    <n v="110"/>
    <n v="150"/>
    <n v="1E-3"/>
    <n v="60.966999999999999"/>
    <n v="12417.273212202042"/>
    <n v="12738.240212202043"/>
    <n v="3180.9641611183101"/>
    <n v="-752.97233097002709"/>
    <n v="0.08"/>
    <n v="277.1373316172735"/>
    <n v="7.0000000000000007E-2"/>
    <n v="891.67681485414312"/>
    <n v="15"/>
    <n v="1"/>
  </r>
  <r>
    <n v="592"/>
    <d v="2022-12-31T00:00:00"/>
    <x v="2"/>
    <s v="CLI341"/>
    <s v="CLI341"/>
    <s v="FEIRA DE SANTANA"/>
    <s v="BA"/>
    <s v="CLI599"/>
    <s v="JABOATAO DOS GUARARAPES"/>
    <s v="PE"/>
    <n v="774.66248699999994"/>
    <n v="0"/>
    <n v="0"/>
    <n v="0"/>
    <n v="0"/>
    <x v="0"/>
    <x v="5"/>
    <s v="BRSSATK01"/>
    <s v="BRSSATCO"/>
    <n v="112.075299"/>
    <n v="81.6785"/>
    <n v="150"/>
    <n v="2322.91385817536"/>
    <n v="418.12449447156479"/>
    <n v="704"/>
    <n v="7"/>
    <n v="0"/>
    <n v="0"/>
    <n v="704"/>
    <m/>
    <m/>
    <n v="0"/>
    <x v="2"/>
    <s v="BRSUATK01"/>
    <s v="BRSUATCO"/>
    <n v="43.495365"/>
    <n v="81.6785"/>
    <n v="150"/>
    <n v="1306.7896648736"/>
    <n v="235.22213967724801"/>
    <n v="1344"/>
    <n v="7"/>
    <n v="0"/>
    <n v="0"/>
    <n v="1344"/>
    <s v="BRSSADP01"/>
    <n v="110"/>
    <n v="75"/>
    <n v="0"/>
    <n v="0"/>
    <n v="0"/>
    <n v="11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741"/>
    <n v="16335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774.66248699999994"/>
    <n v="490.07100000000003"/>
    <n v="6170.1809627175198"/>
    <n v="740.42171552610239"/>
    <n v="110"/>
    <n v="150"/>
    <n v="1E-3"/>
    <n v="163.357"/>
    <n v="4319.126673902264"/>
    <n v="4742.4836739022639"/>
    <n v="3180.9641611183101"/>
    <n v="-4411.1840102650058"/>
    <n v="0.08"/>
    <n v="36.75468133635929"/>
    <n v="0.12"/>
    <n v="569.0980408682716"/>
    <n v="15"/>
    <n v="1"/>
  </r>
  <r>
    <n v="593"/>
    <d v="2022-12-31T00:00:00"/>
    <x v="2"/>
    <s v="CLI341"/>
    <s v="CLI341"/>
    <s v="FEIRA DE SANTANA"/>
    <s v="BA"/>
    <s v="CLI1082"/>
    <s v="MANAUS"/>
    <s v="AM"/>
    <n v="2532.3139994572889"/>
    <n v="1962.873523"/>
    <n v="0"/>
    <n v="7000"/>
    <n v="0"/>
    <x v="0"/>
    <x v="5"/>
    <s v="BRSSATK01"/>
    <s v="BRSSATCO"/>
    <n v="112.075299"/>
    <n v="106.833"/>
    <n v="150"/>
    <n v="2348.0683581753601"/>
    <n v="422.65230447156483"/>
    <n v="704"/>
    <n v="7"/>
    <n v="0"/>
    <n v="0"/>
    <n v="704"/>
    <m/>
    <m/>
    <n v="0"/>
    <x v="0"/>
    <s v="BRMAOTK01"/>
    <s v="BRMAOCHI"/>
    <n v="11.436796000000001"/>
    <n v="106.833"/>
    <n v="150"/>
    <n v="856.94388908543999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446"/>
    <n v="21366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2.3139994572889"/>
    <n v="640.99800000000005"/>
    <n v="18257.249077754474"/>
    <n v="2190.8698893305368"/>
    <n v="110"/>
    <n v="150"/>
    <n v="1E-3"/>
    <n v="213.666"/>
    <n v="12780.07435442813"/>
    <n v="13253.74035442813"/>
    <n v="3180.9641611183101"/>
    <n v="5036.7639460490191"/>
    <n v="0.08"/>
    <n v="770.08606421566117"/>
    <n v="0.12"/>
    <n v="1590.4488425313755"/>
    <n v="15"/>
    <n v="1"/>
  </r>
  <r>
    <n v="594"/>
    <d v="2022-12-31T00:00:00"/>
    <x v="2"/>
    <s v="CLI342"/>
    <s v="CLI342"/>
    <s v="RIBEIRAO PRETO"/>
    <s v="SP"/>
    <s v="CLI1038"/>
    <s v="MANAUS"/>
    <s v="AM"/>
    <n v="2397.4644976466097"/>
    <n v="2578.277677"/>
    <n v="0"/>
    <n v="7000"/>
    <n v="0"/>
    <x v="0"/>
    <x v="0"/>
    <s v="BRSSZTK01"/>
    <s v="BRSSZTCO"/>
    <n v="394.54480899999999"/>
    <n v="73.207000000000008"/>
    <n v="150"/>
    <n v="6499.6913988217602"/>
    <n v="1169.9444517879167"/>
    <n v="640"/>
    <n v="7"/>
    <n v="0"/>
    <n v="0"/>
    <n v="640"/>
    <m/>
    <m/>
    <n v="0"/>
    <x v="0"/>
    <s v="BRMAOTK01"/>
    <s v="BRMAOCHI"/>
    <n v="11.436796000000001"/>
    <n v="73.207000000000008"/>
    <n v="150"/>
    <n v="823.31788908544002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755"/>
    <n v="146414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2397.4644976466097"/>
    <n v="439.24200000000002"/>
    <n v="17139.735504938224"/>
    <n v="1199.7814853456757"/>
    <n v="110"/>
    <n v="150"/>
    <n v="1E-3"/>
    <n v="146.41400000000002"/>
    <n v="11997.814853456755"/>
    <n v="12404.228853456756"/>
    <n v="3180.9641611183101"/>
    <n v="158.25540443124601"/>
    <n v="0.08"/>
    <n v="312.90200910093114"/>
    <n v="7.0000000000000007E-2"/>
    <n v="868.29601974197305"/>
    <n v="15"/>
    <n v="3"/>
  </r>
  <r>
    <n v="595"/>
    <d v="2022-12-31T00:00:00"/>
    <x v="2"/>
    <s v="CLI342"/>
    <s v="CLI342"/>
    <s v="RIBEIRAO PRETO"/>
    <s v="SP"/>
    <s v="CLI785"/>
    <s v="RECIFE"/>
    <s v="PE"/>
    <n v="2435.3142429999998"/>
    <n v="0"/>
    <n v="0"/>
    <n v="0"/>
    <n v="0"/>
    <x v="0"/>
    <x v="0"/>
    <s v="BRSSZTK01"/>
    <s v="BRSSZTCO"/>
    <n v="394.54480899999999"/>
    <n v="89.506500000000003"/>
    <n v="150"/>
    <n v="6515.9908988217603"/>
    <n v="1172.8783617879169"/>
    <n v="640"/>
    <n v="7"/>
    <n v="0"/>
    <n v="0"/>
    <n v="640"/>
    <m/>
    <m/>
    <n v="0"/>
    <x v="2"/>
    <s v="BRSUATK01"/>
    <s v="BRSUATCO"/>
    <n v="51.681188999999996"/>
    <n v="89.506500000000003"/>
    <n v="150"/>
    <n v="1435.9040721849599"/>
    <n v="258.4627329932927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64"/>
    <n v="179013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435.3142429999998"/>
    <n v="537.03899999999999"/>
    <n v="17494.568611643284"/>
    <n v="1224.61980281503"/>
    <n v="110"/>
    <n v="150"/>
    <n v="1E-3"/>
    <n v="179.01300000000001"/>
    <n v="12246.198028150298"/>
    <n v="12685.211028150299"/>
    <n v="3180.9641611183101"/>
    <n v="-701.64810397473093"/>
    <n v="0.08"/>
    <n v="264.15799698898957"/>
    <n v="7.0000000000000007E-2"/>
    <n v="887.96477197052104"/>
    <n v="15"/>
    <n v="3"/>
  </r>
  <r>
    <n v="596"/>
    <d v="2022-12-31T00:00:00"/>
    <x v="2"/>
    <s v="CLI342"/>
    <s v="CLI342"/>
    <s v="RIBEIRAO PRETO"/>
    <s v="SP"/>
    <s v="CLI764"/>
    <s v="FORTALEZA"/>
    <s v="CE"/>
    <n v="2574.7290070000004"/>
    <n v="0"/>
    <n v="0"/>
    <n v="0"/>
    <n v="0"/>
    <x v="0"/>
    <x v="0"/>
    <s v="BRSSZTK01"/>
    <s v="BRSSZTCO"/>
    <n v="394.54480899999999"/>
    <n v="124.4695"/>
    <n v="150"/>
    <n v="6550.95389882176"/>
    <n v="1179.1717017879168"/>
    <n v="640"/>
    <n v="7"/>
    <n v="0"/>
    <n v="0"/>
    <n v="640"/>
    <m/>
    <m/>
    <n v="0"/>
    <x v="3"/>
    <s v="BRPECTK01"/>
    <s v="BRPECAPM"/>
    <n v="42.140103000000003"/>
    <n v="124.4695"/>
    <n v="150"/>
    <n v="1329.5002357139199"/>
    <n v="239.31004242850557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485"/>
    <n v="248939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74.7290070000004"/>
    <n v="746.81700000000001"/>
    <n v="18651.106697376723"/>
    <n v="1305.5774688163708"/>
    <n v="110"/>
    <n v="150"/>
    <n v="1E-3"/>
    <n v="248.93899999999999"/>
    <n v="13055.774688163705"/>
    <n v="13564.713688163705"/>
    <n v="3180.9641611183101"/>
    <n v="825.29539250971493"/>
    <n v="0.08"/>
    <n v="341.26222475292815"/>
    <n v="7.0000000000000007E-2"/>
    <n v="949.5299581714595"/>
    <n v="15"/>
    <n v="2"/>
  </r>
  <r>
    <n v="597"/>
    <d v="2022-12-31T00:00:00"/>
    <x v="2"/>
    <s v="CLI342"/>
    <s v="CLI342"/>
    <s v="RIBEIRAO PRETO"/>
    <s v="SP"/>
    <s v="CLI1274"/>
    <s v="JOAO PESSOA"/>
    <s v="PB"/>
    <n v="2524.6483160000002"/>
    <n v="0"/>
    <n v="0"/>
    <n v="0"/>
    <n v="0"/>
    <x v="0"/>
    <x v="0"/>
    <s v="BRSSZTK01"/>
    <s v="BRSSZTCO"/>
    <n v="394.54480899999999"/>
    <n v="124.47500000000001"/>
    <n v="150"/>
    <n v="6550.9593988217603"/>
    <n v="1179.1726917879168"/>
    <n v="640"/>
    <n v="7"/>
    <n v="0"/>
    <n v="0"/>
    <n v="640"/>
    <m/>
    <m/>
    <n v="0"/>
    <x v="2"/>
    <s v="BRSUATK01"/>
    <s v="BRSUATCO"/>
    <n v="167.74277900000001"/>
    <n v="124.47500000000001"/>
    <n v="150"/>
    <n v="3190.5153690425605"/>
    <n v="382.8618442851072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981"/>
    <n v="24895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24.6483160000002"/>
    <n v="746.85"/>
    <n v="18311.043728023364"/>
    <n v="1281.7730609616356"/>
    <n v="110"/>
    <n v="150"/>
    <n v="1E-3"/>
    <n v="248.95000000000002"/>
    <n v="12817.730609616354"/>
    <n v="13326.680609616355"/>
    <n v="3180.9641611183101"/>
    <n v="-1849.7583193662763"/>
    <n v="0.08"/>
    <n v="161.85370445432079"/>
    <n v="7.0000000000000007E-2"/>
    <n v="932.86764267314493"/>
    <n v="15"/>
    <n v="2"/>
  </r>
  <r>
    <n v="598"/>
    <d v="2022-12-31T00:00:00"/>
    <x v="2"/>
    <s v="CLI342"/>
    <s v="CLI342"/>
    <s v="RIBEIRAO PRETO"/>
    <s v="SP"/>
    <s v="CLI504"/>
    <s v="LAURO DE FREITAS"/>
    <s v="BA"/>
    <n v="1719.2959089999999"/>
    <n v="0"/>
    <n v="0"/>
    <n v="0"/>
    <n v="0"/>
    <x v="0"/>
    <x v="0"/>
    <s v="BRSSZTK01"/>
    <s v="BRSSZTCO"/>
    <n v="394.54480899999999"/>
    <n v="77.517499999999998"/>
    <n v="150"/>
    <n v="6504.0018988217598"/>
    <n v="1170.7203417879168"/>
    <n v="640"/>
    <n v="7"/>
    <n v="0"/>
    <n v="0"/>
    <n v="640"/>
    <m/>
    <m/>
    <n v="0"/>
    <x v="5"/>
    <s v="BRSSATK01"/>
    <s v="BRSSATCO"/>
    <n v="27.742001000000002"/>
    <n v="77.517499999999998"/>
    <n v="150"/>
    <n v="1069.2167416966399"/>
    <n v="192.45901350539518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99"/>
    <n v="15503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719.2959089999999"/>
    <n v="465.10500000000002"/>
    <n v="12560.182746182641"/>
    <n v="879.21279223278498"/>
    <n v="110"/>
    <n v="150"/>
    <n v="1E-3"/>
    <n v="155.035"/>
    <n v="8792.1279223278489"/>
    <n v="9207.1629223278487"/>
    <n v="3180.9641611183101"/>
    <n v="-3161.0198793088612"/>
    <n v="0.08"/>
    <n v="21.661194121290954"/>
    <n v="7.0000000000000007E-2"/>
    <n v="644.50140456294946"/>
    <n v="15"/>
    <n v="1"/>
  </r>
  <r>
    <n v="599"/>
    <d v="2022-12-31T00:00:00"/>
    <x v="2"/>
    <s v="CLI342"/>
    <s v="CLI342"/>
    <s v="RIBEIRAO PRETO"/>
    <s v="SP"/>
    <s v="CLI601"/>
    <s v="CARUARU"/>
    <s v="PE"/>
    <n v="2315.731804"/>
    <n v="0"/>
    <n v="0"/>
    <n v="0"/>
    <n v="0"/>
    <x v="0"/>
    <x v="0"/>
    <s v="BRSSZTK01"/>
    <s v="BRSSZTCO"/>
    <n v="394.54480899999999"/>
    <n v="75.631500000000003"/>
    <n v="150"/>
    <n v="6502.1158988217603"/>
    <n v="1170.3808617879167"/>
    <n v="640"/>
    <n v="7"/>
    <n v="0"/>
    <n v="0"/>
    <n v="640"/>
    <m/>
    <m/>
    <n v="0"/>
    <x v="2"/>
    <s v="BRSUATK01"/>
    <s v="BRSUATCO"/>
    <n v="152.331682"/>
    <n v="75.631500000000003"/>
    <n v="150"/>
    <n v="2913.3311927884797"/>
    <n v="524.39961470192634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698"/>
    <n v="15126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15.731804"/>
    <n v="453.78899999999999"/>
    <n v="16599.239051691842"/>
    <n v="1161.9467336184291"/>
    <n v="110"/>
    <n v="150"/>
    <n v="1E-3"/>
    <n v="151.26300000000001"/>
    <n v="11619.467336184289"/>
    <n v="12030.73033618429"/>
    <n v="3180.9641611183101"/>
    <n v="-2819.6809165442605"/>
    <n v="0.08"/>
    <n v="73.640221446736518"/>
    <n v="7.0000000000000007E-2"/>
    <n v="842.15112353290033"/>
    <n v="15"/>
    <n v="1"/>
  </r>
  <r>
    <n v="600"/>
    <d v="2022-12-31T00:00:00"/>
    <x v="2"/>
    <s v="CLI342"/>
    <s v="CLI342"/>
    <s v="RIBEIRAO PRETO"/>
    <s v="SP"/>
    <s v="CLI807"/>
    <s v="ARACAJU"/>
    <s v="SE"/>
    <n v="1959.0873489999999"/>
    <n v="0"/>
    <n v="0"/>
    <n v="0"/>
    <n v="0"/>
    <x v="0"/>
    <x v="0"/>
    <s v="BRSSZTK01"/>
    <s v="BRSSZTCO"/>
    <n v="394.54480899999999"/>
    <n v="68.730999999999995"/>
    <n v="150"/>
    <n v="6495.2153988217597"/>
    <n v="1169.1387717879168"/>
    <n v="640"/>
    <n v="7"/>
    <n v="0"/>
    <n v="0"/>
    <n v="640"/>
    <m/>
    <m/>
    <n v="0"/>
    <x v="5"/>
    <s v="BRSSATK01"/>
    <s v="BRSSATCO"/>
    <n v="320.10234800000001"/>
    <n v="68.730999999999995"/>
    <n v="150"/>
    <n v="5392.2282534707201"/>
    <n v="647.06739041648643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911"/>
    <n v="13746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959.0873489999999"/>
    <n v="412.38600000000002"/>
    <n v="14135.877823565042"/>
    <n v="989.51144764955302"/>
    <n v="110"/>
    <n v="150"/>
    <n v="1E-3"/>
    <n v="137.46199999999999"/>
    <n v="9895.1144764955297"/>
    <n v="10292.576476495529"/>
    <n v="3180.9641611183101"/>
    <n v="-6389.8313369152602"/>
    <n v="0.08"/>
    <n v="-272.88586704010834"/>
    <n v="7.0000000000000007E-2"/>
    <n v="720.48035335468717"/>
    <n v="15"/>
    <n v="1"/>
  </r>
  <r>
    <n v="601"/>
    <d v="2022-12-31T00:00:00"/>
    <x v="2"/>
    <s v="CLI343"/>
    <s v="CLI343"/>
    <s v="SAO BERNARDO DO CAMPO"/>
    <s v="SP"/>
    <s v="CLI706"/>
    <s v="RECIFE"/>
    <s v="PE"/>
    <n v="2606.8052790000002"/>
    <n v="0"/>
    <n v="0"/>
    <n v="0"/>
    <n v="0"/>
    <x v="0"/>
    <x v="0"/>
    <s v="BRSSZTK01"/>
    <s v="BRSSZTCO"/>
    <n v="66.511209000000008"/>
    <n v="60.570500000000003"/>
    <n v="150"/>
    <n v="1626.6991397177601"/>
    <n v="292.80584514919678"/>
    <n v="640"/>
    <n v="7"/>
    <n v="0"/>
    <n v="0"/>
    <n v="640"/>
    <m/>
    <m/>
    <n v="0"/>
    <x v="2"/>
    <s v="BRSUATK01"/>
    <s v="BRSUATCO"/>
    <n v="51.681188999999996"/>
    <n v="60.570500000000003"/>
    <n v="150"/>
    <n v="1406.96807218496"/>
    <n v="253.2542529932927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428"/>
    <n v="12114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06.8052790000002"/>
    <n v="363.423"/>
    <n v="18485.541377477843"/>
    <n v="1293.987896423449"/>
    <n v="110"/>
    <n v="150"/>
    <n v="1E-3"/>
    <n v="121.14100000000001"/>
    <n v="12939.878964234489"/>
    <n v="13321.019964234489"/>
    <n v="3180.9641611183101"/>
    <n v="4852.3885912134574"/>
    <n v="0.08"/>
    <n v="779.30341233514241"/>
    <n v="7.0000000000000007E-2"/>
    <n v="932.47139749641428"/>
    <n v="15"/>
    <n v="1"/>
  </r>
  <r>
    <n v="602"/>
    <d v="2022-12-31T00:00:00"/>
    <x v="2"/>
    <s v="CLI344"/>
    <s v="CLI344"/>
    <s v="SAO JOSE DO RIO PARDO"/>
    <s v="SP"/>
    <s v="CLI341"/>
    <s v="FEIRA DE SANTANA"/>
    <s v="BA"/>
    <n v="1619.383597"/>
    <n v="0"/>
    <n v="0"/>
    <n v="0"/>
    <n v="0"/>
    <x v="0"/>
    <x v="0"/>
    <s v="BRSSZTK01"/>
    <s v="BRSSZTCO"/>
    <n v="336.88541399999997"/>
    <n v="45.166499999999999"/>
    <n v="150"/>
    <n v="5617.33240048896"/>
    <n v="1011.1198320880128"/>
    <n v="640"/>
    <n v="7"/>
    <n v="0"/>
    <n v="0"/>
    <n v="640"/>
    <m/>
    <m/>
    <n v="0"/>
    <x v="5"/>
    <s v="BRSSATK01"/>
    <s v="BRSSATCO"/>
    <n v="112.075299"/>
    <n v="45.166499999999999"/>
    <n v="150"/>
    <n v="2286.4018581753598"/>
    <n v="411.55233447156473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761"/>
    <n v="90333"/>
    <x v="1"/>
    <x v="13"/>
    <x v="12"/>
    <x v="17"/>
    <x v="7"/>
    <x v="12"/>
    <n v="7"/>
    <n v="7"/>
    <n v="8"/>
    <n v="8"/>
    <n v="8"/>
    <n v="7"/>
    <n v="8"/>
    <n v="86"/>
    <n v="7"/>
    <n v="180"/>
    <n v="7"/>
    <n v="180"/>
    <n v="1619.383597"/>
    <n v="270.99900000000002"/>
    <n v="11687.576231883124"/>
    <n v="818.13033623181877"/>
    <n v="110"/>
    <n v="150"/>
    <n v="1E-3"/>
    <n v="90.332999999999998"/>
    <n v="8181.3033623181864"/>
    <n v="8531.636362318186"/>
    <n v="3180.9641611183101"/>
    <n v="-4167.0620574644436"/>
    <n v="0.08"/>
    <n v="-63.58160503245692"/>
    <n v="7.0000000000000007E-2"/>
    <n v="597.21454536227304"/>
    <n v="15"/>
    <n v="8"/>
  </r>
  <r>
    <n v="603"/>
    <d v="2022-12-31T00:00:00"/>
    <x v="2"/>
    <s v="CLI344"/>
    <s v="CLI344"/>
    <s v="SAO JOSE DO RIO PARDO"/>
    <s v="SP"/>
    <s v="CLI341"/>
    <s v="FEIRA DE SANTANA"/>
    <s v="BA"/>
    <n v="1619.383597"/>
    <n v="0"/>
    <n v="0"/>
    <n v="0"/>
    <n v="0"/>
    <x v="0"/>
    <x v="0"/>
    <s v="BRSSZTK01"/>
    <s v="BRSSZTCO"/>
    <n v="336.88541399999997"/>
    <n v="51.1875"/>
    <n v="150"/>
    <n v="5623.3534004889598"/>
    <n v="1012.2036120880127"/>
    <n v="640"/>
    <n v="7"/>
    <n v="0"/>
    <n v="0"/>
    <n v="640"/>
    <m/>
    <m/>
    <n v="0"/>
    <x v="5"/>
    <s v="BRSSATK01"/>
    <s v="BRSSATCO"/>
    <n v="112.075299"/>
    <n v="51.1875"/>
    <n v="150"/>
    <n v="2292.42285817536"/>
    <n v="412.63611447156478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638"/>
    <n v="102375"/>
    <x v="1"/>
    <x v="13"/>
    <x v="12"/>
    <x v="12"/>
    <x v="1"/>
    <x v="12"/>
    <n v="7"/>
    <n v="6"/>
    <n v="7"/>
    <n v="7"/>
    <n v="7"/>
    <n v="7"/>
    <n v="7"/>
    <n v="79"/>
    <n v="7"/>
    <n v="180"/>
    <n v="7"/>
    <n v="180"/>
    <n v="1619.383597"/>
    <n v="307.125"/>
    <n v="11723.702231883124"/>
    <n v="820.65915623181877"/>
    <n v="110"/>
    <n v="150"/>
    <n v="1E-3"/>
    <n v="102.375"/>
    <n v="8206.5915623181863"/>
    <n v="8568.9665623181863"/>
    <n v="3180.9641611183101"/>
    <n v="-4141.7738574644436"/>
    <n v="0.08"/>
    <n v="-61.731953832456874"/>
    <n v="7.0000000000000007E-2"/>
    <n v="599.82765936227315"/>
    <n v="15"/>
    <n v="7"/>
  </r>
  <r>
    <n v="604"/>
    <d v="2022-12-31T00:00:00"/>
    <x v="2"/>
    <s v="CLI344"/>
    <s v="CLI344"/>
    <s v="SAO JOSE DO RIO PARDO"/>
    <s v="SP"/>
    <s v="CLI341"/>
    <s v="FEIRA DE SANTANA"/>
    <s v="BA"/>
    <n v="1619.383597"/>
    <n v="0"/>
    <n v="0"/>
    <n v="0"/>
    <n v="0"/>
    <x v="0"/>
    <x v="0"/>
    <s v="BRSSZTK01"/>
    <s v="BRSSZTCO"/>
    <n v="336.88541399999997"/>
    <n v="32.1845"/>
    <n v="150"/>
    <n v="5604.3504004889601"/>
    <n v="1008.7830720880128"/>
    <n v="640"/>
    <n v="7"/>
    <n v="0"/>
    <n v="0"/>
    <n v="640"/>
    <m/>
    <m/>
    <n v="0"/>
    <x v="5"/>
    <s v="BRSSATK01"/>
    <s v="BRSSATCO"/>
    <n v="112.075299"/>
    <n v="32.1845"/>
    <n v="150"/>
    <n v="2273.4198581753599"/>
    <n v="409.21557447156476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520"/>
    <n v="64369"/>
    <x v="1"/>
    <x v="5"/>
    <x v="6"/>
    <x v="5"/>
    <x v="5"/>
    <x v="6"/>
    <n v="4"/>
    <n v="4"/>
    <n v="4"/>
    <n v="4"/>
    <n v="4"/>
    <n v="4"/>
    <n v="4"/>
    <n v="48"/>
    <n v="7"/>
    <n v="180"/>
    <n v="7"/>
    <n v="180"/>
    <n v="1619.383597"/>
    <n v="193.107"/>
    <n v="11609.684231883124"/>
    <n v="812.67789623181875"/>
    <n v="110"/>
    <n v="150"/>
    <n v="1E-3"/>
    <n v="64.369"/>
    <n v="8126.7789623181861"/>
    <n v="8451.1479623181858"/>
    <n v="3180.9641611183101"/>
    <n v="-4221.5864574644438"/>
    <n v="0.08"/>
    <n v="-67.569675432456947"/>
    <n v="7.0000000000000007E-2"/>
    <n v="591.58035736227305"/>
    <n v="15"/>
    <n v="4"/>
  </r>
  <r>
    <n v="605"/>
    <d v="2022-12-31T00:00:00"/>
    <x v="2"/>
    <s v="CLI345"/>
    <s v="CLI345"/>
    <s v="LEME"/>
    <s v="SP"/>
    <s v="CLI748"/>
    <s v="CABO DE SANTO AGOSTINHO"/>
    <s v="PE"/>
    <n v="2464.6233939999997"/>
    <n v="0"/>
    <n v="0"/>
    <n v="0"/>
    <n v="0"/>
    <x v="0"/>
    <x v="0"/>
    <s v="BRSSZTK01"/>
    <s v="BRSSZTCO"/>
    <n v="269.92282799999998"/>
    <n v="96.316500000000005"/>
    <n v="150"/>
    <n v="4676.3218702579197"/>
    <n v="841.73793664642551"/>
    <n v="640"/>
    <n v="7"/>
    <n v="0"/>
    <n v="0"/>
    <n v="640"/>
    <m/>
    <m/>
    <n v="0"/>
    <x v="2"/>
    <s v="BRSUATK01"/>
    <s v="BRSUATCO"/>
    <n v="23.080721"/>
    <n v="96.316500000000005"/>
    <n v="150"/>
    <n v="1018.9512339974401"/>
    <n v="183.4112221195392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954"/>
    <n v="19263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64.6233939999997"/>
    <n v="577.899"/>
    <n v="17734.465883718243"/>
    <n v="1241.4126118602771"/>
    <n v="110"/>
    <n v="150"/>
    <n v="1E-3"/>
    <n v="192.63300000000001"/>
    <n v="12414.12611860277"/>
    <n v="12866.759118602769"/>
    <n v="3180.9641611183101"/>
    <n v="1736.5218532290996"/>
    <n v="0.08"/>
    <n v="491.70694844651558"/>
    <n v="7.0000000000000007E-2"/>
    <n v="900.67313830219393"/>
    <n v="15"/>
    <n v="1"/>
  </r>
  <r>
    <n v="606"/>
    <d v="2022-12-31T00:00:00"/>
    <x v="2"/>
    <s v="CLI345"/>
    <s v="CLI345"/>
    <s v="LEME"/>
    <s v="SP"/>
    <s v="CLI749"/>
    <s v="JABOATAO DOS GUARARAPES"/>
    <s v="PE"/>
    <n v="2490.4221150000003"/>
    <n v="0"/>
    <n v="0"/>
    <n v="0"/>
    <n v="0"/>
    <x v="0"/>
    <x v="0"/>
    <s v="BRSSZTK01"/>
    <s v="BRSSZTCO"/>
    <n v="269.92282799999998"/>
    <n v="73.998000000000005"/>
    <n v="150"/>
    <n v="4654.0033702579194"/>
    <n v="837.72060664642549"/>
    <n v="640"/>
    <n v="7"/>
    <n v="0"/>
    <n v="0"/>
    <n v="640"/>
    <m/>
    <m/>
    <n v="0"/>
    <x v="2"/>
    <s v="BRSUATK01"/>
    <s v="BRSUATCO"/>
    <n v="43.495365"/>
    <n v="73.998000000000005"/>
    <n v="150"/>
    <n v="1299.1091648736001"/>
    <n v="233.8396496772480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939"/>
    <n v="14799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90.4221150000003"/>
    <n v="443.988"/>
    <n v="17775.752966080407"/>
    <n v="1244.3027076256285"/>
    <n v="110"/>
    <n v="150"/>
    <n v="1E-3"/>
    <n v="147.99600000000001"/>
    <n v="12443.027076256283"/>
    <n v="12851.023076256282"/>
    <n v="3180.9641611183101"/>
    <n v="1462.9463800064518"/>
    <n v="0.08"/>
    <n v="466.10802278408704"/>
    <n v="7.0000000000000007E-2"/>
    <n v="899.57161533793987"/>
    <n v="15"/>
    <n v="1"/>
  </r>
  <r>
    <n v="607"/>
    <d v="2022-12-31T00:00:00"/>
    <x v="0"/>
    <s v="CLI346"/>
    <s v="CLI346"/>
    <s v="MOSSORO"/>
    <s v="RN"/>
    <s v="CLI1093"/>
    <s v="SAO PAULO"/>
    <s v="SP"/>
    <n v="2682.7581270000001"/>
    <n v="0"/>
    <n v="0"/>
    <n v="0"/>
    <n v="0"/>
    <x v="0"/>
    <x v="1"/>
    <s v="BRPECTK01S"/>
    <s v="BRPECAPM"/>
    <n v="278.70183199999997"/>
    <n v="64.323499999999996"/>
    <n v="150"/>
    <n v="4774.4042120844806"/>
    <n v="572.92850545013766"/>
    <n v="768"/>
    <n v="7"/>
    <n v="0"/>
    <n v="0"/>
    <n v="768"/>
    <m/>
    <m/>
    <n v="0"/>
    <x v="1"/>
    <s v="BRSSZTK01S"/>
    <s v="BRSSZTCO"/>
    <n v="85.841132000000002"/>
    <n v="64.323499999999996"/>
    <n v="150"/>
    <n v="1916.85665003648"/>
    <n v="345.03419700656639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330"/>
    <n v="128647"/>
    <x v="0"/>
    <x v="28"/>
    <x v="26"/>
    <x v="24"/>
    <x v="28"/>
    <x v="27"/>
    <n v="70"/>
    <n v="70"/>
    <n v="74"/>
    <n v="72"/>
    <n v="67"/>
    <n v="58"/>
    <n v="61"/>
    <n v="785"/>
    <n v="7"/>
    <n v="110"/>
    <n v="7"/>
    <n v="110"/>
    <n v="2682.7581270000001"/>
    <n v="385.94100000000003"/>
    <n v="19023.85213013192"/>
    <n v="2282.8622556158302"/>
    <n v="75"/>
    <n v="150"/>
    <n v="1E-3"/>
    <n v="128.64699999999999"/>
    <n v="8632.8138876076719"/>
    <n v="8986.4608876076727"/>
    <n v="3180.9641611183101"/>
    <n v="4067.4967264893626"/>
    <n v="0.08"/>
    <n v="110.17898584240062"/>
    <n v="0.12"/>
    <n v="1078.3753065129206"/>
    <n v="15"/>
    <n v="74"/>
  </r>
  <r>
    <n v="608"/>
    <d v="2022-12-31T00:00:00"/>
    <x v="0"/>
    <s v="CLI346"/>
    <s v="CLI346"/>
    <s v="MOSSORO"/>
    <s v="RN"/>
    <s v="CLI774"/>
    <s v="SAO PAULO"/>
    <s v="SP"/>
    <n v="2682.7581270000001"/>
    <n v="0"/>
    <n v="0"/>
    <n v="0"/>
    <n v="0"/>
    <x v="0"/>
    <x v="1"/>
    <s v="BRPECTK01S"/>
    <s v="BRPECAPM"/>
    <n v="278.70183199999997"/>
    <n v="78.756500000000003"/>
    <n v="150"/>
    <n v="4788.8372120844806"/>
    <n v="574.66046545013762"/>
    <n v="768"/>
    <n v="7"/>
    <n v="0"/>
    <n v="0"/>
    <n v="768"/>
    <m/>
    <m/>
    <n v="0"/>
    <x v="1"/>
    <s v="BRSSZTK01S"/>
    <s v="BRSSZTCO"/>
    <n v="85.841132000000002"/>
    <n v="78.756500000000003"/>
    <n v="150"/>
    <n v="1931.28965003648"/>
    <n v="347.63213700656638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064"/>
    <n v="157513"/>
    <x v="0"/>
    <x v="1"/>
    <x v="6"/>
    <x v="5"/>
    <x v="8"/>
    <x v="1"/>
    <n v="5"/>
    <n v="5"/>
    <n v="5"/>
    <n v="5"/>
    <n v="5"/>
    <n v="4"/>
    <n v="4"/>
    <n v="56"/>
    <n v="7"/>
    <n v="110"/>
    <n v="7"/>
    <n v="110"/>
    <n v="2682.7581270000001"/>
    <n v="472.53899999999999"/>
    <n v="19110.450130131921"/>
    <n v="2293.2540156158307"/>
    <n v="75"/>
    <n v="150"/>
    <n v="1E-3"/>
    <n v="157.51300000000001"/>
    <n v="8673.2262876076729"/>
    <n v="9055.7392876076738"/>
    <n v="3180.9641611183101"/>
    <n v="4136.7751264893632"/>
    <n v="0.08"/>
    <n v="113.06558584240075"/>
    <n v="0.12"/>
    <n v="1086.6887145129208"/>
    <n v="15"/>
    <n v="5"/>
  </r>
  <r>
    <n v="609"/>
    <d v="2022-12-31T00:00:00"/>
    <x v="0"/>
    <s v="CLI346"/>
    <s v="CLI346"/>
    <s v="MOSSORO"/>
    <s v="RN"/>
    <s v="CLI932"/>
    <s v="SANTO ANDRE"/>
    <s v="SP"/>
    <n v="2698.7791729999999"/>
    <n v="0"/>
    <n v="0"/>
    <n v="0"/>
    <n v="0"/>
    <x v="0"/>
    <x v="1"/>
    <s v="BRPECTK01S"/>
    <s v="BRPECAPM"/>
    <n v="278.70183199999997"/>
    <n v="121.73400000000001"/>
    <n v="150"/>
    <n v="4831.8147120844806"/>
    <n v="579.8177654501377"/>
    <n v="768"/>
    <n v="7"/>
    <n v="0"/>
    <n v="0"/>
    <n v="768"/>
    <m/>
    <m/>
    <n v="0"/>
    <x v="1"/>
    <s v="BRSSZTK01S"/>
    <s v="BRSSZTCO"/>
    <n v="70.140299999999996"/>
    <n v="121.73400000000001"/>
    <n v="150"/>
    <n v="1741.6335745919998"/>
    <n v="313.49404342655998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575"/>
    <n v="243468"/>
    <x v="0"/>
    <x v="5"/>
    <x v="6"/>
    <x v="5"/>
    <x v="5"/>
    <x v="6"/>
    <n v="4"/>
    <n v="4"/>
    <n v="4"/>
    <n v="4"/>
    <n v="4"/>
    <n v="3"/>
    <n v="4"/>
    <n v="47"/>
    <n v="7"/>
    <n v="110"/>
    <n v="7"/>
    <n v="110"/>
    <n v="2698.7791729999999"/>
    <n v="730.404"/>
    <n v="19477.113412676081"/>
    <n v="2337.2536095211294"/>
    <n v="75"/>
    <n v="150"/>
    <n v="1E-3"/>
    <n v="243.46800000000002"/>
    <n v="9032.5655881997191"/>
    <n v="9501.0335881997198"/>
    <n v="3180.9641611183101"/>
    <n v="4582.0694270814092"/>
    <n v="0.08"/>
    <n v="162.74187941172335"/>
    <n v="0.12"/>
    <n v="1140.1240305839663"/>
    <n v="15"/>
    <n v="4"/>
  </r>
  <r>
    <n v="610"/>
    <d v="2022-12-31T00:00:00"/>
    <x v="0"/>
    <s v="CLI346"/>
    <s v="CLI346"/>
    <s v="MOSSORO"/>
    <s v="RN"/>
    <s v="CLI1092"/>
    <s v="ITAGUAI"/>
    <s v="RJ"/>
    <n v="2431.6111609999998"/>
    <n v="0"/>
    <n v="0"/>
    <n v="0"/>
    <n v="0"/>
    <x v="0"/>
    <x v="1"/>
    <s v="BRPECTK01S"/>
    <s v="BRPECAPM"/>
    <n v="278.70183199999997"/>
    <n v="62.953000000000003"/>
    <n v="150"/>
    <n v="4773.0337120844806"/>
    <n v="572.7640454501377"/>
    <n v="768"/>
    <n v="7"/>
    <n v="0"/>
    <n v="0"/>
    <n v="768"/>
    <m/>
    <m/>
    <n v="0"/>
    <x v="4"/>
    <s v="BRIGITK01S"/>
    <s v="BRIGITCO"/>
    <n v="14.539448"/>
    <n v="62.953000000000003"/>
    <n v="150"/>
    <n v="859.03476681472"/>
    <n v="0"/>
    <n v="704"/>
    <n v="7"/>
    <n v="0"/>
    <n v="0"/>
    <n v="704"/>
    <s v="BRPECDP01"/>
    <n v="120"/>
    <n v="90"/>
    <n v="0"/>
    <n v="0"/>
    <n v="0"/>
    <n v="120"/>
    <n v="330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932"/>
    <n v="125906"/>
    <x v="0"/>
    <x v="0"/>
    <x v="5"/>
    <x v="4"/>
    <x v="5"/>
    <x v="0"/>
    <n v="4"/>
    <n v="4"/>
    <n v="4"/>
    <n v="4"/>
    <n v="4"/>
    <n v="3"/>
    <n v="3"/>
    <n v="42"/>
    <n v="7"/>
    <n v="110"/>
    <n v="7"/>
    <n v="110"/>
    <n v="2431.6111609999998"/>
    <n v="377.71800000000002"/>
    <n v="17310.10012990456"/>
    <n v="2077.2120155885473"/>
    <n v="75"/>
    <n v="150"/>
    <n v="1E-3"/>
    <n v="125.90600000000001"/>
    <n v="8174.6221557037497"/>
    <n v="8525.5281557037506"/>
    <n v="3180.9641611183101"/>
    <n v="3542.5639945854405"/>
    <n v="0.08"/>
    <n v="185.65565050835295"/>
    <n v="0.12"/>
    <n v="1023.0633786844501"/>
    <n v="15"/>
    <n v="4"/>
  </r>
  <r>
    <n v="611"/>
    <d v="2022-12-31T00:00:00"/>
    <x v="1"/>
    <s v="CLI346"/>
    <s v="CLI346"/>
    <s v="MOSSORO"/>
    <s v="RN"/>
    <s v="CLI1269"/>
    <s v="MANAUS"/>
    <s v="AM"/>
    <n v="2528.4842900610142"/>
    <n v="1630.154591"/>
    <n v="0"/>
    <n v="7000"/>
    <n v="0"/>
    <x v="0"/>
    <x v="1"/>
    <s v="BRPECTK01S"/>
    <s v="BRPECAPM"/>
    <n v="278.70183199999997"/>
    <n v="66.143500000000003"/>
    <n v="150"/>
    <n v="4776.2242120844803"/>
    <n v="573.14690545013764"/>
    <n v="768"/>
    <n v="7"/>
    <n v="0"/>
    <n v="0"/>
    <n v="768"/>
    <m/>
    <m/>
    <n v="0"/>
    <x v="0"/>
    <s v="BRMAOTK01"/>
    <s v="BRMAOCHI"/>
    <n v="11.436796000000001"/>
    <n v="66.143500000000003"/>
    <n v="150"/>
    <n v="816.2543890854400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317"/>
    <n v="132287"/>
    <x v="0"/>
    <x v="3"/>
    <x v="2"/>
    <x v="2"/>
    <x v="3"/>
    <x v="3"/>
    <n v="2"/>
    <n v="2"/>
    <n v="2"/>
    <n v="2"/>
    <n v="2"/>
    <n v="1"/>
    <n v="1"/>
    <n v="17"/>
    <n v="7"/>
    <n v="110"/>
    <n v="7"/>
    <n v="110"/>
    <n v="2528.4842900610142"/>
    <n v="396.86099999999999"/>
    <n v="17987.104674432747"/>
    <n v="2158.4525609319294"/>
    <n v="75"/>
    <n v="150"/>
    <n v="1E-3"/>
    <n v="132.28700000000001"/>
    <n v="9247.616323643786"/>
    <n v="9604.9033236437863"/>
    <n v="3180.9641611183101"/>
    <n v="3677.6847734400367"/>
    <n v="0.08"/>
    <n v="275.14222536189828"/>
    <n v="0.12"/>
    <n v="1152.5883988372543"/>
    <n v="15"/>
    <n v="2"/>
  </r>
  <r>
    <n v="612"/>
    <d v="2022-12-31T00:00:00"/>
    <x v="0"/>
    <s v="CLI346"/>
    <s v="CLI346"/>
    <s v="MOSSORO"/>
    <s v="RN"/>
    <s v="CLI626"/>
    <s v="ITAGUAI"/>
    <s v="RJ"/>
    <n v="2431.6111609999998"/>
    <n v="0"/>
    <n v="0"/>
    <n v="0"/>
    <n v="0"/>
    <x v="0"/>
    <x v="1"/>
    <s v="BRPECTK01S"/>
    <s v="BRPECAPM"/>
    <n v="278.70183199999997"/>
    <n v="88.530500000000004"/>
    <n v="150"/>
    <n v="4798.61121208448"/>
    <n v="575.83334545013759"/>
    <n v="768"/>
    <n v="7"/>
    <n v="0"/>
    <n v="0"/>
    <n v="768"/>
    <m/>
    <m/>
    <n v="0"/>
    <x v="4"/>
    <s v="BRIGITK01S"/>
    <s v="BRIGITCO"/>
    <n v="14.539448"/>
    <n v="88.530500000000004"/>
    <n v="150"/>
    <n v="884.61226681471999"/>
    <n v="0"/>
    <n v="704"/>
    <n v="7"/>
    <n v="0"/>
    <n v="0"/>
    <n v="704"/>
    <s v="BRPECDP01"/>
    <n v="120"/>
    <n v="90"/>
    <n v="0"/>
    <n v="0"/>
    <n v="0"/>
    <n v="120"/>
    <n v="330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298"/>
    <n v="177061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431.6111609999998"/>
    <n v="531.18299999999999"/>
    <n v="17463.56512990456"/>
    <n v="2095.627815588547"/>
    <n v="75"/>
    <n v="150"/>
    <n v="1E-3"/>
    <n v="177.06100000000001"/>
    <n v="8246.2391557037517"/>
    <n v="8648.3001557037514"/>
    <n v="3180.9641611183101"/>
    <n v="3665.3359945854413"/>
    <n v="0.08"/>
    <n v="191.13946650835311"/>
    <n v="0.12"/>
    <n v="1037.7960186844502"/>
    <n v="15"/>
    <n v="1"/>
  </r>
  <r>
    <n v="613"/>
    <d v="2022-12-31T00:00:00"/>
    <x v="1"/>
    <s v="CLI347"/>
    <s v="CLI347"/>
    <s v="PINDAMONHANGABA"/>
    <s v="SP"/>
    <s v="CLI397"/>
    <s v="CABO DE SANTO AGOSTINHO"/>
    <s v="PE"/>
    <n v="2424.5461009999999"/>
    <n v="0"/>
    <n v="0"/>
    <n v="0"/>
    <n v="0"/>
    <x v="0"/>
    <x v="0"/>
    <s v="BRSSZTK01S"/>
    <s v="BRSSZTCO"/>
    <n v="196.61712800000001"/>
    <n v="79.344000000000008"/>
    <n v="150"/>
    <n v="3573.2052034099202"/>
    <n v="643.17693661378564"/>
    <n v="640"/>
    <n v="7"/>
    <n v="0"/>
    <n v="0"/>
    <n v="640"/>
    <m/>
    <m/>
    <n v="0"/>
    <x v="2"/>
    <s v="BRSUATK01"/>
    <s v="BRSUATCO"/>
    <n v="23.080721"/>
    <n v="79.344000000000008"/>
    <n v="150"/>
    <n v="1001.9787339974401"/>
    <n v="180.3561721195392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435"/>
    <n v="158688"/>
    <x v="0"/>
    <x v="29"/>
    <x v="23"/>
    <x v="25"/>
    <x v="26"/>
    <x v="28"/>
    <n v="25"/>
    <n v="25"/>
    <n v="26"/>
    <n v="25"/>
    <n v="23"/>
    <n v="20"/>
    <n v="21"/>
    <n v="274"/>
    <n v="7"/>
    <n v="110"/>
    <n v="7"/>
    <n v="110"/>
    <n v="2424.5461009999999"/>
    <n v="476.06400000000002"/>
    <n v="17360.467590046959"/>
    <n v="1215.2327313032872"/>
    <n v="75"/>
    <n v="150"/>
    <n v="1E-3"/>
    <n v="158.68800000000002"/>
    <n v="9651.0836706459268"/>
    <n v="10034.771670645927"/>
    <n v="3180.9641611183101"/>
    <n v="3597.8287755301758"/>
    <n v="0.08"/>
    <n v="370.88436996041935"/>
    <n v="7.0000000000000007E-2"/>
    <n v="702.43401694521492"/>
    <n v="15"/>
    <n v="26"/>
  </r>
  <r>
    <n v="614"/>
    <d v="2022-12-31T00:00:00"/>
    <x v="1"/>
    <s v="CLI347"/>
    <s v="CLI347"/>
    <s v="PINDAMONHANGABA"/>
    <s v="SP"/>
    <s v="CLI398"/>
    <s v="MANAUS"/>
    <s v="AM"/>
    <n v="2697.5699454893156"/>
    <n v="2976.8681710000001"/>
    <n v="0"/>
    <n v="7000"/>
    <n v="0"/>
    <x v="0"/>
    <x v="0"/>
    <s v="BRSSZTK01S"/>
    <s v="BRSSZTCO"/>
    <n v="196.61712800000001"/>
    <n v="49.6265"/>
    <n v="150"/>
    <n v="3543.48770340992"/>
    <n v="637.82778661378552"/>
    <n v="640"/>
    <n v="7"/>
    <n v="0"/>
    <n v="0"/>
    <n v="640"/>
    <m/>
    <m/>
    <n v="0"/>
    <x v="0"/>
    <s v="BRMAOTK01"/>
    <s v="BRMAOCHI"/>
    <n v="11.436796000000001"/>
    <n v="49.6265"/>
    <n v="150"/>
    <n v="799.73738908543999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024"/>
    <n v="99253"/>
    <x v="0"/>
    <x v="8"/>
    <x v="9"/>
    <x v="19"/>
    <x v="10"/>
    <x v="9"/>
    <n v="12"/>
    <n v="12"/>
    <n v="13"/>
    <n v="12"/>
    <n v="12"/>
    <n v="10"/>
    <n v="11"/>
    <n v="136"/>
    <n v="7"/>
    <n v="110"/>
    <n v="7"/>
    <n v="110"/>
    <n v="2697.5699454893156"/>
    <n v="297.75900000000001"/>
    <n v="19036.256597020125"/>
    <n v="1332.5379617914089"/>
    <n v="75"/>
    <n v="150"/>
    <n v="1E-3"/>
    <n v="99.253"/>
    <n v="10844.938225527143"/>
    <n v="11169.191225527144"/>
    <n v="3180.9641611183101"/>
    <n v="5446.4896753233934"/>
    <n v="0.08"/>
    <n v="495.05106771343986"/>
    <n v="7.0000000000000007E-2"/>
    <n v="781.84338578690017"/>
    <n v="15"/>
    <n v="13"/>
  </r>
  <r>
    <n v="615"/>
    <d v="2022-12-31T00:00:00"/>
    <x v="1"/>
    <s v="CLI347"/>
    <s v="CLI347"/>
    <s v="PINDAMONHANGABA"/>
    <s v="SP"/>
    <s v="CLI146"/>
    <s v="MANAUS"/>
    <s v="AM"/>
    <n v="2697.5699454893156"/>
    <n v="2976.8681710000001"/>
    <n v="0"/>
    <n v="7000"/>
    <n v="0"/>
    <x v="0"/>
    <x v="0"/>
    <s v="BRSSZTK01S"/>
    <s v="BRSSZTCO"/>
    <n v="196.61712800000001"/>
    <n v="83.139499999999998"/>
    <n v="150"/>
    <n v="3577.0007034099199"/>
    <n v="643.86012661378561"/>
    <n v="640"/>
    <n v="7"/>
    <n v="0"/>
    <n v="0"/>
    <n v="640"/>
    <m/>
    <m/>
    <n v="0"/>
    <x v="0"/>
    <s v="BRMAOTK01"/>
    <s v="BRMAOCHI"/>
    <n v="11.436796000000001"/>
    <n v="83.139499999999998"/>
    <n v="150"/>
    <n v="833.25038908544002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668"/>
    <n v="166279"/>
    <x v="0"/>
    <x v="21"/>
    <x v="9"/>
    <x v="8"/>
    <x v="10"/>
    <x v="20"/>
    <n v="11"/>
    <n v="11"/>
    <n v="12"/>
    <n v="11"/>
    <n v="11"/>
    <n v="9"/>
    <n v="10"/>
    <n v="126"/>
    <n v="7"/>
    <n v="110"/>
    <n v="7"/>
    <n v="110"/>
    <n v="2697.5699454893156"/>
    <n v="498.83699999999999"/>
    <n v="19237.334597020123"/>
    <n v="1346.6134217914087"/>
    <n v="75"/>
    <n v="150"/>
    <n v="1E-3"/>
    <n v="166.279"/>
    <n v="10962.233725527141"/>
    <n v="11353.512725527142"/>
    <n v="3180.9641611183101"/>
    <n v="5597.2981753233908"/>
    <n v="0.08"/>
    <n v="503.95212051343975"/>
    <n v="7.0000000000000007E-2"/>
    <n v="794.74589078689996"/>
    <n v="15"/>
    <n v="12"/>
  </r>
  <r>
    <n v="616"/>
    <d v="2022-12-31T00:00:00"/>
    <x v="2"/>
    <s v="CLI347"/>
    <s v="CLI347"/>
    <s v="PINDAMONHANGABA"/>
    <s v="SP"/>
    <s v="CLI397"/>
    <s v="CABO DE SANTO AGOSTINHO"/>
    <s v="PE"/>
    <n v="2424.5461009999999"/>
    <n v="0"/>
    <n v="0"/>
    <n v="0"/>
    <n v="0"/>
    <x v="0"/>
    <x v="0"/>
    <s v="BRSSZTK01"/>
    <s v="BRSSZTCO"/>
    <n v="196.61712800000001"/>
    <n v="84.210000000000008"/>
    <n v="150"/>
    <n v="3578.0712034099201"/>
    <n v="644.05281661378558"/>
    <n v="640"/>
    <n v="7"/>
    <n v="0"/>
    <n v="0"/>
    <n v="640"/>
    <m/>
    <m/>
    <n v="0"/>
    <x v="2"/>
    <s v="BRSUATK01"/>
    <s v="BRSUATCO"/>
    <n v="23.080721"/>
    <n v="84.210000000000008"/>
    <n v="150"/>
    <n v="1006.8447339974401"/>
    <n v="181.2320521195392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414"/>
    <n v="168420"/>
    <x v="0"/>
    <x v="4"/>
    <x v="3"/>
    <x v="3"/>
    <x v="4"/>
    <x v="16"/>
    <n v="9"/>
    <n v="9"/>
    <n v="9"/>
    <n v="9"/>
    <n v="9"/>
    <n v="7"/>
    <n v="8"/>
    <n v="99"/>
    <n v="7"/>
    <n v="110"/>
    <n v="7"/>
    <n v="110"/>
    <n v="2424.5461009999999"/>
    <n v="505.26"/>
    <n v="17389.663590046959"/>
    <n v="1217.2764513032873"/>
    <n v="75"/>
    <n v="150"/>
    <n v="1E-3"/>
    <n v="168.42000000000002"/>
    <n v="12172.764513032871"/>
    <n v="12566.184513032871"/>
    <n v="3180.9641611183101"/>
    <n v="2546.3044145072013"/>
    <n v="0.08"/>
    <n v="572.47869655137492"/>
    <n v="7.0000000000000007E-2"/>
    <n v="879.63291591230109"/>
    <n v="15"/>
    <n v="9"/>
  </r>
  <r>
    <n v="617"/>
    <d v="2022-12-31T00:00:00"/>
    <x v="1"/>
    <s v="CLI347"/>
    <s v="CLI347"/>
    <s v="PINDAMONHANGABA"/>
    <s v="SP"/>
    <s v="CLI38"/>
    <s v="ESTANCIA"/>
    <s v="SE"/>
    <n v="1915.6369790000001"/>
    <n v="0"/>
    <n v="0"/>
    <n v="0"/>
    <n v="0"/>
    <x v="0"/>
    <x v="0"/>
    <s v="BRSSZTK01S"/>
    <s v="BRSSZTCO"/>
    <n v="196.61712800000001"/>
    <n v="53.509500000000003"/>
    <n v="150"/>
    <n v="3547.3707034099202"/>
    <n v="638.52672661378563"/>
    <n v="640"/>
    <n v="7"/>
    <n v="0"/>
    <n v="0"/>
    <n v="640"/>
    <m/>
    <m/>
    <n v="0"/>
    <x v="5"/>
    <s v="BRSSATK01"/>
    <s v="BRSSATCO"/>
    <n v="256.479536"/>
    <n v="53.509500000000003"/>
    <n v="150"/>
    <n v="4434.3304522790404"/>
    <n v="532.1196542734848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110"/>
    <n v="107019"/>
    <x v="0"/>
    <x v="1"/>
    <x v="6"/>
    <x v="5"/>
    <x v="8"/>
    <x v="1"/>
    <n v="5"/>
    <n v="5"/>
    <n v="5"/>
    <n v="5"/>
    <n v="5"/>
    <n v="4"/>
    <n v="4"/>
    <n v="56"/>
    <n v="7"/>
    <n v="110"/>
    <n v="7"/>
    <n v="110"/>
    <n v="1915.6369790000001"/>
    <n v="321.05700000000002"/>
    <n v="13749.479098909844"/>
    <n v="962.46353692368916"/>
    <n v="75"/>
    <n v="150"/>
    <n v="1E-3"/>
    <n v="107.01900000000001"/>
    <n v="7141.475876849946"/>
    <n v="7473.4948768499462"/>
    <n v="3180.9641611183101"/>
    <n v="-1755.7997365474043"/>
    <n v="0.08"/>
    <n v="-134.30821277810279"/>
    <n v="7.0000000000000007E-2"/>
    <n v="523.14464137949631"/>
    <n v="15"/>
    <n v="5"/>
  </r>
  <r>
    <n v="618"/>
    <d v="2022-12-31T00:00:00"/>
    <x v="2"/>
    <s v="CLI347"/>
    <s v="CLI347"/>
    <s v="PINDAMONHANGABA"/>
    <s v="SP"/>
    <s v="CLI398"/>
    <s v="MANAUS"/>
    <s v="AM"/>
    <n v="2697.5699454893156"/>
    <n v="2976.8681710000001"/>
    <n v="0"/>
    <n v="7000"/>
    <n v="0"/>
    <x v="0"/>
    <x v="0"/>
    <s v="BRSSZTK01"/>
    <s v="BRSSZTCO"/>
    <n v="196.61712800000001"/>
    <n v="43.204500000000003"/>
    <n v="150"/>
    <n v="3537.0657034099199"/>
    <n v="636.67182661378558"/>
    <n v="640"/>
    <n v="7"/>
    <n v="0"/>
    <n v="0"/>
    <n v="640"/>
    <m/>
    <m/>
    <n v="0"/>
    <x v="0"/>
    <s v="BRMAOTK01"/>
    <s v="BRMAOCHI"/>
    <n v="11.436796000000001"/>
    <n v="43.204500000000003"/>
    <n v="150"/>
    <n v="793.3153890854400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97"/>
    <n v="86409"/>
    <x v="0"/>
    <x v="5"/>
    <x v="6"/>
    <x v="5"/>
    <x v="5"/>
    <x v="6"/>
    <n v="4"/>
    <n v="4"/>
    <n v="5"/>
    <n v="4"/>
    <n v="4"/>
    <n v="4"/>
    <n v="4"/>
    <n v="49"/>
    <n v="7"/>
    <n v="110"/>
    <n v="7"/>
    <n v="110"/>
    <n v="2697.5699454893156"/>
    <n v="259.22700000000003"/>
    <n v="18997.724597020122"/>
    <n v="1329.8407217914087"/>
    <n v="75"/>
    <n v="150"/>
    <n v="1E-3"/>
    <n v="86.409000000000006"/>
    <n v="13298.407217914084"/>
    <n v="13609.816217914084"/>
    <n v="3180.9641611183101"/>
    <n v="4356.4709643004135"/>
    <n v="0.08"/>
    <n v="691.42106390439494"/>
    <n v="7.0000000000000007E-2"/>
    <n v="952.68713525398596"/>
    <n v="15"/>
    <n v="5"/>
  </r>
  <r>
    <n v="619"/>
    <d v="2022-12-31T00:00:00"/>
    <x v="1"/>
    <s v="CLI347"/>
    <s v="CLI347"/>
    <s v="PINDAMONHANGABA"/>
    <s v="SP"/>
    <s v="CLI397"/>
    <s v="CABO DE SANTO AGOSTINHO"/>
    <s v="PE"/>
    <n v="2424.5461009999999"/>
    <n v="0"/>
    <n v="0"/>
    <n v="0"/>
    <n v="0"/>
    <x v="0"/>
    <x v="0"/>
    <s v="BRSSZTK01S"/>
    <s v="BRSSZTCO"/>
    <n v="196.61712800000001"/>
    <n v="98.114500000000007"/>
    <n v="150"/>
    <n v="3591.9757034099202"/>
    <n v="646.55562661378565"/>
    <n v="640"/>
    <n v="7"/>
    <n v="0"/>
    <n v="0"/>
    <n v="640"/>
    <m/>
    <m/>
    <n v="0"/>
    <x v="2"/>
    <s v="BRSUATK01"/>
    <s v="BRSUATCO"/>
    <n v="23.080721"/>
    <n v="98.114500000000007"/>
    <n v="150"/>
    <n v="1020.7492339974401"/>
    <n v="183.734862119539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631"/>
    <n v="196229"/>
    <x v="0"/>
    <x v="5"/>
    <x v="5"/>
    <x v="4"/>
    <x v="5"/>
    <x v="6"/>
    <n v="4"/>
    <n v="4"/>
    <n v="4"/>
    <n v="4"/>
    <n v="4"/>
    <n v="3"/>
    <n v="3"/>
    <n v="44"/>
    <n v="7"/>
    <n v="110"/>
    <n v="7"/>
    <n v="110"/>
    <n v="2424.5461009999999"/>
    <n v="588.68700000000001"/>
    <n v="17473.090590046962"/>
    <n v="1223.1163413032875"/>
    <n v="75"/>
    <n v="150"/>
    <n v="1E-3"/>
    <n v="196.22900000000001"/>
    <n v="9716.7804206459296"/>
    <n v="10138.009420645929"/>
    <n v="3180.9641611183101"/>
    <n v="3682.2960255301791"/>
    <n v="0.08"/>
    <n v="375.59951956041954"/>
    <n v="7.0000000000000007E-2"/>
    <n v="709.66065944521506"/>
    <n v="15"/>
    <n v="4"/>
  </r>
  <r>
    <n v="620"/>
    <d v="2022-12-31T00:00:00"/>
    <x v="2"/>
    <s v="CLI347"/>
    <s v="CLI347"/>
    <s v="PINDAMONHANGABA"/>
    <s v="SP"/>
    <s v="CLI397"/>
    <s v="CABO DE SANTO AGOSTINHO"/>
    <s v="PE"/>
    <n v="2424.5461009999999"/>
    <n v="0"/>
    <n v="0"/>
    <n v="0"/>
    <n v="0"/>
    <x v="0"/>
    <x v="0"/>
    <s v="BRSSZTK01"/>
    <s v="BRSSZTCO"/>
    <n v="196.61712800000001"/>
    <n v="87.245999999999995"/>
    <n v="150"/>
    <n v="3581.1072034099202"/>
    <n v="644.59929661378567"/>
    <n v="640"/>
    <n v="7"/>
    <n v="0"/>
    <n v="0"/>
    <n v="640"/>
    <m/>
    <m/>
    <n v="0"/>
    <x v="2"/>
    <s v="BRSUATK01"/>
    <s v="BRSUATCO"/>
    <n v="23.080721"/>
    <n v="87.245999999999995"/>
    <n v="150"/>
    <n v="1009.8807339974401"/>
    <n v="181.7785321195391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33"/>
    <n v="174492"/>
    <x v="0"/>
    <x v="0"/>
    <x v="5"/>
    <x v="4"/>
    <x v="0"/>
    <x v="0"/>
    <n v="3"/>
    <n v="3"/>
    <n v="4"/>
    <n v="3"/>
    <n v="3"/>
    <n v="3"/>
    <n v="3"/>
    <n v="37"/>
    <n v="7"/>
    <n v="110"/>
    <n v="7"/>
    <n v="110"/>
    <n v="2424.5461009999999"/>
    <n v="523.476"/>
    <n v="17407.879590046959"/>
    <n v="1218.5515713032873"/>
    <n v="75"/>
    <n v="150"/>
    <n v="1E-3"/>
    <n v="174.49199999999999"/>
    <n v="12185.515713032872"/>
    <n v="12585.007713032872"/>
    <n v="3180.9641611183101"/>
    <n v="2559.0556145072019"/>
    <n v="0.08"/>
    <n v="573.41135575137503"/>
    <n v="7.0000000000000007E-2"/>
    <n v="880.95053991230111"/>
    <n v="15"/>
    <n v="4"/>
  </r>
  <r>
    <n v="621"/>
    <d v="2022-12-31T00:00:00"/>
    <x v="2"/>
    <s v="CLI347"/>
    <s v="CLI347"/>
    <s v="PINDAMONHANGABA"/>
    <s v="SP"/>
    <s v="CLI146"/>
    <s v="MANAUS"/>
    <s v="AM"/>
    <n v="2697.5699454893156"/>
    <n v="2976.8681710000001"/>
    <n v="0"/>
    <n v="7000"/>
    <n v="0"/>
    <x v="0"/>
    <x v="0"/>
    <s v="BRSSZTK01"/>
    <s v="BRSSZTCO"/>
    <n v="196.61712800000001"/>
    <n v="26.815000000000001"/>
    <n v="150"/>
    <n v="3520.6762034099202"/>
    <n v="633.72171661378559"/>
    <n v="640"/>
    <n v="7"/>
    <n v="0"/>
    <n v="0"/>
    <n v="640"/>
    <m/>
    <m/>
    <n v="0"/>
    <x v="0"/>
    <s v="BRMAOTK01"/>
    <s v="BRMAOCHI"/>
    <n v="11.436796000000001"/>
    <n v="26.815000000000001"/>
    <n v="150"/>
    <n v="776.9258890854400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317"/>
    <n v="53630"/>
    <x v="0"/>
    <x v="0"/>
    <x v="5"/>
    <x v="4"/>
    <x v="0"/>
    <x v="0"/>
    <n v="3"/>
    <n v="3"/>
    <n v="3"/>
    <n v="3"/>
    <n v="3"/>
    <n v="3"/>
    <n v="3"/>
    <n v="36"/>
    <n v="7"/>
    <n v="110"/>
    <n v="7"/>
    <n v="110"/>
    <n v="2697.5699454893156"/>
    <n v="160.89000000000001"/>
    <n v="18899.387597020122"/>
    <n v="1322.9571317914088"/>
    <n v="75"/>
    <n v="150"/>
    <n v="1E-3"/>
    <n v="53.63"/>
    <n v="13229.571317914086"/>
    <n v="13508.201317914085"/>
    <n v="3180.9641611183101"/>
    <n v="4287.6350643004153"/>
    <n v="0.08"/>
    <n v="686.15020070439527"/>
    <n v="7.0000000000000007E-2"/>
    <n v="945.57409225398601"/>
    <n v="15"/>
    <n v="3"/>
  </r>
  <r>
    <n v="622"/>
    <d v="2022-12-31T00:00:00"/>
    <x v="1"/>
    <s v="CLI347"/>
    <s v="CLI347"/>
    <s v="PINDAMONHANGABA"/>
    <s v="SP"/>
    <s v="CLI397"/>
    <s v="CABO DE SANTO AGOSTINHO"/>
    <s v="PE"/>
    <n v="2424.5461009999999"/>
    <n v="0"/>
    <n v="0"/>
    <n v="0"/>
    <n v="0"/>
    <x v="0"/>
    <x v="0"/>
    <s v="BRSSZTK01S"/>
    <s v="BRSSZTCO"/>
    <n v="196.61712800000001"/>
    <n v="119.54350000000001"/>
    <n v="150"/>
    <n v="3613.4047034099203"/>
    <n v="650.41284661378563"/>
    <n v="640"/>
    <n v="7"/>
    <n v="0"/>
    <n v="0"/>
    <n v="640"/>
    <m/>
    <m/>
    <n v="0"/>
    <x v="2"/>
    <s v="BRSUATK01"/>
    <s v="BRSUATCO"/>
    <n v="23.080721"/>
    <n v="119.54350000000001"/>
    <n v="150"/>
    <n v="1042.1782339974402"/>
    <n v="187.59208211953924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161"/>
    <n v="239087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424.5461009999999"/>
    <n v="717.26099999999997"/>
    <n v="17601.664590046959"/>
    <n v="1232.1165213032873"/>
    <n v="75"/>
    <n v="150"/>
    <n v="1E-3"/>
    <n v="239.08700000000002"/>
    <n v="9791.7819206459262"/>
    <n v="10255.868920645926"/>
    <n v="3180.9641611183101"/>
    <n v="3778.7265255301759"/>
    <n v="0.08"/>
    <n v="380.98248436041916"/>
    <n v="7.0000000000000007E-2"/>
    <n v="717.91082444521487"/>
    <n v="15"/>
    <n v="2"/>
  </r>
  <r>
    <n v="623"/>
    <d v="2022-12-31T00:00:00"/>
    <x v="1"/>
    <s v="CLI347"/>
    <s v="CLI347"/>
    <s v="PINDAMONHANGABA"/>
    <s v="SP"/>
    <s v="CLI945"/>
    <s v="ALAGOINHAS"/>
    <s v="BA"/>
    <n v="1752.883873"/>
    <n v="0"/>
    <n v="0"/>
    <n v="0"/>
    <n v="0"/>
    <x v="0"/>
    <x v="0"/>
    <s v="BRSSZTK01S"/>
    <s v="BRSSZTCO"/>
    <n v="196.61712800000001"/>
    <n v="43.2575"/>
    <n v="150"/>
    <n v="3537.1187034099203"/>
    <n v="636.6813666137856"/>
    <n v="640"/>
    <n v="7"/>
    <n v="0"/>
    <n v="0"/>
    <n v="640"/>
    <m/>
    <m/>
    <n v="0"/>
    <x v="5"/>
    <s v="BRSSATK01"/>
    <s v="BRSSATCO"/>
    <n v="111.905494"/>
    <n v="43.2575"/>
    <n v="150"/>
    <n v="2281.9769186201602"/>
    <n v="410.75584535162881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831"/>
    <n v="86515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1752.883873"/>
    <n v="259.54500000000002"/>
    <n v="12582.717266188081"/>
    <n v="880.79020863316578"/>
    <n v="75"/>
    <n v="150"/>
    <n v="1E-3"/>
    <n v="86.515000000000001"/>
    <n v="6331.9189939447124"/>
    <n v="6643.4339939447127"/>
    <n v="3180.9641611183101"/>
    <n v="-433.5070857937576"/>
    <n v="0.08"/>
    <n v="-17.847907204062562"/>
    <n v="7.0000000000000007E-2"/>
    <n v="465.04037957612991"/>
    <n v="15"/>
    <n v="1"/>
  </r>
  <r>
    <n v="624"/>
    <d v="2022-12-31T00:00:00"/>
    <x v="1"/>
    <s v="CLI347"/>
    <s v="CLI347"/>
    <s v="PINDAMONHANGABA"/>
    <s v="SP"/>
    <s v="CLI789"/>
    <s v="MANAUS"/>
    <s v="AM"/>
    <n v="2697.5699454893156"/>
    <n v="2976.8681710000001"/>
    <n v="0"/>
    <n v="7000"/>
    <n v="0"/>
    <x v="0"/>
    <x v="0"/>
    <s v="BRSSZTK01S"/>
    <s v="BRSSZTCO"/>
    <n v="196.61712800000001"/>
    <n v="124.29300000000001"/>
    <n v="150"/>
    <n v="3618.1542034099202"/>
    <n v="651.26775661378565"/>
    <n v="640"/>
    <n v="7"/>
    <n v="0"/>
    <n v="0"/>
    <n v="640"/>
    <m/>
    <m/>
    <n v="0"/>
    <x v="0"/>
    <s v="BRMAOTK01"/>
    <s v="BRMAOCHI"/>
    <n v="11.436796000000001"/>
    <n v="124.29300000000001"/>
    <n v="150"/>
    <n v="874.40388908544003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623"/>
    <n v="24858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97.5699454893156"/>
    <n v="745.75800000000004"/>
    <n v="19484.255597020125"/>
    <n v="1363.8978917914089"/>
    <n v="110"/>
    <n v="150"/>
    <n v="1E-3"/>
    <n v="248.58600000000001"/>
    <n v="11106.270975527143"/>
    <n v="11614.856975527142"/>
    <n v="3180.9641611183101"/>
    <n v="5817.4889253233905"/>
    <n v="0.08"/>
    <n v="517.68249011343971"/>
    <n v="7.0000000000000007E-2"/>
    <n v="813.03998828689998"/>
    <n v="15"/>
    <n v="1"/>
  </r>
  <r>
    <n v="625"/>
    <d v="2022-12-31T00:00:00"/>
    <x v="1"/>
    <s v="CLI347"/>
    <s v="CLI347"/>
    <s v="PINDAMONHANGABA"/>
    <s v="SP"/>
    <s v="CLI789"/>
    <s v="MANAUS"/>
    <s v="AM"/>
    <n v="2697.5699454893156"/>
    <n v="2976.8681710000001"/>
    <n v="0"/>
    <n v="7000"/>
    <n v="0"/>
    <x v="0"/>
    <x v="0"/>
    <s v="BRSSZTK01S"/>
    <s v="BRSSZTCO"/>
    <n v="196.61712800000001"/>
    <n v="45.695999999999998"/>
    <n v="150"/>
    <n v="3539.55720340992"/>
    <n v="637.12029661378563"/>
    <n v="640"/>
    <n v="7"/>
    <n v="0"/>
    <n v="0"/>
    <n v="640"/>
    <m/>
    <m/>
    <n v="0"/>
    <x v="0"/>
    <s v="BRMAOTK01"/>
    <s v="BRMAOCHI"/>
    <n v="11.436796000000001"/>
    <n v="45.695999999999998"/>
    <n v="150"/>
    <n v="795.80688908544005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877"/>
    <n v="9139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97.5699454893156"/>
    <n v="274.17599999999999"/>
    <n v="19012.673597020123"/>
    <n v="1330.8871517914088"/>
    <n v="110"/>
    <n v="150"/>
    <n v="1E-3"/>
    <n v="91.391999999999996"/>
    <n v="10831.181475527141"/>
    <n v="11182.573475527141"/>
    <n v="3180.9641611183101"/>
    <n v="5463.8024253233907"/>
    <n v="0.08"/>
    <n v="496.80712691343956"/>
    <n v="7.0000000000000007E-2"/>
    <n v="782.78014328689994"/>
    <n v="15"/>
    <n v="1"/>
  </r>
  <r>
    <n v="626"/>
    <d v="2022-12-31T00:00:00"/>
    <x v="2"/>
    <s v="CLI348"/>
    <s v="CLI348"/>
    <s v="SAO JOSE DOS CAMPOS"/>
    <s v="SP"/>
    <s v="CLI397"/>
    <s v="CABO DE SANTO AGOSTINHO"/>
    <s v="PE"/>
    <n v="2474.4443780000001"/>
    <n v="0"/>
    <n v="0"/>
    <n v="0"/>
    <n v="0"/>
    <x v="0"/>
    <x v="0"/>
    <s v="BRSSZTK01"/>
    <s v="BRSSZTCO"/>
    <n v="143.53611799999999"/>
    <n v="81.055000000000007"/>
    <n v="150"/>
    <n v="2788.4339874035195"/>
    <n v="501.9181177326335"/>
    <n v="640"/>
    <n v="7"/>
    <n v="0"/>
    <n v="0"/>
    <n v="640"/>
    <m/>
    <m/>
    <n v="0"/>
    <x v="2"/>
    <s v="BRSUATK01"/>
    <s v="BRSUATCO"/>
    <n v="23.080721"/>
    <n v="81.055000000000007"/>
    <n v="150"/>
    <n v="1003.68973399744"/>
    <n v="180.6641521195392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031"/>
    <n v="162110"/>
    <x v="0"/>
    <x v="0"/>
    <x v="5"/>
    <x v="4"/>
    <x v="0"/>
    <x v="0"/>
    <n v="3"/>
    <n v="3"/>
    <n v="3"/>
    <n v="3"/>
    <n v="3"/>
    <n v="3"/>
    <n v="3"/>
    <n v="36"/>
    <n v="7"/>
    <n v="110"/>
    <n v="7"/>
    <n v="110"/>
    <n v="2474.4443780000001"/>
    <n v="486.33"/>
    <n v="17709.590793222884"/>
    <n v="1239.6713555256019"/>
    <n v="75"/>
    <n v="150"/>
    <n v="1E-3"/>
    <n v="162.11000000000001"/>
    <n v="12396.713555256018"/>
    <n v="12783.823555256018"/>
    <n v="3180.9641611183101"/>
    <n v="3556.7356727367483"/>
    <n v="0.08"/>
    <n v="664.72940512023081"/>
    <n v="7.0000000000000007E-2"/>
    <n v="894.86764886792139"/>
    <n v="15"/>
    <n v="3"/>
  </r>
  <r>
    <n v="627"/>
    <d v="2022-12-31T00:00:00"/>
    <x v="2"/>
    <s v="CLI348"/>
    <s v="CLI348"/>
    <s v="SAO JOSE DOS CAMPOS"/>
    <s v="SP"/>
    <s v="CLI398"/>
    <s v="MANAUS"/>
    <s v="AM"/>
    <n v="2693.6717427505801"/>
    <n v="2941.9602110000001"/>
    <n v="0"/>
    <n v="7000"/>
    <n v="0"/>
    <x v="0"/>
    <x v="0"/>
    <s v="BRSSZTK01"/>
    <s v="BRSSZTCO"/>
    <n v="143.53611799999999"/>
    <n v="31.879000000000001"/>
    <n v="150"/>
    <n v="2739.2579874035196"/>
    <n v="493.06643773263352"/>
    <n v="640"/>
    <n v="7"/>
    <n v="0"/>
    <n v="0"/>
    <n v="640"/>
    <m/>
    <m/>
    <n v="0"/>
    <x v="0"/>
    <s v="BRMAOTK01"/>
    <s v="BRMAOCHI"/>
    <n v="11.436796000000001"/>
    <n v="31.879000000000001"/>
    <n v="150"/>
    <n v="781.9898890854400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960"/>
    <n v="63758"/>
    <x v="0"/>
    <x v="2"/>
    <x v="0"/>
    <x v="0"/>
    <x v="2"/>
    <x v="2"/>
    <n v="3"/>
    <n v="3"/>
    <n v="3"/>
    <n v="3"/>
    <n v="2"/>
    <n v="2"/>
    <n v="2"/>
    <n v="28"/>
    <n v="7"/>
    <n v="110"/>
    <n v="7"/>
    <n v="110"/>
    <n v="2693.6717427505801"/>
    <n v="191.274"/>
    <n v="18903.299058149481"/>
    <n v="1323.2309340704637"/>
    <n v="75"/>
    <n v="150"/>
    <n v="1E-3"/>
    <n v="63.758000000000003"/>
    <n v="13232.309340704636"/>
    <n v="13521.067340704636"/>
    <n v="3180.9641611183101"/>
    <n v="5076.8553030973653"/>
    <n v="0.08"/>
    <n v="760.54024211864339"/>
    <n v="7.0000000000000007E-2"/>
    <n v="946.47471384932464"/>
    <n v="15"/>
    <n v="3"/>
  </r>
  <r>
    <n v="628"/>
    <d v="2022-12-31T00:00:00"/>
    <x v="2"/>
    <s v="CLI348"/>
    <s v="CLI348"/>
    <s v="SAO JOSE DOS CAMPOS"/>
    <s v="SP"/>
    <s v="CLI146"/>
    <s v="MANAUS"/>
    <s v="AM"/>
    <n v="2693.6717427505801"/>
    <n v="2941.9602110000001"/>
    <n v="0"/>
    <n v="7000"/>
    <n v="0"/>
    <x v="0"/>
    <x v="0"/>
    <s v="BRSSZTK01"/>
    <s v="BRSSZTCO"/>
    <n v="143.53611799999999"/>
    <n v="37.348500000000001"/>
    <n v="150"/>
    <n v="2744.7274874035197"/>
    <n v="494.05094773263352"/>
    <n v="640"/>
    <n v="7"/>
    <n v="0"/>
    <n v="0"/>
    <n v="640"/>
    <m/>
    <m/>
    <n v="0"/>
    <x v="0"/>
    <s v="BRMAOTK01"/>
    <s v="BRMAOCHI"/>
    <n v="11.436796000000001"/>
    <n v="37.348500000000001"/>
    <n v="150"/>
    <n v="787.4593890854400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499"/>
    <n v="74697"/>
    <x v="0"/>
    <x v="3"/>
    <x v="2"/>
    <x v="2"/>
    <x v="3"/>
    <x v="3"/>
    <n v="1"/>
    <n v="1"/>
    <n v="2"/>
    <n v="1"/>
    <n v="1"/>
    <n v="1"/>
    <n v="1"/>
    <n v="13"/>
    <n v="7"/>
    <n v="110"/>
    <n v="7"/>
    <n v="110"/>
    <n v="2693.6717427505801"/>
    <n v="224.09100000000001"/>
    <n v="18936.116058149481"/>
    <n v="1325.5281240704637"/>
    <n v="75"/>
    <n v="150"/>
    <n v="1E-3"/>
    <n v="74.697000000000003"/>
    <n v="13255.281240704635"/>
    <n v="13554.978240704635"/>
    <n v="3180.9641611183101"/>
    <n v="5099.8272030973658"/>
    <n v="0.08"/>
    <n v="762.29923331864336"/>
    <n v="7.0000000000000007E-2"/>
    <n v="948.84847684932458"/>
    <n v="15"/>
    <n v="2"/>
  </r>
  <r>
    <n v="629"/>
    <d v="2022-12-31T00:00:00"/>
    <x v="0"/>
    <s v="CLI352"/>
    <s v="CLI352"/>
    <s v="MANAUS"/>
    <s v="AM"/>
    <s v="CLI851"/>
    <s v="ITAGUAI"/>
    <s v="RJ"/>
    <n v="4129.6512739999998"/>
    <n v="0"/>
    <n v="3075.8502579999999"/>
    <n v="7000"/>
    <n v="0"/>
    <x v="0"/>
    <x v="2"/>
    <s v="BRMAOTK01S"/>
    <s v="BRMAOCHI"/>
    <n v="11.436796000000001"/>
    <n v="82.225000000000009"/>
    <n v="150"/>
    <n v="832.33588908544004"/>
    <n v="0"/>
    <n v="832"/>
    <n v="7"/>
    <n v="0"/>
    <n v="0"/>
    <n v="832"/>
    <m/>
    <m/>
    <n v="0"/>
    <x v="4"/>
    <s v="BRIGITK01S"/>
    <s v="BRIGITCO"/>
    <n v="14.539448"/>
    <n v="82.225000000000009"/>
    <n v="150"/>
    <n v="878.30676681472005"/>
    <n v="0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062"/>
    <n v="164450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4129.6512739999998"/>
    <n v="493.35"/>
    <n v="28957.054615683039"/>
    <n v="3474.8465538819646"/>
    <n v="75"/>
    <n v="150"/>
    <n v="1E-3"/>
    <n v="164.45000000000002"/>
    <n v="19072.488371848016"/>
    <n v="19461.938371848017"/>
    <n v="3180.9641611183101"/>
    <n v="14449.974210729706"/>
    <n v="0.08"/>
    <n v="1420.1036572758287"/>
    <n v="0.12"/>
    <n v="2335.432604621762"/>
    <n v="15"/>
    <n v="1"/>
  </r>
  <r>
    <n v="630"/>
    <d v="2022-12-31T00:00:00"/>
    <x v="2"/>
    <s v="CLI354"/>
    <s v="CLI354"/>
    <s v="PAULINIA"/>
    <s v="SP"/>
    <s v="CLI1081"/>
    <s v="MANAUS"/>
    <s v="AM"/>
    <n v="2581.066007709137"/>
    <n v="2775.6534539999998"/>
    <n v="0"/>
    <n v="7000"/>
    <n v="0"/>
    <x v="0"/>
    <x v="0"/>
    <s v="BRSSZTK01"/>
    <s v="BRSSZTCO"/>
    <n v="195.69980799999999"/>
    <n v="113.67700000000001"/>
    <n v="150"/>
    <n v="3593.94660320512"/>
    <n v="646.9103885769216"/>
    <n v="640"/>
    <n v="7"/>
    <n v="0"/>
    <n v="0"/>
    <n v="640"/>
    <m/>
    <m/>
    <n v="0"/>
    <x v="0"/>
    <s v="BRMAOTK01"/>
    <s v="BRMAOCHI"/>
    <n v="11.436796000000001"/>
    <n v="113.67700000000001"/>
    <n v="150"/>
    <n v="863.7878890854400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261"/>
    <n v="227354"/>
    <x v="1"/>
    <x v="5"/>
    <x v="6"/>
    <x v="5"/>
    <x v="5"/>
    <x v="6"/>
    <n v="4"/>
    <n v="4"/>
    <n v="4"/>
    <n v="4"/>
    <n v="5"/>
    <n v="4"/>
    <n v="4"/>
    <n v="49"/>
    <n v="7"/>
    <n v="180"/>
    <n v="7"/>
    <n v="180"/>
    <n v="2581.066007709137"/>
    <n v="682.06200000000001"/>
    <n v="18629.386015712447"/>
    <n v="1304.0570210998715"/>
    <n v="110"/>
    <n v="150"/>
    <n v="1E-3"/>
    <n v="227.35400000000001"/>
    <n v="13040.570210998712"/>
    <n v="13527.924210998712"/>
    <n v="3180.9641611183101"/>
    <n v="4147.2255575898398"/>
    <n v="0.08"/>
    <n v="673.86234641049828"/>
    <n v="7.0000000000000007E-2"/>
    <n v="946.95469476990991"/>
    <n v="15"/>
    <n v="5"/>
  </r>
  <r>
    <n v="631"/>
    <d v="2022-12-31T00:00:00"/>
    <x v="2"/>
    <s v="CLI355"/>
    <s v="CLI355"/>
    <s v="MANAUS"/>
    <s v="AM"/>
    <s v="CLI1110"/>
    <s v="FRANCO DA ROCHA"/>
    <s v="SP"/>
    <n v="3906.8814619999998"/>
    <n v="0"/>
    <n v="2855.4266690000004"/>
    <n v="7000"/>
    <n v="0"/>
    <x v="0"/>
    <x v="2"/>
    <s v="BRMAOTK01"/>
    <s v="BRMAOCHI"/>
    <n v="11.436796000000001"/>
    <n v="68.6815"/>
    <n v="150"/>
    <n v="818.79238908544005"/>
    <n v="0"/>
    <n v="832"/>
    <n v="7"/>
    <n v="0"/>
    <n v="0"/>
    <n v="832"/>
    <m/>
    <m/>
    <n v="0"/>
    <x v="1"/>
    <s v="BRSSZTK01"/>
    <s v="BRSSZTCO"/>
    <n v="120.57244299999999"/>
    <n v="68.6815"/>
    <n v="150"/>
    <n v="2435.8159818515196"/>
    <n v="438.4468767332735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431"/>
    <n v="137363"/>
    <x v="1"/>
    <x v="0"/>
    <x v="0"/>
    <x v="4"/>
    <x v="2"/>
    <x v="2"/>
    <n v="3"/>
    <n v="3"/>
    <n v="3"/>
    <n v="3"/>
    <n v="3"/>
    <n v="3"/>
    <n v="3"/>
    <n v="33"/>
    <n v="7"/>
    <n v="180"/>
    <n v="7"/>
    <n v="180"/>
    <n v="3906.8814619999998"/>
    <n v="412.089"/>
    <n v="27362.97273318352"/>
    <n v="3283.5567279820225"/>
    <n v="110"/>
    <n v="150"/>
    <n v="1E-3"/>
    <n v="137.363"/>
    <n v="19154.080913228463"/>
    <n v="19551.443913228464"/>
    <n v="3180.9641611183101"/>
    <n v="11348.871381173194"/>
    <n v="0.08"/>
    <n v="1268.6710932446586"/>
    <n v="0.12"/>
    <n v="2346.1732695874157"/>
    <n v="15"/>
    <n v="3"/>
  </r>
  <r>
    <n v="632"/>
    <d v="2022-12-31T00:00:00"/>
    <x v="2"/>
    <s v="CLI355"/>
    <s v="CLI355"/>
    <s v="MANAUS"/>
    <s v="AM"/>
    <s v="CLI1110"/>
    <s v="FRANCO DA ROCHA"/>
    <s v="SP"/>
    <n v="3906.8814619999998"/>
    <n v="0"/>
    <n v="2855.4266690000004"/>
    <n v="7000"/>
    <n v="0"/>
    <x v="0"/>
    <x v="2"/>
    <s v="BRMAOTK01"/>
    <s v="BRMAOCHI"/>
    <n v="11.436796000000001"/>
    <n v="106.6405"/>
    <n v="150"/>
    <n v="856.75138908544"/>
    <n v="0"/>
    <n v="832"/>
    <n v="7"/>
    <n v="0"/>
    <n v="0"/>
    <n v="832"/>
    <m/>
    <m/>
    <n v="0"/>
    <x v="1"/>
    <s v="BRSSZTK01"/>
    <s v="BRSSZTCO"/>
    <n v="120.57244299999999"/>
    <n v="106.6405"/>
    <n v="150"/>
    <n v="2473.7749818515194"/>
    <n v="445.279496733273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621"/>
    <n v="213281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3906.8814619999998"/>
    <n v="639.84299999999996"/>
    <n v="27590.726733183521"/>
    <n v="3310.8872079820226"/>
    <n v="110"/>
    <n v="150"/>
    <n v="1E-3"/>
    <n v="213.28100000000001"/>
    <n v="19313.508713228464"/>
    <n v="19786.789713228463"/>
    <n v="3180.9641611183101"/>
    <n v="11508.299181173195"/>
    <n v="0.08"/>
    <n v="1280.8787076446586"/>
    <n v="0.12"/>
    <n v="2374.4147655874153"/>
    <n v="15"/>
    <n v="3"/>
  </r>
  <r>
    <n v="633"/>
    <d v="2022-12-31T00:00:00"/>
    <x v="1"/>
    <s v="CLI356"/>
    <s v="CLI356"/>
    <s v="SUZANO"/>
    <s v="SP"/>
    <s v="CLI355"/>
    <s v="MANAUS"/>
    <s v="AM"/>
    <n v="2701.1470442430491"/>
    <n v="2914.0750120000002"/>
    <n v="0"/>
    <n v="7000"/>
    <n v="0"/>
    <x v="0"/>
    <x v="0"/>
    <s v="BRSSZTK01S"/>
    <s v="BRSSZTCO"/>
    <n v="95.74942999999999"/>
    <n v="72.911500000000004"/>
    <n v="150"/>
    <n v="2072.2523345151994"/>
    <n v="373.00542021273588"/>
    <n v="640"/>
    <n v="7"/>
    <n v="0"/>
    <n v="0"/>
    <n v="640"/>
    <m/>
    <m/>
    <n v="0"/>
    <x v="0"/>
    <s v="BRMAOTK01"/>
    <s v="BRMAOCHI"/>
    <n v="11.436796000000001"/>
    <n v="72.911500000000004"/>
    <n v="150"/>
    <n v="823.0223890854400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113"/>
    <n v="145823"/>
    <x v="1"/>
    <x v="13"/>
    <x v="12"/>
    <x v="12"/>
    <x v="1"/>
    <x v="12"/>
    <n v="7"/>
    <n v="6"/>
    <n v="7"/>
    <n v="7"/>
    <n v="7"/>
    <n v="7"/>
    <n v="7"/>
    <n v="79"/>
    <n v="7"/>
    <n v="180"/>
    <n v="7"/>
    <n v="180"/>
    <n v="2701.1470442430491"/>
    <n v="437.46899999999999"/>
    <n v="19200.258531572781"/>
    <n v="1344.0180972100948"/>
    <n v="110"/>
    <n v="150"/>
    <n v="1E-3"/>
    <n v="145.82300000000001"/>
    <n v="11989.604337940305"/>
    <n v="12395.427337940306"/>
    <n v="3180.9641611183101"/>
    <n v="6649.4407877365556"/>
    <n v="0.08"/>
    <n v="730.17177553015438"/>
    <n v="7.0000000000000007E-2"/>
    <n v="867.67991365582145"/>
    <n v="15"/>
    <n v="7"/>
  </r>
  <r>
    <n v="634"/>
    <d v="2022-12-31T00:00:00"/>
    <x v="1"/>
    <s v="CLI356"/>
    <s v="CLI356"/>
    <s v="SUZANO"/>
    <s v="SP"/>
    <s v="CLI355"/>
    <s v="MANAUS"/>
    <s v="AM"/>
    <n v="2701.1470442430491"/>
    <n v="2914.0750120000002"/>
    <n v="0"/>
    <n v="7000"/>
    <n v="0"/>
    <x v="0"/>
    <x v="0"/>
    <s v="BRSSZTK01S"/>
    <s v="BRSSZTCO"/>
    <n v="95.74942999999999"/>
    <n v="51.814"/>
    <n v="150"/>
    <n v="2051.1548345151996"/>
    <n v="369.20787021273588"/>
    <n v="640"/>
    <n v="7"/>
    <n v="0"/>
    <n v="0"/>
    <n v="640"/>
    <m/>
    <m/>
    <n v="0"/>
    <x v="0"/>
    <s v="BRMAOTK01"/>
    <s v="BRMAOCHI"/>
    <n v="11.436796000000001"/>
    <n v="51.814"/>
    <n v="150"/>
    <n v="801.92488908543999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224"/>
    <n v="103628"/>
    <x v="1"/>
    <x v="5"/>
    <x v="5"/>
    <x v="5"/>
    <x v="0"/>
    <x v="0"/>
    <n v="4"/>
    <n v="4"/>
    <n v="4"/>
    <n v="4"/>
    <n v="4"/>
    <n v="4"/>
    <n v="4"/>
    <n v="45"/>
    <n v="7"/>
    <n v="180"/>
    <n v="7"/>
    <n v="180"/>
    <n v="2701.1470442430491"/>
    <n v="310.88400000000001"/>
    <n v="19073.673531572778"/>
    <n v="1335.1571472100945"/>
    <n v="110"/>
    <n v="150"/>
    <n v="1E-3"/>
    <n v="103.628"/>
    <n v="11915.763087940304"/>
    <n v="12279.391087940305"/>
    <n v="3180.9641611183101"/>
    <n v="6554.5020377365545"/>
    <n v="0.08"/>
    <n v="724.56827953015431"/>
    <n v="7.0000000000000007E-2"/>
    <n v="859.55737615582143"/>
    <n v="15"/>
    <n v="4"/>
  </r>
  <r>
    <n v="635"/>
    <d v="2022-12-31T00:00:00"/>
    <x v="1"/>
    <s v="CLI356"/>
    <s v="CLI356"/>
    <s v="SUZANO"/>
    <s v="SP"/>
    <s v="CLI355"/>
    <s v="MANAUS"/>
    <s v="AM"/>
    <n v="2701.1470442430491"/>
    <n v="2914.0750120000002"/>
    <n v="0"/>
    <n v="7000"/>
    <n v="0"/>
    <x v="0"/>
    <x v="0"/>
    <s v="BRSSZTK01S"/>
    <s v="BRSSZTCO"/>
    <n v="95.74942999999999"/>
    <n v="71.058499999999995"/>
    <n v="150"/>
    <n v="2070.3993345151998"/>
    <n v="372.67188021273597"/>
    <n v="640"/>
    <n v="7"/>
    <n v="0"/>
    <n v="0"/>
    <n v="640"/>
    <m/>
    <m/>
    <n v="0"/>
    <x v="0"/>
    <s v="BRMAOTK01"/>
    <s v="BRMAOCHI"/>
    <n v="11.436796000000001"/>
    <n v="71.058499999999995"/>
    <n v="150"/>
    <n v="821.1693890854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434"/>
    <n v="142117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701.1470442430491"/>
    <n v="426.351"/>
    <n v="19189.140531572779"/>
    <n v="1343.2398372100947"/>
    <n v="110"/>
    <n v="150"/>
    <n v="1E-3"/>
    <n v="142.11699999999999"/>
    <n v="11983.118837940303"/>
    <n v="12385.235837940303"/>
    <n v="3180.9641611183101"/>
    <n v="6641.1022877365522"/>
    <n v="0.08"/>
    <n v="729.67961873015417"/>
    <n v="7.0000000000000007E-2"/>
    <n v="866.96650865582126"/>
    <n v="15"/>
    <n v="3"/>
  </r>
  <r>
    <n v="636"/>
    <d v="2022-12-31T00:00:00"/>
    <x v="1"/>
    <s v="CLI356"/>
    <s v="CLI356"/>
    <s v="SUZANO"/>
    <s v="SP"/>
    <s v="CLI355"/>
    <s v="MANAUS"/>
    <s v="AM"/>
    <n v="2701.1470442430491"/>
    <n v="2914.0750120000002"/>
    <n v="0"/>
    <n v="7000"/>
    <n v="0"/>
    <x v="0"/>
    <x v="0"/>
    <s v="BRSSZTK01S"/>
    <s v="BRSSZTCO"/>
    <n v="95.74942999999999"/>
    <n v="35.139000000000003"/>
    <n v="150"/>
    <n v="2034.4798345151996"/>
    <n v="366.20637021273592"/>
    <n v="640"/>
    <n v="7"/>
    <n v="0"/>
    <n v="0"/>
    <n v="640"/>
    <m/>
    <m/>
    <n v="0"/>
    <x v="0"/>
    <s v="BRMAOTK01"/>
    <s v="BRMAOCHI"/>
    <n v="11.436796000000001"/>
    <n v="35.139000000000003"/>
    <n v="150"/>
    <n v="785.24988908544003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575"/>
    <n v="7027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01.1470442430491"/>
    <n v="210.834"/>
    <n v="18973.623531572779"/>
    <n v="1328.1536472100947"/>
    <n v="110"/>
    <n v="150"/>
    <n v="1E-3"/>
    <n v="70.278000000000006"/>
    <n v="11857.400587940303"/>
    <n v="12187.678587940303"/>
    <n v="3180.9641611183101"/>
    <n v="6479.4645377365523"/>
    <n v="0.08"/>
    <n v="720.13939953015415"/>
    <n v="7.0000000000000007E-2"/>
    <n v="853.13750115582127"/>
    <n v="15"/>
    <n v="1"/>
  </r>
  <r>
    <n v="637"/>
    <d v="2022-12-31T00:00:00"/>
    <x v="1"/>
    <s v="CLI356"/>
    <s v="CLI356"/>
    <s v="SUZANO"/>
    <s v="SP"/>
    <s v="CLI918"/>
    <s v="MANAUS"/>
    <s v="AM"/>
    <n v="2701.1470442430491"/>
    <n v="2914.0750120000002"/>
    <n v="0"/>
    <n v="7000"/>
    <n v="0"/>
    <x v="0"/>
    <x v="0"/>
    <s v="BRSSZTK01S"/>
    <s v="BRSSZTCO"/>
    <n v="95.74942999999999"/>
    <n v="123.798"/>
    <n v="150"/>
    <n v="2123.1388345152"/>
    <n v="382.16499021273597"/>
    <n v="640"/>
    <n v="7"/>
    <n v="0"/>
    <n v="0"/>
    <n v="640"/>
    <m/>
    <m/>
    <n v="0"/>
    <x v="0"/>
    <s v="BRMAOTK01"/>
    <s v="BRMAOCHI"/>
    <n v="11.436796000000001"/>
    <n v="123.798"/>
    <n v="150"/>
    <n v="873.90888908544002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951"/>
    <n v="24759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01.1470442430491"/>
    <n v="742.78800000000001"/>
    <n v="19505.577531572781"/>
    <n v="1365.3904272100947"/>
    <n v="110"/>
    <n v="150"/>
    <n v="1E-3"/>
    <n v="247.596"/>
    <n v="12167.707087940305"/>
    <n v="12675.303087940305"/>
    <n v="3180.9641611183101"/>
    <n v="6878.4300377365544"/>
    <n v="0.08"/>
    <n v="743.68722993015433"/>
    <n v="7.0000000000000007E-2"/>
    <n v="887.27121615582143"/>
    <n v="15"/>
    <n v="1"/>
  </r>
  <r>
    <n v="638"/>
    <d v="2022-12-31T00:00:00"/>
    <x v="2"/>
    <s v="CLI357"/>
    <s v="CLI357"/>
    <s v="SAO PAULO"/>
    <s v="SP"/>
    <s v="CLI1132"/>
    <s v="CABO DE SANTO AGOSTINHO"/>
    <s v="PE"/>
    <n v="2555.7481519999997"/>
    <n v="0"/>
    <n v="0"/>
    <n v="0"/>
    <n v="0"/>
    <x v="0"/>
    <x v="0"/>
    <s v="BRSSZTK01"/>
    <s v="BRSSZTCO"/>
    <n v="85.841132000000002"/>
    <n v="39.339500000000001"/>
    <n v="150"/>
    <n v="1891.8726500364801"/>
    <n v="340.53707700656639"/>
    <n v="640"/>
    <n v="7"/>
    <n v="0"/>
    <n v="0"/>
    <n v="640"/>
    <m/>
    <m/>
    <n v="0"/>
    <x v="2"/>
    <s v="BRSUATK01"/>
    <s v="BRSUATCO"/>
    <n v="23.080721"/>
    <n v="39.339500000000001"/>
    <n v="150"/>
    <n v="961.97423399744014"/>
    <n v="173.1553621195392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565"/>
    <n v="78679"/>
    <x v="1"/>
    <x v="0"/>
    <x v="0"/>
    <x v="0"/>
    <x v="2"/>
    <x v="2"/>
    <n v="3"/>
    <n v="3"/>
    <n v="3"/>
    <n v="3"/>
    <n v="3"/>
    <n v="3"/>
    <n v="3"/>
    <n v="32"/>
    <n v="7"/>
    <n v="180"/>
    <n v="7"/>
    <n v="180"/>
    <n v="2555.7481519999997"/>
    <n v="236.03700000000001"/>
    <n v="18011.42847030592"/>
    <n v="1260.7999929214145"/>
    <n v="110"/>
    <n v="150"/>
    <n v="1E-3"/>
    <n v="78.679000000000002"/>
    <n v="12607.999929214144"/>
    <n v="12946.678929214144"/>
    <n v="3180.9641611183101"/>
    <n v="4657.8678840619141"/>
    <n v="0.08"/>
    <n v="766.33116848432951"/>
    <n v="7.0000000000000007E-2"/>
    <n v="906.26752504499018"/>
    <n v="15"/>
    <n v="3"/>
  </r>
  <r>
    <n v="639"/>
    <d v="2022-12-31T00:00:00"/>
    <x v="2"/>
    <s v="CLI357"/>
    <s v="CLI357"/>
    <s v="SAO PAULO"/>
    <s v="SP"/>
    <s v="CLI1132"/>
    <s v="CABO DE SANTO AGOSTINHO"/>
    <s v="PE"/>
    <n v="2555.7481519999997"/>
    <n v="0"/>
    <n v="0"/>
    <n v="0"/>
    <n v="0"/>
    <x v="0"/>
    <x v="0"/>
    <s v="BRSSZTK01"/>
    <s v="BRSSZTCO"/>
    <n v="85.841132000000002"/>
    <n v="26.91"/>
    <n v="150"/>
    <n v="1879.4431500364801"/>
    <n v="338.29976700656641"/>
    <n v="640"/>
    <n v="7"/>
    <n v="0"/>
    <n v="0"/>
    <n v="640"/>
    <m/>
    <m/>
    <n v="0"/>
    <x v="2"/>
    <s v="BRSUATK01"/>
    <s v="BRSUATCO"/>
    <n v="23.080721"/>
    <n v="26.91"/>
    <n v="150"/>
    <n v="949.54473399744006"/>
    <n v="170.918052119539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506"/>
    <n v="5382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55.7481519999997"/>
    <n v="161.46"/>
    <n v="17936.851470305919"/>
    <n v="1255.5796029214146"/>
    <n v="110"/>
    <n v="150"/>
    <n v="1E-3"/>
    <n v="53.82"/>
    <n v="12555.796029214143"/>
    <n v="12869.616029214143"/>
    <n v="3180.9641611183101"/>
    <n v="4605.6639840619118"/>
    <n v="0.08"/>
    <n v="762.51282608432928"/>
    <n v="7.0000000000000007E-2"/>
    <n v="900.87312204499005"/>
    <n v="15"/>
    <n v="1"/>
  </r>
  <r>
    <n v="640"/>
    <d v="2022-12-31T00:00:00"/>
    <x v="2"/>
    <s v="CLI358"/>
    <s v="CLI358"/>
    <s v="MANAUS"/>
    <s v="AM"/>
    <s v="CLI1223"/>
    <s v="LOUVEIRA"/>
    <s v="SP"/>
    <n v="3865.5848300000002"/>
    <n v="0"/>
    <n v="2812.8709169999997"/>
    <n v="7000"/>
    <n v="0"/>
    <x v="0"/>
    <x v="2"/>
    <s v="BRMAOTK01"/>
    <s v="BRMAOCHI"/>
    <n v="11.436796000000001"/>
    <n v="34.412500000000001"/>
    <n v="150"/>
    <n v="784.52338908544004"/>
    <n v="0"/>
    <n v="832"/>
    <n v="7"/>
    <n v="0"/>
    <n v="0"/>
    <n v="832"/>
    <m/>
    <m/>
    <n v="0"/>
    <x v="1"/>
    <s v="BRSSZTK01"/>
    <s v="BRSSZTCO"/>
    <n v="152.74309700000001"/>
    <n v="34.412500000000001"/>
    <n v="150"/>
    <n v="2878.2079807340801"/>
    <n v="518.0774365321343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529"/>
    <n v="6882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65.5848300000002"/>
    <n v="206.47499999999999"/>
    <n v="26876.914957136803"/>
    <n v="3225.2297948564164"/>
    <n v="110"/>
    <n v="150"/>
    <n v="1E-3"/>
    <n v="68.825000000000003"/>
    <n v="18813.840469995761"/>
    <n v="19142.665469995762"/>
    <n v="3180.9641611183101"/>
    <n v="10531.969939057932"/>
    <n v="0.08"/>
    <n v="1196.9485330915286"/>
    <n v="0.12"/>
    <n v="2297.1198563994913"/>
    <n v="15"/>
    <n v="1"/>
  </r>
  <r>
    <n v="641"/>
    <d v="2022-12-31T00:00:00"/>
    <x v="2"/>
    <s v="CLI359"/>
    <s v="CLI359"/>
    <s v="MANAUS"/>
    <s v="AM"/>
    <s v="CLI1316"/>
    <s v="SAO JOSE DOS CAMPOS"/>
    <s v="SP"/>
    <n v="3994.1975430000002"/>
    <n v="0"/>
    <n v="2941.9602110000001"/>
    <n v="7000"/>
    <n v="0"/>
    <x v="0"/>
    <x v="2"/>
    <s v="BRMAOTK01"/>
    <s v="BRMAOCHI"/>
    <n v="11.436796000000001"/>
    <n v="109.57900000000001"/>
    <n v="150"/>
    <n v="859.68988908543997"/>
    <n v="0"/>
    <n v="832"/>
    <n v="7"/>
    <n v="0"/>
    <n v="0"/>
    <n v="832"/>
    <m/>
    <m/>
    <n v="0"/>
    <x v="1"/>
    <s v="BRSSZTK01"/>
    <s v="BRSSZTCO"/>
    <n v="143.53611799999999"/>
    <n v="109.57900000000001"/>
    <n v="150"/>
    <n v="2816.9579874035198"/>
    <n v="507.0524377326335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081"/>
    <n v="219158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3994.1975430000002"/>
    <n v="657.47400000000005"/>
    <n v="28201.317746611283"/>
    <n v="3384.1581295933538"/>
    <n v="110"/>
    <n v="150"/>
    <n v="1E-3"/>
    <n v="219.15800000000002"/>
    <n v="19740.922422627897"/>
    <n v="20220.080422627896"/>
    <n v="3180.9641611183101"/>
    <n v="11595.468385020627"/>
    <n v="0.08"/>
    <n v="1282.9104086725044"/>
    <n v="0.12"/>
    <n v="2426.4096507153477"/>
    <n v="15"/>
    <n v="3"/>
  </r>
  <r>
    <n v="642"/>
    <d v="2022-12-31T00:00:00"/>
    <x v="2"/>
    <s v="CLI360"/>
    <s v="CLI360"/>
    <s v="EXTREMA"/>
    <s v="MG"/>
    <s v="CLI1115"/>
    <s v="FORTALEZA"/>
    <s v="CE"/>
    <n v="2710.1635240000001"/>
    <n v="0"/>
    <n v="0"/>
    <n v="0"/>
    <n v="0"/>
    <x v="0"/>
    <x v="0"/>
    <s v="BRSSZTK01"/>
    <s v="BRSSZTCO"/>
    <n v="185.23678700000002"/>
    <n v="78.599000000000004"/>
    <n v="150"/>
    <n v="3403.8417877356806"/>
    <n v="408.46101452828162"/>
    <n v="640"/>
    <n v="7"/>
    <n v="0"/>
    <n v="0"/>
    <n v="640"/>
    <m/>
    <m/>
    <n v="0"/>
    <x v="3"/>
    <s v="BRPECTK01"/>
    <s v="BRPECAPM"/>
    <n v="42.140103000000003"/>
    <n v="78.599000000000004"/>
    <n v="150"/>
    <n v="1283.6297357139199"/>
    <n v="231.05335242850558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48"/>
    <n v="157198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710.1635240000001"/>
    <n v="471.59399999999999"/>
    <n v="19295.614084943041"/>
    <n v="1350.6929859460131"/>
    <n v="110"/>
    <n v="150"/>
    <n v="1E-3"/>
    <n v="157.19800000000001"/>
    <n v="13506.929859460128"/>
    <n v="13924.127859460128"/>
    <n v="3180.9641611183101"/>
    <n v="4377.6921748922177"/>
    <n v="0.08"/>
    <n v="687.77135752429922"/>
    <n v="7.0000000000000007E-2"/>
    <n v="974.68895016220904"/>
    <n v="15"/>
    <n v="3"/>
  </r>
  <r>
    <n v="643"/>
    <d v="2022-12-31T00:00:00"/>
    <x v="2"/>
    <s v="CLI360"/>
    <s v="CLI360"/>
    <s v="EXTREMA"/>
    <s v="MG"/>
    <s v="CLI1114"/>
    <s v="CABO DE SANTO AGOSTINHO"/>
    <s v="PE"/>
    <n v="2455.6965110000001"/>
    <n v="0"/>
    <n v="0"/>
    <n v="0"/>
    <n v="0"/>
    <x v="0"/>
    <x v="0"/>
    <s v="BRSSZTK01"/>
    <s v="BRSSZTCO"/>
    <n v="185.23678700000002"/>
    <n v="32.911500000000004"/>
    <n v="150"/>
    <n v="3358.1542877356806"/>
    <n v="402.97851452828166"/>
    <n v="640"/>
    <n v="7"/>
    <n v="0"/>
    <n v="0"/>
    <n v="640"/>
    <m/>
    <m/>
    <n v="0"/>
    <x v="2"/>
    <s v="BRSUATK01"/>
    <s v="BRSUATCO"/>
    <n v="23.080721"/>
    <n v="32.911500000000004"/>
    <n v="150"/>
    <n v="955.54623399744014"/>
    <n v="171.9983221195392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65"/>
    <n v="6582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455.6965110000001"/>
    <n v="197.46899999999999"/>
    <n v="17293.413778340564"/>
    <n v="1210.5389644838397"/>
    <n v="110"/>
    <n v="150"/>
    <n v="1E-3"/>
    <n v="65.823000000000008"/>
    <n v="12105.389644838395"/>
    <n v="12431.212644838395"/>
    <n v="3180.9641611183101"/>
    <n v="2682.5479619869643"/>
    <n v="0.08"/>
    <n v="603.40282291659628"/>
    <n v="7.0000000000000007E-2"/>
    <n v="870.18488513868772"/>
    <n v="15"/>
    <n v="2"/>
  </r>
  <r>
    <n v="644"/>
    <d v="2022-12-31T00:00:00"/>
    <x v="2"/>
    <s v="CLI360"/>
    <s v="CLI360"/>
    <s v="EXTREMA"/>
    <s v="MG"/>
    <s v="CLI1117"/>
    <s v="SIMOES FILHO"/>
    <s v="BA"/>
    <n v="1769.84789"/>
    <n v="0"/>
    <n v="0"/>
    <n v="0"/>
    <n v="0"/>
    <x v="0"/>
    <x v="0"/>
    <s v="BRSSZTK01"/>
    <s v="BRSSZTCO"/>
    <n v="185.23678700000002"/>
    <n v="52.000999999999998"/>
    <n v="150"/>
    <n v="3377.2437877356806"/>
    <n v="405.26925452828164"/>
    <n v="640"/>
    <n v="7"/>
    <n v="0"/>
    <n v="0"/>
    <n v="640"/>
    <m/>
    <m/>
    <n v="0"/>
    <x v="5"/>
    <s v="BRSSATK01"/>
    <s v="BRSSATCO"/>
    <n v="26.551053"/>
    <n v="52.000999999999998"/>
    <n v="150"/>
    <n v="1026.0543939219201"/>
    <n v="184.68979090594561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624"/>
    <n v="104002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1769.84789"/>
    <n v="312.00600000000003"/>
    <n v="12750.380227074402"/>
    <n v="892.52661589520824"/>
    <n v="110"/>
    <n v="150"/>
    <n v="1E-3"/>
    <n v="104.002"/>
    <n v="8925.2661589520812"/>
    <n v="9289.2681589520816"/>
    <n v="3180.9641611183101"/>
    <n v="91.005816176170356"/>
    <n v="0.08"/>
    <n v="343.68087454882038"/>
    <n v="7.0000000000000007E-2"/>
    <n v="650.24877112664581"/>
    <n v="15"/>
    <n v="2"/>
  </r>
  <r>
    <n v="645"/>
    <d v="2022-12-31T00:00:00"/>
    <x v="2"/>
    <s v="CLI360"/>
    <s v="CLI360"/>
    <s v="EXTREMA"/>
    <s v="MG"/>
    <s v="CLI1156"/>
    <s v="MANAUS"/>
    <s v="AM"/>
    <n v="2638.9886279125139"/>
    <n v="2875.756222"/>
    <n v="0"/>
    <n v="7000"/>
    <n v="0"/>
    <x v="0"/>
    <x v="0"/>
    <s v="BRSSZTK01"/>
    <s v="BRSSZTCO"/>
    <n v="185.23678700000002"/>
    <n v="37.596499999999999"/>
    <n v="150"/>
    <n v="3362.8392877356805"/>
    <n v="403.54071452828163"/>
    <n v="640"/>
    <n v="7"/>
    <n v="0"/>
    <n v="0"/>
    <n v="640"/>
    <m/>
    <m/>
    <n v="0"/>
    <x v="0"/>
    <s v="BRMAOTK01"/>
    <s v="BRMAOCHI"/>
    <n v="11.436796000000001"/>
    <n v="37.596499999999999"/>
    <n v="150"/>
    <n v="787.70738908544001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870"/>
    <n v="7519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38.9886279125139"/>
    <n v="225.57900000000001"/>
    <n v="18566.253212608768"/>
    <n v="1299.6377248826138"/>
    <n v="110"/>
    <n v="150"/>
    <n v="1E-3"/>
    <n v="75.192999999999998"/>
    <n v="12996.377248826137"/>
    <n v="13331.570248826136"/>
    <n v="3180.9641611183101"/>
    <n v="4258.0594108867044"/>
    <n v="0.08"/>
    <n v="702.19862859813861"/>
    <n v="7.0000000000000007E-2"/>
    <n v="933.20991741782962"/>
    <n v="15"/>
    <n v="1"/>
  </r>
  <r>
    <n v="646"/>
    <d v="2022-12-31T00:00:00"/>
    <x v="2"/>
    <s v="CLI361"/>
    <s v="CLI361"/>
    <s v="GUARULHOS"/>
    <s v="SP"/>
    <s v="CLI1114"/>
    <s v="CABO DE SANTO AGOSTINHO"/>
    <s v="PE"/>
    <n v="2545.2983210000002"/>
    <n v="0"/>
    <n v="0"/>
    <n v="0"/>
    <n v="0"/>
    <x v="0"/>
    <x v="0"/>
    <s v="BRSSZTK01"/>
    <s v="BRSSZTCO"/>
    <n v="96.951807000000002"/>
    <n v="96.192499999999995"/>
    <n v="150"/>
    <n v="2113.3485216684799"/>
    <n v="380.40273390032638"/>
    <n v="640"/>
    <n v="7"/>
    <n v="0"/>
    <n v="0"/>
    <n v="640"/>
    <m/>
    <m/>
    <n v="0"/>
    <x v="2"/>
    <s v="BRSUATK01"/>
    <s v="BRSUATCO"/>
    <n v="23.080721"/>
    <n v="96.192499999999995"/>
    <n v="150"/>
    <n v="1018.8272339974401"/>
    <n v="183.3889021195392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371"/>
    <n v="192385"/>
    <x v="1"/>
    <x v="5"/>
    <x v="6"/>
    <x v="5"/>
    <x v="5"/>
    <x v="6"/>
    <n v="5"/>
    <n v="4"/>
    <n v="5"/>
    <n v="5"/>
    <n v="5"/>
    <n v="5"/>
    <n v="5"/>
    <n v="54"/>
    <n v="7"/>
    <n v="180"/>
    <n v="7"/>
    <n v="180"/>
    <n v="2545.2983210000002"/>
    <n v="577.15499999999997"/>
    <n v="18281.582085978163"/>
    <n v="1279.7107460184716"/>
    <n v="110"/>
    <n v="150"/>
    <n v="1E-3"/>
    <n v="192.38499999999999"/>
    <n v="12797.107460184714"/>
    <n v="13249.492460184714"/>
    <n v="3180.9641611183101"/>
    <n v="4682.3525434004841"/>
    <n v="0.08"/>
    <n v="764.28200547991435"/>
    <n v="7.0000000000000007E-2"/>
    <n v="927.4644722129301"/>
    <n v="15"/>
    <n v="5"/>
  </r>
  <r>
    <n v="647"/>
    <d v="2022-12-31T00:00:00"/>
    <x v="2"/>
    <s v="CLI361"/>
    <s v="CLI361"/>
    <s v="GUARULHOS"/>
    <s v="SP"/>
    <s v="CLI1115"/>
    <s v="FORTALEZA"/>
    <s v="CE"/>
    <n v="2799.7653330000003"/>
    <n v="0"/>
    <n v="0"/>
    <n v="0"/>
    <n v="0"/>
    <x v="0"/>
    <x v="0"/>
    <s v="BRSSZTK01"/>
    <s v="BRSSZTCO"/>
    <n v="96.951807000000002"/>
    <n v="119.289"/>
    <n v="150"/>
    <n v="2136.44502166848"/>
    <n v="384.5601039003264"/>
    <n v="640"/>
    <n v="7"/>
    <n v="0"/>
    <n v="0"/>
    <n v="640"/>
    <m/>
    <m/>
    <n v="0"/>
    <x v="3"/>
    <s v="BRPECTK01"/>
    <s v="BRPECAPM"/>
    <n v="42.140103000000003"/>
    <n v="119.289"/>
    <n v="150"/>
    <n v="1324.31973571392"/>
    <n v="238.377552428505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616"/>
    <n v="238578"/>
    <x v="1"/>
    <x v="5"/>
    <x v="6"/>
    <x v="5"/>
    <x v="5"/>
    <x v="6"/>
    <n v="4"/>
    <n v="4"/>
    <n v="4"/>
    <n v="4"/>
    <n v="4"/>
    <n v="4"/>
    <n v="4"/>
    <n v="48"/>
    <n v="7"/>
    <n v="180"/>
    <n v="7"/>
    <n v="180"/>
    <n v="2799.7653330000003"/>
    <n v="715.73400000000004"/>
    <n v="20148.236385789685"/>
    <n v="1410.3765470052781"/>
    <n v="110"/>
    <n v="150"/>
    <n v="1E-3"/>
    <n v="238.578"/>
    <n v="14103.765470052778"/>
    <n v="14602.343470052778"/>
    <n v="3180.9641611183101"/>
    <n v="6282.6145515520675"/>
    <n v="0.08"/>
    <n v="841.49128450732371"/>
    <n v="7.0000000000000007E-2"/>
    <n v="1022.1640429036945"/>
    <n v="15"/>
    <n v="4"/>
  </r>
  <r>
    <n v="648"/>
    <d v="2022-12-31T00:00:00"/>
    <x v="2"/>
    <s v="CLI361"/>
    <s v="CLI361"/>
    <s v="GUARULHOS"/>
    <s v="SP"/>
    <s v="CLI1117"/>
    <s v="SIMOES FILHO"/>
    <s v="BA"/>
    <n v="1859.449699"/>
    <n v="0"/>
    <n v="0"/>
    <n v="0"/>
    <n v="0"/>
    <x v="0"/>
    <x v="0"/>
    <s v="BRSSZTK01"/>
    <s v="BRSSZTCO"/>
    <n v="96.951807000000002"/>
    <n v="73.388999999999996"/>
    <n v="150"/>
    <n v="2090.5450216684799"/>
    <n v="376.29810390032634"/>
    <n v="640"/>
    <n v="7"/>
    <n v="0"/>
    <n v="0"/>
    <n v="640"/>
    <m/>
    <m/>
    <n v="0"/>
    <x v="5"/>
    <s v="BRSSATK01"/>
    <s v="BRSSATCO"/>
    <n v="26.551053"/>
    <n v="73.388999999999996"/>
    <n v="150"/>
    <n v="1047.44239392192"/>
    <n v="188.53963090594559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09"/>
    <n v="146778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1859.449699"/>
    <n v="440.334"/>
    <n v="13487.190527921042"/>
    <n v="944.10333695447309"/>
    <n v="110"/>
    <n v="150"/>
    <n v="1E-3"/>
    <n v="146.77799999999999"/>
    <n v="9441.0333695447298"/>
    <n v="9847.81136954473"/>
    <n v="3180.9641611183101"/>
    <n v="1914.85979283602"/>
    <n v="0.08"/>
    <n v="491.59889753184473"/>
    <n v="7.0000000000000007E-2"/>
    <n v="689.34679586813115"/>
    <n v="15"/>
    <n v="3"/>
  </r>
  <r>
    <n v="649"/>
    <d v="2022-12-31T00:00:00"/>
    <x v="2"/>
    <s v="CLI361"/>
    <s v="CLI361"/>
    <s v="GUARULHOS"/>
    <s v="SP"/>
    <s v="CLI1116"/>
    <s v="SALVADOR"/>
    <s v="BA"/>
    <n v="1834.69109"/>
    <n v="0"/>
    <n v="0"/>
    <n v="0"/>
    <n v="0"/>
    <x v="0"/>
    <x v="0"/>
    <s v="BRSSZTK01"/>
    <s v="BRSSZTCO"/>
    <n v="96.951807000000002"/>
    <n v="124.378"/>
    <n v="150"/>
    <n v="2141.5340216684799"/>
    <n v="385.47612390032634"/>
    <n v="640"/>
    <n v="7"/>
    <n v="0"/>
    <n v="0"/>
    <n v="640"/>
    <m/>
    <m/>
    <n v="0"/>
    <x v="5"/>
    <s v="BRSSATK01"/>
    <s v="BRSSATCO"/>
    <n v="2.2452209999999999"/>
    <n v="124.378"/>
    <n v="150"/>
    <n v="738.30063127743995"/>
    <n v="0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810"/>
    <n v="24875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1834.69109"/>
    <n v="746.26800000000003"/>
    <n v="13624.989804546402"/>
    <n v="953.74928631824821"/>
    <n v="110"/>
    <n v="150"/>
    <n v="1E-3"/>
    <n v="248.756"/>
    <n v="9537.4928631824805"/>
    <n v="10046.24886318248"/>
    <n v="3180.9641611183101"/>
    <n v="2371.4500491182503"/>
    <n v="0.08"/>
    <n v="542.47504690689868"/>
    <n v="7.0000000000000007E-2"/>
    <n v="703.23742042277365"/>
    <n v="15"/>
    <n v="2"/>
  </r>
  <r>
    <n v="650"/>
    <d v="2022-12-31T00:00:00"/>
    <x v="0"/>
    <s v="CLI363"/>
    <s v="CLI363"/>
    <s v="SANTOS"/>
    <s v="SP"/>
    <s v="CLI1122"/>
    <s v="SALVADOR"/>
    <s v="BA"/>
    <n v="1910.3949520000001"/>
    <n v="0"/>
    <n v="0"/>
    <n v="0"/>
    <n v="0"/>
    <x v="0"/>
    <x v="0"/>
    <s v="BRSSZTK01S"/>
    <s v="BRSSZTCO"/>
    <n v="14.583465"/>
    <n v="71.456500000000005"/>
    <n v="150"/>
    <n v="868.19045085760001"/>
    <n v="156.274281154368"/>
    <n v="640"/>
    <n v="7"/>
    <n v="0"/>
    <n v="0"/>
    <n v="640"/>
    <m/>
    <m/>
    <n v="0"/>
    <x v="5"/>
    <s v="BRSSATK01S"/>
    <s v="BRSSATCO"/>
    <n v="2.2452209999999999"/>
    <n v="71.456500000000005"/>
    <n v="150"/>
    <n v="685.37913127743991"/>
    <n v="0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706"/>
    <n v="14291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1910.3949520000001"/>
    <n v="428.73900000000003"/>
    <n v="13821.562703233923"/>
    <n v="967.50938922637476"/>
    <n v="110"/>
    <n v="150"/>
    <n v="1E-3"/>
    <n v="142.91300000000001"/>
    <n v="8587.5951847692177"/>
    <n v="8990.5081847692181"/>
    <n v="3180.9641611183101"/>
    <n v="4195.5440236509075"/>
    <n v="0.08"/>
    <n v="582.4531457183848"/>
    <n v="7.0000000000000007E-2"/>
    <n v="629.33557293384536"/>
    <n v="15"/>
    <n v="2"/>
  </r>
  <r>
    <n v="651"/>
    <d v="2022-12-31T00:00:00"/>
    <x v="2"/>
    <s v="CLI365"/>
    <s v="CLI365"/>
    <s v="SAO PAULO"/>
    <s v="SP"/>
    <s v="CLI484"/>
    <s v="MANAUS"/>
    <s v="AM"/>
    <n v="2682.4745732067604"/>
    <n v="2877.9279630000001"/>
    <n v="0"/>
    <n v="7000"/>
    <n v="0"/>
    <x v="0"/>
    <x v="0"/>
    <s v="BRSSZTK01"/>
    <s v="BRSSZTCO"/>
    <n v="85.841132000000002"/>
    <n v="99.468500000000006"/>
    <n v="150"/>
    <n v="1952.00165003648"/>
    <n v="351.36029700656638"/>
    <n v="640"/>
    <n v="7"/>
    <n v="0"/>
    <n v="0"/>
    <n v="640"/>
    <m/>
    <m/>
    <n v="0"/>
    <x v="0"/>
    <s v="BRMAOTK01"/>
    <s v="BRMAOCHI"/>
    <n v="11.436796000000001"/>
    <n v="99.468500000000006"/>
    <n v="150"/>
    <n v="849.5793890854399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928"/>
    <n v="198937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2682.4745732067604"/>
    <n v="596.81100000000004"/>
    <n v="19232.796527664184"/>
    <n v="1346.295756936493"/>
    <n v="110"/>
    <n v="150"/>
    <n v="1E-3"/>
    <n v="198.93700000000001"/>
    <n v="13462.957569364928"/>
    <n v="13921.894569364928"/>
    <n v="3180.9641611183101"/>
    <n v="6197.3493691246968"/>
    <n v="0.08"/>
    <n v="861.51625865891538"/>
    <n v="7.0000000000000007E-2"/>
    <n v="974.53261985554502"/>
    <n v="15"/>
    <n v="2"/>
  </r>
  <r>
    <n v="652"/>
    <d v="2022-12-31T00:00:00"/>
    <x v="0"/>
    <s v="CLI366"/>
    <s v="CLI366"/>
    <s v="SANTOS"/>
    <s v="SP"/>
    <s v="CLI1124"/>
    <s v="MANAUS"/>
    <s v="AM"/>
    <n v="2738.1624465451514"/>
    <n v="2948.3907220000001"/>
    <n v="0"/>
    <n v="7000"/>
    <n v="0"/>
    <x v="0"/>
    <x v="0"/>
    <s v="BRSSZTK01S"/>
    <s v="BRSSZTCO"/>
    <n v="14.583465"/>
    <n v="32.295000000000002"/>
    <n v="150"/>
    <n v="829.02895085759997"/>
    <n v="149.225211154368"/>
    <n v="640"/>
    <n v="7"/>
    <n v="0"/>
    <n v="0"/>
    <n v="640"/>
    <m/>
    <m/>
    <n v="0"/>
    <x v="0"/>
    <s v="BRMAOTK01S"/>
    <s v="BRMAOCHI"/>
    <n v="11.436796000000001"/>
    <n v="32.295000000000002"/>
    <n v="150"/>
    <n v="782.4058890854399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035"/>
    <n v="6459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38.1624465451514"/>
    <n v="193.77"/>
    <n v="19207.929647990266"/>
    <n v="1344.5550753593188"/>
    <n v="110"/>
    <n v="150"/>
    <n v="1E-3"/>
    <n v="64.59"/>
    <n v="12317.546365633059"/>
    <n v="12642.13636563306"/>
    <n v="3180.9641611183101"/>
    <n v="7719.172204514749"/>
    <n v="0.08"/>
    <n v="870.51810516285218"/>
    <n v="7.0000000000000007E-2"/>
    <n v="884.94954559431426"/>
    <n v="15"/>
    <n v="1"/>
  </r>
  <r>
    <n v="653"/>
    <d v="2022-12-31T00:00:00"/>
    <x v="2"/>
    <s v="CLI368"/>
    <s v="CLI368"/>
    <s v="UNIAO DOS PALMARES"/>
    <s v="AL"/>
    <s v="CLI766"/>
    <s v="MANAUS"/>
    <s v="AM"/>
    <n v="2737.3066618960715"/>
    <n v="1970.826217"/>
    <n v="0"/>
    <n v="7000"/>
    <n v="0"/>
    <x v="0"/>
    <x v="3"/>
    <s v="BRSUATK01"/>
    <s v="BRSUATCO"/>
    <n v="209.81159199999999"/>
    <n v="111.712"/>
    <n v="150"/>
    <n v="3801.0708264908803"/>
    <n v="456.1284991789056"/>
    <n v="1344"/>
    <n v="7"/>
    <n v="0"/>
    <n v="0"/>
    <n v="1344"/>
    <m/>
    <m/>
    <n v="0"/>
    <x v="0"/>
    <s v="BRMAOTK01"/>
    <s v="BRMAOCHI"/>
    <n v="11.436796000000001"/>
    <n v="111.712"/>
    <n v="150"/>
    <n v="861.82288908544001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171"/>
    <n v="22342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37.3066618960715"/>
    <n v="670.27200000000005"/>
    <n v="19678.620048669749"/>
    <n v="2361.4344058403699"/>
    <n v="110"/>
    <n v="150"/>
    <n v="1E-3"/>
    <n v="223.42400000000001"/>
    <n v="13775.034034068824"/>
    <n v="14258.458034068824"/>
    <n v="3180.9641611183101"/>
    <n v="3978.6001573741928"/>
    <n v="0.08"/>
    <n v="731.15486554508777"/>
    <n v="0.12"/>
    <n v="1711.0149640882589"/>
    <n v="15"/>
    <n v="1"/>
  </r>
  <r>
    <n v="654"/>
    <d v="2022-12-31T00:00:00"/>
    <x v="2"/>
    <s v="CLI370"/>
    <s v="CLI370"/>
    <s v="DUQUE DE CAXIAS"/>
    <s v="RJ"/>
    <s v="CLI1134"/>
    <s v="MANAUS"/>
    <s v="AM"/>
    <n v="2827.2440195071563"/>
    <n v="3072.1998579999999"/>
    <n v="0"/>
    <n v="7000"/>
    <n v="0"/>
    <x v="0"/>
    <x v="4"/>
    <s v="BRIGITK01"/>
    <s v="BRIGITCO"/>
    <n v="68.801226"/>
    <n v="84.004999999999995"/>
    <n v="150"/>
    <n v="1684.0639972006397"/>
    <n v="336.81279944012795"/>
    <n v="704"/>
    <n v="7"/>
    <n v="0"/>
    <n v="0"/>
    <n v="704"/>
    <m/>
    <m/>
    <n v="0"/>
    <x v="0"/>
    <s v="BRMAOTK01"/>
    <s v="BRMAOCHI"/>
    <n v="11.436796000000001"/>
    <n v="84.004999999999995"/>
    <n v="150"/>
    <n v="834.11588908544002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59"/>
    <n v="168010"/>
    <x v="1"/>
    <x v="9"/>
    <x v="10"/>
    <x v="9"/>
    <x v="11"/>
    <x v="16"/>
    <n v="9"/>
    <n v="9"/>
    <n v="10"/>
    <n v="10"/>
    <n v="10"/>
    <n v="9"/>
    <n v="10"/>
    <n v="110"/>
    <n v="7"/>
    <n v="180"/>
    <n v="7"/>
    <n v="180"/>
    <n v="2827.2440195071563"/>
    <n v="504.03000000000003"/>
    <n v="20123.139046712316"/>
    <n v="1408.6197332698623"/>
    <n v="110"/>
    <n v="150"/>
    <n v="1E-3"/>
    <n v="168.01"/>
    <n v="14086.197332698621"/>
    <n v="14514.207332698621"/>
    <n v="3180.9641611183101"/>
    <n v="6989.0632852942308"/>
    <n v="0.08"/>
    <n v="932.73717175779313"/>
    <n v="7.0000000000000007E-2"/>
    <n v="1015.9945132889036"/>
    <n v="15"/>
    <n v="10"/>
  </r>
  <r>
    <n v="655"/>
    <d v="2022-12-31T00:00:00"/>
    <x v="2"/>
    <s v="CLI370"/>
    <s v="CLI370"/>
    <s v="DUQUE DE CAXIAS"/>
    <s v="RJ"/>
    <s v="CLI1133"/>
    <s v="IPOJUCA"/>
    <s v="PE"/>
    <n v="2208.4437069999999"/>
    <n v="0"/>
    <n v="0"/>
    <n v="0"/>
    <n v="0"/>
    <x v="0"/>
    <x v="4"/>
    <s v="BRIGITK01"/>
    <s v="BRIGITCO"/>
    <n v="68.801226"/>
    <n v="91.573000000000008"/>
    <n v="150"/>
    <n v="1691.6319972006399"/>
    <n v="338.326399440128"/>
    <n v="704"/>
    <n v="7"/>
    <n v="0"/>
    <n v="0"/>
    <n v="704"/>
    <m/>
    <m/>
    <n v="0"/>
    <x v="2"/>
    <s v="BRSUATK01"/>
    <s v="BRSUATCO"/>
    <n v="23.753726"/>
    <n v="91.573000000000008"/>
    <n v="150"/>
    <n v="1024.17940680064"/>
    <n v="0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377"/>
    <n v="183146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208.4437069999999"/>
    <n v="549.43799999999999"/>
    <n v="15966.298876488721"/>
    <n v="1117.6409213542106"/>
    <n v="110"/>
    <n v="150"/>
    <n v="1E-3"/>
    <n v="183.14600000000002"/>
    <n v="11176.409213542105"/>
    <n v="11619.555213542106"/>
    <n v="3180.9641611183101"/>
    <n v="3384.779648422515"/>
    <n v="0.08"/>
    <n v="685.23339280805578"/>
    <n v="7.0000000000000007E-2"/>
    <n v="813.36886494794749"/>
    <n v="15"/>
    <n v="3"/>
  </r>
  <r>
    <n v="656"/>
    <d v="2022-12-31T00:00:00"/>
    <x v="2"/>
    <s v="CLI371"/>
    <s v="CLI371"/>
    <s v="CONTAGEM"/>
    <s v="MG"/>
    <s v="CLI1135"/>
    <s v="JABOATAO DOS GUARARAPES"/>
    <s v="PE"/>
    <n v="2018.5468080000001"/>
    <n v="0"/>
    <n v="0"/>
    <n v="0"/>
    <n v="0"/>
    <x v="0"/>
    <x v="4"/>
    <s v="BRIGITK01"/>
    <s v="BRIGITCO"/>
    <n v="440.110163"/>
    <n v="115.134"/>
    <n v="150"/>
    <n v="7216.7438455123201"/>
    <n v="866.00926146147833"/>
    <n v="704"/>
    <n v="7"/>
    <n v="0"/>
    <n v="0"/>
    <n v="704"/>
    <m/>
    <m/>
    <n v="0"/>
    <x v="2"/>
    <s v="BRSUATK01"/>
    <s v="BRSUATCO"/>
    <n v="43.495365"/>
    <n v="115.134"/>
    <n v="150"/>
    <n v="1340.2451648736001"/>
    <n v="241.244129677248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345"/>
    <n v="230268"/>
    <x v="1"/>
    <x v="20"/>
    <x v="25"/>
    <x v="15"/>
    <x v="20"/>
    <x v="9"/>
    <n v="13"/>
    <n v="12"/>
    <n v="14"/>
    <n v="14"/>
    <n v="14"/>
    <n v="13"/>
    <n v="14"/>
    <n v="153"/>
    <n v="7"/>
    <n v="180"/>
    <n v="7"/>
    <n v="180"/>
    <n v="2018.5468080000001"/>
    <n v="690.80399999999997"/>
    <n v="14818.082631255682"/>
    <n v="1037.2657841878979"/>
    <n v="110"/>
    <n v="150"/>
    <n v="1E-3"/>
    <n v="230.268"/>
    <n v="10372.657841878976"/>
    <n v="10862.925841878976"/>
    <n v="3180.9641611183101"/>
    <n v="-3213.0273296252544"/>
    <n v="0.08"/>
    <n v="95.894675228346358"/>
    <n v="7.0000000000000007E-2"/>
    <n v="760.40480893152835"/>
    <n v="15"/>
    <n v="14"/>
  </r>
  <r>
    <n v="657"/>
    <d v="2022-12-31T00:00:00"/>
    <x v="2"/>
    <s v="CLI374"/>
    <s v="CLI374"/>
    <s v="BARUERI"/>
    <s v="SP"/>
    <s v="CLI847"/>
    <s v="FORTALEZA"/>
    <s v="CE"/>
    <n v="2827.6669470000002"/>
    <n v="0"/>
    <n v="0"/>
    <n v="0"/>
    <n v="0"/>
    <x v="0"/>
    <x v="0"/>
    <s v="BRSSZTK01"/>
    <s v="BRSSZTCO"/>
    <n v="108.985372"/>
    <n v="109.94750000000001"/>
    <n v="150"/>
    <n v="2305.4005221900802"/>
    <n v="414.97209399421445"/>
    <n v="640"/>
    <n v="7"/>
    <n v="0"/>
    <n v="0"/>
    <n v="640"/>
    <m/>
    <m/>
    <n v="0"/>
    <x v="3"/>
    <s v="BRPECTK01"/>
    <s v="BRPECAPM"/>
    <n v="42.140103000000003"/>
    <n v="109.94750000000001"/>
    <n v="150"/>
    <n v="1314.97823571392"/>
    <n v="236.69608242850558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101"/>
    <n v="219895"/>
    <x v="1"/>
    <x v="13"/>
    <x v="12"/>
    <x v="12"/>
    <x v="1"/>
    <x v="12"/>
    <n v="7"/>
    <n v="6"/>
    <n v="7"/>
    <n v="7"/>
    <n v="7"/>
    <n v="7"/>
    <n v="7"/>
    <n v="79"/>
    <n v="7"/>
    <n v="180"/>
    <n v="7"/>
    <n v="180"/>
    <n v="2827.6669470000002"/>
    <n v="659.68500000000006"/>
    <n v="20281.666130399124"/>
    <n v="1419.7166291279389"/>
    <n v="110"/>
    <n v="150"/>
    <n v="1E-3"/>
    <n v="219.89500000000001"/>
    <n v="14197.166291279385"/>
    <n v="14677.061291279386"/>
    <n v="3180.9641611183101"/>
    <n v="6197.7183722570753"/>
    <n v="0.08"/>
    <n v="832.40114855621334"/>
    <n v="7.0000000000000007E-2"/>
    <n v="1027.394290389557"/>
    <n v="15"/>
    <n v="7"/>
  </r>
  <r>
    <n v="658"/>
    <d v="2022-12-31T00:00:00"/>
    <x v="2"/>
    <s v="CLI377"/>
    <s v="CLI377"/>
    <s v="MANAUS"/>
    <s v="AM"/>
    <s v="CLI1272"/>
    <s v="HORIZONTE"/>
    <s v="CE"/>
    <n v="3056.12417"/>
    <n v="0"/>
    <n v="1474.541962"/>
    <n v="7000"/>
    <n v="0"/>
    <x v="0"/>
    <x v="2"/>
    <s v="BRMAOTK01"/>
    <s v="BRMAOCHI"/>
    <n v="11.436796000000001"/>
    <n v="107.4765"/>
    <n v="150"/>
    <n v="857.58738908544001"/>
    <n v="0"/>
    <n v="832"/>
    <n v="7"/>
    <n v="0"/>
    <n v="0"/>
    <n v="832"/>
    <m/>
    <m/>
    <n v="0"/>
    <x v="3"/>
    <s v="BRPECTK01"/>
    <s v="BRPECAPM"/>
    <n v="85.942437000000012"/>
    <n v="107.4765"/>
    <n v="150"/>
    <n v="1961.5106497516804"/>
    <n v="353.07191695530247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591"/>
    <n v="21495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56.12417"/>
    <n v="644.85900000000004"/>
    <n v="21818.283993503203"/>
    <n v="2618.1940792203841"/>
    <n v="110"/>
    <n v="150"/>
    <n v="1E-3"/>
    <n v="214.953"/>
    <n v="15272.798795452241"/>
    <n v="15747.751795452241"/>
    <n v="3180.9641611183101"/>
    <n v="7852.6895954968095"/>
    <n v="0.08"/>
    <n v="1006.0465471727854"/>
    <n v="0.12"/>
    <n v="1889.7302154542688"/>
    <n v="15"/>
    <n v="1"/>
  </r>
  <r>
    <n v="659"/>
    <d v="2022-12-31T00:00:00"/>
    <x v="2"/>
    <s v="CLI377"/>
    <s v="CLI377"/>
    <s v="MANAUS"/>
    <s v="AM"/>
    <s v="CLI1112"/>
    <s v="MARANGUAPE"/>
    <s v="CE"/>
    <n v="3019.2046449999998"/>
    <n v="0"/>
    <n v="1443.4877839999999"/>
    <n v="7000"/>
    <n v="0"/>
    <x v="0"/>
    <x v="2"/>
    <s v="BRMAOTK01"/>
    <s v="BRMAOCHI"/>
    <n v="11.436796000000001"/>
    <n v="109.6395"/>
    <n v="150"/>
    <n v="859.75038908544002"/>
    <n v="0"/>
    <n v="832"/>
    <n v="7"/>
    <n v="0"/>
    <n v="0"/>
    <n v="832"/>
    <m/>
    <m/>
    <n v="0"/>
    <x v="3"/>
    <s v="BRPECTK01"/>
    <s v="BRPECAPM"/>
    <n v="55.059947999999999"/>
    <n v="109.6395"/>
    <n v="150"/>
    <n v="1506.09892793472"/>
    <n v="271.0978070282495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640"/>
    <n v="21927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9.2046449999998"/>
    <n v="657.83699999999999"/>
    <n v="21580.542976009197"/>
    <n v="2589.6651571211037"/>
    <n v="110"/>
    <n v="150"/>
    <n v="1E-3"/>
    <n v="219.279"/>
    <n v="15106.380083206437"/>
    <n v="15585.659083206438"/>
    <n v="3180.9641611183101"/>
    <n v="8143.845605067967"/>
    <n v="0.08"/>
    <n v="1035.8969567326424"/>
    <n v="0.12"/>
    <n v="1870.2790899847723"/>
    <n v="15"/>
    <n v="1"/>
  </r>
  <r>
    <n v="660"/>
    <d v="2022-12-31T00:00:00"/>
    <x v="2"/>
    <s v="CLI377"/>
    <s v="CLI377"/>
    <s v="MANAUS"/>
    <s v="AM"/>
    <s v="CLI648"/>
    <s v="MARACANAU"/>
    <s v="CE"/>
    <n v="3026.293353"/>
    <n v="0"/>
    <n v="1441.5450940000001"/>
    <n v="7000"/>
    <n v="0"/>
    <x v="0"/>
    <x v="2"/>
    <s v="BRMAOTK01"/>
    <s v="BRMAOCHI"/>
    <n v="11.436796000000001"/>
    <n v="63.979500000000002"/>
    <n v="150"/>
    <n v="814.09038908544005"/>
    <n v="0"/>
    <n v="832"/>
    <n v="7"/>
    <n v="0"/>
    <n v="0"/>
    <n v="832"/>
    <m/>
    <m/>
    <n v="0"/>
    <x v="3"/>
    <s v="BRPECTK01"/>
    <s v="BRPECAPM"/>
    <n v="52.945568000000002"/>
    <n v="63.979500000000002"/>
    <n v="150"/>
    <n v="1429.11092065152"/>
    <n v="257.2399657172736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800"/>
    <n v="12795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26.293353"/>
    <n v="383.87700000000001"/>
    <n v="21354.722108488884"/>
    <n v="2562.5666530186659"/>
    <n v="110"/>
    <n v="150"/>
    <n v="1E-3"/>
    <n v="127.959"/>
    <n v="14948.305475942218"/>
    <n v="15336.264475942218"/>
    <n v="3180.9641611183101"/>
    <n v="8017.0990050869477"/>
    <n v="0.08"/>
    <n v="1026.8658560390388"/>
    <n v="0.12"/>
    <n v="1840.3517371130661"/>
    <n v="15"/>
    <n v="1"/>
  </r>
  <r>
    <n v="661"/>
    <d v="2022-12-31T00:00:00"/>
    <x v="2"/>
    <s v="CLI379"/>
    <s v="CLI379"/>
    <s v="MANAUS"/>
    <s v="AM"/>
    <s v="CLI1145"/>
    <s v="PAULINIA"/>
    <s v="SP"/>
    <n v="3827.7121339999999"/>
    <n v="0"/>
    <n v="2775.6534539999998"/>
    <n v="7000"/>
    <n v="0"/>
    <x v="0"/>
    <x v="2"/>
    <s v="BRMAOTK01"/>
    <s v="BRMAOCHI"/>
    <n v="11.436796000000001"/>
    <n v="97.166499999999999"/>
    <n v="150"/>
    <n v="847.27738908544006"/>
    <n v="0"/>
    <n v="832"/>
    <n v="7"/>
    <n v="0"/>
    <n v="0"/>
    <n v="832"/>
    <m/>
    <m/>
    <n v="0"/>
    <x v="1"/>
    <s v="BRSSZTK01"/>
    <s v="BRSSZTCO"/>
    <n v="195.69980799999999"/>
    <n v="97.166499999999999"/>
    <n v="150"/>
    <n v="3577.4361032051197"/>
    <n v="643.9384985769215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612"/>
    <n v="194333"/>
    <x v="1"/>
    <x v="27"/>
    <x v="27"/>
    <x v="23"/>
    <x v="29"/>
    <x v="24"/>
    <n v="18"/>
    <n v="17"/>
    <n v="19"/>
    <n v="19"/>
    <n v="19"/>
    <n v="18"/>
    <n v="19"/>
    <n v="209"/>
    <n v="7"/>
    <n v="180"/>
    <n v="7"/>
    <n v="180"/>
    <n v="3827.7121339999999"/>
    <n v="582.99900000000002"/>
    <n v="26996.246993508641"/>
    <n v="3239.5496392210366"/>
    <n v="110"/>
    <n v="150"/>
    <n v="1E-3"/>
    <n v="194.333"/>
    <n v="18897.372895456047"/>
    <n v="19351.705895456045"/>
    <n v="3180.9641611183101"/>
    <n v="9979.028242047174"/>
    <n v="0.08"/>
    <n v="1142.6443123670851"/>
    <n v="0.12"/>
    <n v="2322.2047074547254"/>
    <n v="15"/>
    <n v="19"/>
  </r>
  <r>
    <n v="662"/>
    <d v="2022-12-31T00:00:00"/>
    <x v="2"/>
    <s v="CLI379"/>
    <s v="CLI379"/>
    <s v="MANAUS"/>
    <s v="AM"/>
    <s v="CLI1143"/>
    <s v="CABO DE SANTO AGOSTINHO"/>
    <s v="PE"/>
    <n v="3510.0331660000002"/>
    <n v="0"/>
    <n v="2055.2547009999998"/>
    <n v="7000"/>
    <n v="0"/>
    <x v="0"/>
    <x v="2"/>
    <s v="BRMAOTK01"/>
    <s v="BRMAOCHI"/>
    <n v="11.436796000000001"/>
    <n v="93.350499999999997"/>
    <n v="150"/>
    <n v="843.46138908544003"/>
    <n v="0"/>
    <n v="832"/>
    <n v="7"/>
    <n v="0"/>
    <n v="0"/>
    <n v="832"/>
    <m/>
    <m/>
    <n v="0"/>
    <x v="2"/>
    <s v="BRSUATK01"/>
    <s v="BRSUATCO"/>
    <n v="23.080721"/>
    <n v="93.350499999999997"/>
    <n v="150"/>
    <n v="1015.9852339974401"/>
    <n v="182.87734211953921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17"/>
    <n v="18670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0.0331660000002"/>
    <n v="560.10300000000007"/>
    <n v="24816.005828979363"/>
    <n v="2977.9206994775236"/>
    <n v="110"/>
    <n v="150"/>
    <n v="1E-3"/>
    <n v="186.70099999999999"/>
    <n v="17371.204080285552"/>
    <n v="17817.905080285553"/>
    <n v="3180.9641611183101"/>
    <n v="10306.49429608436"/>
    <n v="0.08"/>
    <n v="1262.0464892066507"/>
    <n v="0.12"/>
    <n v="2138.1486096342664"/>
    <n v="15"/>
    <n v="1"/>
  </r>
  <r>
    <n v="663"/>
    <d v="2022-12-31T00:00:00"/>
    <x v="2"/>
    <s v="CLI381"/>
    <s v="CLI381"/>
    <s v="ITATIAIA"/>
    <s v="RJ"/>
    <s v="CLI779"/>
    <s v="MANAUS"/>
    <s v="AM"/>
    <n v="2718.5785584342866"/>
    <n v="2985.941699"/>
    <n v="0"/>
    <n v="7000"/>
    <n v="0"/>
    <x v="0"/>
    <x v="4"/>
    <s v="BRIGITK01"/>
    <s v="BRIGITCO"/>
    <n v="140.21667600000001"/>
    <n v="106.018"/>
    <n v="150"/>
    <n v="2764.2140102886401"/>
    <n v="552.84280205772802"/>
    <n v="704"/>
    <n v="7"/>
    <n v="0"/>
    <n v="0"/>
    <n v="704"/>
    <m/>
    <m/>
    <n v="0"/>
    <x v="0"/>
    <s v="BRMAOTK01"/>
    <s v="BRMAOCHI"/>
    <n v="11.436796000000001"/>
    <n v="106.018"/>
    <n v="150"/>
    <n v="856.12888908544005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411"/>
    <n v="21203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18.5785584342866"/>
    <n v="636.10800000000006"/>
    <n v="19517.274247184905"/>
    <n v="1366.2091973029435"/>
    <n v="110"/>
    <n v="150"/>
    <n v="1E-3"/>
    <n v="212.036"/>
    <n v="13662.091973029434"/>
    <n v="14134.127973029434"/>
    <n v="3180.9641611183101"/>
    <n v="5506.8209125370431"/>
    <n v="0.08"/>
    <n v="796.87538172781001"/>
    <n v="7.0000000000000007E-2"/>
    <n v="989.38895811206044"/>
    <n v="15"/>
    <n v="1"/>
  </r>
  <r>
    <n v="664"/>
    <d v="2022-12-31T00:00:00"/>
    <x v="2"/>
    <s v="CLI382"/>
    <s v="CLI382"/>
    <s v="LOUVEIRA"/>
    <s v="SP"/>
    <s v="CLI779"/>
    <s v="MANAUS"/>
    <s v="AM"/>
    <n v="2621.9177097254906"/>
    <n v="2812.8709169999997"/>
    <n v="0"/>
    <n v="7000"/>
    <n v="0"/>
    <x v="0"/>
    <x v="0"/>
    <s v="BRSSZTK01"/>
    <s v="BRSSZTCO"/>
    <n v="152.74309700000001"/>
    <n v="100.95950000000001"/>
    <n v="150"/>
    <n v="2944.7549807340802"/>
    <n v="530.0558965321344"/>
    <n v="640"/>
    <n v="7"/>
    <n v="0"/>
    <n v="0"/>
    <n v="640"/>
    <m/>
    <m/>
    <n v="0"/>
    <x v="0"/>
    <s v="BRMAOTK01"/>
    <s v="BRMAOCHI"/>
    <n v="11.436796000000001"/>
    <n v="100.95950000000001"/>
    <n v="150"/>
    <n v="851.0703890854400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64"/>
    <n v="201919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621.9177097254906"/>
    <n v="605.75700000000006"/>
    <n v="18830.503290037421"/>
    <n v="1318.1352303026197"/>
    <n v="110"/>
    <n v="150"/>
    <n v="1E-3"/>
    <n v="201.91900000000001"/>
    <n v="13181.352303026193"/>
    <n v="13643.271303026193"/>
    <n v="3180.9641611183101"/>
    <n v="4924.481772088362"/>
    <n v="0.08"/>
    <n v="745.39120293396309"/>
    <n v="7.0000000000000007E-2"/>
    <n v="955.02899121183361"/>
    <n v="15"/>
    <n v="2"/>
  </r>
  <r>
    <n v="665"/>
    <d v="2022-12-31T00:00:00"/>
    <x v="2"/>
    <s v="CLI383"/>
    <s v="CLI383"/>
    <s v="MANAUS"/>
    <s v="AM"/>
    <s v="CLI381"/>
    <s v="ITATIAIA"/>
    <s v="RJ"/>
    <n v="4024.8271490000002"/>
    <n v="0"/>
    <n v="2985.941699"/>
    <n v="7000"/>
    <n v="0"/>
    <x v="0"/>
    <x v="2"/>
    <s v="BRMAOTK01"/>
    <s v="BRMAOCHI"/>
    <n v="11.436796000000001"/>
    <n v="112.872"/>
    <n v="150"/>
    <n v="862.98288908543998"/>
    <n v="0"/>
    <n v="832"/>
    <n v="7"/>
    <n v="0"/>
    <n v="0"/>
    <n v="832"/>
    <m/>
    <m/>
    <n v="0"/>
    <x v="4"/>
    <s v="BRIGITK01"/>
    <s v="BRIGITCO"/>
    <n v="140.21667600000001"/>
    <n v="112.872"/>
    <n v="150"/>
    <n v="2771.0680102886399"/>
    <n v="554.21360205772805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407"/>
    <n v="225744"/>
    <x v="1"/>
    <x v="8"/>
    <x v="9"/>
    <x v="19"/>
    <x v="10"/>
    <x v="20"/>
    <n v="11"/>
    <n v="11"/>
    <n v="12"/>
    <n v="12"/>
    <n v="12"/>
    <n v="11"/>
    <n v="12"/>
    <n v="134"/>
    <n v="7"/>
    <n v="180"/>
    <n v="7"/>
    <n v="180"/>
    <n v="4024.8271490000002"/>
    <n v="677.23199999999997"/>
    <n v="28429.080175773048"/>
    <n v="3411.4896210927654"/>
    <n v="110"/>
    <n v="150"/>
    <n v="1E-3"/>
    <n v="225.744"/>
    <n v="19900.356123041132"/>
    <n v="20386.100123041131"/>
    <n v="3180.9641611183101"/>
    <n v="11740.08506254874"/>
    <n v="0.08"/>
    <n v="1295.8268497287459"/>
    <n v="0.12"/>
    <n v="2446.3320147649356"/>
    <n v="15"/>
    <n v="12"/>
  </r>
  <r>
    <n v="666"/>
    <d v="2022-12-31T00:00:00"/>
    <x v="2"/>
    <s v="CLI383"/>
    <s v="CLI383"/>
    <s v="MANAUS"/>
    <s v="AM"/>
    <s v="CLI381"/>
    <s v="ITATIAIA"/>
    <s v="RJ"/>
    <n v="4024.8271490000002"/>
    <n v="0"/>
    <n v="2985.941699"/>
    <n v="7000"/>
    <n v="0"/>
    <x v="0"/>
    <x v="2"/>
    <s v="BRMAOTK01"/>
    <s v="BRMAOCHI"/>
    <n v="11.436796000000001"/>
    <n v="105.4885"/>
    <n v="150"/>
    <n v="855.59938908544007"/>
    <n v="0"/>
    <n v="832"/>
    <n v="7"/>
    <n v="0"/>
    <n v="0"/>
    <n v="832"/>
    <m/>
    <m/>
    <n v="0"/>
    <x v="4"/>
    <s v="BRIGITK01"/>
    <s v="BRIGITCO"/>
    <n v="140.21667600000001"/>
    <n v="105.4885"/>
    <n v="150"/>
    <n v="2763.68451028864"/>
    <n v="552.736902057728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066"/>
    <n v="210977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4024.8271490000002"/>
    <n v="632.93100000000004"/>
    <n v="28384.779175773048"/>
    <n v="3406.1735010927655"/>
    <n v="110"/>
    <n v="150"/>
    <n v="1E-3"/>
    <n v="210.977"/>
    <n v="19869.345423041133"/>
    <n v="20340.322423041132"/>
    <n v="3180.9641611183101"/>
    <n v="11709.074362548741"/>
    <n v="0.08"/>
    <n v="1293.464129728746"/>
    <n v="0.12"/>
    <n v="2440.838690764936"/>
    <n v="15"/>
    <n v="3"/>
  </r>
  <r>
    <n v="667"/>
    <d v="2022-12-31T00:00:00"/>
    <x v="2"/>
    <s v="CLI384"/>
    <s v="CLI384"/>
    <s v="SAO PAULO"/>
    <s v="SP"/>
    <s v="CLI779"/>
    <s v="MANAUS"/>
    <s v="AM"/>
    <n v="2682.4745732067604"/>
    <n v="2877.9279630000001"/>
    <n v="0"/>
    <n v="7000"/>
    <n v="0"/>
    <x v="0"/>
    <x v="0"/>
    <s v="BRSSZTK01"/>
    <s v="BRSSZTCO"/>
    <n v="85.841132000000002"/>
    <n v="122.44450000000001"/>
    <n v="150"/>
    <n v="1974.9776500364801"/>
    <n v="355.49597700656642"/>
    <n v="640"/>
    <n v="7"/>
    <n v="0"/>
    <n v="0"/>
    <n v="640"/>
    <m/>
    <m/>
    <n v="0"/>
    <x v="0"/>
    <s v="BRMAOTK01"/>
    <s v="BRMAOCHI"/>
    <n v="11.436796000000001"/>
    <n v="122.44450000000001"/>
    <n v="150"/>
    <n v="872.5553890854400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050"/>
    <n v="244889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682.4745732067604"/>
    <n v="734.66700000000003"/>
    <n v="19370.652527664184"/>
    <n v="1355.9456769364931"/>
    <n v="110"/>
    <n v="150"/>
    <n v="1E-3"/>
    <n v="244.88900000000001"/>
    <n v="13559.456769364928"/>
    <n v="14064.345769364927"/>
    <n v="3180.9641611183101"/>
    <n v="6293.8485691246951"/>
    <n v="0.08"/>
    <n v="868.90534025891509"/>
    <n v="7.0000000000000007E-2"/>
    <n v="984.50420385554503"/>
    <n v="15"/>
    <n v="3"/>
  </r>
  <r>
    <n v="668"/>
    <d v="2022-12-31T00:00:00"/>
    <x v="2"/>
    <s v="CLI385"/>
    <s v="CLI385"/>
    <s v="CAMPOS DOS GOYTACAZES"/>
    <s v="RJ"/>
    <s v="CLI943"/>
    <s v="MANAUS"/>
    <s v="AM"/>
    <n v="2889.792763488359"/>
    <n v="3096.4794040000002"/>
    <n v="0"/>
    <n v="7000"/>
    <n v="0"/>
    <x v="0"/>
    <x v="4"/>
    <s v="BRIGITK01"/>
    <s v="BRIGITCO"/>
    <n v="344.09146199999998"/>
    <n v="29.936"/>
    <n v="150"/>
    <n v="5708.8713195276796"/>
    <n v="1141.7742639055359"/>
    <n v="704"/>
    <n v="7"/>
    <n v="0"/>
    <n v="0"/>
    <n v="704"/>
    <m/>
    <m/>
    <n v="0"/>
    <x v="0"/>
    <s v="BRMAOTK01"/>
    <s v="BRMAOCHI"/>
    <n v="11.436796000000001"/>
    <n v="29.936"/>
    <n v="150"/>
    <n v="780.04688908544006"/>
    <n v="0"/>
    <n v="832"/>
    <n v="7"/>
    <n v="0"/>
    <n v="0"/>
    <n v="832"/>
    <s v="BRIGIDP01"/>
    <n v="105"/>
    <n v="80"/>
    <n v="0"/>
    <n v="0"/>
    <n v="0"/>
    <n v="105"/>
    <n v="29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84"/>
    <n v="59872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889.792763488359"/>
    <n v="179.61600000000001"/>
    <n v="20223.491065138911"/>
    <n v="1415.6443745597239"/>
    <n v="75"/>
    <n v="150"/>
    <n v="1E-3"/>
    <n v="59.872"/>
    <n v="14156.443745597237"/>
    <n v="14441.315745597236"/>
    <n v="3180.9641611183101"/>
    <n v="2945.4333758658063"/>
    <n v="0.08"/>
    <n v="544.84986184628644"/>
    <n v="7.0000000000000007E-2"/>
    <n v="1010.8921021918067"/>
    <n v="15"/>
    <n v="1"/>
  </r>
  <r>
    <n v="669"/>
    <d v="2022-12-31T00:00:00"/>
    <x v="2"/>
    <s v="CLI387"/>
    <s v="CLI387"/>
    <s v="AMPARO"/>
    <s v="SP"/>
    <s v="CLI1157"/>
    <s v="SIMOES FILHO"/>
    <s v="BA"/>
    <n v="1810.570111"/>
    <n v="0"/>
    <n v="0"/>
    <n v="0"/>
    <n v="0"/>
    <x v="0"/>
    <x v="0"/>
    <s v="BRSSZTK01"/>
    <s v="BRSSZTCO"/>
    <n v="205.98463899999999"/>
    <n v="60.896500000000003"/>
    <n v="150"/>
    <n v="3693.55274159296"/>
    <n v="664.83949348673275"/>
    <n v="640"/>
    <n v="7"/>
    <n v="0"/>
    <n v="0"/>
    <n v="640"/>
    <m/>
    <m/>
    <n v="0"/>
    <x v="5"/>
    <s v="BRSSATK01"/>
    <s v="BRSSATCO"/>
    <n v="26.551053"/>
    <n v="60.896500000000003"/>
    <n v="150"/>
    <n v="1034.94989392192"/>
    <n v="186.29098090594559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814"/>
    <n v="121793"/>
    <x v="1"/>
    <x v="15"/>
    <x v="13"/>
    <x v="26"/>
    <x v="14"/>
    <x v="13"/>
    <n v="16"/>
    <n v="15"/>
    <n v="17"/>
    <n v="17"/>
    <n v="17"/>
    <n v="16"/>
    <n v="17"/>
    <n v="185"/>
    <n v="7"/>
    <n v="180"/>
    <n v="7"/>
    <n v="180"/>
    <n v="1810.570111"/>
    <n v="365.37900000000002"/>
    <n v="13080.296200996563"/>
    <n v="915.62073406975946"/>
    <n v="110"/>
    <n v="150"/>
    <n v="1E-3"/>
    <n v="121.79300000000001"/>
    <n v="9156.2073406975942"/>
    <n v="9538.0003406975939"/>
    <n v="3180.9641611183101"/>
    <n v="14.533544064403486"/>
    <n v="0.08"/>
    <n v="316.6693784632028"/>
    <n v="7.0000000000000007E-2"/>
    <n v="667.66002384883166"/>
    <n v="15"/>
    <n v="17"/>
  </r>
  <r>
    <n v="670"/>
    <d v="2022-12-31T00:00:00"/>
    <x v="2"/>
    <s v="CLI387"/>
    <s v="CLI387"/>
    <s v="AMPARO"/>
    <s v="SP"/>
    <s v="CLI568"/>
    <s v="JUAZEIRO DO NORTE"/>
    <s v="CE"/>
    <n v="2301.2437680000003"/>
    <n v="0"/>
    <n v="0"/>
    <n v="0"/>
    <n v="0"/>
    <x v="0"/>
    <x v="0"/>
    <s v="BRSSZTK01"/>
    <s v="BRSSZTCO"/>
    <n v="205.98463899999999"/>
    <n v="36.061"/>
    <n v="150"/>
    <n v="3668.7172415929604"/>
    <n v="660.3691034867328"/>
    <n v="640"/>
    <n v="7"/>
    <n v="0"/>
    <n v="0"/>
    <n v="640"/>
    <m/>
    <m/>
    <n v="0"/>
    <x v="3"/>
    <s v="BRPECTK01"/>
    <s v="BRPECAPM"/>
    <n v="516.76348499999995"/>
    <n v="36.061"/>
    <n v="150"/>
    <n v="8273.4155223903981"/>
    <n v="1489.214794030271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03"/>
    <n v="72122"/>
    <x v="1"/>
    <x v="13"/>
    <x v="12"/>
    <x v="17"/>
    <x v="7"/>
    <x v="12"/>
    <n v="7"/>
    <n v="7"/>
    <n v="8"/>
    <n v="8"/>
    <n v="8"/>
    <n v="7"/>
    <n v="8"/>
    <n v="86"/>
    <n v="7"/>
    <n v="180"/>
    <n v="7"/>
    <n v="180"/>
    <n v="2301.2437680000003"/>
    <n v="216.36600000000001"/>
    <n v="16263.428378737286"/>
    <n v="1138.4399865116102"/>
    <n v="110"/>
    <n v="150"/>
    <n v="1E-3"/>
    <n v="72.122"/>
    <n v="11384.3998651161"/>
    <n v="11716.521865116099"/>
    <n v="3180.9641611183101"/>
    <n v="-5084.5750599855692"/>
    <n v="0.08"/>
    <n v="-190.01558371074103"/>
    <n v="7.0000000000000007E-2"/>
    <n v="820.15653055812709"/>
    <n v="15"/>
    <n v="8"/>
  </r>
  <r>
    <n v="671"/>
    <d v="2022-12-31T00:00:00"/>
    <x v="2"/>
    <s v="CLI387"/>
    <s v="CLI387"/>
    <s v="AMPARO"/>
    <s v="SP"/>
    <s v="CLI907"/>
    <s v="EUSEBIO"/>
    <s v="CE"/>
    <n v="2741.7569909999997"/>
    <n v="0"/>
    <n v="0"/>
    <n v="0"/>
    <n v="0"/>
    <x v="0"/>
    <x v="0"/>
    <s v="BRSSZTK01"/>
    <s v="BRSSZTCO"/>
    <n v="205.98463899999999"/>
    <n v="97.341499999999996"/>
    <n v="150"/>
    <n v="3729.9977415929602"/>
    <n v="671.39959348673278"/>
    <n v="640"/>
    <n v="7"/>
    <n v="0"/>
    <n v="0"/>
    <n v="640"/>
    <m/>
    <m/>
    <n v="0"/>
    <x v="3"/>
    <s v="BRPECTK01"/>
    <s v="BRPECAPM"/>
    <n v="65.770497000000006"/>
    <n v="97.341499999999996"/>
    <n v="150"/>
    <n v="1652.4952766700801"/>
    <n v="297.44914980061441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258"/>
    <n v="194683"/>
    <x v="1"/>
    <x v="13"/>
    <x v="12"/>
    <x v="17"/>
    <x v="7"/>
    <x v="12"/>
    <n v="7"/>
    <n v="7"/>
    <n v="7"/>
    <n v="7"/>
    <n v="8"/>
    <n v="7"/>
    <n v="8"/>
    <n v="84"/>
    <n v="7"/>
    <n v="180"/>
    <n v="7"/>
    <n v="180"/>
    <n v="2741.7569909999997"/>
    <n v="584.04899999999998"/>
    <n v="19622.619055601357"/>
    <n v="1373.5833338920952"/>
    <n v="110"/>
    <n v="150"/>
    <n v="1E-3"/>
    <n v="194.68299999999999"/>
    <n v="13735.833338920949"/>
    <n v="14190.516338920948"/>
    <n v="3180.9641611183101"/>
    <n v="3949.0591595395967"/>
    <n v="0.08"/>
    <n v="627.13396618964487"/>
    <n v="7.0000000000000007E-2"/>
    <n v="993.33614372446652"/>
    <n v="15"/>
    <n v="8"/>
  </r>
  <r>
    <n v="672"/>
    <d v="2022-12-31T00:00:00"/>
    <x v="2"/>
    <s v="CLI387"/>
    <s v="CLI387"/>
    <s v="AMPARO"/>
    <s v="SP"/>
    <s v="CLI880"/>
    <s v="MARACANAU"/>
    <s v="CE"/>
    <n v="2738.4558399999996"/>
    <n v="0"/>
    <n v="0"/>
    <n v="0"/>
    <n v="0"/>
    <x v="0"/>
    <x v="0"/>
    <s v="BRSSZTK01"/>
    <s v="BRSSZTCO"/>
    <n v="205.98463899999999"/>
    <n v="32.552999999999997"/>
    <n v="150"/>
    <n v="3665.2092415929601"/>
    <n v="659.7376634867328"/>
    <n v="640"/>
    <n v="7"/>
    <n v="0"/>
    <n v="0"/>
    <n v="640"/>
    <m/>
    <m/>
    <n v="0"/>
    <x v="3"/>
    <s v="BRPECTK01"/>
    <s v="BRPECAPM"/>
    <n v="52.945568000000002"/>
    <n v="32.552999999999997"/>
    <n v="150"/>
    <n v="1397.6844206515202"/>
    <n v="251.58319571727364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90"/>
    <n v="65106"/>
    <x v="1"/>
    <x v="1"/>
    <x v="1"/>
    <x v="1"/>
    <x v="8"/>
    <x v="1"/>
    <n v="5"/>
    <n v="5"/>
    <n v="6"/>
    <n v="6"/>
    <n v="6"/>
    <n v="5"/>
    <n v="6"/>
    <n v="64"/>
    <n v="7"/>
    <n v="180"/>
    <n v="7"/>
    <n v="180"/>
    <n v="2738.4558399999996"/>
    <n v="195.31800000000001"/>
    <n v="19211.470071206397"/>
    <n v="1344.8029049844479"/>
    <n v="110"/>
    <n v="150"/>
    <n v="1E-3"/>
    <n v="65.105999999999995"/>
    <n v="13448.029049844477"/>
    <n v="13773.135049844477"/>
    <n v="3180.9641611183101"/>
    <n v="3851.2772264816872"/>
    <n v="0.08"/>
    <n v="623.91364227167924"/>
    <n v="7.0000000000000007E-2"/>
    <n v="964.11945348911354"/>
    <n v="15"/>
    <n v="6"/>
  </r>
  <r>
    <n v="673"/>
    <d v="2022-12-31T00:00:00"/>
    <x v="2"/>
    <s v="CLI387"/>
    <s v="CLI387"/>
    <s v="AMPARO"/>
    <s v="SP"/>
    <s v="CLI849"/>
    <s v="FORTALEZA"/>
    <s v="CE"/>
    <n v="2750.885745"/>
    <n v="0"/>
    <n v="0"/>
    <n v="0"/>
    <n v="0"/>
    <x v="0"/>
    <x v="0"/>
    <s v="BRSSZTK01"/>
    <s v="BRSSZTCO"/>
    <n v="205.98463899999999"/>
    <n v="117.526"/>
    <n v="150"/>
    <n v="3750.1822415929601"/>
    <n v="675.03280348673275"/>
    <n v="640"/>
    <n v="7"/>
    <n v="0"/>
    <n v="0"/>
    <n v="640"/>
    <m/>
    <m/>
    <n v="0"/>
    <x v="3"/>
    <s v="BRPECTK01"/>
    <s v="BRPECAPM"/>
    <n v="42.140103000000003"/>
    <n v="117.526"/>
    <n v="150"/>
    <n v="1322.55673571392"/>
    <n v="238.0602124285055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251"/>
    <n v="235052"/>
    <x v="1"/>
    <x v="5"/>
    <x v="6"/>
    <x v="5"/>
    <x v="5"/>
    <x v="6"/>
    <n v="5"/>
    <n v="4"/>
    <n v="5"/>
    <n v="5"/>
    <n v="5"/>
    <n v="5"/>
    <n v="5"/>
    <n v="54"/>
    <n v="7"/>
    <n v="180"/>
    <n v="7"/>
    <n v="180"/>
    <n v="2750.885745"/>
    <n v="705.15600000000006"/>
    <n v="19805.719058865201"/>
    <n v="1386.4003341205641"/>
    <n v="110"/>
    <n v="150"/>
    <n v="1E-3"/>
    <n v="235.05199999999999"/>
    <n v="13864.00334120564"/>
    <n v="14359.05534120564"/>
    <n v="3180.9641611183101"/>
    <n v="4427.3522027804484"/>
    <n v="0.08"/>
    <n v="669.85786783868173"/>
    <n v="7.0000000000000007E-2"/>
    <n v="1005.1338738843949"/>
    <n v="15"/>
    <n v="5"/>
  </r>
  <r>
    <n v="674"/>
    <d v="2022-12-31T00:00:00"/>
    <x v="2"/>
    <s v="CLI387"/>
    <s v="CLI387"/>
    <s v="AMPARO"/>
    <s v="SP"/>
    <s v="CLI1087"/>
    <s v="BAYEUX"/>
    <s v="PB"/>
    <n v="2617.7531480000002"/>
    <n v="0"/>
    <n v="0"/>
    <n v="0"/>
    <n v="0"/>
    <x v="0"/>
    <x v="0"/>
    <s v="BRSSZTK01"/>
    <s v="BRSSZTCO"/>
    <n v="205.98463899999999"/>
    <n v="117.7445"/>
    <n v="150"/>
    <n v="3750.40074159296"/>
    <n v="675.07213348673281"/>
    <n v="640"/>
    <n v="7"/>
    <n v="0"/>
    <n v="0"/>
    <n v="640"/>
    <m/>
    <m/>
    <n v="0"/>
    <x v="2"/>
    <s v="BRSUATK01"/>
    <s v="BRSUATCO"/>
    <n v="165.585914"/>
    <n v="117.7445"/>
    <n v="150"/>
    <n v="3151.8273768089598"/>
    <n v="378.21928521707514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549"/>
    <n v="235489"/>
    <x v="1"/>
    <x v="5"/>
    <x v="6"/>
    <x v="5"/>
    <x v="5"/>
    <x v="6"/>
    <n v="4"/>
    <n v="4"/>
    <n v="4"/>
    <n v="4"/>
    <n v="4"/>
    <n v="4"/>
    <n v="4"/>
    <n v="48"/>
    <n v="7"/>
    <n v="180"/>
    <n v="7"/>
    <n v="180"/>
    <n v="2617.7531480000002"/>
    <n v="706.46699999999998"/>
    <n v="18902.931917942082"/>
    <n v="1323.2052342559459"/>
    <n v="110"/>
    <n v="150"/>
    <n v="1E-3"/>
    <n v="235.489"/>
    <n v="13232.052342559457"/>
    <n v="13727.541342559456"/>
    <n v="3180.9641611183101"/>
    <n v="1390.3490630392266"/>
    <n v="0.08"/>
    <n v="461.76174443629833"/>
    <n v="7.0000000000000007E-2"/>
    <n v="960.92789397916204"/>
    <n v="15"/>
    <n v="4"/>
  </r>
  <r>
    <n v="675"/>
    <d v="2022-12-31T00:00:00"/>
    <x v="2"/>
    <s v="CLI387"/>
    <s v="CLI387"/>
    <s v="AMPARO"/>
    <s v="SP"/>
    <s v="CLI1021"/>
    <s v="MARACANAU"/>
    <s v="CE"/>
    <n v="2738.4558399999996"/>
    <n v="0"/>
    <n v="0"/>
    <n v="0"/>
    <n v="0"/>
    <x v="0"/>
    <x v="0"/>
    <s v="BRSSZTK01"/>
    <s v="BRSSZTCO"/>
    <n v="205.98463899999999"/>
    <n v="117.13800000000001"/>
    <n v="150"/>
    <n v="3749.7942415929601"/>
    <n v="674.96296348673275"/>
    <n v="640"/>
    <n v="7"/>
    <n v="0"/>
    <n v="0"/>
    <n v="640"/>
    <m/>
    <m/>
    <n v="0"/>
    <x v="3"/>
    <s v="BRPECTK01"/>
    <s v="BRPECAPM"/>
    <n v="52.945568000000002"/>
    <n v="117.13800000000001"/>
    <n v="150"/>
    <n v="1482.26942065152"/>
    <n v="266.80849571727362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585"/>
    <n v="234276"/>
    <x v="1"/>
    <x v="5"/>
    <x v="5"/>
    <x v="5"/>
    <x v="5"/>
    <x v="0"/>
    <n v="4"/>
    <n v="4"/>
    <n v="4"/>
    <n v="4"/>
    <n v="4"/>
    <n v="4"/>
    <n v="4"/>
    <n v="46"/>
    <n v="7"/>
    <n v="180"/>
    <n v="7"/>
    <n v="180"/>
    <n v="2738.4558399999996"/>
    <n v="702.82799999999997"/>
    <n v="19718.980071206399"/>
    <n v="1380.328604984448"/>
    <n v="110"/>
    <n v="150"/>
    <n v="1E-3"/>
    <n v="234.27600000000001"/>
    <n v="13803.286049844479"/>
    <n v="14297.562049844479"/>
    <n v="3180.9641611183101"/>
    <n v="4206.5342264816882"/>
    <n v="0.08"/>
    <n v="649.89815427167946"/>
    <n v="7.0000000000000007E-2"/>
    <n v="1000.8293434891136"/>
    <n v="15"/>
    <n v="4"/>
  </r>
  <r>
    <n v="676"/>
    <d v="2022-12-31T00:00:00"/>
    <x v="2"/>
    <s v="CLI387"/>
    <s v="CLI387"/>
    <s v="AMPARO"/>
    <s v="SP"/>
    <s v="CLI906"/>
    <s v="FORTALEZA"/>
    <s v="CE"/>
    <n v="2750.885745"/>
    <n v="0"/>
    <n v="0"/>
    <n v="0"/>
    <n v="0"/>
    <x v="0"/>
    <x v="0"/>
    <s v="BRSSZTK01"/>
    <s v="BRSSZTCO"/>
    <n v="205.98463899999999"/>
    <n v="83.383499999999998"/>
    <n v="150"/>
    <n v="3716.0397415929601"/>
    <n v="668.88715348673281"/>
    <n v="640"/>
    <n v="7"/>
    <n v="0"/>
    <n v="0"/>
    <n v="640"/>
    <m/>
    <m/>
    <n v="0"/>
    <x v="3"/>
    <s v="BRPECTK01"/>
    <s v="BRPECAPM"/>
    <n v="42.140103000000003"/>
    <n v="83.383499999999998"/>
    <n v="150"/>
    <n v="1288.4142357139199"/>
    <n v="231.91456242850558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731"/>
    <n v="166767"/>
    <x v="1"/>
    <x v="5"/>
    <x v="5"/>
    <x v="5"/>
    <x v="0"/>
    <x v="0"/>
    <n v="4"/>
    <n v="4"/>
    <n v="4"/>
    <n v="4"/>
    <n v="4"/>
    <n v="4"/>
    <n v="4"/>
    <n v="45"/>
    <n v="7"/>
    <n v="180"/>
    <n v="7"/>
    <n v="180"/>
    <n v="2750.885745"/>
    <n v="500.30099999999999"/>
    <n v="19600.864058865202"/>
    <n v="1372.0604841205643"/>
    <n v="110"/>
    <n v="150"/>
    <n v="1E-3"/>
    <n v="166.767"/>
    <n v="13720.604841205641"/>
    <n v="14147.371841205641"/>
    <n v="3180.9641611183101"/>
    <n v="4283.9537027804508"/>
    <n v="0.08"/>
    <n v="659.36929183868199"/>
    <n v="7.0000000000000007E-2"/>
    <n v="990.31602888439488"/>
    <n v="15"/>
    <n v="4"/>
  </r>
  <r>
    <n v="677"/>
    <d v="2022-12-31T00:00:00"/>
    <x v="2"/>
    <s v="CLI387"/>
    <s v="CLI387"/>
    <s v="AMPARO"/>
    <s v="SP"/>
    <s v="CLI1108"/>
    <s v="FORTALEZA"/>
    <s v="CE"/>
    <n v="2750.885745"/>
    <n v="0"/>
    <n v="0"/>
    <n v="0"/>
    <n v="0"/>
    <x v="0"/>
    <x v="0"/>
    <s v="BRSSZTK01"/>
    <s v="BRSSZTCO"/>
    <n v="205.98463899999999"/>
    <n v="34.164999999999999"/>
    <n v="150"/>
    <n v="3666.8212415929602"/>
    <n v="660.02782348673281"/>
    <n v="640"/>
    <n v="7"/>
    <n v="0"/>
    <n v="0"/>
    <n v="640"/>
    <m/>
    <m/>
    <n v="0"/>
    <x v="3"/>
    <s v="BRPECTK01"/>
    <s v="BRPECAPM"/>
    <n v="42.140103000000003"/>
    <n v="34.164999999999999"/>
    <n v="150"/>
    <n v="1239.1957357139199"/>
    <n v="223.05523242850558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883"/>
    <n v="68330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2750.885745"/>
    <n v="204.99"/>
    <n v="19305.553058865204"/>
    <n v="1351.3887141205644"/>
    <n v="110"/>
    <n v="150"/>
    <n v="1E-3"/>
    <n v="68.33"/>
    <n v="13513.887141205641"/>
    <n v="13842.217141205641"/>
    <n v="3180.9641611183101"/>
    <n v="4077.2360027804521"/>
    <n v="0.08"/>
    <n v="644.24936863868197"/>
    <n v="7.0000000000000007E-2"/>
    <n v="968.95519988439503"/>
    <n v="15"/>
    <n v="3"/>
  </r>
  <r>
    <n v="678"/>
    <d v="2022-12-31T00:00:00"/>
    <x v="2"/>
    <s v="CLI387"/>
    <s v="CLI387"/>
    <s v="AMPARO"/>
    <s v="SP"/>
    <s v="CLI1137"/>
    <s v="FORTALEZA"/>
    <s v="CE"/>
    <n v="2750.885745"/>
    <n v="0"/>
    <n v="0"/>
    <n v="0"/>
    <n v="0"/>
    <x v="0"/>
    <x v="0"/>
    <s v="BRSSZTK01"/>
    <s v="BRSSZTCO"/>
    <n v="205.98463899999999"/>
    <n v="107.4545"/>
    <n v="150"/>
    <n v="3740.11074159296"/>
    <n v="673.21993348673277"/>
    <n v="640"/>
    <n v="7"/>
    <n v="0"/>
    <n v="0"/>
    <n v="640"/>
    <m/>
    <m/>
    <n v="0"/>
    <x v="3"/>
    <s v="BRPECTK01"/>
    <s v="BRPECAPM"/>
    <n v="42.140103000000003"/>
    <n v="107.4545"/>
    <n v="150"/>
    <n v="1312.48523571392"/>
    <n v="236.24734242850559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317"/>
    <n v="214909"/>
    <x v="1"/>
    <x v="0"/>
    <x v="0"/>
    <x v="4"/>
    <x v="2"/>
    <x v="2"/>
    <n v="3"/>
    <n v="3"/>
    <n v="3"/>
    <n v="3"/>
    <n v="3"/>
    <n v="3"/>
    <n v="3"/>
    <n v="33"/>
    <n v="7"/>
    <n v="180"/>
    <n v="7"/>
    <n v="180"/>
    <n v="2750.885745"/>
    <n v="644.72699999999998"/>
    <n v="19745.290058865201"/>
    <n v="1382.1703041205642"/>
    <n v="110"/>
    <n v="150"/>
    <n v="1E-3"/>
    <n v="214.90899999999999"/>
    <n v="13821.703041205639"/>
    <n v="14296.612041205639"/>
    <n v="3180.9641611183101"/>
    <n v="4385.0519027804476"/>
    <n v="0.08"/>
    <n v="666.76390303868163"/>
    <n v="7.0000000000000007E-2"/>
    <n v="1000.7628428843948"/>
    <n v="15"/>
    <n v="3"/>
  </r>
  <r>
    <n v="679"/>
    <d v="2022-12-31T00:00:00"/>
    <x v="2"/>
    <s v="CLI387"/>
    <s v="CLI387"/>
    <s v="AMPARO"/>
    <s v="SP"/>
    <s v="CLI850"/>
    <s v="MARACANAU"/>
    <s v="CE"/>
    <n v="2738.4558399999996"/>
    <n v="0"/>
    <n v="0"/>
    <n v="0"/>
    <n v="0"/>
    <x v="0"/>
    <x v="0"/>
    <s v="BRSSZTK01"/>
    <s v="BRSSZTCO"/>
    <n v="205.98463899999999"/>
    <n v="85.853499999999997"/>
    <n v="150"/>
    <n v="3718.5097415929604"/>
    <n v="669.33175348673285"/>
    <n v="640"/>
    <n v="7"/>
    <n v="0"/>
    <n v="0"/>
    <n v="640"/>
    <m/>
    <m/>
    <n v="0"/>
    <x v="3"/>
    <s v="BRPECTK01"/>
    <s v="BRPECAPM"/>
    <n v="52.945568000000002"/>
    <n v="85.853499999999997"/>
    <n v="150"/>
    <n v="1450.98492065152"/>
    <n v="261.17728571727361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462"/>
    <n v="171707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738.4558399999996"/>
    <n v="515.12099999999998"/>
    <n v="19531.273071206397"/>
    <n v="1367.189114984448"/>
    <n v="110"/>
    <n v="150"/>
    <n v="1E-3"/>
    <n v="171.70699999999999"/>
    <n v="13671.891149844478"/>
    <n v="14103.598149844478"/>
    <n v="3180.9641611183101"/>
    <n v="4075.1393264816875"/>
    <n v="0.08"/>
    <n v="640.2875558716795"/>
    <n v="7.0000000000000007E-2"/>
    <n v="987.25187048911357"/>
    <n v="15"/>
    <n v="3"/>
  </r>
  <r>
    <n v="680"/>
    <d v="2022-12-31T00:00:00"/>
    <x v="2"/>
    <s v="CLI387"/>
    <s v="CLI387"/>
    <s v="AMPARO"/>
    <s v="SP"/>
    <s v="CLI566"/>
    <s v="CAMPINA GRANDE"/>
    <s v="PB"/>
    <n v="2517.8099160000002"/>
    <n v="0"/>
    <n v="0"/>
    <n v="0"/>
    <n v="0"/>
    <x v="0"/>
    <x v="0"/>
    <s v="BRSSZTK01"/>
    <s v="BRSSZTCO"/>
    <n v="205.98463899999999"/>
    <n v="54.393500000000003"/>
    <n v="150"/>
    <n v="3687.0497415929603"/>
    <n v="663.66895348673279"/>
    <n v="640"/>
    <n v="7"/>
    <n v="0"/>
    <n v="0"/>
    <n v="640"/>
    <m/>
    <m/>
    <n v="0"/>
    <x v="2"/>
    <s v="BRSUATK01"/>
    <s v="BRSUATCO"/>
    <n v="220.11418"/>
    <n v="54.393500000000003"/>
    <n v="150"/>
    <n v="3896.4020639552"/>
    <n v="467.5682476746239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001"/>
    <n v="108787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517.8099160000002"/>
    <n v="326.36099999999999"/>
    <n v="17844.115427159366"/>
    <n v="1249.0880799011557"/>
    <n v="110"/>
    <n v="150"/>
    <n v="1E-3"/>
    <n v="108.78700000000001"/>
    <n v="12490.880799011555"/>
    <n v="12859.667799011555"/>
    <n v="3180.9641611183101"/>
    <n v="-158.74816765491551"/>
    <n v="0.08"/>
    <n v="331.59830338416299"/>
    <n v="7.0000000000000007E-2"/>
    <n v="900.17674593080892"/>
    <n v="15"/>
    <n v="3"/>
  </r>
  <r>
    <n v="681"/>
    <d v="2022-12-31T00:00:00"/>
    <x v="2"/>
    <s v="CLI387"/>
    <s v="CLI387"/>
    <s v="AMPARO"/>
    <s v="SP"/>
    <s v="CLI706"/>
    <s v="RECIFE"/>
    <s v="PE"/>
    <n v="2529.6197850000003"/>
    <n v="0"/>
    <n v="0"/>
    <n v="0"/>
    <n v="0"/>
    <x v="0"/>
    <x v="0"/>
    <s v="BRSSZTK01"/>
    <s v="BRSSZTCO"/>
    <n v="205.98463899999999"/>
    <n v="58.648000000000003"/>
    <n v="150"/>
    <n v="3691.3042415929604"/>
    <n v="664.43476348673289"/>
    <n v="640"/>
    <n v="7"/>
    <n v="0"/>
    <n v="0"/>
    <n v="640"/>
    <m/>
    <m/>
    <n v="0"/>
    <x v="2"/>
    <s v="BRSUATK01"/>
    <s v="BRSUATCO"/>
    <n v="51.681188999999996"/>
    <n v="58.648000000000003"/>
    <n v="150"/>
    <n v="1405.0455721849598"/>
    <n v="252.9082029932927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987"/>
    <n v="11729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529.6197850000003"/>
    <n v="351.88800000000003"/>
    <n v="17949.842775143603"/>
    <n v="1256.4889942600523"/>
    <n v="110"/>
    <n v="150"/>
    <n v="1E-3"/>
    <n v="117.29600000000001"/>
    <n v="12564.889942600521"/>
    <n v="12942.185942600521"/>
    <n v="3180.9641611183101"/>
    <n v="2410.8719677042923"/>
    <n v="0.08"/>
    <n v="554.2794529874061"/>
    <n v="7.0000000000000007E-2"/>
    <n v="905.95301598203662"/>
    <n v="15"/>
    <n v="2"/>
  </r>
  <r>
    <n v="682"/>
    <d v="2022-12-31T00:00:00"/>
    <x v="2"/>
    <s v="CLI387"/>
    <s v="CLI387"/>
    <s v="AMPARO"/>
    <s v="SP"/>
    <s v="CLI1021"/>
    <s v="MARACANAU"/>
    <s v="CE"/>
    <n v="2738.4558399999996"/>
    <n v="0"/>
    <n v="0"/>
    <n v="0"/>
    <n v="0"/>
    <x v="0"/>
    <x v="0"/>
    <s v="BRSSZTK01"/>
    <s v="BRSSZTCO"/>
    <n v="205.98463899999999"/>
    <n v="98.389499999999998"/>
    <n v="150"/>
    <n v="3731.0457415929604"/>
    <n v="671.58823348673286"/>
    <n v="640"/>
    <n v="7"/>
    <n v="0"/>
    <n v="0"/>
    <n v="640"/>
    <m/>
    <m/>
    <n v="0"/>
    <x v="3"/>
    <s v="BRPECTK01"/>
    <s v="BRPECAPM"/>
    <n v="52.945568000000002"/>
    <n v="98.389499999999998"/>
    <n v="150"/>
    <n v="1463.5209206515201"/>
    <n v="263.43376571727362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751"/>
    <n v="196779"/>
    <x v="1"/>
    <x v="3"/>
    <x v="2"/>
    <x v="2"/>
    <x v="3"/>
    <x v="3"/>
    <n v="2"/>
    <n v="1"/>
    <n v="2"/>
    <n v="2"/>
    <n v="2"/>
    <n v="2"/>
    <n v="2"/>
    <n v="18"/>
    <n v="7"/>
    <n v="180"/>
    <n v="7"/>
    <n v="180"/>
    <n v="2738.4558399999996"/>
    <n v="590.33699999999999"/>
    <n v="19606.489071206397"/>
    <n v="1372.454234984448"/>
    <n v="110"/>
    <n v="150"/>
    <n v="1E-3"/>
    <n v="196.779"/>
    <n v="13724.542349844478"/>
    <n v="14181.321349844478"/>
    <n v="3180.9641611183101"/>
    <n v="4127.7905264816873"/>
    <n v="0.08"/>
    <n v="644.13861507167951"/>
    <n v="7.0000000000000007E-2"/>
    <n v="992.69249448911353"/>
    <n v="15"/>
    <n v="2"/>
  </r>
  <r>
    <n v="683"/>
    <d v="2022-12-31T00:00:00"/>
    <x v="2"/>
    <s v="CLI387"/>
    <s v="CLI387"/>
    <s v="AMPARO"/>
    <s v="SP"/>
    <s v="CLI558"/>
    <s v="BAYEUX"/>
    <s v="PB"/>
    <n v="2617.7531480000002"/>
    <n v="0"/>
    <n v="0"/>
    <n v="0"/>
    <n v="0"/>
    <x v="0"/>
    <x v="0"/>
    <s v="BRSSZTK01"/>
    <s v="BRSSZTCO"/>
    <n v="205.98463899999999"/>
    <n v="98.492999999999995"/>
    <n v="150"/>
    <n v="3731.1492415929602"/>
    <n v="671.60686348673278"/>
    <n v="640"/>
    <n v="7"/>
    <n v="0"/>
    <n v="0"/>
    <n v="640"/>
    <m/>
    <m/>
    <n v="0"/>
    <x v="2"/>
    <s v="BRSUATK01"/>
    <s v="BRSUATCO"/>
    <n v="165.585914"/>
    <n v="98.492999999999995"/>
    <n v="150"/>
    <n v="3132.5758768089599"/>
    <n v="375.9091052170751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921"/>
    <n v="196986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2617.7531480000002"/>
    <n v="590.95799999999997"/>
    <n v="18787.42291794208"/>
    <n v="1315.1196042559457"/>
    <n v="110"/>
    <n v="150"/>
    <n v="1E-3"/>
    <n v="196.98599999999999"/>
    <n v="13151.196042559455"/>
    <n v="13608.182042559456"/>
    <n v="3180.9641611183101"/>
    <n v="1309.4927630392253"/>
    <n v="0.08"/>
    <n v="455.75527643629817"/>
    <n v="7.0000000000000007E-2"/>
    <n v="952.57274297916206"/>
    <n v="15"/>
    <n v="2"/>
  </r>
  <r>
    <n v="684"/>
    <d v="2022-12-31T00:00:00"/>
    <x v="2"/>
    <s v="CLI387"/>
    <s v="CLI387"/>
    <s v="AMPARO"/>
    <s v="SP"/>
    <s v="CLI760"/>
    <s v="SOBRAL"/>
    <s v="CE"/>
    <n v="2736.0459100000003"/>
    <n v="0"/>
    <n v="0"/>
    <n v="0"/>
    <n v="0"/>
    <x v="0"/>
    <x v="0"/>
    <s v="BRSSZTK01"/>
    <s v="BRSSZTCO"/>
    <n v="205.98463899999999"/>
    <n v="53.172499999999999"/>
    <n v="150"/>
    <n v="3685.8287415929603"/>
    <n v="663.44917348673289"/>
    <n v="640"/>
    <n v="7"/>
    <n v="0"/>
    <n v="0"/>
    <n v="640"/>
    <m/>
    <m/>
    <n v="0"/>
    <x v="3"/>
    <s v="BRPECTK01"/>
    <s v="BRPECAPM"/>
    <n v="210.270591"/>
    <n v="53.172499999999999"/>
    <n v="150"/>
    <n v="3749.3321494342404"/>
    <n v="674.87978689816327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117"/>
    <n v="10634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36.0459100000003"/>
    <n v="319.03500000000003"/>
    <n v="19318.821332973603"/>
    <n v="1352.3174933081523"/>
    <n v="110"/>
    <n v="150"/>
    <n v="1E-3"/>
    <n v="106.345"/>
    <n v="13523.174933081522"/>
    <n v="13889.519933081521"/>
    <n v="3180.9641611183101"/>
    <n v="1595.3948809360104"/>
    <n v="0.08"/>
    <n v="409.28240653355391"/>
    <n v="7.0000000000000007E-2"/>
    <n v="972.26639531570663"/>
    <n v="15"/>
    <n v="1"/>
  </r>
  <r>
    <n v="685"/>
    <d v="2022-12-31T00:00:00"/>
    <x v="2"/>
    <s v="CLI387"/>
    <s v="CLI387"/>
    <s v="AMPARO"/>
    <s v="SP"/>
    <s v="CLI946"/>
    <s v="FORTALEZA"/>
    <s v="CE"/>
    <n v="2750.885745"/>
    <n v="0"/>
    <n v="0"/>
    <n v="0"/>
    <n v="0"/>
    <x v="0"/>
    <x v="0"/>
    <s v="BRSSZTK01"/>
    <s v="BRSSZTCO"/>
    <n v="205.98463899999999"/>
    <n v="88.673000000000002"/>
    <n v="150"/>
    <n v="3721.32924159296"/>
    <n v="669.83926348673276"/>
    <n v="640"/>
    <n v="7"/>
    <n v="0"/>
    <n v="0"/>
    <n v="640"/>
    <m/>
    <m/>
    <n v="0"/>
    <x v="3"/>
    <s v="BRPECTK01"/>
    <s v="BRPECAPM"/>
    <n v="42.140103000000003"/>
    <n v="88.673000000000002"/>
    <n v="150"/>
    <n v="1293.70373571392"/>
    <n v="232.86667242850558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206"/>
    <n v="17734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50.885745"/>
    <n v="532.03800000000001"/>
    <n v="19632.601058865203"/>
    <n v="1374.2820741205644"/>
    <n v="110"/>
    <n v="150"/>
    <n v="1E-3"/>
    <n v="177.346"/>
    <n v="13742.820741205642"/>
    <n v="14180.166741205641"/>
    <n v="3180.9641611183101"/>
    <n v="4306.1696027804501"/>
    <n v="0.08"/>
    <n v="660.9942262386819"/>
    <n v="7.0000000000000007E-2"/>
    <n v="992.61167188439504"/>
    <n v="15"/>
    <n v="1"/>
  </r>
  <r>
    <n v="686"/>
    <d v="2022-12-31T00:00:00"/>
    <x v="2"/>
    <s v="CLI387"/>
    <s v="CLI387"/>
    <s v="AMPARO"/>
    <s v="SP"/>
    <s v="CLI1241"/>
    <s v="FORTALEZA"/>
    <s v="CE"/>
    <n v="2750.885745"/>
    <n v="0"/>
    <n v="0"/>
    <n v="0"/>
    <n v="0"/>
    <x v="0"/>
    <x v="0"/>
    <s v="BRSSZTK01"/>
    <s v="BRSSZTCO"/>
    <n v="205.98463899999999"/>
    <n v="109.238"/>
    <n v="150"/>
    <n v="3741.89424159296"/>
    <n v="673.54096348673284"/>
    <n v="640"/>
    <n v="7"/>
    <n v="0"/>
    <n v="0"/>
    <n v="640"/>
    <m/>
    <m/>
    <n v="0"/>
    <x v="3"/>
    <s v="BRPECTK01"/>
    <s v="BRPECAPM"/>
    <n v="42.140103000000003"/>
    <n v="109.238"/>
    <n v="150"/>
    <n v="1314.26873571392"/>
    <n v="236.568372428505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207"/>
    <n v="21847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50.885745"/>
    <n v="655.428"/>
    <n v="19755.991058865202"/>
    <n v="1382.9193741205643"/>
    <n v="110"/>
    <n v="150"/>
    <n v="1E-3"/>
    <n v="218.476"/>
    <n v="13829.193741205641"/>
    <n v="14307.669741205642"/>
    <n v="3180.9641611183101"/>
    <n v="4392.5426027804515"/>
    <n v="0.08"/>
    <n v="667.31179423868195"/>
    <n v="7.0000000000000007E-2"/>
    <n v="1001.536881884395"/>
    <n v="15"/>
    <n v="1"/>
  </r>
  <r>
    <n v="687"/>
    <d v="2022-12-31T00:00:00"/>
    <x v="2"/>
    <s v="CLI387"/>
    <s v="CLI387"/>
    <s v="AMPARO"/>
    <s v="SP"/>
    <s v="CLI703"/>
    <s v="FORTALEZA"/>
    <s v="CE"/>
    <n v="2750.885745"/>
    <n v="0"/>
    <n v="0"/>
    <n v="0"/>
    <n v="0"/>
    <x v="0"/>
    <x v="0"/>
    <s v="BRSSZTK01"/>
    <s v="BRSSZTCO"/>
    <n v="205.98463899999999"/>
    <n v="123.9525"/>
    <n v="150"/>
    <n v="3756.6087415929601"/>
    <n v="676.1895734867328"/>
    <n v="640"/>
    <n v="7"/>
    <n v="0"/>
    <n v="0"/>
    <n v="640"/>
    <m/>
    <m/>
    <n v="0"/>
    <x v="3"/>
    <s v="BRPECTK01"/>
    <s v="BRPECAPM"/>
    <n v="42.140103000000003"/>
    <n v="123.9525"/>
    <n v="150"/>
    <n v="1328.9832357139201"/>
    <n v="239.21698242850562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282"/>
    <n v="24790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50.885745"/>
    <n v="743.71500000000003"/>
    <n v="19844.278058865202"/>
    <n v="1389.0994641205643"/>
    <n v="110"/>
    <n v="150"/>
    <n v="1E-3"/>
    <n v="247.905"/>
    <n v="13890.994641205642"/>
    <n v="14398.899641205642"/>
    <n v="3180.9641611183101"/>
    <n v="4454.3435027804517"/>
    <n v="0.08"/>
    <n v="671.83208863868208"/>
    <n v="7.0000000000000007E-2"/>
    <n v="1007.9229748843951"/>
    <n v="15"/>
    <n v="1"/>
  </r>
  <r>
    <n v="688"/>
    <d v="2022-12-31T00:00:00"/>
    <x v="2"/>
    <s v="CLI387"/>
    <s v="CLI387"/>
    <s v="AMPARO"/>
    <s v="SP"/>
    <s v="CLI944"/>
    <s v="FORTALEZA"/>
    <s v="CE"/>
    <n v="2750.885745"/>
    <n v="0"/>
    <n v="0"/>
    <n v="0"/>
    <n v="0"/>
    <x v="0"/>
    <x v="0"/>
    <s v="BRSSZTK01"/>
    <s v="BRSSZTCO"/>
    <n v="205.98463899999999"/>
    <n v="38.154499999999999"/>
    <n v="150"/>
    <n v="3670.8107415929603"/>
    <n v="660.74593348673284"/>
    <n v="640"/>
    <n v="7"/>
    <n v="0"/>
    <n v="0"/>
    <n v="640"/>
    <m/>
    <m/>
    <n v="0"/>
    <x v="3"/>
    <s v="BRPECTK01"/>
    <s v="BRPECAPM"/>
    <n v="42.140103000000003"/>
    <n v="38.154499999999999"/>
    <n v="150"/>
    <n v="1243.1852357139201"/>
    <n v="223.773342428505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46"/>
    <n v="7630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50.885745"/>
    <n v="228.92699999999999"/>
    <n v="19329.490058865202"/>
    <n v="1353.0643041205642"/>
    <n v="110"/>
    <n v="150"/>
    <n v="1E-3"/>
    <n v="76.308999999999997"/>
    <n v="13530.64304120564"/>
    <n v="13866.952041205639"/>
    <n v="3180.9641611183101"/>
    <n v="4093.9919027804485"/>
    <n v="0.08"/>
    <n v="645.47494303868166"/>
    <n v="7.0000000000000007E-2"/>
    <n v="970.68664288439481"/>
    <n v="15"/>
    <n v="1"/>
  </r>
  <r>
    <n v="689"/>
    <d v="2022-12-31T00:00:00"/>
    <x v="2"/>
    <s v="CLI387"/>
    <s v="CLI387"/>
    <s v="AMPARO"/>
    <s v="SP"/>
    <s v="CLI768"/>
    <s v="JAGUARIBE"/>
    <s v="CE"/>
    <n v="2482.6947149999996"/>
    <n v="0"/>
    <n v="0"/>
    <n v="0"/>
    <n v="0"/>
    <x v="0"/>
    <x v="0"/>
    <s v="BRSSZTK01"/>
    <s v="BRSSZTCO"/>
    <n v="205.98463899999999"/>
    <n v="56.832500000000003"/>
    <n v="150"/>
    <n v="3689.4887415929602"/>
    <n v="664.10797348673282"/>
    <n v="640"/>
    <n v="7"/>
    <n v="0"/>
    <n v="0"/>
    <n v="640"/>
    <m/>
    <m/>
    <n v="0"/>
    <x v="3"/>
    <s v="BRPECTK01"/>
    <s v="BRPECAPM"/>
    <n v="331.83138299999996"/>
    <n v="56.832500000000003"/>
    <n v="150"/>
    <n v="5554.1146426131209"/>
    <n v="999.74063567036171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254"/>
    <n v="11366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82.6947149999996"/>
    <n v="340.995"/>
    <n v="17620.283501776401"/>
    <n v="1233.4198451243483"/>
    <n v="110"/>
    <n v="150"/>
    <n v="1E-3"/>
    <n v="113.66500000000001"/>
    <n v="12334.198451243479"/>
    <n v="12707.86345124348"/>
    <n v="3180.9641611183101"/>
    <n v="-1394.7040940809115"/>
    <n v="0.08"/>
    <n v="144.03291663042432"/>
    <n v="7.0000000000000007E-2"/>
    <n v="889.55044158704368"/>
    <n v="15"/>
    <n v="1"/>
  </r>
  <r>
    <n v="690"/>
    <d v="2022-12-31T00:00:00"/>
    <x v="2"/>
    <s v="CLI387"/>
    <s v="CLI387"/>
    <s v="AMPARO"/>
    <s v="SP"/>
    <s v="CLI489"/>
    <s v="RECIFE"/>
    <s v="PE"/>
    <n v="2529.6197850000003"/>
    <n v="0"/>
    <n v="0"/>
    <n v="0"/>
    <n v="0"/>
    <x v="0"/>
    <x v="0"/>
    <s v="BRSSZTK01"/>
    <s v="BRSSZTCO"/>
    <n v="205.98463899999999"/>
    <n v="43.307499999999997"/>
    <n v="150"/>
    <n v="3675.9637415929601"/>
    <n v="661.67347348673275"/>
    <n v="640"/>
    <n v="7"/>
    <n v="0"/>
    <n v="0"/>
    <n v="640"/>
    <m/>
    <m/>
    <n v="0"/>
    <x v="2"/>
    <s v="BRSUATK01"/>
    <s v="BRSUATCO"/>
    <n v="51.681188999999996"/>
    <n v="43.307499999999997"/>
    <n v="150"/>
    <n v="1389.7050721849598"/>
    <n v="250.14691299329274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37"/>
    <n v="8661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29.6197850000003"/>
    <n v="259.84500000000003"/>
    <n v="17857.799775143605"/>
    <n v="1250.0459842600524"/>
    <n v="110"/>
    <n v="150"/>
    <n v="1E-3"/>
    <n v="86.614999999999995"/>
    <n v="12500.459842600523"/>
    <n v="12847.074842600523"/>
    <n v="3180.9641611183101"/>
    <n v="2346.4418677042918"/>
    <n v="0.08"/>
    <n v="549.56685138740602"/>
    <n v="7.0000000000000007E-2"/>
    <n v="899.29523898203672"/>
    <n v="15"/>
    <n v="1"/>
  </r>
  <r>
    <n v="691"/>
    <d v="2022-12-31T00:00:00"/>
    <x v="2"/>
    <s v="CLI387"/>
    <s v="CLI387"/>
    <s v="AMPARO"/>
    <s v="SP"/>
    <s v="CLI754"/>
    <s v="BAYEUX"/>
    <s v="PB"/>
    <n v="2617.7531480000002"/>
    <n v="0"/>
    <n v="0"/>
    <n v="0"/>
    <n v="0"/>
    <x v="0"/>
    <x v="0"/>
    <s v="BRSSZTK01"/>
    <s v="BRSSZTCO"/>
    <n v="205.98463899999999"/>
    <n v="106.2615"/>
    <n v="150"/>
    <n v="3738.9177415929603"/>
    <n v="673.00519348673288"/>
    <n v="640"/>
    <n v="7"/>
    <n v="0"/>
    <n v="0"/>
    <n v="640"/>
    <m/>
    <m/>
    <n v="0"/>
    <x v="2"/>
    <s v="BRSUATK01"/>
    <s v="BRSUATCO"/>
    <n v="165.585914"/>
    <n v="106.2615"/>
    <n v="150"/>
    <n v="3140.3443768089601"/>
    <n v="376.8413252170752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805"/>
    <n v="21252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7.7531480000002"/>
    <n v="637.56899999999996"/>
    <n v="18834.033917942081"/>
    <n v="1318.3823742559457"/>
    <n v="110"/>
    <n v="150"/>
    <n v="1E-3"/>
    <n v="212.523"/>
    <n v="13183.823742559456"/>
    <n v="13656.346742559455"/>
    <n v="3180.9641611183101"/>
    <n v="1342.1204630392244"/>
    <n v="0.08"/>
    <n v="458.1790484362981"/>
    <n v="7.0000000000000007E-2"/>
    <n v="955.94427197916195"/>
    <n v="15"/>
    <n v="1"/>
  </r>
  <r>
    <n v="692"/>
    <d v="2022-12-31T00:00:00"/>
    <x v="2"/>
    <s v="CLI387"/>
    <s v="CLI387"/>
    <s v="AMPARO"/>
    <s v="SP"/>
    <s v="CLI755"/>
    <s v="CAMPINA GRANDE"/>
    <s v="PB"/>
    <n v="2517.8099160000002"/>
    <n v="0"/>
    <n v="0"/>
    <n v="0"/>
    <n v="0"/>
    <x v="0"/>
    <x v="0"/>
    <s v="BRSSZTK01"/>
    <s v="BRSSZTCO"/>
    <n v="205.98463899999999"/>
    <n v="35.497500000000002"/>
    <n v="150"/>
    <n v="3668.1537415929602"/>
    <n v="660.26767348673286"/>
    <n v="640"/>
    <n v="7"/>
    <n v="0"/>
    <n v="0"/>
    <n v="640"/>
    <m/>
    <m/>
    <n v="0"/>
    <x v="2"/>
    <s v="BRSUATK01"/>
    <s v="BRSUATCO"/>
    <n v="220.11418"/>
    <n v="35.497500000000002"/>
    <n v="150"/>
    <n v="3877.5060639551998"/>
    <n v="465.30072767462394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265"/>
    <n v="7099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17.8099160000002"/>
    <n v="212.98500000000001"/>
    <n v="17730.739427159366"/>
    <n v="1241.1517599011556"/>
    <n v="110"/>
    <n v="150"/>
    <n v="1E-3"/>
    <n v="70.995000000000005"/>
    <n v="12411.517599011555"/>
    <n v="12742.512599011556"/>
    <n v="3180.9641611183101"/>
    <n v="-238.11136765491347"/>
    <n v="0.08"/>
    <n v="325.70275138416321"/>
    <n v="7.0000000000000007E-2"/>
    <n v="891.97588193080901"/>
    <n v="15"/>
    <n v="1"/>
  </r>
  <r>
    <n v="693"/>
    <d v="2022-12-31T00:00:00"/>
    <x v="2"/>
    <s v="CLI387"/>
    <s v="CLI387"/>
    <s v="AMPARO"/>
    <s v="SP"/>
    <s v="CLI570"/>
    <s v="ITAPIPOCA"/>
    <s v="CE"/>
    <n v="2778.8895769999999"/>
    <n v="0"/>
    <n v="0"/>
    <n v="0"/>
    <n v="0"/>
    <x v="0"/>
    <x v="0"/>
    <s v="BRSSZTK01"/>
    <s v="BRSSZTCO"/>
    <n v="205.98463899999999"/>
    <n v="49.271999999999998"/>
    <n v="150"/>
    <n v="3681.9282415929601"/>
    <n v="662.74708348673278"/>
    <n v="640"/>
    <n v="7"/>
    <n v="0"/>
    <n v="0"/>
    <n v="640"/>
    <m/>
    <m/>
    <n v="0"/>
    <x v="3"/>
    <s v="BRPECTK01"/>
    <s v="BRPECAPM"/>
    <n v="144.75102799999999"/>
    <n v="49.271999999999998"/>
    <n v="150"/>
    <n v="2774.6518715059196"/>
    <n v="499.4373368710655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410"/>
    <n v="9854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78.8895769999999"/>
    <n v="295.63200000000001"/>
    <n v="19586.367961823922"/>
    <n v="1371.0457573276747"/>
    <n v="110"/>
    <n v="150"/>
    <n v="1E-3"/>
    <n v="98.543999999999997"/>
    <n v="13710.457573276744"/>
    <n v="14069.001573276744"/>
    <n v="3180.9641611183101"/>
    <n v="2753.4572990595539"/>
    <n v="0.08"/>
    <n v="516.01896318560523"/>
    <n v="7.0000000000000007E-2"/>
    <n v="984.8301101293722"/>
    <n v="15"/>
    <n v="1"/>
  </r>
  <r>
    <n v="694"/>
    <d v="2022-12-31T00:00:00"/>
    <x v="2"/>
    <s v="CLI387"/>
    <s v="CLI387"/>
    <s v="AMPARO"/>
    <s v="SP"/>
    <s v="CLI662"/>
    <s v="BAYEUX"/>
    <s v="PB"/>
    <n v="2617.7531480000002"/>
    <n v="0"/>
    <n v="0"/>
    <n v="0"/>
    <n v="0"/>
    <x v="0"/>
    <x v="0"/>
    <s v="BRSSZTK01"/>
    <s v="BRSSZTCO"/>
    <n v="205.98463899999999"/>
    <n v="42.618000000000002"/>
    <n v="150"/>
    <n v="3675.2742415929602"/>
    <n v="661.54936348673277"/>
    <n v="640"/>
    <n v="7"/>
    <n v="0"/>
    <n v="0"/>
    <n v="640"/>
    <m/>
    <m/>
    <n v="0"/>
    <x v="2"/>
    <s v="BRSUATK01"/>
    <s v="BRSUATCO"/>
    <n v="165.585914"/>
    <n v="42.618000000000002"/>
    <n v="150"/>
    <n v="3076.7008768089599"/>
    <n v="369.20410521707515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111"/>
    <n v="8523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7.7531480000002"/>
    <n v="255.708"/>
    <n v="18452.17291794208"/>
    <n v="1291.6521042559457"/>
    <n v="110"/>
    <n v="150"/>
    <n v="1E-3"/>
    <n v="85.236000000000004"/>
    <n v="12916.521042559456"/>
    <n v="13261.757042559457"/>
    <n v="3180.9641611183101"/>
    <n v="1074.8177630392261"/>
    <n v="0.08"/>
    <n v="438.3222764362983"/>
    <n v="7.0000000000000007E-2"/>
    <n v="928.32299297916211"/>
    <n v="15"/>
    <n v="1"/>
  </r>
  <r>
    <n v="695"/>
    <d v="2022-12-31T00:00:00"/>
    <x v="2"/>
    <s v="CLI388"/>
    <s v="CLI388"/>
    <s v="SALTO"/>
    <s v="SP"/>
    <s v="CLI1087"/>
    <s v="BAYEUX"/>
    <s v="PB"/>
    <n v="2687.2210060000002"/>
    <n v="0"/>
    <n v="0"/>
    <n v="0"/>
    <n v="0"/>
    <x v="0"/>
    <x v="0"/>
    <s v="BRSSZTK01"/>
    <s v="BRSSZTCO"/>
    <n v="180.47000800000001"/>
    <n v="101.271"/>
    <n v="150"/>
    <n v="3355.8861393331204"/>
    <n v="604.0595050799617"/>
    <n v="640"/>
    <n v="7"/>
    <n v="0"/>
    <n v="0"/>
    <n v="640"/>
    <m/>
    <m/>
    <n v="0"/>
    <x v="2"/>
    <s v="BRSUATK01"/>
    <s v="BRSUATCO"/>
    <n v="165.585914"/>
    <n v="101.271"/>
    <n v="150"/>
    <n v="3135.3538768089602"/>
    <n v="376.2424652170752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04"/>
    <n v="20254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87.2210060000002"/>
    <n v="607.62599999999998"/>
    <n v="19275.844362905762"/>
    <n v="1349.3091054034035"/>
    <n v="110"/>
    <n v="150"/>
    <n v="1E-3"/>
    <n v="202.542"/>
    <n v="13493.091054034032"/>
    <n v="13955.633054034031"/>
    <n v="3180.9641611183101"/>
    <n v="2029.4288767736402"/>
    <n v="0.08"/>
    <n v="518.72728540759306"/>
    <n v="7.0000000000000007E-2"/>
    <n v="976.89431378238226"/>
    <n v="15"/>
    <n v="1"/>
  </r>
  <r>
    <n v="696"/>
    <d v="2022-12-31T00:00:00"/>
    <x v="2"/>
    <s v="CLI388"/>
    <s v="CLI388"/>
    <s v="SALTO"/>
    <s v="SP"/>
    <s v="CLI566"/>
    <s v="CAMPINA GRANDE"/>
    <s v="PB"/>
    <n v="2587.277775"/>
    <n v="0"/>
    <n v="0"/>
    <n v="0"/>
    <n v="0"/>
    <x v="0"/>
    <x v="0"/>
    <s v="BRSSZTK01"/>
    <s v="BRSSZTCO"/>
    <n v="180.47000800000001"/>
    <n v="120.378"/>
    <n v="150"/>
    <n v="3374.9931393331203"/>
    <n v="607.49876507996169"/>
    <n v="640"/>
    <n v="7"/>
    <n v="0"/>
    <n v="0"/>
    <n v="640"/>
    <m/>
    <m/>
    <n v="0"/>
    <x v="2"/>
    <s v="BRSUATK01"/>
    <s v="BRSUATCO"/>
    <n v="220.11418"/>
    <n v="120.378"/>
    <n v="150"/>
    <n v="3962.3865639552"/>
    <n v="475.4863876746239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375"/>
    <n v="24075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87.277775"/>
    <n v="722.26800000000003"/>
    <n v="18711.775878914003"/>
    <n v="1309.8243115239802"/>
    <n v="110"/>
    <n v="150"/>
    <n v="1E-3"/>
    <n v="240.756"/>
    <n v="13098.2431152398"/>
    <n v="13598.9991152398"/>
    <n v="3180.9641611183101"/>
    <n v="826.65525083316834"/>
    <n v="0.08"/>
    <n v="414.29074073575146"/>
    <n v="7.0000000000000007E-2"/>
    <n v="951.92993806678612"/>
    <n v="15"/>
    <n v="1"/>
  </r>
  <r>
    <n v="697"/>
    <d v="2022-12-31T00:00:00"/>
    <x v="2"/>
    <s v="CLI389"/>
    <s v="CLI389"/>
    <s v="SIMOES FILHO"/>
    <s v="BA"/>
    <s v="CLI1158"/>
    <s v="MANAUS"/>
    <s v="AM"/>
    <n v="2610.3853225311195"/>
    <n v="2050.9635060000001"/>
    <n v="0"/>
    <n v="7000"/>
    <n v="0"/>
    <x v="0"/>
    <x v="5"/>
    <s v="BRSSATK01"/>
    <s v="BRSSATCO"/>
    <n v="26.551053"/>
    <n v="80.013000000000005"/>
    <n v="150"/>
    <n v="1054.0663939219201"/>
    <n v="189.73195090594561"/>
    <n v="704"/>
    <n v="7"/>
    <n v="0"/>
    <n v="0"/>
    <n v="704"/>
    <m/>
    <m/>
    <n v="0"/>
    <x v="0"/>
    <s v="BRMAOTK01"/>
    <s v="BRMAOCHI"/>
    <n v="11.436796000000001"/>
    <n v="80.013000000000005"/>
    <n v="150"/>
    <n v="830.12388908544006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717"/>
    <n v="16002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0.3853225311195"/>
    <n v="480.07800000000003"/>
    <n v="18626.508309895933"/>
    <n v="2235.1809971875118"/>
    <n v="110"/>
    <n v="150"/>
    <n v="1E-3"/>
    <n v="160.02600000000001"/>
    <n v="13038.555816927152"/>
    <n v="13458.581816927152"/>
    <n v="3180.9641611183101"/>
    <n v="6562.4273728014814"/>
    <n v="0.08"/>
    <n v="910.77276664110775"/>
    <n v="0.12"/>
    <n v="1615.0298180312582"/>
    <n v="15"/>
    <n v="1"/>
  </r>
  <r>
    <n v="698"/>
    <d v="2022-12-31T00:00:00"/>
    <x v="2"/>
    <s v="CLI389"/>
    <s v="CLI389"/>
    <s v="SIMOES FILHO"/>
    <s v="BA"/>
    <s v="CLI1010"/>
    <s v="MANAUS"/>
    <s v="AM"/>
    <n v="2610.3853225311195"/>
    <n v="2050.9635060000001"/>
    <n v="0"/>
    <n v="7000"/>
    <n v="0"/>
    <x v="0"/>
    <x v="5"/>
    <s v="BRSSATK01"/>
    <s v="BRSSATCO"/>
    <n v="26.551053"/>
    <n v="118.01350000000001"/>
    <n v="150"/>
    <n v="1092.0668939219199"/>
    <n v="196.57204090594558"/>
    <n v="704"/>
    <n v="7"/>
    <n v="0"/>
    <n v="0"/>
    <n v="704"/>
    <m/>
    <m/>
    <n v="0"/>
    <x v="0"/>
    <s v="BRMAOTK01"/>
    <s v="BRMAOCHI"/>
    <n v="11.436796000000001"/>
    <n v="118.01350000000001"/>
    <n v="150"/>
    <n v="868.12438908544004"/>
    <n v="0"/>
    <n v="832"/>
    <n v="7"/>
    <n v="0"/>
    <n v="0"/>
    <n v="832"/>
    <s v="BRSSADP01"/>
    <n v="110"/>
    <n v="75"/>
    <n v="0"/>
    <n v="0"/>
    <n v="0"/>
    <n v="110"/>
    <n v="2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648"/>
    <n v="23602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0.3853225311195"/>
    <n v="708.08100000000002"/>
    <n v="18854.51130989593"/>
    <n v="2262.5413571875115"/>
    <n v="110"/>
    <n v="150"/>
    <n v="1E-3"/>
    <n v="236.02700000000002"/>
    <n v="13198.15791692715"/>
    <n v="13694.18491692715"/>
    <n v="3180.9641611183101"/>
    <n v="6722.0294728014796"/>
    <n v="0.08"/>
    <n v="922.99372744110769"/>
    <n v="0.12"/>
    <n v="1643.3021900312579"/>
    <n v="15"/>
    <n v="1"/>
  </r>
  <r>
    <n v="699"/>
    <d v="2022-12-31T00:00:00"/>
    <x v="2"/>
    <s v="CLI390"/>
    <s v="CLI390"/>
    <s v="SAO BERNARDO DO CAMPO"/>
    <s v="SP"/>
    <s v="CLI779"/>
    <s v="MANAUS"/>
    <s v="AM"/>
    <n v="2700.2227738010365"/>
    <n v="2897.2868149999999"/>
    <n v="0"/>
    <n v="7000"/>
    <n v="0"/>
    <x v="0"/>
    <x v="0"/>
    <s v="BRSSZTK01"/>
    <s v="BRSSZTCO"/>
    <n v="66.511209000000008"/>
    <n v="80.978499999999997"/>
    <n v="150"/>
    <n v="1647.10713971776"/>
    <n v="296.47928514919681"/>
    <n v="640"/>
    <n v="7"/>
    <n v="0"/>
    <n v="0"/>
    <n v="640"/>
    <m/>
    <m/>
    <n v="0"/>
    <x v="0"/>
    <s v="BRMAOTK01"/>
    <s v="BRMAOCHI"/>
    <n v="11.436796000000001"/>
    <n v="80.978499999999997"/>
    <n v="150"/>
    <n v="831.0893890854399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838"/>
    <n v="16195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00.2227738010365"/>
    <n v="485.87100000000004"/>
    <n v="19242.383847971887"/>
    <n v="1346.9668693580322"/>
    <n v="110"/>
    <n v="150"/>
    <n v="1E-3"/>
    <n v="161.95699999999999"/>
    <n v="13469.668693580321"/>
    <n v="13891.625693580321"/>
    <n v="3180.9641611183101"/>
    <n v="6490.46500365881"/>
    <n v="0.08"/>
    <n v="889.35599037023394"/>
    <n v="7.0000000000000007E-2"/>
    <n v="972.41379855062257"/>
    <n v="15"/>
    <n v="1"/>
  </r>
  <r>
    <n v="700"/>
    <d v="2022-12-31T00:00:00"/>
    <x v="2"/>
    <s v="CLI391"/>
    <s v="CLI391"/>
    <s v="RIO DE JANEIRO"/>
    <s v="RJ"/>
    <s v="CLI1217"/>
    <s v="SIMOES FILHO"/>
    <s v="BA"/>
    <n v="1556.1325149999998"/>
    <n v="0"/>
    <n v="0"/>
    <n v="0"/>
    <n v="0"/>
    <x v="0"/>
    <x v="4"/>
    <s v="BRIGITK01"/>
    <s v="BRIGITCO"/>
    <n v="78.029871"/>
    <n v="28.403000000000002"/>
    <n v="150"/>
    <n v="1765.1995078534401"/>
    <n v="353.03990157068802"/>
    <n v="704"/>
    <n v="7"/>
    <n v="0"/>
    <n v="0"/>
    <n v="704"/>
    <m/>
    <m/>
    <n v="0"/>
    <x v="5"/>
    <s v="BRSSATK01"/>
    <s v="BRSSATCO"/>
    <n v="26.551053"/>
    <n v="28.403000000000002"/>
    <n v="150"/>
    <n v="1002.45639392192"/>
    <n v="180.4421509059456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61"/>
    <n v="5680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1556.1325149999998"/>
    <n v="170.41800000000001"/>
    <n v="11157.459664064401"/>
    <n v="781.02217648450812"/>
    <n v="110"/>
    <n v="150"/>
    <n v="1E-3"/>
    <n v="56.806000000000004"/>
    <n v="7810.2217648450805"/>
    <n v="8127.0277648450801"/>
    <n v="3180.9641611183101"/>
    <n v="480.40770195141022"/>
    <n v="0.08"/>
    <n v="386.07118484744694"/>
    <n v="7.0000000000000007E-2"/>
    <n v="568.8919435391557"/>
    <n v="15"/>
    <n v="1"/>
  </r>
  <r>
    <n v="701"/>
    <d v="2022-12-31T00:00:00"/>
    <x v="2"/>
    <s v="CLI391"/>
    <s v="CLI391"/>
    <s v="RIO DE JANEIRO"/>
    <s v="RJ"/>
    <s v="CLI1216"/>
    <s v="CABO DE SANTO AGOSTINHO"/>
    <s v="PE"/>
    <n v="2241.9811359999999"/>
    <n v="0"/>
    <n v="0"/>
    <n v="0"/>
    <n v="0"/>
    <x v="0"/>
    <x v="4"/>
    <s v="BRIGITK01"/>
    <s v="BRIGITCO"/>
    <n v="78.029871"/>
    <n v="72.131500000000003"/>
    <n v="150"/>
    <n v="1808.92800785344"/>
    <n v="361.78560157068802"/>
    <n v="704"/>
    <n v="7"/>
    <n v="0"/>
    <n v="0"/>
    <n v="704"/>
    <m/>
    <m/>
    <n v="0"/>
    <x v="2"/>
    <s v="BRSUATK01"/>
    <s v="BRSUATCO"/>
    <n v="23.080721"/>
    <n v="72.131500000000003"/>
    <n v="150"/>
    <n v="994.76623399744005"/>
    <n v="179.0579221195392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889"/>
    <n v="14426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241.9811359999999"/>
    <n v="432.78899999999999"/>
    <n v="16077.401215330561"/>
    <n v="1125.4180850731393"/>
    <n v="110"/>
    <n v="150"/>
    <n v="1E-3"/>
    <n v="144.26300000000001"/>
    <n v="11254.180850731393"/>
    <n v="11658.443850731393"/>
    <n v="3180.9641611183101"/>
    <n v="3335.7854477622045"/>
    <n v="0.08"/>
    <n v="665.11248681522306"/>
    <n v="7.0000000000000007E-2"/>
    <n v="816.09106955119762"/>
    <n v="15"/>
    <n v="1"/>
  </r>
  <r>
    <n v="702"/>
    <d v="2022-12-31T00:00:00"/>
    <x v="2"/>
    <s v="CLI393"/>
    <s v="CLI393"/>
    <s v="MANAUS"/>
    <s v="AM"/>
    <s v="CLI531"/>
    <s v="JUNDIAI"/>
    <s v="SP"/>
    <n v="3878.5104309999997"/>
    <n v="0"/>
    <n v="2826.507944"/>
    <n v="7000"/>
    <n v="0"/>
    <x v="0"/>
    <x v="2"/>
    <s v="BRMAOTK01"/>
    <s v="BRMAOCHI"/>
    <n v="11.436796000000001"/>
    <n v="79.754000000000005"/>
    <n v="150"/>
    <n v="829.86488908544004"/>
    <n v="0"/>
    <n v="832"/>
    <n v="7"/>
    <n v="0"/>
    <n v="0"/>
    <n v="832"/>
    <m/>
    <m/>
    <n v="0"/>
    <x v="1"/>
    <s v="BRSSZTK01"/>
    <s v="BRSSZTCO"/>
    <n v="139.13710800000001"/>
    <n v="79.754000000000005"/>
    <n v="150"/>
    <n v="2721.95443987712"/>
    <n v="489.9517991778815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100"/>
    <n v="15950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78.5104309999997"/>
    <n v="478.524"/>
    <n v="27236.741196503761"/>
    <n v="3268.4089435804513"/>
    <n v="110"/>
    <n v="150"/>
    <n v="1E-3"/>
    <n v="159.50800000000001"/>
    <n v="19065.718837552631"/>
    <n v="19485.226837552633"/>
    <n v="3180.9641611183101"/>
    <n v="10985.443347471764"/>
    <n v="0.08"/>
    <n v="1235.4764567529755"/>
    <n v="0.12"/>
    <n v="2338.2272205063159"/>
    <n v="15"/>
    <n v="1"/>
  </r>
  <r>
    <n v="703"/>
    <d v="2022-12-31T00:00:00"/>
    <x v="2"/>
    <s v="CLI394"/>
    <s v="CLI394"/>
    <s v="SAO PAULO"/>
    <s v="SP"/>
    <s v="CLI1172"/>
    <s v="CABO DE SANTO AGOSTINHO"/>
    <s v="PE"/>
    <n v="2555.7481519999997"/>
    <n v="0"/>
    <n v="0"/>
    <n v="0"/>
    <n v="0"/>
    <x v="0"/>
    <x v="0"/>
    <s v="BRSSZTK01"/>
    <s v="BRSSZTCO"/>
    <n v="85.841132000000002"/>
    <n v="103.55200000000001"/>
    <n v="150"/>
    <n v="1956.0851500364799"/>
    <n v="352.09532700656638"/>
    <n v="640"/>
    <n v="7"/>
    <n v="0"/>
    <n v="0"/>
    <n v="640"/>
    <m/>
    <m/>
    <n v="0"/>
    <x v="2"/>
    <s v="BRSUATK01"/>
    <s v="BRSUATCO"/>
    <n v="23.080721"/>
    <n v="103.55200000000001"/>
    <n v="150"/>
    <n v="1026.1867339974401"/>
    <n v="184.7136121195392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265"/>
    <n v="207104"/>
    <x v="1"/>
    <x v="14"/>
    <x v="1"/>
    <x v="12"/>
    <x v="1"/>
    <x v="1"/>
    <n v="6"/>
    <n v="6"/>
    <n v="6"/>
    <n v="6"/>
    <n v="6"/>
    <n v="6"/>
    <n v="6"/>
    <n v="70"/>
    <n v="7"/>
    <n v="180"/>
    <n v="7"/>
    <n v="180"/>
    <n v="2555.7481519999997"/>
    <n v="621.31200000000001"/>
    <n v="18396.703470305922"/>
    <n v="1287.7692429214146"/>
    <n v="110"/>
    <n v="150"/>
    <n v="1E-3"/>
    <n v="207.10400000000001"/>
    <n v="12877.692429214145"/>
    <n v="13344.796429214144"/>
    <n v="3180.9641611183101"/>
    <n v="4927.5603840619133"/>
    <n v="0.08"/>
    <n v="786.05724848432953"/>
    <n v="7.0000000000000007E-2"/>
    <n v="934.13575004499023"/>
    <n v="15"/>
    <n v="6"/>
  </r>
  <r>
    <n v="704"/>
    <d v="2022-12-31T00:00:00"/>
    <x v="2"/>
    <s v="CLI397"/>
    <s v="CLI397"/>
    <s v="CABO DE SANTO AGOSTINHO"/>
    <s v="PE"/>
    <s v="CLI348"/>
    <s v="SAO JOSE DOS CAMPOS"/>
    <s v="SP"/>
    <n v="2473.5181460000003"/>
    <n v="0"/>
    <n v="0"/>
    <n v="0"/>
    <n v="0"/>
    <x v="0"/>
    <x v="3"/>
    <s v="BRSUATK01"/>
    <s v="BRSUATCO"/>
    <n v="23.080721"/>
    <n v="104.0805"/>
    <n v="150"/>
    <n v="1026.71523399744"/>
    <n v="184.8087421195392"/>
    <n v="1344"/>
    <n v="7"/>
    <n v="0"/>
    <n v="0"/>
    <n v="1344"/>
    <m/>
    <m/>
    <n v="0"/>
    <x v="1"/>
    <s v="BRSSZTK01"/>
    <s v="BRSSZTCO"/>
    <n v="143.53611799999999"/>
    <n v="104.0805"/>
    <n v="150"/>
    <n v="2811.4594874035197"/>
    <n v="506.0627077326335"/>
    <n v="640"/>
    <n v="7"/>
    <n v="0"/>
    <n v="0"/>
    <n v="640"/>
    <s v="BRSUADP01"/>
    <n v="95"/>
    <n v="70"/>
    <n v="0"/>
    <n v="0"/>
    <n v="0"/>
    <n v="95"/>
    <n v="26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816"/>
    <n v="208161"/>
    <x v="0"/>
    <x v="12"/>
    <x v="11"/>
    <x v="7"/>
    <x v="9"/>
    <x v="11"/>
    <n v="21"/>
    <n v="21"/>
    <n v="22"/>
    <n v="21"/>
    <n v="20"/>
    <n v="17"/>
    <n v="18"/>
    <n v="233"/>
    <n v="7"/>
    <n v="110"/>
    <n v="7"/>
    <n v="110"/>
    <n v="2473.5181460000003"/>
    <n v="624.48300000000006"/>
    <n v="17841.453788760165"/>
    <n v="2140.9744546512197"/>
    <n v="75"/>
    <n v="150"/>
    <n v="1E-3"/>
    <n v="208.161"/>
    <n v="12489.017652132115"/>
    <n v="12922.178652132116"/>
    <n v="3180.9641611183101"/>
    <n v="3659.0397696128462"/>
    <n v="0.08"/>
    <n v="671.45059847031871"/>
    <n v="0.12"/>
    <n v="1550.6614382558539"/>
    <n v="15"/>
    <n v="22"/>
  </r>
  <r>
    <n v="705"/>
    <d v="2022-12-31T00:00:00"/>
    <x v="3"/>
    <s v="CLI397"/>
    <s v="CLI397"/>
    <s v="CABO DE SANTO AGOSTINHO"/>
    <s v="PE"/>
    <s v="CLI347"/>
    <s v="PINDAMONHANGABA"/>
    <s v="SP"/>
    <n v="2423.4875040000002"/>
    <n v="0"/>
    <n v="0"/>
    <n v="0"/>
    <n v="0"/>
    <x v="0"/>
    <x v="3"/>
    <s v="BRSUATK01"/>
    <s v="BRSUATCO"/>
    <n v="23.080721"/>
    <n v="85.956500000000005"/>
    <n v="150"/>
    <n v="1008.5912339974401"/>
    <n v="181.54642211953922"/>
    <n v="1344"/>
    <n v="7"/>
    <n v="0"/>
    <n v="0"/>
    <n v="1344"/>
    <m/>
    <m/>
    <n v="0"/>
    <x v="1"/>
    <s v="BRSSZTK01S"/>
    <s v="BRSSZTCO"/>
    <n v="196.61712800000001"/>
    <n v="85.956500000000005"/>
    <n v="150"/>
    <n v="3579.8177034099199"/>
    <n v="644.36718661378552"/>
    <n v="640"/>
    <n v="7"/>
    <n v="0"/>
    <n v="0"/>
    <n v="640"/>
    <s v="BRSUADP01"/>
    <n v="95"/>
    <n v="70"/>
    <n v="0"/>
    <n v="0"/>
    <n v="0"/>
    <n v="95"/>
    <n v="26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39"/>
    <n v="171913"/>
    <x v="0"/>
    <x v="13"/>
    <x v="12"/>
    <x v="17"/>
    <x v="7"/>
    <x v="4"/>
    <n v="8"/>
    <n v="8"/>
    <n v="8"/>
    <n v="8"/>
    <n v="7"/>
    <n v="6"/>
    <n v="7"/>
    <n v="86"/>
    <n v="7"/>
    <n v="110"/>
    <n v="7"/>
    <n v="110"/>
    <n v="2423.4875040000002"/>
    <n v="515.73900000000003"/>
    <n v="17392.953700163845"/>
    <n v="2087.1544440196612"/>
    <n v="75"/>
    <n v="150"/>
    <n v="1E-3"/>
    <n v="171.91300000000001"/>
    <n v="9669.1951977277458"/>
    <n v="10066.108197727746"/>
    <n v="3180.9641611183101"/>
    <n v="3632.552802611996"/>
    <n v="0.08"/>
    <n v="372.1428521269649"/>
    <n v="0.12"/>
    <n v="1207.9329837273294"/>
    <n v="15"/>
    <n v="8"/>
  </r>
  <r>
    <n v="706"/>
    <d v="2022-12-31T00:00:00"/>
    <x v="3"/>
    <s v="CLI397"/>
    <s v="CLI397"/>
    <s v="CABO DE SANTO AGOSTINHO"/>
    <s v="PE"/>
    <s v="CLI551"/>
    <s v="MANAUS"/>
    <s v="AM"/>
    <n v="2825.8436369633364"/>
    <n v="2055.2547009999998"/>
    <n v="0"/>
    <n v="7000"/>
    <n v="0"/>
    <x v="0"/>
    <x v="3"/>
    <s v="BRSUATK01"/>
    <s v="BRSUATCO"/>
    <n v="23.080721"/>
    <n v="116.07900000000001"/>
    <n v="150"/>
    <n v="1038.7137339974402"/>
    <n v="186.96847211953923"/>
    <n v="1344"/>
    <n v="7"/>
    <n v="0"/>
    <n v="0"/>
    <n v="1344"/>
    <m/>
    <m/>
    <n v="0"/>
    <x v="0"/>
    <s v="BRMAOTK01S"/>
    <s v="BRMAOCHI"/>
    <n v="11.436796000000001"/>
    <n v="116.07900000000001"/>
    <n v="150"/>
    <n v="866.1898890854399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509"/>
    <n v="232158"/>
    <x v="1"/>
    <x v="9"/>
    <x v="3"/>
    <x v="9"/>
    <x v="4"/>
    <x v="4"/>
    <n v="9"/>
    <n v="9"/>
    <n v="10"/>
    <n v="10"/>
    <n v="10"/>
    <n v="9"/>
    <n v="10"/>
    <n v="107"/>
    <n v="7"/>
    <n v="180"/>
    <n v="7"/>
    <n v="180"/>
    <n v="2825.8436369633364"/>
    <n v="696.47400000000005"/>
    <n v="20306.073104872539"/>
    <n v="2436.7287725847045"/>
    <n v="110"/>
    <n v="150"/>
    <n v="1E-3"/>
    <n v="232.15800000000002"/>
    <n v="13607.918251050969"/>
    <n v="14100.076251050968"/>
    <n v="3180.9641611183101"/>
    <n v="7444.3983559352182"/>
    <n v="0.08"/>
    <n v="960.65633246788411"/>
    <n v="0.12"/>
    <n v="1692.0091501261161"/>
    <n v="15"/>
    <n v="10"/>
  </r>
  <r>
    <n v="707"/>
    <d v="2022-12-31T00:00:00"/>
    <x v="3"/>
    <s v="CLI397"/>
    <s v="CLI397"/>
    <s v="CABO DE SANTO AGOSTINHO"/>
    <s v="PE"/>
    <s v="CLI526"/>
    <s v="ITAGUAI"/>
    <s v="RJ"/>
    <n v="2263.7634709999998"/>
    <n v="0"/>
    <n v="0"/>
    <n v="0"/>
    <n v="0"/>
    <x v="0"/>
    <x v="3"/>
    <s v="BRSUATK01"/>
    <s v="BRSUATCO"/>
    <n v="23.080721"/>
    <n v="44.89"/>
    <n v="150"/>
    <n v="967.52473399744008"/>
    <n v="174.1544521195392"/>
    <n v="1344"/>
    <n v="7"/>
    <n v="0"/>
    <n v="0"/>
    <n v="1344"/>
    <m/>
    <m/>
    <n v="0"/>
    <x v="4"/>
    <s v="BRIGITK01S"/>
    <s v="BRIGITCO"/>
    <n v="14.539448"/>
    <n v="44.89"/>
    <n v="150"/>
    <n v="840.97176681472001"/>
    <n v="0"/>
    <n v="704"/>
    <n v="7"/>
    <n v="0"/>
    <n v="0"/>
    <n v="704"/>
    <s v="BRSUADP01"/>
    <n v="95"/>
    <n v="70"/>
    <n v="0"/>
    <n v="0"/>
    <n v="0"/>
    <n v="95"/>
    <n v="260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63"/>
    <n v="89780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263.7634709999998"/>
    <n v="269.34000000000003"/>
    <n v="16061.875181022162"/>
    <n v="1927.4250217226593"/>
    <n v="110"/>
    <n v="150"/>
    <n v="1E-3"/>
    <n v="89.78"/>
    <n v="10654.632389945209"/>
    <n v="11004.41238994521"/>
    <n v="3180.9641611183101"/>
    <n v="4547.9234948294597"/>
    <n v="0.08"/>
    <n v="721.74091496108088"/>
    <n v="0.12"/>
    <n v="1320.5294867934251"/>
    <n v="15"/>
    <n v="3"/>
  </r>
  <r>
    <n v="708"/>
    <d v="2022-12-31T00:00:00"/>
    <x v="2"/>
    <s v="CLI397"/>
    <s v="CLI397"/>
    <s v="CABO DE SANTO AGOSTINHO"/>
    <s v="PE"/>
    <s v="CLI612"/>
    <s v="MANAUS"/>
    <s v="AM"/>
    <n v="2825.8436369633364"/>
    <n v="2055.2547009999998"/>
    <n v="0"/>
    <n v="7000"/>
    <n v="0"/>
    <x v="0"/>
    <x v="3"/>
    <s v="BRSUATK01"/>
    <s v="BRSUATCO"/>
    <n v="23.080721"/>
    <n v="107.63250000000001"/>
    <n v="150"/>
    <n v="1030.2672339974401"/>
    <n v="185.44810211953921"/>
    <n v="1344"/>
    <n v="7"/>
    <n v="0"/>
    <n v="0"/>
    <n v="1344"/>
    <m/>
    <m/>
    <n v="0"/>
    <x v="0"/>
    <s v="BRMAOTK01"/>
    <s v="BRMAOCHI"/>
    <n v="11.436796000000001"/>
    <n v="107.63250000000001"/>
    <n v="150"/>
    <n v="857.7433890854400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94"/>
    <n v="21526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25.8436369633364"/>
    <n v="645.79499999999996"/>
    <n v="20255.394104872539"/>
    <n v="2430.6472925847047"/>
    <n v="110"/>
    <n v="150"/>
    <n v="1E-3"/>
    <n v="215.26500000000001"/>
    <n v="14178.775873410777"/>
    <n v="14654.040873410777"/>
    <n v="3180.9641611183101"/>
    <n v="7149.0660892095857"/>
    <n v="0.08"/>
    <n v="1006.4465718566686"/>
    <n v="0.12"/>
    <n v="1758.4849048092931"/>
    <n v="15"/>
    <n v="2"/>
  </r>
  <r>
    <n v="709"/>
    <d v="2022-12-31T00:00:00"/>
    <x v="3"/>
    <s v="CLI397"/>
    <s v="CLI397"/>
    <s v="CABO DE SANTO AGOSTINHO"/>
    <s v="PE"/>
    <s v="CLI612"/>
    <s v="MANAUS"/>
    <s v="AM"/>
    <n v="2825.8436369633364"/>
    <n v="2055.2547009999998"/>
    <n v="0"/>
    <n v="7000"/>
    <n v="0"/>
    <x v="0"/>
    <x v="3"/>
    <s v="BRSUATK01"/>
    <s v="BRSUATCO"/>
    <n v="23.080721"/>
    <n v="66.254000000000005"/>
    <n v="150"/>
    <n v="988.88873399744011"/>
    <n v="177.99997211953922"/>
    <n v="1344"/>
    <n v="7"/>
    <n v="0"/>
    <n v="0"/>
    <n v="1344"/>
    <m/>
    <m/>
    <n v="0"/>
    <x v="0"/>
    <s v="BRMAOTK01S"/>
    <s v="BRMAOCHI"/>
    <n v="11.436796000000001"/>
    <n v="66.254000000000005"/>
    <n v="150"/>
    <n v="816.3648890854400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645"/>
    <n v="132508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825.8436369633364"/>
    <n v="397.524"/>
    <n v="20007.123104872542"/>
    <n v="2400.8547725847052"/>
    <n v="110"/>
    <n v="150"/>
    <n v="1E-3"/>
    <n v="132.50800000000001"/>
    <n v="13433.530751050972"/>
    <n v="13826.038751050972"/>
    <n v="3180.9641611183101"/>
    <n v="7220.1858559352204"/>
    <n v="0.08"/>
    <n v="947.42281246788411"/>
    <n v="0.12"/>
    <n v="1659.1246501261166"/>
    <n v="15"/>
    <n v="2"/>
  </r>
  <r>
    <n v="710"/>
    <d v="2022-12-31T00:00:00"/>
    <x v="2"/>
    <s v="CLI397"/>
    <s v="CLI397"/>
    <s v="CABO DE SANTO AGOSTINHO"/>
    <s v="PE"/>
    <s v="CLI551"/>
    <s v="MANAUS"/>
    <s v="AM"/>
    <n v="2825.8436369633364"/>
    <n v="2055.2547009999998"/>
    <n v="0"/>
    <n v="7000"/>
    <n v="0"/>
    <x v="0"/>
    <x v="3"/>
    <s v="BRSUATK01"/>
    <s v="BRSUATCO"/>
    <n v="23.080721"/>
    <n v="90.585999999999999"/>
    <n v="150"/>
    <n v="1013.2207339974401"/>
    <n v="182.3797321195392"/>
    <n v="1344"/>
    <n v="7"/>
    <n v="0"/>
    <n v="0"/>
    <n v="1344"/>
    <m/>
    <m/>
    <n v="0"/>
    <x v="0"/>
    <s v="BRMAOTK01"/>
    <s v="BRMAOCHI"/>
    <n v="11.436796000000001"/>
    <n v="90.585999999999999"/>
    <n v="150"/>
    <n v="840.6968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162"/>
    <n v="181172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825.8436369633364"/>
    <n v="543.51599999999996"/>
    <n v="20153.115104872541"/>
    <n v="2418.3738125847049"/>
    <n v="110"/>
    <n v="150"/>
    <n v="1E-3"/>
    <n v="181.172"/>
    <n v="14107.180573410778"/>
    <n v="14548.352573410779"/>
    <n v="3180.9641611183101"/>
    <n v="7077.4707892095885"/>
    <n v="0.08"/>
    <n v="1000.9644174566688"/>
    <n v="0.12"/>
    <n v="1745.8023088092934"/>
    <n v="15"/>
    <n v="2"/>
  </r>
  <r>
    <n v="711"/>
    <d v="2022-12-31T00:00:00"/>
    <x v="3"/>
    <s v="CLI397"/>
    <s v="CLI397"/>
    <s v="CABO DE SANTO AGOSTINHO"/>
    <s v="PE"/>
    <s v="CLI347"/>
    <s v="PINDAMONHANGABA"/>
    <s v="SP"/>
    <n v="2423.4875040000002"/>
    <n v="0"/>
    <n v="0"/>
    <n v="0"/>
    <n v="0"/>
    <x v="0"/>
    <x v="3"/>
    <s v="BRSUATK01"/>
    <s v="BRSUATCO"/>
    <n v="23.080721"/>
    <n v="52.6235"/>
    <n v="150"/>
    <n v="975.25823399744013"/>
    <n v="175.54648211953921"/>
    <n v="1344"/>
    <n v="7"/>
    <n v="0"/>
    <n v="0"/>
    <n v="1344"/>
    <m/>
    <m/>
    <n v="0"/>
    <x v="1"/>
    <s v="BRSSZTK01S"/>
    <s v="BRSSZTCO"/>
    <n v="196.61712800000001"/>
    <n v="52.6235"/>
    <n v="150"/>
    <n v="3546.4847034099203"/>
    <n v="638.3672466137856"/>
    <n v="640"/>
    <n v="7"/>
    <n v="0"/>
    <n v="0"/>
    <n v="640"/>
    <s v="BRSUADP01"/>
    <n v="95"/>
    <n v="70"/>
    <n v="0"/>
    <n v="0"/>
    <n v="0"/>
    <n v="95"/>
    <n v="26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170"/>
    <n v="10524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23.4875040000002"/>
    <n v="315.74099999999999"/>
    <n v="17192.955700163846"/>
    <n v="2063.1546840196615"/>
    <n v="110"/>
    <n v="150"/>
    <n v="1E-3"/>
    <n v="105.247"/>
    <n v="9552.5296977277467"/>
    <n v="9917.7766977277461"/>
    <n v="3180.9641611183101"/>
    <n v="3517.5543026119963"/>
    <n v="0.08"/>
    <n v="366.56960252696484"/>
    <n v="0.12"/>
    <n v="1190.1332037273294"/>
    <n v="15"/>
    <n v="1"/>
  </r>
  <r>
    <n v="712"/>
    <d v="2022-12-31T00:00:00"/>
    <x v="2"/>
    <s v="CLI398"/>
    <s v="CLI398"/>
    <s v="MANAUS"/>
    <s v="AM"/>
    <s v="CLI348"/>
    <s v="SAO JOSE DOS CAMPOS"/>
    <s v="SP"/>
    <n v="3994.1975430000002"/>
    <n v="0"/>
    <n v="2941.9602110000001"/>
    <n v="7000"/>
    <n v="0"/>
    <x v="0"/>
    <x v="2"/>
    <s v="BRMAOTK01"/>
    <s v="BRMAOCHI"/>
    <n v="11.436796000000001"/>
    <n v="49.200499999999998"/>
    <n v="150"/>
    <n v="799.31138908544006"/>
    <n v="0"/>
    <n v="832"/>
    <n v="7"/>
    <n v="0"/>
    <n v="0"/>
    <n v="832"/>
    <m/>
    <m/>
    <n v="0"/>
    <x v="1"/>
    <s v="BRSSZTK01"/>
    <s v="BRSSZTCO"/>
    <n v="143.53611799999999"/>
    <n v="49.200499999999998"/>
    <n v="150"/>
    <n v="2756.5794874035196"/>
    <n v="496.184307732633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559"/>
    <n v="98401"/>
    <x v="0"/>
    <x v="0"/>
    <x v="5"/>
    <x v="4"/>
    <x v="5"/>
    <x v="6"/>
    <n v="4"/>
    <n v="4"/>
    <n v="4"/>
    <n v="4"/>
    <n v="4"/>
    <n v="3"/>
    <n v="3"/>
    <n v="43"/>
    <n v="7"/>
    <n v="110"/>
    <n v="7"/>
    <n v="110"/>
    <n v="3994.1975430000002"/>
    <n v="295.20300000000003"/>
    <n v="27839.046746611286"/>
    <n v="3340.685609593354"/>
    <n v="75"/>
    <n v="150"/>
    <n v="1E-3"/>
    <n v="98.400999999999996"/>
    <n v="19487.3327226279"/>
    <n v="19810.733722627901"/>
    <n v="3180.9641611183101"/>
    <n v="11306.878685020631"/>
    <n v="0.08"/>
    <n v="1260.6926830725047"/>
    <n v="0.12"/>
    <n v="2377.2880467153482"/>
    <n v="15"/>
    <n v="4"/>
  </r>
  <r>
    <n v="713"/>
    <d v="2022-12-31T00:00:00"/>
    <x v="2"/>
    <s v="CLI398"/>
    <s v="CLI398"/>
    <s v="MANAUS"/>
    <s v="AM"/>
    <s v="CLI348"/>
    <s v="SAO JOSE DOS CAMPOS"/>
    <s v="SP"/>
    <n v="3994.1975430000002"/>
    <n v="0"/>
    <n v="2941.9602110000001"/>
    <n v="7000"/>
    <n v="0"/>
    <x v="0"/>
    <x v="2"/>
    <s v="BRMAOTK01"/>
    <s v="BRMAOCHI"/>
    <n v="11.436796000000001"/>
    <n v="117.24550000000001"/>
    <n v="150"/>
    <n v="867.35638908544001"/>
    <n v="0"/>
    <n v="832"/>
    <n v="7"/>
    <n v="0"/>
    <n v="0"/>
    <n v="832"/>
    <m/>
    <m/>
    <n v="0"/>
    <x v="1"/>
    <s v="BRSSZTK01"/>
    <s v="BRSSZTCO"/>
    <n v="143.53611799999999"/>
    <n v="117.24550000000001"/>
    <n v="150"/>
    <n v="2824.6244874035197"/>
    <n v="508.4324077326335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679"/>
    <n v="234491"/>
    <x v="1"/>
    <x v="5"/>
    <x v="5"/>
    <x v="5"/>
    <x v="5"/>
    <x v="0"/>
    <n v="4"/>
    <n v="4"/>
    <n v="4"/>
    <n v="4"/>
    <n v="4"/>
    <n v="4"/>
    <n v="4"/>
    <n v="46"/>
    <n v="7"/>
    <n v="180"/>
    <n v="7"/>
    <n v="180"/>
    <n v="3994.1975430000002"/>
    <n v="703.47300000000007"/>
    <n v="28247.316746611286"/>
    <n v="3389.6780095933541"/>
    <n v="110"/>
    <n v="150"/>
    <n v="1E-3"/>
    <n v="234.49100000000001"/>
    <n v="19773.1217226279"/>
    <n v="20267.612722627902"/>
    <n v="3180.9641611183101"/>
    <n v="11627.667685020635"/>
    <n v="0.08"/>
    <n v="1285.3759550725051"/>
    <n v="0.12"/>
    <n v="2432.1135267153481"/>
    <n v="15"/>
    <n v="4"/>
  </r>
  <r>
    <n v="714"/>
    <d v="2022-12-31T00:00:00"/>
    <x v="2"/>
    <s v="CLI398"/>
    <s v="CLI398"/>
    <s v="MANAUS"/>
    <s v="AM"/>
    <s v="CLI523"/>
    <s v="AGUDOS"/>
    <s v="SP"/>
    <n v="3765.8307259999997"/>
    <n v="0"/>
    <n v="2713.6401679999999"/>
    <n v="7000"/>
    <n v="0"/>
    <x v="0"/>
    <x v="2"/>
    <s v="BRMAOTK01"/>
    <s v="BRMAOCHI"/>
    <n v="11.436796000000001"/>
    <n v="57.795000000000002"/>
    <n v="150"/>
    <n v="807.90588908543998"/>
    <n v="0"/>
    <n v="832"/>
    <n v="7"/>
    <n v="0"/>
    <n v="0"/>
    <n v="832"/>
    <m/>
    <m/>
    <n v="0"/>
    <x v="1"/>
    <s v="BRSSZTK01"/>
    <s v="BRSSZTCO"/>
    <n v="384.82169699999997"/>
    <n v="57.795000000000002"/>
    <n v="150"/>
    <n v="6340.2155486380807"/>
    <n v="1141.238798754854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215"/>
    <n v="115590"/>
    <x v="1"/>
    <x v="2"/>
    <x v="2"/>
    <x v="0"/>
    <x v="3"/>
    <x v="3"/>
    <n v="2"/>
    <n v="2"/>
    <n v="2"/>
    <n v="2"/>
    <n v="2"/>
    <n v="2"/>
    <n v="2"/>
    <n v="21"/>
    <n v="7"/>
    <n v="180"/>
    <n v="7"/>
    <n v="180"/>
    <n v="3765.8307259999997"/>
    <n v="346.77"/>
    <n v="26339.783827036961"/>
    <n v="3160.7740592444352"/>
    <n v="110"/>
    <n v="150"/>
    <n v="1E-3"/>
    <n v="115.59"/>
    <n v="18437.848678925871"/>
    <n v="18813.438678925871"/>
    <n v="3180.9641611183101"/>
    <n v="6717.3530800840417"/>
    <n v="0.08"/>
    <n v="841.92627539579996"/>
    <n v="0.12"/>
    <n v="2257.6126414711043"/>
    <n v="15"/>
    <n v="2"/>
  </r>
  <r>
    <n v="715"/>
    <d v="2022-12-31T00:00:00"/>
    <x v="2"/>
    <s v="CLI398"/>
    <s v="CLI398"/>
    <s v="MANAUS"/>
    <s v="AM"/>
    <s v="CLI675"/>
    <s v="JACAREI"/>
    <s v="SP"/>
    <n v="3978.8768760000003"/>
    <n v="0"/>
    <n v="2927.3519000000001"/>
    <n v="7000"/>
    <n v="0"/>
    <x v="0"/>
    <x v="2"/>
    <s v="BRMAOTK01"/>
    <s v="BRMAOCHI"/>
    <n v="11.436796000000001"/>
    <n v="68.004000000000005"/>
    <n v="150"/>
    <n v="818.11488908544004"/>
    <n v="0"/>
    <n v="832"/>
    <n v="7"/>
    <n v="0"/>
    <n v="0"/>
    <n v="832"/>
    <m/>
    <m/>
    <n v="0"/>
    <x v="1"/>
    <s v="BRSSZTK01"/>
    <s v="BRSSZTCO"/>
    <n v="125.620194"/>
    <n v="68.004000000000005"/>
    <n v="150"/>
    <n v="2509.9291912281597"/>
    <n v="451.7872544210687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34"/>
    <n v="136008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3978.8768760000003"/>
    <n v="408.024"/>
    <n v="27847.825709840967"/>
    <n v="3341.7390851809159"/>
    <n v="110"/>
    <n v="150"/>
    <n v="1E-3"/>
    <n v="136.00800000000001"/>
    <n v="19493.477996888676"/>
    <n v="19889.485996888678"/>
    <n v="3180.9641611183101"/>
    <n v="11613.47775545677"/>
    <n v="0.08"/>
    <n v="1288.7723729723209"/>
    <n v="0.12"/>
    <n v="2386.7383196266414"/>
    <n v="15"/>
    <n v="2"/>
  </r>
  <r>
    <n v="716"/>
    <d v="2022-12-31T00:00:00"/>
    <x v="2"/>
    <s v="CLI398"/>
    <s v="CLI398"/>
    <s v="MANAUS"/>
    <s v="AM"/>
    <s v="CLI535"/>
    <s v="SETE LAGOAS"/>
    <s v="MG"/>
    <n v="3659.5024049999997"/>
    <n v="0"/>
    <n v="2606.1658739999998"/>
    <n v="7000"/>
    <n v="0"/>
    <x v="0"/>
    <x v="2"/>
    <s v="BRMAOTK01"/>
    <s v="BRMAOCHI"/>
    <n v="11.436796000000001"/>
    <n v="48.716500000000003"/>
    <n v="150"/>
    <n v="798.82738908544002"/>
    <n v="0"/>
    <n v="832"/>
    <n v="7"/>
    <n v="0"/>
    <n v="0"/>
    <n v="832"/>
    <m/>
    <m/>
    <n v="0"/>
    <x v="4"/>
    <s v="BRIGITK01"/>
    <s v="BRIGITCO"/>
    <n v="501.77664099999998"/>
    <n v="48.716500000000003"/>
    <n v="150"/>
    <n v="8064.0163501062407"/>
    <n v="967.68196201274884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134"/>
    <n v="9743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659.5024049999997"/>
    <n v="292.29899999999998"/>
    <n v="25563.241452258801"/>
    <n v="3067.588974271056"/>
    <n v="110"/>
    <n v="150"/>
    <n v="1E-3"/>
    <n v="97.433000000000007"/>
    <n v="17894.269016581158"/>
    <n v="18251.702016581159"/>
    <n v="3180.9641611183101"/>
    <n v="4376.8941162711671"/>
    <n v="0.08"/>
    <n v="673.69410523013835"/>
    <n v="0.12"/>
    <n v="2190.2042419897389"/>
    <n v="15"/>
    <n v="1"/>
  </r>
  <r>
    <n v="717"/>
    <d v="2022-12-31T00:00:00"/>
    <x v="2"/>
    <s v="CLI398"/>
    <s v="CLI398"/>
    <s v="MANAUS"/>
    <s v="AM"/>
    <s v="CLI963"/>
    <s v="PIRAI"/>
    <s v="RJ"/>
    <n v="4083.8708080000001"/>
    <n v="0"/>
    <n v="3030.8395129999999"/>
    <n v="7000"/>
    <n v="0"/>
    <x v="0"/>
    <x v="2"/>
    <s v="BRMAOTK01"/>
    <s v="BRMAOCHI"/>
    <n v="11.436796000000001"/>
    <n v="33.3035"/>
    <n v="150"/>
    <n v="783.41438908544001"/>
    <n v="0"/>
    <n v="832"/>
    <n v="7"/>
    <n v="0"/>
    <n v="0"/>
    <n v="832"/>
    <m/>
    <m/>
    <n v="0"/>
    <x v="4"/>
    <s v="BRIGITK01"/>
    <s v="BRIGITCO"/>
    <n v="60.702476000000004"/>
    <n v="33.3035"/>
    <n v="150"/>
    <n v="1513.3662340006399"/>
    <n v="302.67324680012797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248"/>
    <n v="6660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4083.8708080000001"/>
    <n v="199.821"/>
    <n v="28352.632302295682"/>
    <n v="3402.3158762754815"/>
    <n v="110"/>
    <n v="150"/>
    <n v="1E-3"/>
    <n v="66.606999999999999"/>
    <n v="19846.842611606975"/>
    <n v="20173.449611606975"/>
    <n v="3180.9641611183101"/>
    <n v="12864.704827402584"/>
    <n v="0.08"/>
    <n v="1405.9196593376614"/>
    <n v="0.12"/>
    <n v="2420.813953392837"/>
    <n v="15"/>
    <n v="1"/>
  </r>
  <r>
    <n v="718"/>
    <d v="2022-12-31T00:00:00"/>
    <x v="2"/>
    <s v="CLI398"/>
    <s v="CLI398"/>
    <s v="MANAUS"/>
    <s v="AM"/>
    <s v="CLI523"/>
    <s v="AGUDOS"/>
    <s v="SP"/>
    <n v="3765.8307259999997"/>
    <n v="0"/>
    <n v="2713.6401679999999"/>
    <n v="7000"/>
    <n v="0"/>
    <x v="0"/>
    <x v="2"/>
    <s v="BRMAOTK01"/>
    <s v="BRMAOCHI"/>
    <n v="11.436796000000001"/>
    <n v="121.286"/>
    <n v="150"/>
    <n v="871.39688908544008"/>
    <n v="0"/>
    <n v="832"/>
    <n v="7"/>
    <n v="0"/>
    <n v="0"/>
    <n v="832"/>
    <m/>
    <m/>
    <n v="0"/>
    <x v="1"/>
    <s v="BRSSZTK01"/>
    <s v="BRSSZTCO"/>
    <n v="384.82169699999997"/>
    <n v="121.286"/>
    <n v="150"/>
    <n v="6403.7065486380807"/>
    <n v="1152.667178754854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304"/>
    <n v="24257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765.8307259999997"/>
    <n v="727.71600000000001"/>
    <n v="26720.729827036961"/>
    <n v="3206.487579244435"/>
    <n v="110"/>
    <n v="150"/>
    <n v="1E-3"/>
    <n v="242.572"/>
    <n v="18704.51087892587"/>
    <n v="19207.08287892587"/>
    <n v="3180.9641611183101"/>
    <n v="6984.0152800840369"/>
    <n v="0.08"/>
    <n v="862.34498099579946"/>
    <n v="0.12"/>
    <n v="2304.8499454711045"/>
    <n v="15"/>
    <n v="1"/>
  </r>
  <r>
    <n v="719"/>
    <d v="2022-12-31T00:00:00"/>
    <x v="2"/>
    <s v="CLI398"/>
    <s v="CLI398"/>
    <s v="MANAUS"/>
    <s v="AM"/>
    <s v="CLI535"/>
    <s v="SETE LAGOAS"/>
    <s v="MG"/>
    <n v="3659.5024049999997"/>
    <n v="0"/>
    <n v="2606.1658739999998"/>
    <n v="7000"/>
    <n v="0"/>
    <x v="0"/>
    <x v="2"/>
    <s v="BRMAOTK01"/>
    <s v="BRMAOCHI"/>
    <n v="11.436796000000001"/>
    <n v="30.669499999999999"/>
    <n v="150"/>
    <n v="780.78038908543999"/>
    <n v="0"/>
    <n v="832"/>
    <n v="7"/>
    <n v="0"/>
    <n v="0"/>
    <n v="832"/>
    <m/>
    <m/>
    <n v="0"/>
    <x v="4"/>
    <s v="BRIGITK01"/>
    <s v="BRIGITCO"/>
    <n v="501.77664099999998"/>
    <n v="30.669499999999999"/>
    <n v="150"/>
    <n v="8045.9693501062402"/>
    <n v="965.51632201274879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805"/>
    <n v="6133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659.5024049999997"/>
    <n v="184.017"/>
    <n v="25454.959452258801"/>
    <n v="3054.5951342710559"/>
    <n v="110"/>
    <n v="150"/>
    <n v="1E-3"/>
    <n v="61.338999999999999"/>
    <n v="17818.471616581159"/>
    <n v="18139.810616581159"/>
    <n v="3180.9641611183101"/>
    <n v="4301.0967162711677"/>
    <n v="0.08"/>
    <n v="667.80356443013841"/>
    <n v="0.12"/>
    <n v="2176.7772739897391"/>
    <n v="15"/>
    <n v="1"/>
  </r>
  <r>
    <n v="720"/>
    <d v="2022-12-31T00:00:00"/>
    <x v="2"/>
    <s v="CLI398"/>
    <s v="CLI398"/>
    <s v="MANAUS"/>
    <s v="AM"/>
    <s v="CLI530"/>
    <s v="JUATUBA"/>
    <s v="MG"/>
    <n v="3722.2022829999996"/>
    <n v="0"/>
    <n v="2669.4501740000001"/>
    <n v="7000"/>
    <n v="0"/>
    <x v="0"/>
    <x v="2"/>
    <s v="BRMAOTK01"/>
    <s v="BRMAOCHI"/>
    <n v="11.436796000000001"/>
    <n v="91.911500000000004"/>
    <n v="150"/>
    <n v="842.02238908544007"/>
    <n v="0"/>
    <n v="832"/>
    <n v="7"/>
    <n v="0"/>
    <n v="0"/>
    <n v="832"/>
    <m/>
    <m/>
    <n v="0"/>
    <x v="4"/>
    <s v="BRIGITK01"/>
    <s v="BRIGITCO"/>
    <n v="466.537575"/>
    <n v="91.911500000000004"/>
    <n v="150"/>
    <n v="7585.0867952480012"/>
    <n v="910.21041542976013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040"/>
    <n v="18382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722.2022829999996"/>
    <n v="551.46900000000005"/>
    <n v="26248.203815761681"/>
    <n v="3149.7844578914014"/>
    <n v="110"/>
    <n v="150"/>
    <n v="1E-3"/>
    <n v="183.82300000000001"/>
    <n v="18373.742671033175"/>
    <n v="18817.565671033175"/>
    <n v="3180.9641611183101"/>
    <n v="5378.4923255814247"/>
    <n v="0.08"/>
    <n v="758.41968570159804"/>
    <n v="0.12"/>
    <n v="2258.1078805239808"/>
    <n v="15"/>
    <n v="1"/>
  </r>
  <r>
    <n v="721"/>
    <d v="2022-12-31T00:00:00"/>
    <x v="2"/>
    <s v="CLI398"/>
    <s v="CLI398"/>
    <s v="MANAUS"/>
    <s v="AM"/>
    <s v="CLI529"/>
    <s v="JACAREI"/>
    <s v="SP"/>
    <n v="3978.8768760000003"/>
    <n v="0"/>
    <n v="2927.3519000000001"/>
    <n v="7000"/>
    <n v="0"/>
    <x v="0"/>
    <x v="2"/>
    <s v="BRMAOTK01"/>
    <s v="BRMAOCHI"/>
    <n v="11.436796000000001"/>
    <n v="121.7885"/>
    <n v="150"/>
    <n v="871.89938908544002"/>
    <n v="0"/>
    <n v="832"/>
    <n v="7"/>
    <n v="0"/>
    <n v="0"/>
    <n v="832"/>
    <m/>
    <m/>
    <n v="0"/>
    <x v="1"/>
    <s v="BRSSZTK01"/>
    <s v="BRSSZTCO"/>
    <n v="125.620194"/>
    <n v="121.7885"/>
    <n v="150"/>
    <n v="2563.7136912281599"/>
    <n v="461.4684644210687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98"/>
    <n v="24357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78.8768760000003"/>
    <n v="730.73099999999999"/>
    <n v="28170.532709840965"/>
    <n v="3380.4639251809158"/>
    <n v="110"/>
    <n v="150"/>
    <n v="1E-3"/>
    <n v="243.577"/>
    <n v="19719.372896888675"/>
    <n v="20222.949896888676"/>
    <n v="3180.9641611183101"/>
    <n v="11839.372655456766"/>
    <n v="0.08"/>
    <n v="1306.0694681723207"/>
    <n v="0.12"/>
    <n v="2426.753987626641"/>
    <n v="15"/>
    <n v="1"/>
  </r>
  <r>
    <n v="722"/>
    <d v="2022-12-31T00:00:00"/>
    <x v="2"/>
    <s v="CLI398"/>
    <s v="CLI398"/>
    <s v="MANAUS"/>
    <s v="AM"/>
    <s v="CLI530"/>
    <s v="JUATUBA"/>
    <s v="MG"/>
    <n v="3722.2022829999996"/>
    <n v="0"/>
    <n v="2669.4501740000001"/>
    <n v="7000"/>
    <n v="0"/>
    <x v="0"/>
    <x v="2"/>
    <s v="BRMAOTK01"/>
    <s v="BRMAOCHI"/>
    <n v="11.436796000000001"/>
    <n v="112.01650000000001"/>
    <n v="150"/>
    <n v="862.12738908543997"/>
    <n v="0"/>
    <n v="832"/>
    <n v="7"/>
    <n v="0"/>
    <n v="0"/>
    <n v="832"/>
    <m/>
    <m/>
    <n v="0"/>
    <x v="4"/>
    <s v="BRIGITK01"/>
    <s v="BRIGITCO"/>
    <n v="466.537575"/>
    <n v="112.01650000000001"/>
    <n v="150"/>
    <n v="7605.1917952480007"/>
    <n v="912.62301542976002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998"/>
    <n v="22403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722.2022829999996"/>
    <n v="672.09900000000005"/>
    <n v="26368.833815761678"/>
    <n v="3164.2600578914012"/>
    <n v="110"/>
    <n v="150"/>
    <n v="1E-3"/>
    <n v="224.03300000000002"/>
    <n v="18458.183671033174"/>
    <n v="18942.216671033173"/>
    <n v="3180.9641611183101"/>
    <n v="5462.9333255814236"/>
    <n v="0.08"/>
    <n v="764.98195770159805"/>
    <n v="0.12"/>
    <n v="2273.0660005239806"/>
    <n v="15"/>
    <n v="1"/>
  </r>
  <r>
    <n v="723"/>
    <d v="2022-12-31T00:00:00"/>
    <x v="2"/>
    <s v="CLI399"/>
    <s v="CLI399"/>
    <s v="RIO DE JANEIRO"/>
    <s v="RJ"/>
    <s v="CLI17"/>
    <s v="AQUIRAZ"/>
    <s v="CE"/>
    <n v="2539.5479380000002"/>
    <n v="0"/>
    <n v="0"/>
    <n v="0"/>
    <n v="0"/>
    <x v="0"/>
    <x v="4"/>
    <s v="BRIGITK01"/>
    <s v="BRIGITCO"/>
    <n v="78.029871"/>
    <n v="74.063000000000002"/>
    <n v="150"/>
    <n v="1810.8595078534402"/>
    <n v="362.17190157068808"/>
    <n v="704"/>
    <n v="7"/>
    <n v="0"/>
    <n v="0"/>
    <n v="704"/>
    <m/>
    <m/>
    <n v="0"/>
    <x v="3"/>
    <s v="BRPECTK01"/>
    <s v="BRPECAPM"/>
    <n v="71.623824999999997"/>
    <n v="74.063000000000002"/>
    <n v="150"/>
    <n v="1715.9434304480001"/>
    <n v="308.86981748063999"/>
    <n v="768"/>
    <n v="7"/>
    <n v="0"/>
    <n v="0"/>
    <n v="768"/>
    <s v="BRIGIDP01"/>
    <n v="105"/>
    <n v="80"/>
    <n v="0"/>
    <n v="0"/>
    <n v="0"/>
    <n v="105"/>
    <n v="29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229"/>
    <n v="148126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2539.5479380000002"/>
    <n v="444.37799999999999"/>
    <n v="18109.754465040485"/>
    <n v="1267.6828125528341"/>
    <n v="110"/>
    <n v="150"/>
    <n v="1E-3"/>
    <n v="148.126"/>
    <n v="12676.828125528338"/>
    <n v="13084.954125528338"/>
    <n v="3180.9641611183101"/>
    <n v="4615.1870261085878"/>
    <n v="0.08"/>
    <n v="710.96875745404566"/>
    <n v="7.0000000000000007E-2"/>
    <n v="915.9467887869838"/>
    <n v="15"/>
    <n v="5"/>
  </r>
  <r>
    <n v="724"/>
    <d v="2022-12-31T00:00:00"/>
    <x v="2"/>
    <s v="CLI401"/>
    <s v="CLI401"/>
    <s v="PAULINIA"/>
    <s v="SP"/>
    <s v="CLI132"/>
    <s v="CAMACARI"/>
    <s v="BA"/>
    <n v="1852.6654639999999"/>
    <n v="0"/>
    <n v="0"/>
    <n v="0"/>
    <n v="0"/>
    <x v="0"/>
    <x v="0"/>
    <s v="BRSSZTK01"/>
    <s v="BRSSZTCO"/>
    <n v="195.69980799999999"/>
    <n v="43.643999999999998"/>
    <n v="150"/>
    <n v="3523.9136032051197"/>
    <n v="634.30444857692157"/>
    <n v="640"/>
    <n v="7"/>
    <n v="0"/>
    <n v="0"/>
    <n v="640"/>
    <m/>
    <m/>
    <n v="0"/>
    <x v="5"/>
    <s v="BRSSATK01"/>
    <s v="BRSSATCO"/>
    <n v="43.370353000000001"/>
    <n v="43.643999999999998"/>
    <n v="150"/>
    <n v="1266.90290707392"/>
    <n v="228.04252327330559"/>
    <n v="704"/>
    <n v="7"/>
    <n v="0"/>
    <n v="0"/>
    <n v="704"/>
    <s v="BRSSZDP01"/>
    <n v="110"/>
    <n v="50"/>
    <n v="0"/>
    <n v="0"/>
    <n v="0"/>
    <n v="110"/>
    <n v="27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28"/>
    <n v="87288"/>
    <x v="1"/>
    <x v="1"/>
    <x v="6"/>
    <x v="1"/>
    <x v="8"/>
    <x v="6"/>
    <n v="5"/>
    <n v="5"/>
    <n v="5"/>
    <n v="5"/>
    <n v="5"/>
    <n v="5"/>
    <n v="5"/>
    <n v="58"/>
    <n v="7"/>
    <n v="180"/>
    <n v="7"/>
    <n v="180"/>
    <n v="1852.6654639999999"/>
    <n v="261.86400000000003"/>
    <n v="13262.649059405441"/>
    <n v="928.38543415838092"/>
    <n v="110"/>
    <n v="150"/>
    <n v="1E-3"/>
    <n v="87.287999999999997"/>
    <n v="9283.8543415838085"/>
    <n v="9631.142341583809"/>
    <n v="3180.9641611183101"/>
    <n v="45.361670186459833"/>
    <n v="0.08"/>
    <n v="318.23830875636344"/>
    <n v="7.0000000000000007E-2"/>
    <n v="674.17996391086672"/>
    <n v="15"/>
    <n v="5"/>
  </r>
  <r>
    <n v="725"/>
    <d v="2022-12-31T00:00:00"/>
    <x v="1"/>
    <s v="CLI404"/>
    <s v="CLI404"/>
    <s v="MANAUS"/>
    <s v="AM"/>
    <s v="CLI261"/>
    <s v="GOIANA"/>
    <s v="PE"/>
    <n v="3508.6086600000003"/>
    <n v="0"/>
    <n v="2035.8442130000001"/>
    <n v="7000"/>
    <n v="0"/>
    <x v="0"/>
    <x v="2"/>
    <s v="BRMAOTK01S"/>
    <s v="BRMAOCHI"/>
    <n v="11.436796000000001"/>
    <n v="108.5735"/>
    <n v="150"/>
    <n v="858.68438908543999"/>
    <n v="0"/>
    <n v="832"/>
    <n v="7"/>
    <n v="0"/>
    <n v="0"/>
    <n v="832"/>
    <m/>
    <m/>
    <n v="0"/>
    <x v="2"/>
    <s v="BRSUATK01"/>
    <s v="BRSUATCO"/>
    <n v="112.63067699999999"/>
    <n v="108.5735"/>
    <n v="150"/>
    <n v="2358.03769406528"/>
    <n v="424.44678493175036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250"/>
    <n v="217147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3508.6086600000003"/>
    <n v="651.44100000000003"/>
    <n v="24897.670065713603"/>
    <n v="2987.7204078856321"/>
    <n v="110"/>
    <n v="150"/>
    <n v="1E-3"/>
    <n v="217.14699999999999"/>
    <n v="16827.289973639712"/>
    <n v="17304.436973639713"/>
    <n v="3180.9641611183101"/>
    <n v="9294.4351184561219"/>
    <n v="0.08"/>
    <n v="1093.0614484445794"/>
    <n v="0.12"/>
    <n v="2076.5324368367656"/>
    <n v="15"/>
    <n v="3"/>
  </r>
  <r>
    <n v="726"/>
    <d v="2022-12-31T00:00:00"/>
    <x v="3"/>
    <s v="CLI404"/>
    <s v="CLI404"/>
    <s v="MANAUS"/>
    <s v="AM"/>
    <s v="CLI356"/>
    <s v="SUZANO"/>
    <s v="SP"/>
    <n v="3966.396542"/>
    <n v="0"/>
    <n v="2914.0750120000002"/>
    <n v="7000"/>
    <n v="0"/>
    <x v="0"/>
    <x v="2"/>
    <s v="BRMAOTK01"/>
    <s v="BRMAOCHI"/>
    <n v="11.436796000000001"/>
    <n v="91.129000000000005"/>
    <n v="150"/>
    <n v="841.23988908544004"/>
    <n v="0"/>
    <n v="832"/>
    <n v="7"/>
    <n v="0"/>
    <n v="0"/>
    <n v="832"/>
    <m/>
    <m/>
    <n v="0"/>
    <x v="1"/>
    <s v="BRSSZTK01S"/>
    <s v="BRSSZTCO"/>
    <n v="95.74942999999999"/>
    <n v="91.129000000000005"/>
    <n v="150"/>
    <n v="2090.4698345151996"/>
    <n v="376.284570212735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959"/>
    <n v="18225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66.396542"/>
    <n v="546.774"/>
    <n v="27901.822260860325"/>
    <n v="3348.2186713032388"/>
    <n v="110"/>
    <n v="150"/>
    <n v="1E-3"/>
    <n v="182.25800000000001"/>
    <n v="18067.946698441585"/>
    <n v="18510.204698441587"/>
    <n v="3180.9641611183101"/>
    <n v="12721.000648237838"/>
    <n v="0.08"/>
    <n v="1216.176832370257"/>
    <n v="0.12"/>
    <n v="2221.2245638129903"/>
    <n v="15"/>
    <n v="1"/>
  </r>
  <r>
    <n v="727"/>
    <d v="2022-12-31T00:00:00"/>
    <x v="3"/>
    <s v="CLI405"/>
    <s v="CLI405"/>
    <s v="RECIFE"/>
    <s v="PE"/>
    <s v="CLI688"/>
    <s v="MANAUS"/>
    <s v="AM"/>
    <n v="2837.7155170247038"/>
    <n v="2054.4430109999998"/>
    <n v="0"/>
    <n v="7000"/>
    <n v="0"/>
    <x v="0"/>
    <x v="3"/>
    <s v="BRSUATK01"/>
    <s v="BRSUATCO"/>
    <n v="51.681188999999996"/>
    <n v="67.022000000000006"/>
    <n v="150"/>
    <n v="1413.4195721849599"/>
    <n v="254.41552299329277"/>
    <n v="1344"/>
    <n v="7"/>
    <n v="0"/>
    <n v="0"/>
    <n v="1344"/>
    <m/>
    <m/>
    <n v="0"/>
    <x v="0"/>
    <s v="BRMAOTK01S"/>
    <s v="BRMAOCHI"/>
    <n v="11.436796000000001"/>
    <n v="67.022000000000006"/>
    <n v="150"/>
    <n v="817.1328890854400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491"/>
    <n v="13404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7.7155170247038"/>
    <n v="402.13200000000001"/>
    <n v="20092.352567494087"/>
    <n v="2411.0823080992905"/>
    <n v="110"/>
    <n v="150"/>
    <n v="1E-3"/>
    <n v="134.04400000000001"/>
    <n v="13492.653774886054"/>
    <n v="13886.697774886054"/>
    <n v="3180.9641611183101"/>
    <n v="6856.3140415827838"/>
    <n v="0.08"/>
    <n v="912.13838324978894"/>
    <n v="0.12"/>
    <n v="1666.4037329863263"/>
    <n v="15"/>
    <n v="1"/>
  </r>
  <r>
    <n v="728"/>
    <d v="2022-12-31T00:00:00"/>
    <x v="0"/>
    <s v="CLI407"/>
    <s v="CLI407"/>
    <s v="CAUCAIA"/>
    <s v="CE"/>
    <s v="CLI507"/>
    <s v="MANAUS"/>
    <s v="AM"/>
    <n v="2375.6902773690445"/>
    <n v="1428.051281"/>
    <n v="0"/>
    <n v="7000"/>
    <n v="0"/>
    <x v="0"/>
    <x v="1"/>
    <s v="BRPECTK01S"/>
    <s v="BRPECAPM"/>
    <n v="34.109209"/>
    <n v="81.349000000000004"/>
    <n v="150"/>
    <n v="1167.38887043776"/>
    <n v="210.1299966787968"/>
    <n v="768"/>
    <n v="7"/>
    <n v="0"/>
    <n v="0"/>
    <n v="768"/>
    <m/>
    <m/>
    <n v="0"/>
    <x v="0"/>
    <s v="BRMAOTK01S"/>
    <s v="BRMAOCHI"/>
    <n v="11.436796000000001"/>
    <n v="81.349000000000004"/>
    <n v="150"/>
    <n v="831.4598890854400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892"/>
    <n v="16269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5.6902773690445"/>
    <n v="488.09399999999999"/>
    <n v="17040.71964600209"/>
    <n v="2044.8863575202506"/>
    <n v="110"/>
    <n v="150"/>
    <n v="1E-3"/>
    <n v="162.69800000000001"/>
    <n v="10529.309620535221"/>
    <n v="10952.007620535222"/>
    <n v="3180.9641611183101"/>
    <n v="5841.043459416911"/>
    <n v="0.08"/>
    <n v="699.44230914665798"/>
    <n v="0.12"/>
    <n v="1314.2409144642265"/>
    <n v="15"/>
    <n v="1"/>
  </r>
  <r>
    <n v="729"/>
    <d v="2022-12-31T00:00:00"/>
    <x v="1"/>
    <s v="CLI408"/>
    <s v="CLI408"/>
    <s v="SAO GONCALO DO AMARANTE"/>
    <s v="CE"/>
    <s v="CLI507"/>
    <s v="MANAUS"/>
    <s v="AM"/>
    <n v="2341.0362902436327"/>
    <n v="1398.9371510000001"/>
    <n v="0"/>
    <n v="7000"/>
    <n v="0"/>
    <x v="0"/>
    <x v="1"/>
    <s v="BRPECTK01S"/>
    <s v="BRPECAPM"/>
    <n v="25.372788"/>
    <n v="76.983000000000004"/>
    <n v="150"/>
    <n v="1033.5784655923198"/>
    <n v="0"/>
    <n v="768"/>
    <n v="7"/>
    <n v="0"/>
    <n v="0"/>
    <n v="768"/>
    <m/>
    <m/>
    <n v="0"/>
    <x v="0"/>
    <s v="BRMAOTK01"/>
    <s v="BRMAOCHI"/>
    <n v="11.436796000000001"/>
    <n v="76.983000000000004"/>
    <n v="150"/>
    <n v="827.0938890854399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309"/>
    <n v="153966"/>
    <x v="1"/>
    <x v="0"/>
    <x v="5"/>
    <x v="4"/>
    <x v="0"/>
    <x v="0"/>
    <n v="3"/>
    <n v="3"/>
    <n v="3"/>
    <n v="3"/>
    <n v="4"/>
    <n v="3"/>
    <n v="4"/>
    <n v="38"/>
    <n v="7"/>
    <n v="180"/>
    <n v="7"/>
    <n v="180"/>
    <n v="2341.0362902436327"/>
    <n v="461.89800000000002"/>
    <n v="16779.189805592901"/>
    <n v="2013.502776671148"/>
    <n v="110"/>
    <n v="150"/>
    <n v="1E-3"/>
    <n v="153.96600000000001"/>
    <n v="11021.927938000406"/>
    <n v="11435.893938000407"/>
    <n v="3180.9641611183101"/>
    <n v="5497.8358877966566"/>
    <n v="0.08"/>
    <n v="766.01772666581178"/>
    <n v="0.12"/>
    <n v="1372.3072725600487"/>
    <n v="15"/>
    <n v="4"/>
  </r>
  <r>
    <n v="730"/>
    <d v="2022-12-31T00:00:00"/>
    <x v="0"/>
    <s v="CLI409"/>
    <s v="CLI409"/>
    <s v="CORDEIROPOLIS"/>
    <s v="SP"/>
    <s v="CLI632"/>
    <s v="MANAUS"/>
    <s v="AM"/>
    <n v="2538.0562724788469"/>
    <n v="2723.9895970000002"/>
    <n v="0"/>
    <n v="7000"/>
    <n v="0"/>
    <x v="0"/>
    <x v="0"/>
    <s v="BRSSZTK01S"/>
    <s v="BRSSZTCO"/>
    <n v="241.12192899999999"/>
    <n v="119.1955"/>
    <n v="150"/>
    <n v="4272.4683180985603"/>
    <n v="769.04429725774082"/>
    <n v="640"/>
    <n v="7"/>
    <n v="0"/>
    <n v="0"/>
    <n v="640"/>
    <m/>
    <m/>
    <n v="0"/>
    <x v="0"/>
    <s v="BRMAOTK01S"/>
    <s v="BRMAOCHI"/>
    <n v="11.436796000000001"/>
    <n v="119.1955"/>
    <n v="150"/>
    <n v="869.3063890854400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339"/>
    <n v="23839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8.0562724788469"/>
    <n v="715.173"/>
    <n v="18370.419624152953"/>
    <n v="1285.9293736907068"/>
    <n v="110"/>
    <n v="150"/>
    <n v="1E-3"/>
    <n v="238.39099999999999"/>
    <n v="9260.0514418782677"/>
    <n v="9758.4424418782673"/>
    <n v="3180.9641611183101"/>
    <n v="4835.4782807599568"/>
    <n v="0.08"/>
    <n v="307.8098749949221"/>
    <n v="7.0000000000000007E-2"/>
    <n v="683.09097093147875"/>
    <n v="15"/>
    <n v="1"/>
  </r>
  <r>
    <n v="731"/>
    <d v="2022-12-31T00:00:00"/>
    <x v="0"/>
    <s v="CLI409"/>
    <s v="CLI409"/>
    <s v="CORDEIROPOLIS"/>
    <s v="SP"/>
    <s v="CLI941"/>
    <s v="MANAUS"/>
    <s v="AM"/>
    <n v="2538.0562724788469"/>
    <n v="2723.9895970000002"/>
    <n v="0"/>
    <n v="7000"/>
    <n v="0"/>
    <x v="0"/>
    <x v="0"/>
    <s v="BRSSZTK01S"/>
    <s v="BRSSZTCO"/>
    <n v="241.12192899999999"/>
    <n v="57.597500000000004"/>
    <n v="150"/>
    <n v="4210.8703180985594"/>
    <n v="757.95665725774063"/>
    <n v="640"/>
    <n v="7"/>
    <n v="0"/>
    <n v="0"/>
    <n v="640"/>
    <m/>
    <m/>
    <n v="0"/>
    <x v="0"/>
    <s v="BRMAOTK01S"/>
    <s v="BRMAOCHI"/>
    <n v="11.436796000000001"/>
    <n v="57.597500000000004"/>
    <n v="150"/>
    <n v="807.70838908543999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156"/>
    <n v="11519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8.0562724788469"/>
    <n v="345.58499999999998"/>
    <n v="18000.831624152954"/>
    <n v="1260.0582136907069"/>
    <n v="110"/>
    <n v="150"/>
    <n v="1E-3"/>
    <n v="115.19500000000001"/>
    <n v="9087.5770418782686"/>
    <n v="9462.7720418782683"/>
    <n v="3180.9641611183101"/>
    <n v="4539.8078807599577"/>
    <n v="0.08"/>
    <n v="294.89893419492228"/>
    <n v="7.0000000000000007E-2"/>
    <n v="662.39404293147879"/>
    <n v="15"/>
    <n v="1"/>
  </r>
  <r>
    <n v="732"/>
    <d v="2022-12-31T00:00:00"/>
    <x v="3"/>
    <s v="CLI409"/>
    <s v="CLI409"/>
    <s v="CORDEIROPOLIS"/>
    <s v="SP"/>
    <s v="CLI617"/>
    <s v="MANAUS"/>
    <s v="AM"/>
    <n v="2538.0562724788469"/>
    <n v="2723.9895970000002"/>
    <n v="0"/>
    <n v="7000"/>
    <n v="0"/>
    <x v="0"/>
    <x v="0"/>
    <s v="BRSSZTK01"/>
    <s v="BRSSZTCO"/>
    <n v="241.12192899999999"/>
    <n v="86.516500000000008"/>
    <n v="150"/>
    <n v="4239.7893180985602"/>
    <n v="763.16207725774086"/>
    <n v="640"/>
    <n v="7"/>
    <n v="0"/>
    <n v="0"/>
    <n v="640"/>
    <m/>
    <m/>
    <n v="0"/>
    <x v="0"/>
    <s v="BRMAOTK01S"/>
    <s v="BRMAOCHI"/>
    <n v="11.436796000000001"/>
    <n v="86.516500000000008"/>
    <n v="150"/>
    <n v="836.6273890854399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828"/>
    <n v="17303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38.0562724788469"/>
    <n v="519.09900000000005"/>
    <n v="18174.345624152953"/>
    <n v="1272.2041936907069"/>
    <n v="110"/>
    <n v="150"/>
    <n v="1E-3"/>
    <n v="173.03300000000002"/>
    <n v="12136.40276454726"/>
    <n v="12569.435764547259"/>
    <n v="3180.9641611183101"/>
    <n v="3406.6822853303897"/>
    <n v="0.08"/>
    <n v="538.38855840844155"/>
    <n v="7.0000000000000007E-2"/>
    <n v="879.86050351830818"/>
    <n v="15"/>
    <n v="1"/>
  </r>
  <r>
    <n v="733"/>
    <d v="2022-12-31T00:00:00"/>
    <x v="2"/>
    <s v="CLI411"/>
    <s v="CLI411"/>
    <s v="MAUA"/>
    <s v="SP"/>
    <s v="CLI1198"/>
    <s v="JABOATAO DOS GUARARAPES"/>
    <s v="PE"/>
    <n v="2589.3372769999996"/>
    <n v="0"/>
    <n v="0"/>
    <n v="0"/>
    <n v="0"/>
    <x v="0"/>
    <x v="0"/>
    <s v="BRSSZTK01"/>
    <s v="BRSSZTCO"/>
    <n v="77.880668999999997"/>
    <n v="74.430000000000007"/>
    <n v="150"/>
    <n v="1809.0158355321601"/>
    <n v="325.62285039578882"/>
    <n v="640"/>
    <n v="7"/>
    <n v="0"/>
    <n v="0"/>
    <n v="640"/>
    <m/>
    <m/>
    <n v="0"/>
    <x v="2"/>
    <s v="BRSUATK01"/>
    <s v="BRSUATCO"/>
    <n v="43.495365"/>
    <n v="74.430000000000007"/>
    <n v="150"/>
    <n v="1299.5411648736001"/>
    <n v="233.91740967724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631"/>
    <n v="14886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89.3372769999996"/>
    <n v="446.58"/>
    <n v="18450.073874615922"/>
    <n v="1291.5051712231148"/>
    <n v="110"/>
    <n v="150"/>
    <n v="1E-3"/>
    <n v="148.86000000000001"/>
    <n v="12915.051712231145"/>
    <n v="13323.911712231145"/>
    <n v="3180.9641611183101"/>
    <n v="4780.390550707074"/>
    <n v="0.08"/>
    <n v="772.4651561401879"/>
    <n v="7.0000000000000007E-2"/>
    <n v="932.67381985618022"/>
    <n v="15"/>
    <n v="1"/>
  </r>
  <r>
    <n v="734"/>
    <d v="2022-12-31T00:00:00"/>
    <x v="2"/>
    <s v="CLI412"/>
    <s v="CLI412"/>
    <s v="SAO PAULO"/>
    <s v="SP"/>
    <s v="CLI1132"/>
    <s v="CABO DE SANTO AGOSTINHO"/>
    <s v="PE"/>
    <n v="2555.7481519999997"/>
    <n v="0"/>
    <n v="0"/>
    <n v="0"/>
    <n v="0"/>
    <x v="0"/>
    <x v="0"/>
    <s v="BRSSZTK01"/>
    <s v="BRSSZTCO"/>
    <n v="85.841132000000002"/>
    <n v="57.872500000000002"/>
    <n v="150"/>
    <n v="1910.40565003648"/>
    <n v="343.87301700656639"/>
    <n v="640"/>
    <n v="7"/>
    <n v="0"/>
    <n v="0"/>
    <n v="640"/>
    <m/>
    <m/>
    <n v="0"/>
    <x v="2"/>
    <s v="BRSUATK01"/>
    <s v="BRSUATCO"/>
    <n v="23.080721"/>
    <n v="57.872500000000002"/>
    <n v="150"/>
    <n v="980.50723399744015"/>
    <n v="176.49130211953923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538"/>
    <n v="115745"/>
    <x v="1"/>
    <x v="2"/>
    <x v="2"/>
    <x v="0"/>
    <x v="3"/>
    <x v="3"/>
    <n v="2"/>
    <n v="2"/>
    <n v="2"/>
    <n v="2"/>
    <n v="2"/>
    <n v="2"/>
    <n v="2"/>
    <n v="21"/>
    <n v="7"/>
    <n v="180"/>
    <n v="7"/>
    <n v="180"/>
    <n v="2555.7481519999997"/>
    <n v="347.23500000000001"/>
    <n v="18122.626470305921"/>
    <n v="1268.5838529214145"/>
    <n v="110"/>
    <n v="150"/>
    <n v="1E-3"/>
    <n v="115.745"/>
    <n v="12685.838529214143"/>
    <n v="13061.583529214144"/>
    <n v="3180.9641611183101"/>
    <n v="4735.7064840619132"/>
    <n v="0.08"/>
    <n v="772.02450608432946"/>
    <n v="7.0000000000000007E-2"/>
    <n v="914.31084704499017"/>
    <n v="15"/>
    <n v="2"/>
  </r>
  <r>
    <n v="735"/>
    <d v="2022-12-31T00:00:00"/>
    <x v="2"/>
    <s v="CLI413"/>
    <s v="CLI413"/>
    <s v="SAO VICENTE"/>
    <s v="SP"/>
    <s v="CLI517"/>
    <s v="RECIFE"/>
    <s v="PE"/>
    <n v="2651.79043"/>
    <n v="0"/>
    <n v="0"/>
    <n v="0"/>
    <n v="0"/>
    <x v="0"/>
    <x v="0"/>
    <s v="BRSSZTK01"/>
    <s v="BRSSZTCO"/>
    <n v="19.906849999999999"/>
    <n v="37.844999999999999"/>
    <n v="150"/>
    <n v="913.45362998400003"/>
    <n v="164.42165339712"/>
    <n v="640"/>
    <n v="7"/>
    <n v="0"/>
    <n v="0"/>
    <n v="640"/>
    <m/>
    <m/>
    <n v="0"/>
    <x v="2"/>
    <s v="BRSUATK01"/>
    <s v="BRSUATCO"/>
    <n v="51.681188999999996"/>
    <n v="37.844999999999999"/>
    <n v="150"/>
    <n v="1384.24257218496"/>
    <n v="249.16366299329277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417"/>
    <n v="75690"/>
    <x v="0"/>
    <x v="3"/>
    <x v="2"/>
    <x v="2"/>
    <x v="3"/>
    <x v="3"/>
    <n v="1"/>
    <n v="1"/>
    <n v="2"/>
    <n v="1"/>
    <n v="1"/>
    <n v="1"/>
    <n v="1"/>
    <n v="13"/>
    <n v="7"/>
    <n v="110"/>
    <n v="7"/>
    <n v="110"/>
    <n v="2651.79043"/>
    <n v="227.07"/>
    <n v="18654.680738512801"/>
    <n v="1305.8276516958963"/>
    <n v="75"/>
    <n v="150"/>
    <n v="1E-3"/>
    <n v="75.69"/>
    <n v="13058.27651695896"/>
    <n v="13358.966516958961"/>
    <n v="3180.9641611183101"/>
    <n v="5626.3061536716905"/>
    <n v="0.08"/>
    <n v="851.81479987196713"/>
    <n v="7.0000000000000007E-2"/>
    <n v="935.12765618712729"/>
    <n v="15"/>
    <n v="2"/>
  </r>
  <r>
    <n v="736"/>
    <d v="2022-12-31T00:00:00"/>
    <x v="2"/>
    <s v="CLI414"/>
    <s v="CLI414"/>
    <s v="FORTALEZA"/>
    <s v="CE"/>
    <s v="CLI415"/>
    <s v="SAO PAULO"/>
    <s v="SP"/>
    <n v="2805.9571549999996"/>
    <n v="0"/>
    <n v="0"/>
    <n v="0"/>
    <n v="0"/>
    <x v="0"/>
    <x v="1"/>
    <s v="BRPECTK01"/>
    <s v="BRPECAPM"/>
    <n v="42.140103000000003"/>
    <n v="43.6935"/>
    <n v="150"/>
    <n v="1248.7242357139201"/>
    <n v="224.77036242850559"/>
    <n v="768"/>
    <n v="7"/>
    <n v="0"/>
    <n v="0"/>
    <n v="768"/>
    <m/>
    <m/>
    <n v="0"/>
    <x v="1"/>
    <s v="BRSSZTK01"/>
    <s v="BRSSZTCO"/>
    <n v="85.841132000000002"/>
    <n v="43.6935"/>
    <n v="150"/>
    <n v="1896.2266500364801"/>
    <n v="341.32079700656641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941"/>
    <n v="8738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05.9571549999996"/>
    <n v="262.161"/>
    <n v="19736.711801318801"/>
    <n v="2368.4054161582562"/>
    <n v="110"/>
    <n v="150"/>
    <n v="1E-3"/>
    <n v="87.387"/>
    <n v="13815.69826092316"/>
    <n v="14163.085260923161"/>
    <n v="3180.9641611183101"/>
    <n v="6099.1702140544494"/>
    <n v="0.08"/>
    <n v="836.16345725901499"/>
    <n v="0.12"/>
    <n v="1699.5702313107793"/>
    <n v="15"/>
    <n v="1"/>
  </r>
  <r>
    <n v="737"/>
    <d v="2022-12-31T00:00:00"/>
    <x v="2"/>
    <s v="CLI415"/>
    <s v="CLI415"/>
    <s v="SAO PAULO"/>
    <s v="SP"/>
    <s v="CLI414"/>
    <s v="FORTALEZA"/>
    <s v="CE"/>
    <n v="2810.2151650000001"/>
    <n v="0"/>
    <n v="0"/>
    <n v="0"/>
    <n v="0"/>
    <x v="0"/>
    <x v="0"/>
    <s v="BRSSZTK01"/>
    <s v="BRSSZTCO"/>
    <n v="85.841132000000002"/>
    <n v="78.991"/>
    <n v="150"/>
    <n v="1931.52415003648"/>
    <n v="347.67434700656639"/>
    <n v="640"/>
    <n v="7"/>
    <n v="0"/>
    <n v="0"/>
    <n v="640"/>
    <m/>
    <m/>
    <n v="0"/>
    <x v="3"/>
    <s v="BRPECTK01"/>
    <s v="BRPECAPM"/>
    <n v="42.140103000000003"/>
    <n v="78.991"/>
    <n v="150"/>
    <n v="1284.02173571392"/>
    <n v="231.12391242850558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086"/>
    <n v="15798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10.2151650000001"/>
    <n v="473.94600000000003"/>
    <n v="19977.412776908401"/>
    <n v="1398.4188943835882"/>
    <n v="110"/>
    <n v="150"/>
    <n v="1E-3"/>
    <n v="157.982"/>
    <n v="13984.188943835879"/>
    <n v="14402.170943835879"/>
    <n v="3180.9641611183101"/>
    <n v="6327.6608969671688"/>
    <n v="0.08"/>
    <n v="848.62614389203259"/>
    <n v="7.0000000000000007E-2"/>
    <n v="1008.1519660685117"/>
    <n v="15"/>
    <n v="1"/>
  </r>
  <r>
    <n v="738"/>
    <d v="2022-12-31T00:00:00"/>
    <x v="2"/>
    <s v="CLI416"/>
    <s v="CLI416"/>
    <s v="MANAUS"/>
    <s v="AM"/>
    <s v="CLI1200"/>
    <s v="BARUERI"/>
    <s v="SP"/>
    <n v="3921.9795249999997"/>
    <n v="0"/>
    <n v="2871.0121140000001"/>
    <n v="7000"/>
    <n v="0"/>
    <x v="0"/>
    <x v="2"/>
    <s v="BRMAOTK01"/>
    <s v="BRMAOCHI"/>
    <n v="11.436796000000001"/>
    <n v="59.771000000000001"/>
    <n v="150"/>
    <n v="809.88188908543998"/>
    <n v="0"/>
    <n v="832"/>
    <n v="7"/>
    <n v="0"/>
    <n v="0"/>
    <n v="832"/>
    <m/>
    <m/>
    <n v="0"/>
    <x v="1"/>
    <s v="BRSSZTK01"/>
    <s v="BRSSZTCO"/>
    <n v="108.985372"/>
    <n v="59.771000000000001"/>
    <n v="150"/>
    <n v="2255.2240221900802"/>
    <n v="405.940323994214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794"/>
    <n v="119542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3921.9795249999997"/>
    <n v="358.62600000000003"/>
    <n v="27412.040075094003"/>
    <n v="3289.4448090112801"/>
    <n v="75"/>
    <n v="150"/>
    <n v="1E-3"/>
    <n v="119.542"/>
    <n v="19188.4280525658"/>
    <n v="19532.970052565801"/>
    <n v="3180.9641611183101"/>
    <n v="11519.899980171969"/>
    <n v="0.08"/>
    <n v="1284.9539053836852"/>
    <n v="0.12"/>
    <n v="2343.956406307896"/>
    <n v="15"/>
    <n v="2"/>
  </r>
  <r>
    <n v="739"/>
    <d v="2022-12-31T00:00:00"/>
    <x v="2"/>
    <s v="CLI416"/>
    <s v="CLI416"/>
    <s v="MANAUS"/>
    <s v="AM"/>
    <s v="CLI1202"/>
    <s v="GUARULHOS"/>
    <s v="SP"/>
    <n v="3939.5816420000001"/>
    <n v="0"/>
    <n v="2887.376076"/>
    <n v="7000"/>
    <n v="0"/>
    <x v="0"/>
    <x v="2"/>
    <s v="BRMAOTK01"/>
    <s v="BRMAOCHI"/>
    <n v="11.436796000000001"/>
    <n v="99.400500000000008"/>
    <n v="150"/>
    <n v="849.51138908543999"/>
    <n v="0"/>
    <n v="832"/>
    <n v="7"/>
    <n v="0"/>
    <n v="0"/>
    <n v="832"/>
    <m/>
    <m/>
    <n v="0"/>
    <x v="1"/>
    <s v="BRSSZTK01"/>
    <s v="BRSSZTCO"/>
    <n v="96.951807000000002"/>
    <n v="99.400500000000008"/>
    <n v="150"/>
    <n v="2116.5565216684799"/>
    <n v="380.9801739003263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02"/>
    <n v="198801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3939.5816420000001"/>
    <n v="596.40300000000002"/>
    <n v="27769.352347556323"/>
    <n v="3332.3222817067585"/>
    <n v="75"/>
    <n v="150"/>
    <n v="1E-3"/>
    <n v="198.80100000000002"/>
    <n v="19438.546643289425"/>
    <n v="19862.347643289424"/>
    <n v="3180.9641611183101"/>
    <n v="11948.315571417192"/>
    <n v="0.08"/>
    <n v="1321.223964690814"/>
    <n v="0.12"/>
    <n v="2383.4817171947307"/>
    <n v="15"/>
    <n v="1"/>
  </r>
  <r>
    <n v="740"/>
    <d v="2022-12-31T00:00:00"/>
    <x v="2"/>
    <s v="CLI416"/>
    <s v="CLI416"/>
    <s v="MANAUS"/>
    <s v="AM"/>
    <s v="CLI1201"/>
    <s v="CABO DE SANTO AGOSTINHO"/>
    <s v="PE"/>
    <n v="3510.0331660000002"/>
    <n v="0"/>
    <n v="2055.2547009999998"/>
    <n v="7000"/>
    <n v="0"/>
    <x v="0"/>
    <x v="2"/>
    <s v="BRMAOTK01"/>
    <s v="BRMAOCHI"/>
    <n v="11.436796000000001"/>
    <n v="70.1785"/>
    <n v="150"/>
    <n v="820.28938908544001"/>
    <n v="0"/>
    <n v="832"/>
    <n v="7"/>
    <n v="0"/>
    <n v="0"/>
    <n v="832"/>
    <m/>
    <m/>
    <n v="0"/>
    <x v="2"/>
    <s v="BRSUATK01"/>
    <s v="BRSUATCO"/>
    <n v="23.080721"/>
    <n v="70.1785"/>
    <n v="150"/>
    <n v="992.81323399744008"/>
    <n v="178.706382119539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428"/>
    <n v="140357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3510.0331660000002"/>
    <n v="421.07100000000003"/>
    <n v="24676.973828979364"/>
    <n v="2961.2368594775235"/>
    <n v="75"/>
    <n v="150"/>
    <n v="1E-3"/>
    <n v="140.357"/>
    <n v="17273.881680285554"/>
    <n v="17639.238680285554"/>
    <n v="3180.9641611183101"/>
    <n v="10174.171896084365"/>
    <n v="0.08"/>
    <n v="1251.794374006651"/>
    <n v="0.12"/>
    <n v="2116.7086416342663"/>
    <n v="15"/>
    <n v="1"/>
  </r>
  <r>
    <n v="741"/>
    <d v="2022-12-31T00:00:00"/>
    <x v="2"/>
    <s v="CLI416"/>
    <s v="CLI416"/>
    <s v="MANAUS"/>
    <s v="AM"/>
    <s v="CLI1297"/>
    <s v="JUNDIAI"/>
    <s v="SP"/>
    <n v="3878.5104309999997"/>
    <n v="0"/>
    <n v="2826.507944"/>
    <n v="7000"/>
    <n v="0"/>
    <x v="0"/>
    <x v="2"/>
    <s v="BRMAOTK01"/>
    <s v="BRMAOCHI"/>
    <n v="11.436796000000001"/>
    <n v="32.116"/>
    <n v="150"/>
    <n v="782.22688908544001"/>
    <n v="0"/>
    <n v="832"/>
    <n v="7"/>
    <n v="0"/>
    <n v="0"/>
    <n v="832"/>
    <m/>
    <m/>
    <n v="0"/>
    <x v="1"/>
    <s v="BRSSZTK01"/>
    <s v="BRSSZTCO"/>
    <n v="139.13710800000001"/>
    <n v="32.116"/>
    <n v="150"/>
    <n v="2674.31643987712"/>
    <n v="481.3769591778815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573"/>
    <n v="64232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3878.5104309999997"/>
    <n v="192.696"/>
    <n v="26950.91319650376"/>
    <n v="3234.1095835804508"/>
    <n v="75"/>
    <n v="150"/>
    <n v="1E-3"/>
    <n v="64.231999999999999"/>
    <n v="18865.63923755263"/>
    <n v="19154.87123755263"/>
    <n v="3180.9641611183101"/>
    <n v="10750.36374747176"/>
    <n v="0.08"/>
    <n v="1217.3560759529751"/>
    <n v="0.12"/>
    <n v="2298.5845485063155"/>
    <n v="15"/>
    <n v="1"/>
  </r>
  <r>
    <n v="742"/>
    <d v="2022-12-31T00:00:00"/>
    <x v="2"/>
    <s v="CLI416"/>
    <s v="CLI416"/>
    <s v="MANAUS"/>
    <s v="AM"/>
    <s v="CLI819"/>
    <s v="SAO PAULO"/>
    <s v="SP"/>
    <n v="3929.9226880000001"/>
    <n v="0"/>
    <n v="2877.9279630000001"/>
    <n v="7000"/>
    <n v="0"/>
    <x v="0"/>
    <x v="2"/>
    <s v="BRMAOTK01"/>
    <s v="BRMAOCHI"/>
    <n v="11.436796000000001"/>
    <n v="94.257000000000005"/>
    <n v="150"/>
    <n v="844.36788908544008"/>
    <n v="0"/>
    <n v="832"/>
    <n v="7"/>
    <n v="0"/>
    <n v="0"/>
    <n v="832"/>
    <m/>
    <m/>
    <n v="0"/>
    <x v="1"/>
    <s v="BRSSZTK01"/>
    <s v="BRSSZTCO"/>
    <n v="85.841132000000002"/>
    <n v="94.257000000000005"/>
    <n v="150"/>
    <n v="1946.7901500364801"/>
    <n v="350.42222700656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625"/>
    <n v="188514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3929.9226880000001"/>
    <n v="565.54200000000003"/>
    <n v="27672.897777300484"/>
    <n v="3320.7477332760582"/>
    <n v="75"/>
    <n v="150"/>
    <n v="1E-3"/>
    <n v="188.51400000000001"/>
    <n v="19371.028444110339"/>
    <n v="19784.542444110339"/>
    <n v="3180.9641611183101"/>
    <n v="12045.42024387011"/>
    <n v="0.08"/>
    <n v="1331.4369742385484"/>
    <n v="0.12"/>
    <n v="2374.1450932932407"/>
    <n v="15"/>
    <n v="1"/>
  </r>
  <r>
    <n v="743"/>
    <d v="2022-12-31T00:00:00"/>
    <x v="2"/>
    <s v="CLI416"/>
    <s v="CLI416"/>
    <s v="MANAUS"/>
    <s v="AM"/>
    <s v="CLI1201"/>
    <s v="CABO DE SANTO AGOSTINHO"/>
    <s v="PE"/>
    <n v="3510.0331660000002"/>
    <n v="0"/>
    <n v="2055.2547009999998"/>
    <n v="7000"/>
    <n v="0"/>
    <x v="0"/>
    <x v="2"/>
    <s v="BRMAOTK01"/>
    <s v="BRMAOCHI"/>
    <n v="11.436796000000001"/>
    <n v="41.972000000000001"/>
    <n v="150"/>
    <n v="792.08288908544"/>
    <n v="0"/>
    <n v="832"/>
    <n v="7"/>
    <n v="0"/>
    <n v="0"/>
    <n v="832"/>
    <m/>
    <m/>
    <n v="0"/>
    <x v="2"/>
    <s v="BRSUATK01"/>
    <s v="BRSUATCO"/>
    <n v="23.080721"/>
    <n v="41.972000000000001"/>
    <n v="150"/>
    <n v="964.60673399744007"/>
    <n v="173.629212119539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07"/>
    <n v="83944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3510.0331660000002"/>
    <n v="251.83199999999999"/>
    <n v="24507.734828979363"/>
    <n v="2940.9281794775234"/>
    <n v="75"/>
    <n v="150"/>
    <n v="1E-3"/>
    <n v="83.944000000000003"/>
    <n v="17155.414380285554"/>
    <n v="17464.358380285554"/>
    <n v="3180.9641611183101"/>
    <n v="10055.704596084364"/>
    <n v="0.08"/>
    <n v="1242.723163606651"/>
    <n v="0.12"/>
    <n v="2095.7230056342664"/>
    <n v="15"/>
    <n v="1"/>
  </r>
  <r>
    <n v="744"/>
    <d v="2022-12-31T00:00:00"/>
    <x v="2"/>
    <s v="CLI416"/>
    <s v="CLI416"/>
    <s v="MANAUS"/>
    <s v="AM"/>
    <s v="CLI808"/>
    <s v="CAJAMAR"/>
    <s v="SP"/>
    <n v="3898.610596"/>
    <n v="0"/>
    <n v="2846.7739100000003"/>
    <n v="7000"/>
    <n v="0"/>
    <x v="0"/>
    <x v="2"/>
    <s v="BRMAOTK01"/>
    <s v="BRMAOCHI"/>
    <n v="11.436796000000001"/>
    <n v="118.3575"/>
    <n v="150"/>
    <n v="868.46838908543998"/>
    <n v="0"/>
    <n v="832"/>
    <n v="7"/>
    <n v="0"/>
    <n v="0"/>
    <n v="832"/>
    <m/>
    <m/>
    <n v="0"/>
    <x v="1"/>
    <s v="BRSSZTK01"/>
    <s v="BRSSZTCO"/>
    <n v="123.50964200000001"/>
    <n v="118.3575"/>
    <n v="150"/>
    <n v="2529.01140204288"/>
    <n v="455.2220523677183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11"/>
    <n v="236715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3898.610596"/>
    <n v="710.14499999999998"/>
    <n v="27604.861613012163"/>
    <n v="3312.5833935614596"/>
    <n v="75"/>
    <n v="150"/>
    <n v="1E-3"/>
    <n v="236.715"/>
    <n v="19323.403129108512"/>
    <n v="19785.118129108512"/>
    <n v="3180.9641611183101"/>
    <n v="11439.674176861881"/>
    <n v="0.08"/>
    <n v="1274.5933028489978"/>
    <n v="0.12"/>
    <n v="2374.2141754930212"/>
    <n v="15"/>
    <n v="1"/>
  </r>
  <r>
    <n v="745"/>
    <d v="2022-12-31T00:00:00"/>
    <x v="3"/>
    <s v="CLI416"/>
    <s v="CLI416"/>
    <s v="MANAUS"/>
    <s v="AM"/>
    <s v="CLI818"/>
    <s v="SANTOS"/>
    <s v="SP"/>
    <n v="4001.3210899999999"/>
    <n v="0"/>
    <n v="2948.3907220000001"/>
    <n v="7000"/>
    <n v="0"/>
    <x v="0"/>
    <x v="2"/>
    <s v="BRMAOTK01"/>
    <s v="BRMAOCHI"/>
    <n v="11.436796000000001"/>
    <n v="59.455500000000001"/>
    <n v="150"/>
    <n v="809.56638908544005"/>
    <n v="0"/>
    <n v="832"/>
    <n v="7"/>
    <n v="0"/>
    <n v="0"/>
    <n v="832"/>
    <m/>
    <m/>
    <n v="0"/>
    <x v="1"/>
    <s v="BRSSZTK01S"/>
    <s v="BRSSZTCO"/>
    <n v="14.583465"/>
    <n v="59.455500000000001"/>
    <n v="150"/>
    <n v="856.18945085760004"/>
    <n v="154.11410115436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181"/>
    <n v="118911"/>
    <x v="0"/>
    <x v="3"/>
    <x v="2"/>
    <x v="2"/>
    <x v="3"/>
    <x v="3"/>
    <n v="1"/>
    <n v="1"/>
    <n v="1"/>
    <n v="1"/>
    <n v="1"/>
    <n v="0"/>
    <n v="1"/>
    <n v="11"/>
    <n v="7"/>
    <n v="110"/>
    <n v="7"/>
    <n v="110"/>
    <n v="4001.3210899999999"/>
    <n v="356.733"/>
    <n v="27948.952469346405"/>
    <n v="3353.8742963215686"/>
    <n v="75"/>
    <n v="150"/>
    <n v="1E-3"/>
    <n v="118.911"/>
    <n v="18964.934112942163"/>
    <n v="19308.845112942163"/>
    <n v="3180.9641611183101"/>
    <n v="13551.314562738411"/>
    <n v="0.08"/>
    <n v="1399.1180137475801"/>
    <n v="0.12"/>
    <n v="2317.0614135530595"/>
    <n v="15"/>
    <n v="1"/>
  </r>
  <r>
    <n v="746"/>
    <d v="2022-12-31T00:00:00"/>
    <x v="2"/>
    <s v="CLI416"/>
    <s v="CLI416"/>
    <s v="MANAUS"/>
    <s v="AM"/>
    <s v="CLI687"/>
    <s v="RIO DE JANEIRO"/>
    <s v="RJ"/>
    <n v="4144.4069500000005"/>
    <n v="0"/>
    <n v="3090.4427809999997"/>
    <n v="7000"/>
    <n v="0"/>
    <x v="0"/>
    <x v="2"/>
    <s v="BRMAOTK01"/>
    <s v="BRMAOCHI"/>
    <n v="11.436796000000001"/>
    <n v="29.804500000000001"/>
    <n v="150"/>
    <n v="779.91538908543998"/>
    <n v="0"/>
    <n v="832"/>
    <n v="7"/>
    <n v="0"/>
    <n v="0"/>
    <n v="832"/>
    <m/>
    <m/>
    <n v="0"/>
    <x v="4"/>
    <s v="BRIGITK01"/>
    <s v="BRIGITCO"/>
    <n v="78.029871"/>
    <n v="29.804500000000001"/>
    <n v="150"/>
    <n v="1766.60100785344"/>
    <n v="353.32020157068803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80"/>
    <n v="59609"/>
    <x v="0"/>
    <x v="10"/>
    <x v="4"/>
    <x v="10"/>
    <x v="3"/>
    <x v="5"/>
    <n v="1"/>
    <n v="1"/>
    <n v="1"/>
    <n v="1"/>
    <n v="1"/>
    <n v="0"/>
    <n v="0"/>
    <n v="6"/>
    <n v="7"/>
    <n v="110"/>
    <n v="7"/>
    <n v="110"/>
    <n v="4144.4069500000005"/>
    <n v="178.827"/>
    <n v="28742.736821172006"/>
    <n v="3449.1284185406407"/>
    <n v="75"/>
    <n v="150"/>
    <n v="1E-3"/>
    <n v="59.609000000000002"/>
    <n v="20119.915774820402"/>
    <n v="20404.524774820402"/>
    <n v="3180.9641611183101"/>
    <n v="12846.044216763214"/>
    <n v="0.08"/>
    <n v="1400.3750541048669"/>
    <n v="0.12"/>
    <n v="2448.5429729784482"/>
    <n v="15"/>
    <n v="1"/>
  </r>
  <r>
    <n v="747"/>
    <d v="2022-12-31T00:00:00"/>
    <x v="2"/>
    <s v="CLI416"/>
    <s v="CLI416"/>
    <s v="MANAUS"/>
    <s v="AM"/>
    <s v="CLI812"/>
    <s v="FORTALEZA"/>
    <s v="CE"/>
    <n v="3028.2401359999999"/>
    <n v="0"/>
    <n v="1441.3172649999999"/>
    <n v="7000"/>
    <n v="0"/>
    <x v="0"/>
    <x v="2"/>
    <s v="BRMAOTK01"/>
    <s v="BRMAOCHI"/>
    <n v="11.436796000000001"/>
    <n v="123.43"/>
    <n v="150"/>
    <n v="873.54088908544009"/>
    <n v="0"/>
    <n v="832"/>
    <n v="7"/>
    <n v="0"/>
    <n v="0"/>
    <n v="832"/>
    <m/>
    <m/>
    <n v="0"/>
    <x v="3"/>
    <s v="BRPECTK01"/>
    <s v="BRPECAPM"/>
    <n v="42.140103000000003"/>
    <n v="123.43"/>
    <n v="150"/>
    <n v="1328.46073571392"/>
    <n v="239.1229324285056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450"/>
    <n v="246860"/>
    <x v="0"/>
    <x v="10"/>
    <x v="4"/>
    <x v="10"/>
    <x v="12"/>
    <x v="5"/>
    <n v="1"/>
    <n v="1"/>
    <n v="1"/>
    <n v="1"/>
    <n v="0"/>
    <n v="0"/>
    <n v="0"/>
    <n v="4"/>
    <n v="7"/>
    <n v="110"/>
    <n v="7"/>
    <n v="110"/>
    <n v="3028.2401359999999"/>
    <n v="740.58"/>
    <n v="21724.645633970566"/>
    <n v="2606.9574760764676"/>
    <n v="75"/>
    <n v="150"/>
    <n v="1E-3"/>
    <n v="246.86"/>
    <n v="15207.251943779394"/>
    <n v="15679.111943779395"/>
    <n v="3180.9641611183101"/>
    <n v="8401.1461578617254"/>
    <n v="0.08"/>
    <n v="1059.0389909241226"/>
    <n v="0.12"/>
    <n v="1881.4934332535274"/>
    <n v="15"/>
    <n v="1"/>
  </r>
  <r>
    <n v="748"/>
    <d v="2022-12-31T00:00:00"/>
    <x v="2"/>
    <s v="CLI416"/>
    <s v="CLI416"/>
    <s v="MANAUS"/>
    <s v="AM"/>
    <s v="CLI1296"/>
    <s v="DUQUE DE CAXIAS"/>
    <s v="RJ"/>
    <n v="4126.6281179999996"/>
    <n v="0"/>
    <n v="3072.1998579999999"/>
    <n v="7000"/>
    <n v="0"/>
    <x v="0"/>
    <x v="2"/>
    <s v="BRMAOTK01"/>
    <s v="BRMAOCHI"/>
    <n v="11.436796000000001"/>
    <n v="30.872"/>
    <n v="150"/>
    <n v="780.98288908543998"/>
    <n v="0"/>
    <n v="832"/>
    <n v="7"/>
    <n v="0"/>
    <n v="0"/>
    <n v="832"/>
    <m/>
    <m/>
    <n v="0"/>
    <x v="4"/>
    <s v="BRIGITK01"/>
    <s v="BRIGITCO"/>
    <n v="68.801226"/>
    <n v="30.872"/>
    <n v="150"/>
    <n v="1630.9309972006399"/>
    <n v="326.18619944012801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379"/>
    <n v="61744"/>
    <x v="0"/>
    <x v="10"/>
    <x v="4"/>
    <x v="10"/>
    <x v="12"/>
    <x v="5"/>
    <n v="0"/>
    <n v="0"/>
    <n v="1"/>
    <n v="0"/>
    <n v="0"/>
    <n v="0"/>
    <n v="0"/>
    <n v="1"/>
    <n v="7"/>
    <n v="110"/>
    <n v="7"/>
    <n v="110"/>
    <n v="4126.6281179999996"/>
    <n v="185.232"/>
    <n v="28628.406484213279"/>
    <n v="3435.4087781055932"/>
    <n v="75"/>
    <n v="150"/>
    <n v="1E-3"/>
    <n v="61.744"/>
    <n v="20039.884538949293"/>
    <n v="20326.628538949291"/>
    <n v="3180.9641611183101"/>
    <n v="12902.750491544899"/>
    <n v="0.08"/>
    <n v="1407.0822762578464"/>
    <n v="0.12"/>
    <n v="2439.1954246739147"/>
    <n v="15"/>
    <n v="1"/>
  </r>
  <r>
    <n v="749"/>
    <d v="2022-12-31T00:00:00"/>
    <x v="2"/>
    <s v="CLI416"/>
    <s v="CLI416"/>
    <s v="MANAUS"/>
    <s v="AM"/>
    <s v="CLI999"/>
    <s v="LOUVEIRA"/>
    <s v="SP"/>
    <n v="3865.5848300000002"/>
    <n v="0"/>
    <n v="2812.8709169999997"/>
    <n v="7000"/>
    <n v="0"/>
    <x v="0"/>
    <x v="2"/>
    <s v="BRMAOTK01"/>
    <s v="BRMAOCHI"/>
    <n v="11.436796000000001"/>
    <n v="41.655000000000001"/>
    <n v="150"/>
    <n v="791.76588908543999"/>
    <n v="0"/>
    <n v="832"/>
    <n v="7"/>
    <n v="0"/>
    <n v="0"/>
    <n v="832"/>
    <m/>
    <m/>
    <n v="0"/>
    <x v="1"/>
    <s v="BRSSZTK01"/>
    <s v="BRSSZTCO"/>
    <n v="152.74309700000001"/>
    <n v="41.655000000000001"/>
    <n v="150"/>
    <n v="2885.4504807340804"/>
    <n v="519.381086532134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202"/>
    <n v="83310"/>
    <x v="0"/>
    <x v="10"/>
    <x v="4"/>
    <x v="10"/>
    <x v="12"/>
    <x v="5"/>
    <n v="0"/>
    <n v="0"/>
    <n v="1"/>
    <n v="0"/>
    <n v="0"/>
    <n v="0"/>
    <n v="0"/>
    <n v="1"/>
    <n v="7"/>
    <n v="110"/>
    <n v="7"/>
    <n v="110"/>
    <n v="3865.5848300000002"/>
    <n v="249.93"/>
    <n v="26920.369957136805"/>
    <n v="3230.4443948564167"/>
    <n v="75"/>
    <n v="150"/>
    <n v="1E-3"/>
    <n v="83.31"/>
    <n v="18844.258969995761"/>
    <n v="19152.568969995762"/>
    <n v="3180.9641611183101"/>
    <n v="10527.388439057931"/>
    <n v="0.08"/>
    <n v="1196.4777210915288"/>
    <n v="0.12"/>
    <n v="2298.3082763994912"/>
    <n v="15"/>
    <n v="1"/>
  </r>
  <r>
    <n v="750"/>
    <d v="2022-12-31T00:00:00"/>
    <x v="2"/>
    <s v="CLI416"/>
    <s v="CLI416"/>
    <s v="MANAUS"/>
    <s v="AM"/>
    <s v="CLI1100"/>
    <s v="RIO DE JANEIRO"/>
    <s v="RJ"/>
    <n v="4144.4069500000005"/>
    <n v="0"/>
    <n v="3090.4427809999997"/>
    <n v="7000"/>
    <n v="0"/>
    <x v="0"/>
    <x v="2"/>
    <s v="BRMAOTK01"/>
    <s v="BRMAOCHI"/>
    <n v="11.436796000000001"/>
    <n v="44.572000000000003"/>
    <n v="150"/>
    <n v="794.68288908544002"/>
    <n v="0"/>
    <n v="832"/>
    <n v="7"/>
    <n v="0"/>
    <n v="0"/>
    <n v="832"/>
    <m/>
    <m/>
    <n v="0"/>
    <x v="4"/>
    <s v="BRIGITK01"/>
    <s v="BRIGITCO"/>
    <n v="78.029871"/>
    <n v="44.572000000000003"/>
    <n v="150"/>
    <n v="1781.36850785344"/>
    <n v="356.27370157068799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472"/>
    <n v="89144"/>
    <x v="0"/>
    <x v="10"/>
    <x v="4"/>
    <x v="10"/>
    <x v="12"/>
    <x v="5"/>
    <n v="0"/>
    <n v="0"/>
    <n v="1"/>
    <n v="0"/>
    <n v="0"/>
    <n v="0"/>
    <n v="0"/>
    <n v="1"/>
    <n v="7"/>
    <n v="110"/>
    <n v="7"/>
    <n v="110"/>
    <n v="4144.4069500000005"/>
    <n v="267.43200000000002"/>
    <n v="28831.341821172005"/>
    <n v="3459.7610185406406"/>
    <n v="75"/>
    <n v="150"/>
    <n v="1E-3"/>
    <n v="89.144000000000005"/>
    <n v="20181.939274820401"/>
    <n v="20496.083274820401"/>
    <n v="3180.9641611183101"/>
    <n v="12908.067716763209"/>
    <n v="0.08"/>
    <n v="1405.1006541048666"/>
    <n v="0.12"/>
    <n v="2459.5299929784483"/>
    <n v="15"/>
    <n v="1"/>
  </r>
  <r>
    <n v="751"/>
    <d v="2022-12-31T00:00:00"/>
    <x v="2"/>
    <s v="CLI416"/>
    <s v="CLI416"/>
    <s v="MANAUS"/>
    <s v="AM"/>
    <s v="CLI1297"/>
    <s v="JUNDIAI"/>
    <s v="SP"/>
    <n v="3878.5104309999997"/>
    <n v="0"/>
    <n v="2826.507944"/>
    <n v="7000"/>
    <n v="0"/>
    <x v="0"/>
    <x v="2"/>
    <s v="BRMAOTK01"/>
    <s v="BRMAOCHI"/>
    <n v="11.436796000000001"/>
    <n v="73.694500000000005"/>
    <n v="150"/>
    <n v="823.80538908544008"/>
    <n v="0"/>
    <n v="832"/>
    <n v="7"/>
    <n v="0"/>
    <n v="0"/>
    <n v="832"/>
    <m/>
    <m/>
    <n v="0"/>
    <x v="1"/>
    <s v="BRSSZTK01"/>
    <s v="BRSSZTCO"/>
    <n v="139.13710800000001"/>
    <n v="73.694500000000005"/>
    <n v="150"/>
    <n v="2715.8949398771201"/>
    <n v="488.8610891778815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664"/>
    <n v="147389"/>
    <x v="1"/>
    <x v="30"/>
    <x v="28"/>
    <x v="27"/>
    <x v="30"/>
    <x v="29"/>
    <n v="46"/>
    <n v="44"/>
    <n v="49"/>
    <n v="49"/>
    <n v="49"/>
    <n v="45"/>
    <n v="49"/>
    <n v="539"/>
    <n v="7"/>
    <n v="180"/>
    <n v="7"/>
    <n v="180"/>
    <n v="3878.5104309999997"/>
    <n v="442.16700000000003"/>
    <n v="27200.384196503761"/>
    <n v="3264.046103580451"/>
    <n v="110"/>
    <n v="150"/>
    <n v="1E-3"/>
    <n v="147.38900000000001"/>
    <n v="19040.268937552632"/>
    <n v="19447.657937552631"/>
    <n v="3180.9641611183101"/>
    <n v="10959.993447471761"/>
    <n v="0.08"/>
    <n v="1233.5277215529752"/>
    <n v="0.12"/>
    <n v="2333.7189525063154"/>
    <n v="15"/>
    <n v="49"/>
  </r>
  <r>
    <n v="752"/>
    <d v="2022-12-31T00:00:00"/>
    <x v="2"/>
    <s v="CLI416"/>
    <s v="CLI416"/>
    <s v="MANAUS"/>
    <s v="AM"/>
    <s v="CLI1296"/>
    <s v="DUQUE DE CAXIAS"/>
    <s v="RJ"/>
    <n v="4126.6281179999996"/>
    <n v="0"/>
    <n v="3072.1998579999999"/>
    <n v="7000"/>
    <n v="0"/>
    <x v="0"/>
    <x v="2"/>
    <s v="BRMAOTK01"/>
    <s v="BRMAOCHI"/>
    <n v="11.436796000000001"/>
    <n v="75.819000000000003"/>
    <n v="150"/>
    <n v="825.92988908543998"/>
    <n v="0"/>
    <n v="832"/>
    <n v="7"/>
    <n v="0"/>
    <n v="0"/>
    <n v="832"/>
    <m/>
    <m/>
    <n v="0"/>
    <x v="4"/>
    <s v="BRIGITK01"/>
    <s v="BRIGITCO"/>
    <n v="68.801226"/>
    <n v="75.819000000000003"/>
    <n v="150"/>
    <n v="1675.8779972006398"/>
    <n v="335.175599440128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810"/>
    <n v="151638"/>
    <x v="1"/>
    <x v="31"/>
    <x v="7"/>
    <x v="20"/>
    <x v="21"/>
    <x v="7"/>
    <n v="27"/>
    <n v="26"/>
    <n v="29"/>
    <n v="29"/>
    <n v="29"/>
    <n v="27"/>
    <n v="29"/>
    <n v="319"/>
    <n v="7"/>
    <n v="180"/>
    <n v="7"/>
    <n v="180"/>
    <n v="4126.6281179999996"/>
    <n v="454.91399999999999"/>
    <n v="28898.08848421328"/>
    <n v="3467.7706181055933"/>
    <n v="110"/>
    <n v="150"/>
    <n v="1E-3"/>
    <n v="151.63800000000001"/>
    <n v="20228.661938949295"/>
    <n v="20640.299938949294"/>
    <n v="3180.9641611183101"/>
    <n v="13126.527891544902"/>
    <n v="0.08"/>
    <n v="1424.2653162578467"/>
    <n v="0.12"/>
    <n v="2476.8359926739154"/>
    <n v="15"/>
    <n v="29"/>
  </r>
  <r>
    <n v="753"/>
    <d v="2022-12-31T00:00:00"/>
    <x v="2"/>
    <s v="CLI416"/>
    <s v="CLI416"/>
    <s v="MANAUS"/>
    <s v="AM"/>
    <s v="CLI819"/>
    <s v="SAO PAULO"/>
    <s v="SP"/>
    <n v="3929.9226880000001"/>
    <n v="0"/>
    <n v="2877.9279630000001"/>
    <n v="7000"/>
    <n v="0"/>
    <x v="0"/>
    <x v="2"/>
    <s v="BRMAOTK01"/>
    <s v="BRMAOCHI"/>
    <n v="11.436796000000001"/>
    <n v="56.64"/>
    <n v="150"/>
    <n v="806.75088908544001"/>
    <n v="0"/>
    <n v="832"/>
    <n v="7"/>
    <n v="0"/>
    <n v="0"/>
    <n v="832"/>
    <m/>
    <m/>
    <n v="0"/>
    <x v="1"/>
    <s v="BRSSZTK01"/>
    <s v="BRSSZTCO"/>
    <n v="85.841132000000002"/>
    <n v="56.64"/>
    <n v="150"/>
    <n v="1909.1731500364801"/>
    <n v="343.651167006566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421"/>
    <n v="113280"/>
    <x v="1"/>
    <x v="31"/>
    <x v="7"/>
    <x v="6"/>
    <x v="6"/>
    <x v="7"/>
    <n v="26"/>
    <n v="25"/>
    <n v="28"/>
    <n v="28"/>
    <n v="28"/>
    <n v="26"/>
    <n v="28"/>
    <n v="310"/>
    <n v="7"/>
    <n v="180"/>
    <n v="7"/>
    <n v="180"/>
    <n v="3929.9226880000001"/>
    <n v="339.84000000000003"/>
    <n v="27447.195777300483"/>
    <n v="3293.663493276058"/>
    <n v="110"/>
    <n v="150"/>
    <n v="1E-3"/>
    <n v="113.28"/>
    <n v="19213.037044110337"/>
    <n v="19586.317044110336"/>
    <n v="3180.9641611183101"/>
    <n v="11922.428843870104"/>
    <n v="0.08"/>
    <n v="1322.1393470385478"/>
    <n v="0.12"/>
    <n v="2350.3580452932401"/>
    <n v="15"/>
    <n v="28"/>
  </r>
  <r>
    <n v="754"/>
    <d v="2022-12-31T00:00:00"/>
    <x v="2"/>
    <s v="CLI416"/>
    <s v="CLI416"/>
    <s v="MANAUS"/>
    <s v="AM"/>
    <s v="CLI1032"/>
    <s v="SAO PAULO"/>
    <s v="SP"/>
    <n v="3929.9226880000001"/>
    <n v="0"/>
    <n v="2877.9279630000001"/>
    <n v="7000"/>
    <n v="0"/>
    <x v="0"/>
    <x v="2"/>
    <s v="BRMAOTK01"/>
    <s v="BRMAOCHI"/>
    <n v="11.436796000000001"/>
    <n v="116.1955"/>
    <n v="150"/>
    <n v="866.30638908544006"/>
    <n v="0"/>
    <n v="832"/>
    <n v="7"/>
    <n v="0"/>
    <n v="0"/>
    <n v="832"/>
    <m/>
    <m/>
    <n v="0"/>
    <x v="1"/>
    <s v="BRSSZTK01"/>
    <s v="BRSSZTCO"/>
    <n v="85.841132000000002"/>
    <n v="116.1955"/>
    <n v="150"/>
    <n v="1968.7286500364801"/>
    <n v="354.371157006566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15"/>
    <n v="232391"/>
    <x v="1"/>
    <x v="7"/>
    <x v="24"/>
    <x v="7"/>
    <x v="27"/>
    <x v="26"/>
    <n v="19"/>
    <n v="18"/>
    <n v="20"/>
    <n v="20"/>
    <n v="20"/>
    <n v="18"/>
    <n v="20"/>
    <n v="220"/>
    <n v="7"/>
    <n v="180"/>
    <n v="7"/>
    <n v="180"/>
    <n v="3929.9226880000001"/>
    <n v="697.173"/>
    <n v="27804.528777300482"/>
    <n v="3336.5434532760578"/>
    <n v="110"/>
    <n v="150"/>
    <n v="1E-3"/>
    <n v="232.39099999999999"/>
    <n v="19463.170144110336"/>
    <n v="19955.561144110336"/>
    <n v="3180.9641611183101"/>
    <n v="12172.561943870107"/>
    <n v="0.08"/>
    <n v="1341.2923958385479"/>
    <n v="0.12"/>
    <n v="2394.6673372932401"/>
    <n v="15"/>
    <n v="20"/>
  </r>
  <r>
    <n v="755"/>
    <d v="2022-12-31T00:00:00"/>
    <x v="3"/>
    <s v="CLI416"/>
    <s v="CLI416"/>
    <s v="MANAUS"/>
    <s v="AM"/>
    <s v="CLI818"/>
    <s v="SANTOS"/>
    <s v="SP"/>
    <n v="4001.3210899999999"/>
    <n v="0"/>
    <n v="2948.3907220000001"/>
    <n v="7000"/>
    <n v="0"/>
    <x v="0"/>
    <x v="2"/>
    <s v="BRMAOTK01"/>
    <s v="BRMAOCHI"/>
    <n v="11.436796000000001"/>
    <n v="28.828500000000002"/>
    <n v="150"/>
    <n v="778.93938908543998"/>
    <n v="0"/>
    <n v="832"/>
    <n v="7"/>
    <n v="0"/>
    <n v="0"/>
    <n v="832"/>
    <m/>
    <m/>
    <n v="0"/>
    <x v="1"/>
    <s v="BRSSZTK01S"/>
    <s v="BRSSZTCO"/>
    <n v="14.583465"/>
    <n v="28.828500000000002"/>
    <n v="150"/>
    <n v="825.56245085759997"/>
    <n v="148.6012411543679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95"/>
    <n v="57657"/>
    <x v="1"/>
    <x v="15"/>
    <x v="13"/>
    <x v="13"/>
    <x v="14"/>
    <x v="13"/>
    <n v="15"/>
    <n v="15"/>
    <n v="16"/>
    <n v="16"/>
    <n v="17"/>
    <n v="15"/>
    <n v="17"/>
    <n v="180"/>
    <n v="7"/>
    <n v="180"/>
    <n v="7"/>
    <n v="180"/>
    <n v="4001.3210899999999"/>
    <n v="172.971"/>
    <n v="27765.190469346406"/>
    <n v="3331.8228563215685"/>
    <n v="110"/>
    <n v="150"/>
    <n v="1E-3"/>
    <n v="57.657000000000004"/>
    <n v="18857.739612942161"/>
    <n v="19175.396612942161"/>
    <n v="3180.9641611183101"/>
    <n v="13448.493062738409"/>
    <n v="0.08"/>
    <n v="1393.7834825475802"/>
    <n v="0.12"/>
    <n v="2301.047593553059"/>
    <n v="15"/>
    <n v="17"/>
  </r>
  <r>
    <n v="756"/>
    <d v="2022-12-31T00:00:00"/>
    <x v="2"/>
    <s v="CLI416"/>
    <s v="CLI416"/>
    <s v="MANAUS"/>
    <s v="AM"/>
    <s v="CLI1201"/>
    <s v="CABO DE SANTO AGOSTINHO"/>
    <s v="PE"/>
    <n v="3510.0331660000002"/>
    <n v="0"/>
    <n v="2055.2547009999998"/>
    <n v="7000"/>
    <n v="0"/>
    <x v="0"/>
    <x v="2"/>
    <s v="BRMAOTK01"/>
    <s v="BRMAOCHI"/>
    <n v="11.436796000000001"/>
    <n v="91.542000000000002"/>
    <n v="150"/>
    <n v="841.65288908544005"/>
    <n v="0"/>
    <n v="832"/>
    <n v="7"/>
    <n v="0"/>
    <n v="0"/>
    <n v="832"/>
    <m/>
    <m/>
    <n v="0"/>
    <x v="2"/>
    <s v="BRSUATK01"/>
    <s v="BRSUATCO"/>
    <n v="23.080721"/>
    <n v="91.542000000000002"/>
    <n v="150"/>
    <n v="1014.1767339974401"/>
    <n v="182.5518121195392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657"/>
    <n v="183084"/>
    <x v="1"/>
    <x v="17"/>
    <x v="9"/>
    <x v="15"/>
    <x v="10"/>
    <x v="9"/>
    <n v="12"/>
    <n v="12"/>
    <n v="13"/>
    <n v="13"/>
    <n v="13"/>
    <n v="12"/>
    <n v="13"/>
    <n v="144"/>
    <n v="7"/>
    <n v="180"/>
    <n v="7"/>
    <n v="180"/>
    <n v="3510.0331660000002"/>
    <n v="549.25200000000007"/>
    <n v="24805.154828979365"/>
    <n v="2976.6185794775238"/>
    <n v="110"/>
    <n v="150"/>
    <n v="1E-3"/>
    <n v="183.084"/>
    <n v="17363.608380285554"/>
    <n v="17806.692380285553"/>
    <n v="3180.9641611183101"/>
    <n v="10298.898596084364"/>
    <n v="0.08"/>
    <n v="1261.4648756066508"/>
    <n v="0.12"/>
    <n v="2136.8030856342662"/>
    <n v="15"/>
    <n v="13"/>
  </r>
  <r>
    <n v="757"/>
    <d v="2022-12-31T00:00:00"/>
    <x v="2"/>
    <s v="CLI416"/>
    <s v="CLI416"/>
    <s v="MANAUS"/>
    <s v="AM"/>
    <s v="CLI687"/>
    <s v="RIO DE JANEIRO"/>
    <s v="RJ"/>
    <n v="4144.4069500000005"/>
    <n v="0"/>
    <n v="3090.4427809999997"/>
    <n v="7000"/>
    <n v="0"/>
    <x v="0"/>
    <x v="2"/>
    <s v="BRMAOTK01"/>
    <s v="BRMAOCHI"/>
    <n v="11.436796000000001"/>
    <n v="70.753500000000003"/>
    <n v="150"/>
    <n v="820.86438908544005"/>
    <n v="0"/>
    <n v="832"/>
    <n v="7"/>
    <n v="0"/>
    <n v="0"/>
    <n v="832"/>
    <m/>
    <m/>
    <n v="0"/>
    <x v="4"/>
    <s v="BRIGITK01"/>
    <s v="BRIGITCO"/>
    <n v="78.029871"/>
    <n v="70.753500000000003"/>
    <n v="150"/>
    <n v="1807.5500078534401"/>
    <n v="361.51000157068802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746"/>
    <n v="141507"/>
    <x v="1"/>
    <x v="8"/>
    <x v="9"/>
    <x v="19"/>
    <x v="10"/>
    <x v="20"/>
    <n v="12"/>
    <n v="11"/>
    <n v="13"/>
    <n v="13"/>
    <n v="13"/>
    <n v="12"/>
    <n v="13"/>
    <n v="140"/>
    <n v="7"/>
    <n v="180"/>
    <n v="7"/>
    <n v="180"/>
    <n v="4144.4069500000005"/>
    <n v="424.52100000000002"/>
    <n v="28988.430821172005"/>
    <n v="3478.6116985406406"/>
    <n v="110"/>
    <n v="150"/>
    <n v="1E-3"/>
    <n v="141.50700000000001"/>
    <n v="20291.901574820404"/>
    <n v="20693.408574820405"/>
    <n v="3180.9641611183101"/>
    <n v="13053.030016763216"/>
    <n v="0.08"/>
    <n v="1416.278734104867"/>
    <n v="0.12"/>
    <n v="2483.2090289784487"/>
    <n v="15"/>
    <n v="13"/>
  </r>
  <r>
    <n v="758"/>
    <d v="2022-12-31T00:00:00"/>
    <x v="2"/>
    <s v="CLI416"/>
    <s v="CLI416"/>
    <s v="MANAUS"/>
    <s v="AM"/>
    <s v="CLI999"/>
    <s v="LOUVEIRA"/>
    <s v="SP"/>
    <n v="3865.5848300000002"/>
    <n v="0"/>
    <n v="2812.8709169999997"/>
    <n v="7000"/>
    <n v="0"/>
    <x v="0"/>
    <x v="2"/>
    <s v="BRMAOTK01"/>
    <s v="BRMAOCHI"/>
    <n v="11.436796000000001"/>
    <n v="50.268000000000001"/>
    <n v="150"/>
    <n v="800.37888908544005"/>
    <n v="0"/>
    <n v="832"/>
    <n v="7"/>
    <n v="0"/>
    <n v="0"/>
    <n v="832"/>
    <m/>
    <m/>
    <n v="0"/>
    <x v="1"/>
    <s v="BRSSZTK01"/>
    <s v="BRSSZTCO"/>
    <n v="152.74309700000001"/>
    <n v="50.268000000000001"/>
    <n v="150"/>
    <n v="2894.0634807340803"/>
    <n v="520.931426532134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820"/>
    <n v="100536"/>
    <x v="1"/>
    <x v="9"/>
    <x v="3"/>
    <x v="3"/>
    <x v="4"/>
    <x v="4"/>
    <n v="9"/>
    <n v="9"/>
    <n v="9"/>
    <n v="9"/>
    <n v="10"/>
    <n v="9"/>
    <n v="10"/>
    <n v="104"/>
    <n v="7"/>
    <n v="180"/>
    <n v="7"/>
    <n v="180"/>
    <n v="3865.5848300000002"/>
    <n v="301.608"/>
    <n v="26972.047957136805"/>
    <n v="3236.6457548564163"/>
    <n v="110"/>
    <n v="150"/>
    <n v="1E-3"/>
    <n v="100.536"/>
    <n v="18880.433569995763"/>
    <n v="19240.969569995763"/>
    <n v="3180.9641611183101"/>
    <n v="10598.563039057932"/>
    <n v="0.08"/>
    <n v="1202.0476618915288"/>
    <n v="0.12"/>
    <n v="2308.9163483994917"/>
    <n v="15"/>
    <n v="10"/>
  </r>
  <r>
    <n v="759"/>
    <d v="2022-12-31T00:00:00"/>
    <x v="2"/>
    <s v="CLI416"/>
    <s v="CLI416"/>
    <s v="MANAUS"/>
    <s v="AM"/>
    <s v="CLI808"/>
    <s v="CAJAMAR"/>
    <s v="SP"/>
    <n v="3898.610596"/>
    <n v="0"/>
    <n v="2846.7739100000003"/>
    <n v="7000"/>
    <n v="0"/>
    <x v="0"/>
    <x v="2"/>
    <s v="BRMAOTK01"/>
    <s v="BRMAOCHI"/>
    <n v="11.436796000000001"/>
    <n v="87.916499999999999"/>
    <n v="150"/>
    <n v="838.02738908544006"/>
    <n v="0"/>
    <n v="832"/>
    <n v="7"/>
    <n v="0"/>
    <n v="0"/>
    <n v="832"/>
    <m/>
    <m/>
    <n v="0"/>
    <x v="1"/>
    <s v="BRSSZTK01"/>
    <s v="BRSSZTCO"/>
    <n v="123.50964200000001"/>
    <n v="87.916499999999999"/>
    <n v="150"/>
    <n v="2498.5704020428798"/>
    <n v="449.7426723677183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965"/>
    <n v="175833"/>
    <x v="1"/>
    <x v="13"/>
    <x v="12"/>
    <x v="17"/>
    <x v="7"/>
    <x v="4"/>
    <n v="7"/>
    <n v="7"/>
    <n v="8"/>
    <n v="8"/>
    <n v="8"/>
    <n v="7"/>
    <n v="8"/>
    <n v="87"/>
    <n v="7"/>
    <n v="180"/>
    <n v="7"/>
    <n v="180"/>
    <n v="3898.610596"/>
    <n v="527.49900000000002"/>
    <n v="27422.215613012162"/>
    <n v="3290.6658735614592"/>
    <n v="110"/>
    <n v="150"/>
    <n v="1E-3"/>
    <n v="175.833"/>
    <n v="19195.550929108511"/>
    <n v="19631.38392910851"/>
    <n v="3180.9641611183101"/>
    <n v="11346.821976861878"/>
    <n v="0.08"/>
    <n v="1267.6034772489977"/>
    <n v="0.12"/>
    <n v="2355.7660714930212"/>
    <n v="15"/>
    <n v="8"/>
  </r>
  <r>
    <n v="760"/>
    <d v="2022-12-31T00:00:00"/>
    <x v="2"/>
    <s v="CLI416"/>
    <s v="CLI416"/>
    <s v="MANAUS"/>
    <s v="AM"/>
    <s v="CLI1202"/>
    <s v="GUARULHOS"/>
    <s v="SP"/>
    <n v="3939.5816420000001"/>
    <n v="0"/>
    <n v="2887.376076"/>
    <n v="7000"/>
    <n v="0"/>
    <x v="0"/>
    <x v="2"/>
    <s v="BRMAOTK01"/>
    <s v="BRMAOCHI"/>
    <n v="11.436796000000001"/>
    <n v="94.183000000000007"/>
    <n v="150"/>
    <n v="844.29388908544001"/>
    <n v="0"/>
    <n v="832"/>
    <n v="7"/>
    <n v="0"/>
    <n v="0"/>
    <n v="832"/>
    <m/>
    <m/>
    <n v="0"/>
    <x v="1"/>
    <s v="BRSSZTK01"/>
    <s v="BRSSZTCO"/>
    <n v="96.951807000000002"/>
    <n v="94.183000000000007"/>
    <n v="150"/>
    <n v="2111.3390216684802"/>
    <n v="380.041023900326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838"/>
    <n v="188366"/>
    <x v="1"/>
    <x v="13"/>
    <x v="12"/>
    <x v="17"/>
    <x v="7"/>
    <x v="12"/>
    <n v="7"/>
    <n v="7"/>
    <n v="7"/>
    <n v="7"/>
    <n v="8"/>
    <n v="7"/>
    <n v="7"/>
    <n v="83"/>
    <n v="7"/>
    <n v="180"/>
    <n v="7"/>
    <n v="180"/>
    <n v="3939.5816420000001"/>
    <n v="565.09799999999996"/>
    <n v="27738.047347556327"/>
    <n v="3328.5656817067593"/>
    <n v="110"/>
    <n v="150"/>
    <n v="1E-3"/>
    <n v="188.36600000000001"/>
    <n v="19416.633143289426"/>
    <n v="19864.999143289428"/>
    <n v="3180.9641611183101"/>
    <n v="11961.4020714172"/>
    <n v="0.08"/>
    <n v="1322.3460166908148"/>
    <n v="0.12"/>
    <n v="2383.7998971947313"/>
    <n v="15"/>
    <n v="8"/>
  </r>
  <r>
    <n v="761"/>
    <d v="2022-12-31T00:00:00"/>
    <x v="2"/>
    <s v="CLI416"/>
    <s v="CLI416"/>
    <s v="MANAUS"/>
    <s v="AM"/>
    <s v="CLI1292"/>
    <s v="BETIM"/>
    <s v="MG"/>
    <n v="3725.1065960000001"/>
    <n v="0"/>
    <n v="2672.0403730000003"/>
    <n v="7000"/>
    <n v="0"/>
    <x v="0"/>
    <x v="2"/>
    <s v="BRMAOTK01"/>
    <s v="BRMAOCHI"/>
    <n v="11.436796000000001"/>
    <n v="117.8185"/>
    <n v="150"/>
    <n v="867.92938908543999"/>
    <n v="0"/>
    <n v="832"/>
    <n v="7"/>
    <n v="0"/>
    <n v="0"/>
    <n v="832"/>
    <m/>
    <m/>
    <n v="0"/>
    <x v="4"/>
    <s v="BRIGITK01"/>
    <s v="BRIGITCO"/>
    <n v="450.76401400000003"/>
    <n v="117.8185"/>
    <n v="150"/>
    <n v="7377.2826203929608"/>
    <n v="885.27391444715522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391"/>
    <n v="235637"/>
    <x v="1"/>
    <x v="13"/>
    <x v="12"/>
    <x v="17"/>
    <x v="1"/>
    <x v="12"/>
    <n v="7"/>
    <n v="7"/>
    <n v="7"/>
    <n v="7"/>
    <n v="7"/>
    <n v="7"/>
    <n v="7"/>
    <n v="81"/>
    <n v="7"/>
    <n v="180"/>
    <n v="7"/>
    <n v="180"/>
    <n v="3725.1065960000001"/>
    <n v="706.91100000000006"/>
    <n v="26423.368889172161"/>
    <n v="3170.8042667006594"/>
    <n v="110"/>
    <n v="150"/>
    <n v="1E-3"/>
    <n v="235.637"/>
    <n v="18496.358222420513"/>
    <n v="18991.995222420512"/>
    <n v="3180.9641611183101"/>
    <n v="5734.8190518238007"/>
    <n v="0.08"/>
    <n v="788.92074387959644"/>
    <n v="0.12"/>
    <n v="2279.0394266904614"/>
    <n v="15"/>
    <n v="7"/>
  </r>
  <r>
    <n v="762"/>
    <d v="2022-12-31T00:00:00"/>
    <x v="3"/>
    <s v="CLI416"/>
    <s v="CLI416"/>
    <s v="MANAUS"/>
    <s v="AM"/>
    <s v="CLI656"/>
    <s v="SAO PAULO"/>
    <s v="SP"/>
    <n v="3929.9226880000001"/>
    <n v="0"/>
    <n v="2877.9279630000001"/>
    <n v="7000"/>
    <n v="0"/>
    <x v="0"/>
    <x v="2"/>
    <s v="BRMAOTK01"/>
    <s v="BRMAOCHI"/>
    <n v="11.436796000000001"/>
    <n v="109.679"/>
    <n v="150"/>
    <n v="859.78988908544"/>
    <n v="0"/>
    <n v="832"/>
    <n v="7"/>
    <n v="0"/>
    <n v="0"/>
    <n v="832"/>
    <m/>
    <m/>
    <n v="0"/>
    <x v="1"/>
    <s v="BRSSZTK01S"/>
    <s v="BRSSZTCO"/>
    <n v="85.841132000000002"/>
    <n v="109.679"/>
    <n v="150"/>
    <n v="1962.2121500364801"/>
    <n v="353.19818700656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814"/>
    <n v="219358"/>
    <x v="1"/>
    <x v="13"/>
    <x v="12"/>
    <x v="17"/>
    <x v="1"/>
    <x v="12"/>
    <n v="7"/>
    <n v="7"/>
    <n v="7"/>
    <n v="7"/>
    <n v="7"/>
    <n v="7"/>
    <n v="7"/>
    <n v="81"/>
    <n v="7"/>
    <n v="180"/>
    <n v="7"/>
    <n v="180"/>
    <n v="3929.9226880000001"/>
    <n v="658.07400000000007"/>
    <n v="27765.429777300484"/>
    <n v="3331.8515732760579"/>
    <n v="110"/>
    <n v="150"/>
    <n v="1E-3"/>
    <n v="219.358"/>
    <n v="18062.2523390848"/>
    <n v="18541.6103390848"/>
    <n v="3180.9641611183101"/>
    <n v="12733.856288881048"/>
    <n v="0.08"/>
    <n v="1229.3128090365049"/>
    <n v="0.12"/>
    <n v="2224.9932406901758"/>
    <n v="15"/>
    <n v="7"/>
  </r>
  <r>
    <n v="763"/>
    <d v="2022-12-31T00:00:00"/>
    <x v="3"/>
    <s v="CLI416"/>
    <s v="CLI416"/>
    <s v="MANAUS"/>
    <s v="AM"/>
    <s v="CLI1302"/>
    <s v="SAO PAULO"/>
    <s v="SP"/>
    <n v="3929.9226880000001"/>
    <n v="0"/>
    <n v="2877.9279630000001"/>
    <n v="7000"/>
    <n v="0"/>
    <x v="0"/>
    <x v="2"/>
    <s v="BRMAOTK01"/>
    <s v="BRMAOCHI"/>
    <n v="11.436796000000001"/>
    <n v="51.753500000000003"/>
    <n v="150"/>
    <n v="801.86438908544005"/>
    <n v="0"/>
    <n v="832"/>
    <n v="7"/>
    <n v="0"/>
    <n v="0"/>
    <n v="832"/>
    <m/>
    <m/>
    <n v="0"/>
    <x v="1"/>
    <s v="BRSSZTK01S"/>
    <s v="BRSSZTCO"/>
    <n v="85.841132000000002"/>
    <n v="51.753500000000003"/>
    <n v="150"/>
    <n v="1904.2866500364801"/>
    <n v="342.771597006566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117"/>
    <n v="103507"/>
    <x v="1"/>
    <x v="14"/>
    <x v="1"/>
    <x v="12"/>
    <x v="1"/>
    <x v="1"/>
    <n v="6"/>
    <n v="6"/>
    <n v="7"/>
    <n v="7"/>
    <n v="7"/>
    <n v="6"/>
    <n v="7"/>
    <n v="74"/>
    <n v="7"/>
    <n v="180"/>
    <n v="7"/>
    <n v="180"/>
    <n v="3929.9226880000001"/>
    <n v="310.52100000000002"/>
    <n v="27417.876777300484"/>
    <n v="3290.1452132760578"/>
    <n v="110"/>
    <n v="150"/>
    <n v="1E-3"/>
    <n v="103.50700000000001"/>
    <n v="17859.513089084801"/>
    <n v="18223.020089084803"/>
    <n v="3180.9641611183101"/>
    <n v="12473.191538881052"/>
    <n v="0.08"/>
    <n v="1213.9277962365054"/>
    <n v="0.12"/>
    <n v="2186.7624106901762"/>
    <n v="15"/>
    <n v="7"/>
  </r>
  <r>
    <n v="764"/>
    <d v="2022-12-31T00:00:00"/>
    <x v="2"/>
    <s v="CLI416"/>
    <s v="CLI416"/>
    <s v="MANAUS"/>
    <s v="AM"/>
    <s v="CLI1100"/>
    <s v="RIO DE JANEIRO"/>
    <s v="RJ"/>
    <n v="4144.4069500000005"/>
    <n v="0"/>
    <n v="3090.4427809999997"/>
    <n v="7000"/>
    <n v="0"/>
    <x v="0"/>
    <x v="2"/>
    <s v="BRMAOTK01"/>
    <s v="BRMAOCHI"/>
    <n v="11.436796000000001"/>
    <n v="38.548999999999999"/>
    <n v="150"/>
    <n v="788.65988908544"/>
    <n v="0"/>
    <n v="832"/>
    <n v="7"/>
    <n v="0"/>
    <n v="0"/>
    <n v="832"/>
    <m/>
    <m/>
    <n v="0"/>
    <x v="4"/>
    <s v="BRIGITK01"/>
    <s v="BRIGITCO"/>
    <n v="78.029871"/>
    <n v="38.548999999999999"/>
    <n v="150"/>
    <n v="1775.34550785344"/>
    <n v="355.06910157068802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776"/>
    <n v="77098"/>
    <x v="1"/>
    <x v="14"/>
    <x v="1"/>
    <x v="1"/>
    <x v="8"/>
    <x v="1"/>
    <n v="6"/>
    <n v="6"/>
    <n v="6"/>
    <n v="6"/>
    <n v="6"/>
    <n v="6"/>
    <n v="6"/>
    <n v="68"/>
    <n v="7"/>
    <n v="180"/>
    <n v="7"/>
    <n v="180"/>
    <n v="4144.4069500000005"/>
    <n v="231.29400000000001"/>
    <n v="28795.203821172006"/>
    <n v="3455.4244585406404"/>
    <n v="110"/>
    <n v="150"/>
    <n v="1E-3"/>
    <n v="77.097999999999999"/>
    <n v="20156.642674820403"/>
    <n v="20493.740674820405"/>
    <n v="3180.9641611183101"/>
    <n v="12917.771116763215"/>
    <n v="0.08"/>
    <n v="1405.9732941048671"/>
    <n v="0.12"/>
    <n v="2459.2488809784486"/>
    <n v="15"/>
    <n v="6"/>
  </r>
  <r>
    <n v="765"/>
    <d v="2022-12-31T00:00:00"/>
    <x v="2"/>
    <s v="CLI416"/>
    <s v="CLI416"/>
    <s v="MANAUS"/>
    <s v="AM"/>
    <s v="CLI997"/>
    <s v="CONTAGEM"/>
    <s v="MG"/>
    <n v="3714.1282850000002"/>
    <n v="0"/>
    <n v="2662.4970329999996"/>
    <n v="7000"/>
    <n v="0"/>
    <x v="0"/>
    <x v="2"/>
    <s v="BRMAOTK01"/>
    <s v="BRMAOCHI"/>
    <n v="11.436796000000001"/>
    <n v="70.045000000000002"/>
    <n v="150"/>
    <n v="820.15588908543998"/>
    <n v="0"/>
    <n v="832"/>
    <n v="7"/>
    <n v="0"/>
    <n v="0"/>
    <n v="832"/>
    <m/>
    <m/>
    <n v="0"/>
    <x v="4"/>
    <s v="BRIGITK01"/>
    <s v="BRIGITCO"/>
    <n v="440.110163"/>
    <n v="70.045000000000002"/>
    <n v="150"/>
    <n v="7171.6548455123202"/>
    <n v="860.59858146147837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139"/>
    <n v="140090"/>
    <x v="1"/>
    <x v="1"/>
    <x v="6"/>
    <x v="1"/>
    <x v="8"/>
    <x v="6"/>
    <n v="5"/>
    <n v="5"/>
    <n v="5"/>
    <n v="5"/>
    <n v="6"/>
    <n v="5"/>
    <n v="5"/>
    <n v="59"/>
    <n v="7"/>
    <n v="180"/>
    <n v="7"/>
    <n v="180"/>
    <n v="3714.1282850000002"/>
    <n v="420.27"/>
    <n v="26062.174618303601"/>
    <n v="3127.4609541964319"/>
    <n v="110"/>
    <n v="150"/>
    <n v="1E-3"/>
    <n v="140.09"/>
    <n v="18243.52223281252"/>
    <n v="18643.61223281252"/>
    <n v="3180.9641611183101"/>
    <n v="5639.8373370964509"/>
    <n v="0.08"/>
    <n v="783.29623334026269"/>
    <n v="0.12"/>
    <n v="2237.2334679375022"/>
    <n v="15"/>
    <n v="6"/>
  </r>
  <r>
    <n v="766"/>
    <d v="2022-12-31T00:00:00"/>
    <x v="2"/>
    <s v="CLI416"/>
    <s v="CLI416"/>
    <s v="MANAUS"/>
    <s v="AM"/>
    <s v="CLI1201"/>
    <s v="CABO DE SANTO AGOSTINHO"/>
    <s v="PE"/>
    <n v="3510.0331660000002"/>
    <n v="0"/>
    <n v="2055.2547009999998"/>
    <n v="7000"/>
    <n v="0"/>
    <x v="0"/>
    <x v="2"/>
    <s v="BRMAOTK01"/>
    <s v="BRMAOCHI"/>
    <n v="11.436796000000001"/>
    <n v="99.676000000000002"/>
    <n v="150"/>
    <n v="849.78688908544007"/>
    <n v="0"/>
    <n v="832"/>
    <n v="7"/>
    <n v="0"/>
    <n v="0"/>
    <n v="832"/>
    <m/>
    <m/>
    <n v="0"/>
    <x v="2"/>
    <s v="BRSUATK01"/>
    <s v="BRSUATCO"/>
    <n v="23.080721"/>
    <n v="99.676000000000002"/>
    <n v="150"/>
    <n v="1022.3107339974401"/>
    <n v="184.01593211953923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781"/>
    <n v="199352"/>
    <x v="1"/>
    <x v="1"/>
    <x v="6"/>
    <x v="1"/>
    <x v="8"/>
    <x v="6"/>
    <n v="5"/>
    <n v="5"/>
    <n v="5"/>
    <n v="5"/>
    <n v="5"/>
    <n v="5"/>
    <n v="5"/>
    <n v="58"/>
    <n v="7"/>
    <n v="180"/>
    <n v="7"/>
    <n v="180"/>
    <n v="3510.0331660000002"/>
    <n v="598.05600000000004"/>
    <n v="24853.958828979365"/>
    <n v="2982.4750594775237"/>
    <n v="110"/>
    <n v="150"/>
    <n v="1E-3"/>
    <n v="199.352"/>
    <n v="17397.771180285556"/>
    <n v="17857.123180285555"/>
    <n v="3180.9641611183101"/>
    <n v="10333.061396084364"/>
    <n v="0.08"/>
    <n v="1264.0807700066509"/>
    <n v="0.12"/>
    <n v="2142.8547816342666"/>
    <n v="15"/>
    <n v="5"/>
  </r>
  <r>
    <n v="767"/>
    <d v="2022-12-31T00:00:00"/>
    <x v="3"/>
    <s v="CLI416"/>
    <s v="CLI416"/>
    <s v="MANAUS"/>
    <s v="AM"/>
    <s v="CLI1002"/>
    <s v="SAO PAULO"/>
    <s v="SP"/>
    <n v="3929.9226880000001"/>
    <n v="0"/>
    <n v="2877.9279630000001"/>
    <n v="7000"/>
    <n v="0"/>
    <x v="0"/>
    <x v="2"/>
    <s v="BRMAOTK01"/>
    <s v="BRMAOCHI"/>
    <n v="11.436796000000001"/>
    <n v="117.11"/>
    <n v="150"/>
    <n v="867.22088908544004"/>
    <n v="0"/>
    <n v="832"/>
    <n v="7"/>
    <n v="0"/>
    <n v="0"/>
    <n v="832"/>
    <m/>
    <m/>
    <n v="0"/>
    <x v="1"/>
    <s v="BRSSZTK01S"/>
    <s v="BRSSZTCO"/>
    <n v="85.841132000000002"/>
    <n v="117.11"/>
    <n v="150"/>
    <n v="1969.6431500364799"/>
    <n v="354.53576700656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518"/>
    <n v="234220"/>
    <x v="1"/>
    <x v="1"/>
    <x v="6"/>
    <x v="1"/>
    <x v="5"/>
    <x v="6"/>
    <n v="5"/>
    <n v="5"/>
    <n v="5"/>
    <n v="5"/>
    <n v="5"/>
    <n v="5"/>
    <n v="5"/>
    <n v="57"/>
    <n v="7"/>
    <n v="180"/>
    <n v="7"/>
    <n v="180"/>
    <n v="3929.9226880000001"/>
    <n v="702.66"/>
    <n v="27810.015777300483"/>
    <n v="3337.2018932760579"/>
    <n v="110"/>
    <n v="150"/>
    <n v="1E-3"/>
    <n v="234.22"/>
    <n v="18088.2608390848"/>
    <n v="18582.480839084801"/>
    <n v="3180.9641611183101"/>
    <n v="12767.295788881049"/>
    <n v="0.08"/>
    <n v="1231.2864826365051"/>
    <n v="0.12"/>
    <n v="2229.897700690176"/>
    <n v="15"/>
    <n v="5"/>
  </r>
  <r>
    <n v="768"/>
    <d v="2022-12-31T00:00:00"/>
    <x v="2"/>
    <s v="CLI416"/>
    <s v="CLI416"/>
    <s v="MANAUS"/>
    <s v="AM"/>
    <s v="CLI1001"/>
    <s v="RIBEIRAO PRETO"/>
    <s v="SP"/>
    <n v="3631.6236860000004"/>
    <n v="0"/>
    <n v="2578.277677"/>
    <n v="7000"/>
    <n v="0"/>
    <x v="0"/>
    <x v="2"/>
    <s v="BRMAOTK01"/>
    <s v="BRMAOCHI"/>
    <n v="11.436796000000001"/>
    <n v="78.912999999999997"/>
    <n v="150"/>
    <n v="829.02388908544003"/>
    <n v="0"/>
    <n v="832"/>
    <n v="7"/>
    <n v="0"/>
    <n v="0"/>
    <n v="832"/>
    <m/>
    <m/>
    <n v="0"/>
    <x v="1"/>
    <s v="BRSSZTK01"/>
    <s v="BRSSZTCO"/>
    <n v="394.54480899999999"/>
    <n v="78.912999999999997"/>
    <n v="150"/>
    <n v="6505.3973988217595"/>
    <n v="1170.971531787916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481"/>
    <n v="157826"/>
    <x v="1"/>
    <x v="1"/>
    <x v="6"/>
    <x v="5"/>
    <x v="5"/>
    <x v="6"/>
    <n v="5"/>
    <n v="5"/>
    <n v="5"/>
    <n v="5"/>
    <n v="5"/>
    <n v="5"/>
    <n v="5"/>
    <n v="56"/>
    <n v="7"/>
    <n v="180"/>
    <n v="7"/>
    <n v="180"/>
    <n v="3631.6236860000004"/>
    <n v="473.47800000000001"/>
    <n v="25555.097186678566"/>
    <n v="3066.6116624014276"/>
    <n v="110"/>
    <n v="150"/>
    <n v="1E-3"/>
    <n v="157.82599999999999"/>
    <n v="17888.568030674996"/>
    <n v="18306.394030674997"/>
    <n v="3180.9641611183101"/>
    <n v="6024.0085816494866"/>
    <n v="0.08"/>
    <n v="784.08009687839046"/>
    <n v="0.12"/>
    <n v="2196.7672836809998"/>
    <n v="15"/>
    <n v="5"/>
  </r>
  <r>
    <n v="769"/>
    <d v="2022-12-31T00:00:00"/>
    <x v="2"/>
    <s v="CLI416"/>
    <s v="CLI416"/>
    <s v="MANAUS"/>
    <s v="AM"/>
    <s v="CLI1188"/>
    <s v="CONTAGEM"/>
    <s v="MG"/>
    <n v="3714.1282850000002"/>
    <n v="0"/>
    <n v="2662.4970329999996"/>
    <n v="7000"/>
    <n v="0"/>
    <x v="0"/>
    <x v="2"/>
    <s v="BRMAOTK01"/>
    <s v="BRMAOCHI"/>
    <n v="11.436796000000001"/>
    <n v="98.903999999999996"/>
    <n v="150"/>
    <n v="849.01488908544002"/>
    <n v="0"/>
    <n v="832"/>
    <n v="7"/>
    <n v="0"/>
    <n v="0"/>
    <n v="832"/>
    <m/>
    <m/>
    <n v="0"/>
    <x v="4"/>
    <s v="BRIGITK01"/>
    <s v="BRIGITCO"/>
    <n v="440.110163"/>
    <n v="98.903999999999996"/>
    <n v="150"/>
    <n v="7200.5138455123197"/>
    <n v="864.06166146147837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686"/>
    <n v="197808"/>
    <x v="1"/>
    <x v="5"/>
    <x v="5"/>
    <x v="5"/>
    <x v="5"/>
    <x v="0"/>
    <n v="4"/>
    <n v="4"/>
    <n v="4"/>
    <n v="4"/>
    <n v="4"/>
    <n v="4"/>
    <n v="4"/>
    <n v="46"/>
    <n v="7"/>
    <n v="180"/>
    <n v="7"/>
    <n v="180"/>
    <n v="3714.1282850000002"/>
    <n v="593.42399999999998"/>
    <n v="26235.3286183036"/>
    <n v="3148.2394341964318"/>
    <n v="110"/>
    <n v="150"/>
    <n v="1E-3"/>
    <n v="197.80799999999999"/>
    <n v="18364.73003281252"/>
    <n v="18822.538032812521"/>
    <n v="3180.9641611183101"/>
    <n v="5761.0451370964511"/>
    <n v="0.08"/>
    <n v="792.7158109402626"/>
    <n v="0.12"/>
    <n v="2258.7045639375024"/>
    <n v="15"/>
    <n v="4"/>
  </r>
  <r>
    <n v="770"/>
    <d v="2022-12-31T00:00:00"/>
    <x v="2"/>
    <s v="CLI416"/>
    <s v="CLI416"/>
    <s v="MANAUS"/>
    <s v="AM"/>
    <s v="CLI819"/>
    <s v="SAO PAULO"/>
    <s v="SP"/>
    <n v="3929.9226880000001"/>
    <n v="0"/>
    <n v="2877.9279630000001"/>
    <n v="7000"/>
    <n v="0"/>
    <x v="0"/>
    <x v="2"/>
    <s v="BRMAOTK01"/>
    <s v="BRMAOCHI"/>
    <n v="11.436796000000001"/>
    <n v="118.96300000000001"/>
    <n v="150"/>
    <n v="869.07388908543999"/>
    <n v="0"/>
    <n v="832"/>
    <n v="7"/>
    <n v="0"/>
    <n v="0"/>
    <n v="832"/>
    <m/>
    <m/>
    <n v="0"/>
    <x v="1"/>
    <s v="BRSSZTK01"/>
    <s v="BRSSZTCO"/>
    <n v="85.841132000000002"/>
    <n v="118.96300000000001"/>
    <n v="150"/>
    <n v="1971.49615003648"/>
    <n v="354.8693070065663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289"/>
    <n v="237926"/>
    <x v="1"/>
    <x v="5"/>
    <x v="5"/>
    <x v="4"/>
    <x v="0"/>
    <x v="0"/>
    <n v="4"/>
    <n v="4"/>
    <n v="4"/>
    <n v="4"/>
    <n v="4"/>
    <n v="4"/>
    <n v="4"/>
    <n v="44"/>
    <n v="7"/>
    <n v="180"/>
    <n v="7"/>
    <n v="180"/>
    <n v="3929.9226880000001"/>
    <n v="713.77800000000002"/>
    <n v="27821.133777300482"/>
    <n v="3338.5360532760578"/>
    <n v="110"/>
    <n v="150"/>
    <n v="1E-3"/>
    <n v="237.92600000000002"/>
    <n v="19474.793644110337"/>
    <n v="19972.719644110337"/>
    <n v="3180.9641611183101"/>
    <n v="12184.185443870105"/>
    <n v="0.08"/>
    <n v="1342.1824238385479"/>
    <n v="0.12"/>
    <n v="2396.7263572932402"/>
    <n v="15"/>
    <n v="4"/>
  </r>
  <r>
    <n v="771"/>
    <d v="2022-12-31T00:00:00"/>
    <x v="3"/>
    <s v="CLI416"/>
    <s v="CLI416"/>
    <s v="MANAUS"/>
    <s v="AM"/>
    <s v="CLI554"/>
    <s v="SAO PAULO"/>
    <s v="SP"/>
    <n v="3929.9226880000001"/>
    <n v="0"/>
    <n v="2877.9279630000001"/>
    <n v="7000"/>
    <n v="0"/>
    <x v="0"/>
    <x v="2"/>
    <s v="BRMAOTK01"/>
    <s v="BRMAOCHI"/>
    <n v="11.436796000000001"/>
    <n v="97.569000000000003"/>
    <n v="150"/>
    <n v="847.67988908543998"/>
    <n v="0"/>
    <n v="832"/>
    <n v="7"/>
    <n v="0"/>
    <n v="0"/>
    <n v="832"/>
    <m/>
    <m/>
    <n v="0"/>
    <x v="1"/>
    <s v="BRSSZTK01S"/>
    <s v="BRSSZTCO"/>
    <n v="85.841132000000002"/>
    <n v="97.569000000000003"/>
    <n v="150"/>
    <n v="1950.10215003648"/>
    <n v="351.01838700656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34"/>
    <n v="195138"/>
    <x v="1"/>
    <x v="0"/>
    <x v="5"/>
    <x v="4"/>
    <x v="0"/>
    <x v="0"/>
    <n v="3"/>
    <n v="3"/>
    <n v="4"/>
    <n v="4"/>
    <n v="4"/>
    <n v="3"/>
    <n v="4"/>
    <n v="40"/>
    <n v="7"/>
    <n v="180"/>
    <n v="7"/>
    <n v="180"/>
    <n v="3929.9226880000001"/>
    <n v="585.41399999999999"/>
    <n v="27692.769777300484"/>
    <n v="3323.1323732760579"/>
    <n v="110"/>
    <n v="150"/>
    <n v="1E-3"/>
    <n v="195.13800000000001"/>
    <n v="18019.867339084802"/>
    <n v="18475.005339084801"/>
    <n v="3180.9641611183101"/>
    <n v="12679.361288881049"/>
    <n v="0.08"/>
    <n v="1226.0963930365051"/>
    <n v="0.12"/>
    <n v="2217.0006406901762"/>
    <n v="15"/>
    <n v="4"/>
  </r>
  <r>
    <n v="772"/>
    <d v="2022-12-31T00:00:00"/>
    <x v="2"/>
    <s v="CLI416"/>
    <s v="CLI416"/>
    <s v="MANAUS"/>
    <s v="AM"/>
    <s v="CLI812"/>
    <s v="FORTALEZA"/>
    <s v="CE"/>
    <n v="3028.2401359999999"/>
    <n v="0"/>
    <n v="1441.3172649999999"/>
    <n v="7000"/>
    <n v="0"/>
    <x v="0"/>
    <x v="2"/>
    <s v="BRMAOTK01"/>
    <s v="BRMAOCHI"/>
    <n v="11.436796000000001"/>
    <n v="64.891999999999996"/>
    <n v="150"/>
    <n v="815.00288908544007"/>
    <n v="0"/>
    <n v="832"/>
    <n v="7"/>
    <n v="0"/>
    <n v="0"/>
    <n v="832"/>
    <m/>
    <m/>
    <n v="0"/>
    <x v="3"/>
    <s v="BRPECTK01"/>
    <s v="BRPECAPM"/>
    <n v="42.140103000000003"/>
    <n v="64.891999999999996"/>
    <n v="150"/>
    <n v="1269.92273571392"/>
    <n v="228.58609242850559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814"/>
    <n v="129784"/>
    <x v="1"/>
    <x v="0"/>
    <x v="5"/>
    <x v="4"/>
    <x v="0"/>
    <x v="0"/>
    <n v="3"/>
    <n v="3"/>
    <n v="3"/>
    <n v="3"/>
    <n v="4"/>
    <n v="3"/>
    <n v="3"/>
    <n v="37"/>
    <n v="7"/>
    <n v="180"/>
    <n v="7"/>
    <n v="180"/>
    <n v="3028.2401359999999"/>
    <n v="389.35200000000003"/>
    <n v="21373.417633970563"/>
    <n v="2564.8101160764672"/>
    <n v="110"/>
    <n v="150"/>
    <n v="1E-3"/>
    <n v="129.78399999999999"/>
    <n v="14961.392343779393"/>
    <n v="15351.176343779392"/>
    <n v="3180.9641611183101"/>
    <n v="8190.2865578617202"/>
    <n v="0.08"/>
    <n v="1043.0131701241221"/>
    <n v="0.12"/>
    <n v="1842.1411612535271"/>
    <n v="15"/>
    <n v="4"/>
  </r>
  <r>
    <n v="773"/>
    <d v="2022-12-31T00:00:00"/>
    <x v="2"/>
    <s v="CLI416"/>
    <s v="CLI416"/>
    <s v="MANAUS"/>
    <s v="AM"/>
    <s v="CLI1097"/>
    <s v="JUNDIAI"/>
    <s v="SP"/>
    <n v="3878.5104309999997"/>
    <n v="0"/>
    <n v="2826.507944"/>
    <n v="7000"/>
    <n v="0"/>
    <x v="0"/>
    <x v="2"/>
    <s v="BRMAOTK01"/>
    <s v="BRMAOCHI"/>
    <n v="11.436796000000001"/>
    <n v="74.270499999999998"/>
    <n v="150"/>
    <n v="824.38138908543999"/>
    <n v="0"/>
    <n v="832"/>
    <n v="7"/>
    <n v="0"/>
    <n v="0"/>
    <n v="832"/>
    <m/>
    <m/>
    <n v="0"/>
    <x v="1"/>
    <s v="BRSSZTK01"/>
    <s v="BRSSZTCO"/>
    <n v="139.13710800000001"/>
    <n v="74.270499999999998"/>
    <n v="150"/>
    <n v="2716.4709398771201"/>
    <n v="488.964769177881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850"/>
    <n v="148541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3878.5104309999997"/>
    <n v="445.62299999999999"/>
    <n v="27203.840196503759"/>
    <n v="3264.4608235804508"/>
    <n v="110"/>
    <n v="150"/>
    <n v="1E-3"/>
    <n v="148.541"/>
    <n v="19042.688137552632"/>
    <n v="19451.229137552633"/>
    <n v="3180.9641611183101"/>
    <n v="10962.412647471763"/>
    <n v="0.08"/>
    <n v="1233.7129631529754"/>
    <n v="0.12"/>
    <n v="2334.1474965063157"/>
    <n v="15"/>
    <n v="3"/>
  </r>
  <r>
    <n v="774"/>
    <d v="2022-12-31T00:00:00"/>
    <x v="2"/>
    <s v="CLI416"/>
    <s v="CLI416"/>
    <s v="MANAUS"/>
    <s v="AM"/>
    <s v="CLI855"/>
    <s v="SAO PAULO"/>
    <s v="SP"/>
    <n v="3929.9226880000001"/>
    <n v="0"/>
    <n v="2877.9279630000001"/>
    <n v="7000"/>
    <n v="0"/>
    <x v="0"/>
    <x v="2"/>
    <s v="BRMAOTK01"/>
    <s v="BRMAOCHI"/>
    <n v="11.436796000000001"/>
    <n v="76.528999999999996"/>
    <n v="150"/>
    <n v="826.63988908544002"/>
    <n v="0"/>
    <n v="832"/>
    <n v="7"/>
    <n v="0"/>
    <n v="0"/>
    <n v="832"/>
    <m/>
    <m/>
    <n v="0"/>
    <x v="1"/>
    <s v="BRSSZTK01"/>
    <s v="BRSSZTCO"/>
    <n v="85.841132000000002"/>
    <n v="76.528999999999996"/>
    <n v="150"/>
    <n v="1929.06215003648"/>
    <n v="347.231187006566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437"/>
    <n v="153058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3929.9226880000001"/>
    <n v="459.17400000000004"/>
    <n v="27566.529777300482"/>
    <n v="3307.9835732760575"/>
    <n v="110"/>
    <n v="150"/>
    <n v="1E-3"/>
    <n v="153.05799999999999"/>
    <n v="19296.570844110338"/>
    <n v="19709.628844110339"/>
    <n v="3180.9641611183101"/>
    <n v="12005.962643870109"/>
    <n v="0.08"/>
    <n v="1328.5356494385483"/>
    <n v="0.12"/>
    <n v="2365.1554612932405"/>
    <n v="15"/>
    <n v="3"/>
  </r>
  <r>
    <n v="775"/>
    <d v="2022-12-31T00:00:00"/>
    <x v="2"/>
    <s v="CLI416"/>
    <s v="CLI416"/>
    <s v="MANAUS"/>
    <s v="AM"/>
    <s v="CLI1200"/>
    <s v="BARUERI"/>
    <s v="SP"/>
    <n v="3921.9795249999997"/>
    <n v="0"/>
    <n v="2871.0121140000001"/>
    <n v="7000"/>
    <n v="0"/>
    <x v="0"/>
    <x v="2"/>
    <s v="BRMAOTK01"/>
    <s v="BRMAOCHI"/>
    <n v="11.436796000000001"/>
    <n v="87.230500000000006"/>
    <n v="150"/>
    <n v="837.34138908544003"/>
    <n v="0"/>
    <n v="832"/>
    <n v="7"/>
    <n v="0"/>
    <n v="0"/>
    <n v="832"/>
    <m/>
    <m/>
    <n v="0"/>
    <x v="1"/>
    <s v="BRSSZTK01"/>
    <s v="BRSSZTCO"/>
    <n v="108.985372"/>
    <n v="87.230500000000006"/>
    <n v="150"/>
    <n v="2282.6835221900801"/>
    <n v="410.8830339942144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011"/>
    <n v="174461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3921.9795249999997"/>
    <n v="523.38300000000004"/>
    <n v="27576.797075094004"/>
    <n v="3309.2156490112802"/>
    <n v="110"/>
    <n v="150"/>
    <n v="1E-3"/>
    <n v="174.46100000000001"/>
    <n v="19303.7579525658"/>
    <n v="19738.2189525658"/>
    <n v="3180.9641611183101"/>
    <n v="11670.22988017197"/>
    <n v="0.08"/>
    <n v="1296.5848805836854"/>
    <n v="0.12"/>
    <n v="2368.586274307896"/>
    <n v="15"/>
    <n v="3"/>
  </r>
  <r>
    <n v="776"/>
    <d v="2022-12-31T00:00:00"/>
    <x v="2"/>
    <s v="CLI416"/>
    <s v="CLI416"/>
    <s v="MANAUS"/>
    <s v="AM"/>
    <s v="CLI1295"/>
    <s v="CONTAGEM"/>
    <s v="MG"/>
    <n v="3714.1282850000002"/>
    <n v="0"/>
    <n v="2662.4970329999996"/>
    <n v="7000"/>
    <n v="0"/>
    <x v="0"/>
    <x v="2"/>
    <s v="BRMAOTK01"/>
    <s v="BRMAOCHI"/>
    <n v="11.436796000000001"/>
    <n v="93.460999999999999"/>
    <n v="150"/>
    <n v="843.57188908544003"/>
    <n v="0"/>
    <n v="832"/>
    <n v="7"/>
    <n v="0"/>
    <n v="0"/>
    <n v="832"/>
    <m/>
    <m/>
    <n v="0"/>
    <x v="4"/>
    <s v="BRIGITK01"/>
    <s v="BRIGITCO"/>
    <n v="440.110163"/>
    <n v="93.460999999999999"/>
    <n v="150"/>
    <n v="7195.0708455123204"/>
    <n v="863.40850146147841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842"/>
    <n v="186922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3714.1282850000002"/>
    <n v="560.76599999999996"/>
    <n v="26202.6706183036"/>
    <n v="3144.3204741964319"/>
    <n v="110"/>
    <n v="150"/>
    <n v="1E-3"/>
    <n v="186.922"/>
    <n v="18341.86943281252"/>
    <n v="18788.791432812519"/>
    <n v="3180.9641611183101"/>
    <n v="5738.1845370964475"/>
    <n v="0.08"/>
    <n v="790.93921574026228"/>
    <n v="0.12"/>
    <n v="2254.6549719375021"/>
    <n v="15"/>
    <n v="3"/>
  </r>
  <r>
    <n v="777"/>
    <d v="2022-12-31T00:00:00"/>
    <x v="3"/>
    <s v="CLI416"/>
    <s v="CLI416"/>
    <s v="MANAUS"/>
    <s v="AM"/>
    <s v="CLI647"/>
    <s v="SAO PAULO"/>
    <s v="SP"/>
    <n v="3929.9226880000001"/>
    <n v="0"/>
    <n v="2877.9279630000001"/>
    <n v="7000"/>
    <n v="0"/>
    <x v="0"/>
    <x v="2"/>
    <s v="BRMAOTK01"/>
    <s v="BRMAOCHI"/>
    <n v="11.436796000000001"/>
    <n v="81.890500000000003"/>
    <n v="150"/>
    <n v="832.00138908544"/>
    <n v="0"/>
    <n v="832"/>
    <n v="7"/>
    <n v="0"/>
    <n v="0"/>
    <n v="832"/>
    <m/>
    <m/>
    <n v="0"/>
    <x v="1"/>
    <s v="BRSSZTK01S"/>
    <s v="BRSSZTCO"/>
    <n v="85.841132000000002"/>
    <n v="81.890500000000003"/>
    <n v="150"/>
    <n v="1934.42365003648"/>
    <n v="348.1962570065663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651"/>
    <n v="163781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3929.9226880000001"/>
    <n v="491.34300000000002"/>
    <n v="27598.698777300484"/>
    <n v="3311.8438532760579"/>
    <n v="110"/>
    <n v="150"/>
    <n v="1E-3"/>
    <n v="163.78100000000001"/>
    <n v="17964.992589084803"/>
    <n v="18388.773589084802"/>
    <n v="3180.9641611183101"/>
    <n v="12608.808038881052"/>
    <n v="0.08"/>
    <n v="1221.9321834365053"/>
    <n v="0.12"/>
    <n v="2206.652830690176"/>
    <n v="15"/>
    <n v="3"/>
  </r>
  <r>
    <n v="778"/>
    <d v="2022-12-31T00:00:00"/>
    <x v="2"/>
    <s v="CLI416"/>
    <s v="CLI416"/>
    <s v="MANAUS"/>
    <s v="AM"/>
    <s v="CLI656"/>
    <s v="SAO PAULO"/>
    <s v="SP"/>
    <n v="3929.9226880000001"/>
    <n v="0"/>
    <n v="2877.9279630000001"/>
    <n v="7000"/>
    <n v="0"/>
    <x v="0"/>
    <x v="2"/>
    <s v="BRMAOTK01"/>
    <s v="BRMAOCHI"/>
    <n v="11.436796000000001"/>
    <n v="71.380499999999998"/>
    <n v="150"/>
    <n v="821.49138908544001"/>
    <n v="0"/>
    <n v="832"/>
    <n v="7"/>
    <n v="0"/>
    <n v="0"/>
    <n v="832"/>
    <m/>
    <m/>
    <n v="0"/>
    <x v="1"/>
    <s v="BRSSZTK01"/>
    <s v="BRSSZTCO"/>
    <n v="85.841132000000002"/>
    <n v="71.380499999999998"/>
    <n v="150"/>
    <n v="1923.91365003648"/>
    <n v="346.3044570065663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761"/>
    <n v="142761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3929.9226880000001"/>
    <n v="428.28300000000002"/>
    <n v="27535.638777300483"/>
    <n v="3304.2766532760579"/>
    <n v="110"/>
    <n v="150"/>
    <n v="1E-3"/>
    <n v="142.761"/>
    <n v="19274.947144110338"/>
    <n v="19677.708144110336"/>
    <n v="3180.9641611183101"/>
    <n v="11984.338943870105"/>
    <n v="0.08"/>
    <n v="1326.879891838548"/>
    <n v="0.12"/>
    <n v="2361.3249772932404"/>
    <n v="15"/>
    <n v="3"/>
  </r>
  <r>
    <n v="779"/>
    <d v="2022-12-31T00:00:00"/>
    <x v="2"/>
    <s v="CLI416"/>
    <s v="CLI416"/>
    <s v="MANAUS"/>
    <s v="AM"/>
    <s v="CLI700"/>
    <s v="SAO PAULO"/>
    <s v="SP"/>
    <n v="3929.9226880000001"/>
    <n v="0"/>
    <n v="2877.9279630000001"/>
    <n v="7000"/>
    <n v="0"/>
    <x v="0"/>
    <x v="2"/>
    <s v="BRMAOTK01"/>
    <s v="BRMAOCHI"/>
    <n v="11.436796000000001"/>
    <n v="78.216999999999999"/>
    <n v="150"/>
    <n v="828.32788908544001"/>
    <n v="0"/>
    <n v="832"/>
    <n v="7"/>
    <n v="0"/>
    <n v="0"/>
    <n v="832"/>
    <m/>
    <m/>
    <n v="0"/>
    <x v="1"/>
    <s v="BRSSZTK01"/>
    <s v="BRSSZTCO"/>
    <n v="85.841132000000002"/>
    <n v="78.216999999999999"/>
    <n v="150"/>
    <n v="1930.7501500364801"/>
    <n v="347.5350270065663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152"/>
    <n v="156434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3929.9226880000001"/>
    <n v="469.30200000000002"/>
    <n v="27576.657777300483"/>
    <n v="3309.1989332760577"/>
    <n v="110"/>
    <n v="150"/>
    <n v="1E-3"/>
    <n v="156.434"/>
    <n v="19303.660444110337"/>
    <n v="19720.094444110338"/>
    <n v="3180.9641611183101"/>
    <n v="12013.052243870105"/>
    <n v="0.08"/>
    <n v="1329.078510238548"/>
    <n v="0.12"/>
    <n v="2366.4113332932407"/>
    <n v="15"/>
    <n v="3"/>
  </r>
  <r>
    <n v="780"/>
    <d v="2022-12-31T00:00:00"/>
    <x v="2"/>
    <s v="CLI416"/>
    <s v="CLI416"/>
    <s v="MANAUS"/>
    <s v="AM"/>
    <s v="CLI1181"/>
    <s v="RIO DE JANEIRO"/>
    <s v="RJ"/>
    <n v="4144.4069500000005"/>
    <n v="0"/>
    <n v="3090.4427809999997"/>
    <n v="7000"/>
    <n v="0"/>
    <x v="0"/>
    <x v="2"/>
    <s v="BRMAOTK01"/>
    <s v="BRMAOCHI"/>
    <n v="11.436796000000001"/>
    <n v="38.926000000000002"/>
    <n v="150"/>
    <n v="789.03688908544007"/>
    <n v="0"/>
    <n v="832"/>
    <n v="7"/>
    <n v="0"/>
    <n v="0"/>
    <n v="832"/>
    <m/>
    <m/>
    <n v="0"/>
    <x v="4"/>
    <s v="BRIGITK01"/>
    <s v="BRIGITCO"/>
    <n v="78.029871"/>
    <n v="38.926000000000002"/>
    <n v="150"/>
    <n v="1775.72250785344"/>
    <n v="355.14450157068802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553"/>
    <n v="77852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4144.4069500000005"/>
    <n v="233.55600000000001"/>
    <n v="28797.465821172005"/>
    <n v="3455.6958985406404"/>
    <n v="110"/>
    <n v="150"/>
    <n v="1E-3"/>
    <n v="77.852000000000004"/>
    <n v="20158.226074820403"/>
    <n v="20496.078074820402"/>
    <n v="3180.9641611183101"/>
    <n v="12919.354516763211"/>
    <n v="0.08"/>
    <n v="1406.0939341048668"/>
    <n v="0.12"/>
    <n v="2459.529368978448"/>
    <n v="15"/>
    <n v="3"/>
  </r>
  <r>
    <n v="781"/>
    <d v="2022-12-31T00:00:00"/>
    <x v="2"/>
    <s v="CLI416"/>
    <s v="CLI416"/>
    <s v="MANAUS"/>
    <s v="AM"/>
    <s v="CLI959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89.478999999999999"/>
    <n v="150"/>
    <n v="839.58988908544006"/>
    <n v="0"/>
    <n v="832"/>
    <n v="7"/>
    <n v="0"/>
    <n v="0"/>
    <n v="832"/>
    <m/>
    <m/>
    <n v="0"/>
    <x v="2"/>
    <s v="BRSUATK01"/>
    <s v="BRSUATCO"/>
    <n v="43.495365"/>
    <n v="89.478999999999999"/>
    <n v="150"/>
    <n v="1314.5901648736001"/>
    <n v="236.62622967724801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831"/>
    <n v="178958"/>
    <x v="1"/>
    <x v="0"/>
    <x v="0"/>
    <x v="4"/>
    <x v="2"/>
    <x v="2"/>
    <n v="3"/>
    <n v="3"/>
    <n v="3"/>
    <n v="3"/>
    <n v="3"/>
    <n v="3"/>
    <n v="3"/>
    <n v="33"/>
    <n v="7"/>
    <n v="180"/>
    <n v="7"/>
    <n v="180"/>
    <n v="3493.6139780000003"/>
    <n v="536.87400000000002"/>
    <n v="24681.274780038886"/>
    <n v="2961.7529736046663"/>
    <n v="110"/>
    <n v="150"/>
    <n v="1E-3"/>
    <n v="178.958"/>
    <n v="17276.89234602722"/>
    <n v="17715.850346027219"/>
    <n v="3180.9641611183101"/>
    <n v="9909.7061309498677"/>
    <n v="0.08"/>
    <n v="1226.0035249912744"/>
    <n v="0.12"/>
    <n v="2125.9020415232662"/>
    <n v="15"/>
    <n v="3"/>
  </r>
  <r>
    <n v="782"/>
    <d v="2022-12-31T00:00:00"/>
    <x v="2"/>
    <s v="CLI416"/>
    <s v="CLI416"/>
    <s v="MANAUS"/>
    <s v="AM"/>
    <s v="CLI1298"/>
    <s v="RIBEIRAO PRETO"/>
    <s v="SP"/>
    <n v="3631.6236860000004"/>
    <n v="0"/>
    <n v="2578.277677"/>
    <n v="7000"/>
    <n v="0"/>
    <x v="0"/>
    <x v="2"/>
    <s v="BRMAOTK01"/>
    <s v="BRMAOCHI"/>
    <n v="11.436796000000001"/>
    <n v="104.5365"/>
    <n v="150"/>
    <n v="854.64738908544007"/>
    <n v="0"/>
    <n v="832"/>
    <n v="7"/>
    <n v="0"/>
    <n v="0"/>
    <n v="832"/>
    <m/>
    <m/>
    <n v="0"/>
    <x v="1"/>
    <s v="BRSSZTK01"/>
    <s v="BRSSZTCO"/>
    <n v="394.54480899999999"/>
    <n v="104.5365"/>
    <n v="150"/>
    <n v="6531.0208988217601"/>
    <n v="1175.583761787916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443"/>
    <n v="209073"/>
    <x v="1"/>
    <x v="2"/>
    <x v="0"/>
    <x v="0"/>
    <x v="2"/>
    <x v="2"/>
    <n v="2"/>
    <n v="2"/>
    <n v="2"/>
    <n v="2"/>
    <n v="3"/>
    <n v="2"/>
    <n v="3"/>
    <n v="26"/>
    <n v="7"/>
    <n v="180"/>
    <n v="7"/>
    <n v="180"/>
    <n v="3631.6236860000004"/>
    <n v="627.21900000000005"/>
    <n v="25708.838186678568"/>
    <n v="3085.0605824014278"/>
    <n v="110"/>
    <n v="150"/>
    <n v="1E-3"/>
    <n v="209.07300000000001"/>
    <n v="17996.186730674995"/>
    <n v="18465.259730674996"/>
    <n v="3180.9641611183101"/>
    <n v="6131.6272816494857"/>
    <n v="0.08"/>
    <n v="792.32061447839033"/>
    <n v="0.12"/>
    <n v="2215.8311676809994"/>
    <n v="15"/>
    <n v="3"/>
  </r>
  <r>
    <n v="783"/>
    <d v="2022-12-31T00:00:00"/>
    <x v="2"/>
    <s v="CLI416"/>
    <s v="CLI416"/>
    <s v="MANAUS"/>
    <s v="AM"/>
    <s v="CLI809"/>
    <s v="RIO DE JANEIRO"/>
    <s v="RJ"/>
    <n v="4144.4069500000005"/>
    <n v="0"/>
    <n v="3090.4427809999997"/>
    <n v="7000"/>
    <n v="0"/>
    <x v="0"/>
    <x v="2"/>
    <s v="BRMAOTK01"/>
    <s v="BRMAOCHI"/>
    <n v="11.436796000000001"/>
    <n v="63.236499999999999"/>
    <n v="150"/>
    <n v="813.34738908544"/>
    <n v="0"/>
    <n v="832"/>
    <n v="7"/>
    <n v="0"/>
    <n v="0"/>
    <n v="832"/>
    <m/>
    <m/>
    <n v="0"/>
    <x v="4"/>
    <s v="BRIGITK01"/>
    <s v="BRIGITCO"/>
    <n v="78.029871"/>
    <n v="63.236499999999999"/>
    <n v="150"/>
    <n v="1800.03300785344"/>
    <n v="360.00660157068802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52"/>
    <n v="126473"/>
    <x v="1"/>
    <x v="2"/>
    <x v="0"/>
    <x v="0"/>
    <x v="2"/>
    <x v="2"/>
    <n v="2"/>
    <n v="2"/>
    <n v="2"/>
    <n v="2"/>
    <n v="3"/>
    <n v="2"/>
    <n v="3"/>
    <n v="26"/>
    <n v="7"/>
    <n v="180"/>
    <n v="7"/>
    <n v="180"/>
    <n v="4144.4069500000005"/>
    <n v="379.41899999999998"/>
    <n v="28943.328821172006"/>
    <n v="3473.1994585406405"/>
    <n v="110"/>
    <n v="150"/>
    <n v="1E-3"/>
    <n v="126.473"/>
    <n v="20260.330174820403"/>
    <n v="20646.803174820405"/>
    <n v="3180.9641611183101"/>
    <n v="13021.458616763215"/>
    <n v="0.08"/>
    <n v="1413.8732941048672"/>
    <n v="0.12"/>
    <n v="2477.6163809784484"/>
    <n v="15"/>
    <n v="3"/>
  </r>
  <r>
    <n v="784"/>
    <d v="2022-12-31T00:00:00"/>
    <x v="2"/>
    <s v="CLI416"/>
    <s v="CLI416"/>
    <s v="MANAUS"/>
    <s v="AM"/>
    <s v="CLI700"/>
    <s v="SAO PAULO"/>
    <s v="SP"/>
    <n v="3929.9226880000001"/>
    <n v="0"/>
    <n v="2877.9279630000001"/>
    <n v="7000"/>
    <n v="0"/>
    <x v="0"/>
    <x v="2"/>
    <s v="BRMAOTK01"/>
    <s v="BRMAOCHI"/>
    <n v="11.436796000000001"/>
    <n v="39.6265"/>
    <n v="150"/>
    <n v="789.73738908543999"/>
    <n v="0"/>
    <n v="832"/>
    <n v="7"/>
    <n v="0"/>
    <n v="0"/>
    <n v="832"/>
    <m/>
    <m/>
    <n v="0"/>
    <x v="1"/>
    <s v="BRSSZTK01"/>
    <s v="BRSSZTCO"/>
    <n v="85.841132000000002"/>
    <n v="39.6265"/>
    <n v="150"/>
    <n v="1892.1596500364801"/>
    <n v="340.588737006566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247"/>
    <n v="7925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29.9226880000001"/>
    <n v="237.75900000000001"/>
    <n v="27345.114777300485"/>
    <n v="3281.4137732760582"/>
    <n v="110"/>
    <n v="150"/>
    <n v="1E-3"/>
    <n v="79.253"/>
    <n v="19141.580344110338"/>
    <n v="19480.833344110339"/>
    <n v="3180.9641611183101"/>
    <n v="11850.972143870109"/>
    <n v="0.08"/>
    <n v="1316.6678054385484"/>
    <n v="0.12"/>
    <n v="2337.7000012932403"/>
    <n v="15"/>
    <n v="2"/>
  </r>
  <r>
    <n v="785"/>
    <d v="2022-12-31T00:00:00"/>
    <x v="2"/>
    <s v="CLI416"/>
    <s v="CLI416"/>
    <s v="MANAUS"/>
    <s v="AM"/>
    <s v="CLI1189"/>
    <s v="RIO DE JANEIRO"/>
    <s v="RJ"/>
    <n v="4144.4069500000005"/>
    <n v="0"/>
    <n v="3090.4427809999997"/>
    <n v="7000"/>
    <n v="0"/>
    <x v="0"/>
    <x v="2"/>
    <s v="BRMAOTK01"/>
    <s v="BRMAOCHI"/>
    <n v="11.436796000000001"/>
    <n v="91.276499999999999"/>
    <n v="150"/>
    <n v="841.38738908543996"/>
    <n v="0"/>
    <n v="832"/>
    <n v="7"/>
    <n v="0"/>
    <n v="0"/>
    <n v="832"/>
    <m/>
    <m/>
    <n v="0"/>
    <x v="4"/>
    <s v="BRIGITK01"/>
    <s v="BRIGITCO"/>
    <n v="78.029871"/>
    <n v="91.276499999999999"/>
    <n v="150"/>
    <n v="1828.07300785344"/>
    <n v="365.61460157068802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395"/>
    <n v="18255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4144.4069500000005"/>
    <n v="547.65899999999999"/>
    <n v="29111.568821172004"/>
    <n v="3493.3882585406404"/>
    <n v="110"/>
    <n v="150"/>
    <n v="1E-3"/>
    <n v="182.553"/>
    <n v="20378.098174820403"/>
    <n v="20820.651174820403"/>
    <n v="3180.9641611183101"/>
    <n v="13139.226616763211"/>
    <n v="0.08"/>
    <n v="1422.8460941048668"/>
    <n v="0.12"/>
    <n v="2498.4781409784482"/>
    <n v="15"/>
    <n v="2"/>
  </r>
  <r>
    <n v="786"/>
    <d v="2022-12-31T00:00:00"/>
    <x v="2"/>
    <s v="CLI416"/>
    <s v="CLI416"/>
    <s v="MANAUS"/>
    <s v="AM"/>
    <s v="CLI978"/>
    <s v="EXTREMA"/>
    <s v="MG"/>
    <n v="3930.1885790000001"/>
    <n v="0"/>
    <n v="2875.756222"/>
    <n v="7000"/>
    <n v="0"/>
    <x v="0"/>
    <x v="2"/>
    <s v="BRMAOTK01"/>
    <s v="BRMAOCHI"/>
    <n v="11.436796000000001"/>
    <n v="71.452500000000001"/>
    <n v="150"/>
    <n v="821.56338908544001"/>
    <n v="0"/>
    <n v="832"/>
    <n v="7"/>
    <n v="0"/>
    <n v="0"/>
    <n v="832"/>
    <m/>
    <m/>
    <n v="0"/>
    <x v="1"/>
    <s v="BRSSZTK01"/>
    <s v="BRSSZTCO"/>
    <n v="185.23678700000002"/>
    <n v="71.452500000000001"/>
    <n v="150"/>
    <n v="3396.6952877356803"/>
    <n v="407.603434528281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673"/>
    <n v="14290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30.1885790000001"/>
    <n v="428.71500000000003"/>
    <n v="27537.876432445846"/>
    <n v="3304.5451718935014"/>
    <n v="110"/>
    <n v="150"/>
    <n v="1E-3"/>
    <n v="142.905"/>
    <n v="19276.513502712092"/>
    <n v="19679.418502712091"/>
    <n v="3180.9641611183101"/>
    <n v="10513.19566477266"/>
    <n v="0.08"/>
    <n v="1204.284511309015"/>
    <n v="0.12"/>
    <n v="2361.530220325451"/>
    <n v="15"/>
    <n v="2"/>
  </r>
  <r>
    <n v="787"/>
    <d v="2022-12-31T00:00:00"/>
    <x v="2"/>
    <s v="CLI416"/>
    <s v="CLI416"/>
    <s v="MANAUS"/>
    <s v="AM"/>
    <s v="CLI961"/>
    <s v="MARACANAU"/>
    <s v="CE"/>
    <n v="3026.293353"/>
    <n v="0"/>
    <n v="1441.5450940000001"/>
    <n v="7000"/>
    <n v="0"/>
    <x v="0"/>
    <x v="2"/>
    <s v="BRMAOTK01"/>
    <s v="BRMAOCHI"/>
    <n v="11.436796000000001"/>
    <n v="60.1785"/>
    <n v="150"/>
    <n v="810.28938908544001"/>
    <n v="0"/>
    <n v="832"/>
    <n v="7"/>
    <n v="0"/>
    <n v="0"/>
    <n v="832"/>
    <m/>
    <m/>
    <n v="0"/>
    <x v="3"/>
    <s v="BRPECTK01"/>
    <s v="BRPECAPM"/>
    <n v="52.945568000000002"/>
    <n v="60.1785"/>
    <n v="150"/>
    <n v="1425.3099206515201"/>
    <n v="256.5557857172735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661"/>
    <n v="120357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026.293353"/>
    <n v="361.07100000000003"/>
    <n v="21331.916108488884"/>
    <n v="2559.829933018666"/>
    <n v="110"/>
    <n v="150"/>
    <n v="1E-3"/>
    <n v="120.357"/>
    <n v="14932.341275942217"/>
    <n v="15312.698275942217"/>
    <n v="3180.9641611183101"/>
    <n v="8001.1348050869474"/>
    <n v="0.08"/>
    <n v="1025.6434544390388"/>
    <n v="0.12"/>
    <n v="1837.5237931130659"/>
    <n v="15"/>
    <n v="2"/>
  </r>
  <r>
    <n v="788"/>
    <d v="2022-12-31T00:00:00"/>
    <x v="2"/>
    <s v="CLI416"/>
    <s v="CLI416"/>
    <s v="MANAUS"/>
    <s v="AM"/>
    <s v="CLI1100"/>
    <s v="RIO DE JANEIRO"/>
    <s v="RJ"/>
    <n v="4144.4069500000005"/>
    <n v="0"/>
    <n v="3090.4427809999997"/>
    <n v="7000"/>
    <n v="0"/>
    <x v="0"/>
    <x v="2"/>
    <s v="BRMAOTK01"/>
    <s v="BRMAOCHI"/>
    <n v="11.436796000000001"/>
    <n v="45.756999999999998"/>
    <n v="150"/>
    <n v="795.86788908543997"/>
    <n v="0"/>
    <n v="832"/>
    <n v="7"/>
    <n v="0"/>
    <n v="0"/>
    <n v="832"/>
    <m/>
    <m/>
    <n v="0"/>
    <x v="4"/>
    <s v="BRIGITK01"/>
    <s v="BRIGITCO"/>
    <n v="78.029871"/>
    <n v="45.756999999999998"/>
    <n v="150"/>
    <n v="1782.5535078534401"/>
    <n v="356.51070157068807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21"/>
    <n v="91514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4144.4069500000005"/>
    <n v="274.54200000000003"/>
    <n v="28838.451821172006"/>
    <n v="3460.6142185406406"/>
    <n v="110"/>
    <n v="150"/>
    <n v="1E-3"/>
    <n v="91.513999999999996"/>
    <n v="20186.916274820403"/>
    <n v="20538.430274820403"/>
    <n v="3180.9641611183101"/>
    <n v="12948.044716763212"/>
    <n v="0.08"/>
    <n v="1408.2798541048667"/>
    <n v="0.12"/>
    <n v="2464.6116329784481"/>
    <n v="15"/>
    <n v="2"/>
  </r>
  <r>
    <n v="789"/>
    <d v="2022-12-31T00:00:00"/>
    <x v="2"/>
    <s v="CLI416"/>
    <s v="CLI416"/>
    <s v="MANAUS"/>
    <s v="AM"/>
    <s v="CLI854"/>
    <s v="SAO PAULO"/>
    <s v="SP"/>
    <n v="3929.9226880000001"/>
    <n v="0"/>
    <n v="2877.9279630000001"/>
    <n v="7000"/>
    <n v="0"/>
    <x v="0"/>
    <x v="2"/>
    <s v="BRMAOTK01"/>
    <s v="BRMAOCHI"/>
    <n v="11.436796000000001"/>
    <n v="81.736000000000004"/>
    <n v="150"/>
    <n v="831.84688908544001"/>
    <n v="0"/>
    <n v="832"/>
    <n v="7"/>
    <n v="0"/>
    <n v="0"/>
    <n v="832"/>
    <m/>
    <m/>
    <n v="0"/>
    <x v="1"/>
    <s v="BRSSZTK01"/>
    <s v="BRSSZTCO"/>
    <n v="85.841132000000002"/>
    <n v="81.736000000000004"/>
    <n v="150"/>
    <n v="1934.2691500364801"/>
    <n v="348.16844700656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982"/>
    <n v="163472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29.9226880000001"/>
    <n v="490.416"/>
    <n v="27597.771777300484"/>
    <n v="3311.7326132760581"/>
    <n v="110"/>
    <n v="150"/>
    <n v="1E-3"/>
    <n v="163.47200000000001"/>
    <n v="19318.440244110338"/>
    <n v="19741.912244110339"/>
    <n v="3180.9641611183101"/>
    <n v="12027.832043870108"/>
    <n v="0.08"/>
    <n v="1330.2102206385482"/>
    <n v="0.12"/>
    <n v="2369.0294692932407"/>
    <n v="15"/>
    <n v="2"/>
  </r>
  <r>
    <n v="790"/>
    <d v="2022-12-31T00:00:00"/>
    <x v="2"/>
    <s v="CLI416"/>
    <s v="CLI416"/>
    <s v="MANAUS"/>
    <s v="AM"/>
    <s v="CLI1310"/>
    <s v="BARUERI"/>
    <s v="SP"/>
    <n v="3921.9795249999997"/>
    <n v="0"/>
    <n v="2871.0121140000001"/>
    <n v="7000"/>
    <n v="0"/>
    <x v="0"/>
    <x v="2"/>
    <s v="BRMAOTK01"/>
    <s v="BRMAOCHI"/>
    <n v="11.436796000000001"/>
    <n v="93.632500000000007"/>
    <n v="150"/>
    <n v="843.74338908544007"/>
    <n v="0"/>
    <n v="832"/>
    <n v="7"/>
    <n v="0"/>
    <n v="0"/>
    <n v="832"/>
    <m/>
    <m/>
    <n v="0"/>
    <x v="1"/>
    <s v="BRSSZTK01"/>
    <s v="BRSSZTCO"/>
    <n v="108.985372"/>
    <n v="93.632500000000007"/>
    <n v="150"/>
    <n v="2289.0855221900802"/>
    <n v="412.035393994214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093"/>
    <n v="18726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21.9795249999997"/>
    <n v="561.79499999999996"/>
    <n v="27615.209075094001"/>
    <n v="3313.8250890112799"/>
    <n v="110"/>
    <n v="150"/>
    <n v="1E-3"/>
    <n v="187.26500000000001"/>
    <n v="19330.6463525658"/>
    <n v="19777.911352565799"/>
    <n v="3180.9641611183101"/>
    <n v="11697.11828017197"/>
    <n v="0.08"/>
    <n v="1298.6437637836852"/>
    <n v="0.12"/>
    <n v="2373.3493623078957"/>
    <n v="15"/>
    <n v="2"/>
  </r>
  <r>
    <n v="791"/>
    <d v="2022-12-31T00:00:00"/>
    <x v="2"/>
    <s v="CLI416"/>
    <s v="CLI416"/>
    <s v="MANAUS"/>
    <s v="AM"/>
    <s v="CLI995"/>
    <s v="ALHANDRA"/>
    <s v="PB"/>
    <n v="3512.4340469999997"/>
    <n v="0"/>
    <n v="2039.6696010000001"/>
    <n v="7000"/>
    <n v="0"/>
    <x v="0"/>
    <x v="2"/>
    <s v="BRMAOTK01"/>
    <s v="BRMAOCHI"/>
    <n v="11.436796000000001"/>
    <n v="38.753"/>
    <n v="150"/>
    <n v="788.86388908544006"/>
    <n v="0"/>
    <n v="832"/>
    <n v="7"/>
    <n v="0"/>
    <n v="0"/>
    <n v="832"/>
    <m/>
    <m/>
    <n v="0"/>
    <x v="2"/>
    <s v="BRSUATK01"/>
    <s v="BRSUATCO"/>
    <n v="133.16569799999999"/>
    <n v="38.753"/>
    <n v="150"/>
    <n v="2592.4772076147201"/>
    <n v="311.0972649137664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201"/>
    <n v="7750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512.4340469999997"/>
    <n v="232.518"/>
    <n v="24504.725115815119"/>
    <n v="2940.5670138978144"/>
    <n v="110"/>
    <n v="150"/>
    <n v="1E-3"/>
    <n v="77.506"/>
    <n v="17153.307581070581"/>
    <n v="17490.813581070583"/>
    <n v="3180.9641611183101"/>
    <n v="8457.5083232521101"/>
    <n v="0.08"/>
    <n v="1103.8700175565325"/>
    <n v="0.12"/>
    <n v="2098.8976297284698"/>
    <n v="15"/>
    <n v="2"/>
  </r>
  <r>
    <n v="792"/>
    <d v="2022-12-31T00:00:00"/>
    <x v="2"/>
    <s v="CLI416"/>
    <s v="CLI416"/>
    <s v="MANAUS"/>
    <s v="AM"/>
    <s v="CLI687"/>
    <s v="RIO DE JANEIRO"/>
    <s v="RJ"/>
    <n v="4144.4069500000005"/>
    <n v="0"/>
    <n v="3090.4427809999997"/>
    <n v="7000"/>
    <n v="0"/>
    <x v="0"/>
    <x v="2"/>
    <s v="BRMAOTK01"/>
    <s v="BRMAOCHI"/>
    <n v="11.436796000000001"/>
    <n v="28.853000000000002"/>
    <n v="150"/>
    <n v="778.96388908543997"/>
    <n v="0"/>
    <n v="832"/>
    <n v="7"/>
    <n v="0"/>
    <n v="0"/>
    <n v="832"/>
    <m/>
    <m/>
    <n v="0"/>
    <x v="4"/>
    <s v="BRIGITK01"/>
    <s v="BRIGITCO"/>
    <n v="78.029871"/>
    <n v="28.853000000000002"/>
    <n v="150"/>
    <n v="1765.6495078534401"/>
    <n v="353.12990157068805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464"/>
    <n v="5770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4144.4069500000005"/>
    <n v="173.11799999999999"/>
    <n v="28737.027821172003"/>
    <n v="3448.4433385406401"/>
    <n v="110"/>
    <n v="150"/>
    <n v="1E-3"/>
    <n v="57.706000000000003"/>
    <n v="20115.919474820403"/>
    <n v="20433.625474820401"/>
    <n v="3180.9641611183101"/>
    <n v="12877.047916763211"/>
    <n v="0.08"/>
    <n v="1402.8705741048668"/>
    <n v="0.12"/>
    <n v="2452.0350569784482"/>
    <n v="15"/>
    <n v="2"/>
  </r>
  <r>
    <n v="793"/>
    <d v="2022-12-31T00:00:00"/>
    <x v="2"/>
    <s v="CLI416"/>
    <s v="CLI416"/>
    <s v="MANAUS"/>
    <s v="AM"/>
    <s v="CLI999"/>
    <s v="LOUVEIRA"/>
    <s v="SP"/>
    <n v="3865.5848300000002"/>
    <n v="0"/>
    <n v="2812.8709169999997"/>
    <n v="7000"/>
    <n v="0"/>
    <x v="0"/>
    <x v="2"/>
    <s v="BRMAOTK01"/>
    <s v="BRMAOCHI"/>
    <n v="11.436796000000001"/>
    <n v="35.926499999999997"/>
    <n v="150"/>
    <n v="786.03738908544005"/>
    <n v="0"/>
    <n v="832"/>
    <n v="7"/>
    <n v="0"/>
    <n v="0"/>
    <n v="832"/>
    <m/>
    <m/>
    <n v="0"/>
    <x v="1"/>
    <s v="BRSSZTK01"/>
    <s v="BRSSZTCO"/>
    <n v="152.74309700000001"/>
    <n v="35.926499999999997"/>
    <n v="150"/>
    <n v="2879.7219807340803"/>
    <n v="518.3499565321344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336"/>
    <n v="7185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865.5848300000002"/>
    <n v="215.559"/>
    <n v="26885.998957136806"/>
    <n v="3226.3198748564164"/>
    <n v="110"/>
    <n v="150"/>
    <n v="1E-3"/>
    <n v="71.852999999999994"/>
    <n v="18820.199269995763"/>
    <n v="19152.052269995762"/>
    <n v="3180.9641611183101"/>
    <n v="10538.328739057932"/>
    <n v="0.08"/>
    <n v="1197.4354354915286"/>
    <n v="0.12"/>
    <n v="2298.2462723994913"/>
    <n v="15"/>
    <n v="2"/>
  </r>
  <r>
    <n v="794"/>
    <d v="2022-12-31T00:00:00"/>
    <x v="2"/>
    <s v="CLI416"/>
    <s v="CLI416"/>
    <s v="MANAUS"/>
    <s v="AM"/>
    <s v="CLI580"/>
    <s v="ITAPEVI"/>
    <s v="SP"/>
    <n v="3926.9181940000003"/>
    <n v="0"/>
    <n v="2875.0867360000002"/>
    <n v="7000"/>
    <n v="0"/>
    <x v="0"/>
    <x v="2"/>
    <s v="BRMAOTK01"/>
    <s v="BRMAOCHI"/>
    <n v="11.436796000000001"/>
    <n v="32.467500000000001"/>
    <n v="150"/>
    <n v="782.57838908543999"/>
    <n v="0"/>
    <n v="832"/>
    <n v="7"/>
    <n v="0"/>
    <n v="0"/>
    <n v="832"/>
    <m/>
    <m/>
    <n v="0"/>
    <x v="1"/>
    <s v="BRSSZTK01"/>
    <s v="BRSSZTCO"/>
    <n v="115.56559200000001"/>
    <n v="32.467500000000001"/>
    <n v="150"/>
    <n v="2325.4172730508803"/>
    <n v="418.5751091491584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499"/>
    <n v="6493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26.9181940000003"/>
    <n v="194.80500000000001"/>
    <n v="27281.757378726244"/>
    <n v="3273.8108854471493"/>
    <n v="110"/>
    <n v="150"/>
    <n v="1E-3"/>
    <n v="64.935000000000002"/>
    <n v="19097.230165108369"/>
    <n v="19422.16516510837"/>
    <n v="3180.9641611183101"/>
    <n v="11366.20534185374"/>
    <n v="0.08"/>
    <n v="1271.6475515058314"/>
    <n v="0.12"/>
    <n v="2330.6598198130046"/>
    <n v="15"/>
    <n v="2"/>
  </r>
  <r>
    <n v="795"/>
    <d v="2022-12-31T00:00:00"/>
    <x v="2"/>
    <s v="CLI416"/>
    <s v="CLI416"/>
    <s v="MANAUS"/>
    <s v="AM"/>
    <s v="CLI978"/>
    <s v="EXTREMA"/>
    <s v="MG"/>
    <n v="3930.1885790000001"/>
    <n v="0"/>
    <n v="2875.756222"/>
    <n v="7000"/>
    <n v="0"/>
    <x v="0"/>
    <x v="2"/>
    <s v="BRMAOTK01"/>
    <s v="BRMAOCHI"/>
    <n v="11.436796000000001"/>
    <n v="39.640500000000003"/>
    <n v="150"/>
    <n v="789.75138908544"/>
    <n v="0"/>
    <n v="832"/>
    <n v="7"/>
    <n v="0"/>
    <n v="0"/>
    <n v="832"/>
    <m/>
    <m/>
    <n v="0"/>
    <x v="1"/>
    <s v="BRSSZTK01"/>
    <s v="BRSSZTCO"/>
    <n v="185.23678700000002"/>
    <n v="39.640500000000003"/>
    <n v="150"/>
    <n v="3364.8832877356804"/>
    <n v="403.7859945282816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711"/>
    <n v="79281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30.1885790000001"/>
    <n v="237.84300000000002"/>
    <n v="27347.004432445847"/>
    <n v="3281.6405318935017"/>
    <n v="110"/>
    <n v="150"/>
    <n v="1E-3"/>
    <n v="79.281000000000006"/>
    <n v="19142.903102712091"/>
    <n v="19482.18410271209"/>
    <n v="3180.9641611183101"/>
    <n v="10379.585264772661"/>
    <n v="0.08"/>
    <n v="1193.9010745090152"/>
    <n v="0.12"/>
    <n v="2337.8620923254507"/>
    <n v="15"/>
    <n v="2"/>
  </r>
  <r>
    <n v="796"/>
    <d v="2022-12-31T00:00:00"/>
    <x v="2"/>
    <s v="CLI416"/>
    <s v="CLI416"/>
    <s v="MANAUS"/>
    <s v="AM"/>
    <s v="CLI1313"/>
    <s v="BETIM"/>
    <s v="MG"/>
    <n v="3725.1065960000001"/>
    <n v="0"/>
    <n v="2672.0403730000003"/>
    <n v="7000"/>
    <n v="0"/>
    <x v="0"/>
    <x v="2"/>
    <s v="BRMAOTK01"/>
    <s v="BRMAOCHI"/>
    <n v="11.436796000000001"/>
    <n v="83.817000000000007"/>
    <n v="150"/>
    <n v="833.92788908544003"/>
    <n v="0"/>
    <n v="832"/>
    <n v="7"/>
    <n v="0"/>
    <n v="0"/>
    <n v="832"/>
    <m/>
    <m/>
    <n v="0"/>
    <x v="4"/>
    <s v="BRIGITK01"/>
    <s v="BRIGITCO"/>
    <n v="450.76401400000003"/>
    <n v="83.817000000000007"/>
    <n v="150"/>
    <n v="7343.2811203929605"/>
    <n v="881.19373444715518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372"/>
    <n v="167634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725.1065960000001"/>
    <n v="502.90199999999999"/>
    <n v="26219.359889172159"/>
    <n v="3146.3231867006589"/>
    <n v="110"/>
    <n v="150"/>
    <n v="1E-3"/>
    <n v="167.63400000000001"/>
    <n v="18353.551922420509"/>
    <n v="18781.185922420511"/>
    <n v="3180.9641611183101"/>
    <n v="5592.0127518238005"/>
    <n v="0.08"/>
    <n v="777.82265427959646"/>
    <n v="0.12"/>
    <n v="2253.7423106904612"/>
    <n v="15"/>
    <n v="2"/>
  </r>
  <r>
    <n v="797"/>
    <d v="2022-12-31T00:00:00"/>
    <x v="2"/>
    <s v="CLI416"/>
    <s v="CLI416"/>
    <s v="MANAUS"/>
    <s v="AM"/>
    <s v="CLI745"/>
    <s v="GUARULHOS"/>
    <s v="SP"/>
    <n v="3939.5816420000001"/>
    <n v="0"/>
    <n v="2887.376076"/>
    <n v="7000"/>
    <n v="0"/>
    <x v="0"/>
    <x v="2"/>
    <s v="BRMAOTK01"/>
    <s v="BRMAOCHI"/>
    <n v="11.436796000000001"/>
    <n v="36.5075"/>
    <n v="150"/>
    <n v="786.61838908544007"/>
    <n v="0"/>
    <n v="832"/>
    <n v="7"/>
    <n v="0"/>
    <n v="0"/>
    <n v="832"/>
    <m/>
    <m/>
    <n v="0"/>
    <x v="1"/>
    <s v="BRSSZTK01"/>
    <s v="BRSSZTCO"/>
    <n v="96.951807000000002"/>
    <n v="36.5075"/>
    <n v="150"/>
    <n v="2053.6635216684799"/>
    <n v="369.6594339003263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113"/>
    <n v="73015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39.5816420000001"/>
    <n v="219.04500000000002"/>
    <n v="27391.994347556323"/>
    <n v="3287.0393217067585"/>
    <n v="110"/>
    <n v="150"/>
    <n v="1E-3"/>
    <n v="73.015000000000001"/>
    <n v="19174.396043289424"/>
    <n v="19507.411043289423"/>
    <n v="3180.9641611183101"/>
    <n v="11719.164971417191"/>
    <n v="0.08"/>
    <n v="1303.797575890814"/>
    <n v="0.12"/>
    <n v="2340.8893251947306"/>
    <n v="15"/>
    <n v="2"/>
  </r>
  <r>
    <n v="798"/>
    <d v="2022-12-31T00:00:00"/>
    <x v="2"/>
    <s v="CLI416"/>
    <s v="CLI416"/>
    <s v="MANAUS"/>
    <s v="AM"/>
    <s v="CLI895"/>
    <s v="RIBEIRAO DAS NEVES"/>
    <s v="MG"/>
    <n v="3698.7148179999999"/>
    <n v="0"/>
    <n v="2644.9769409999999"/>
    <n v="7000"/>
    <n v="0"/>
    <x v="0"/>
    <x v="2"/>
    <s v="BRMAOTK01"/>
    <s v="BRMAOCHI"/>
    <n v="11.436796000000001"/>
    <n v="114.34650000000001"/>
    <n v="150"/>
    <n v="864.45738908544001"/>
    <n v="0"/>
    <n v="832"/>
    <n v="7"/>
    <n v="0"/>
    <n v="0"/>
    <n v="832"/>
    <m/>
    <m/>
    <n v="0"/>
    <x v="4"/>
    <s v="BRIGITK01"/>
    <s v="BRIGITCO"/>
    <n v="462.29315600000001"/>
    <n v="114.34650000000001"/>
    <n v="150"/>
    <n v="7544.6337669158411"/>
    <n v="905.35605202990087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286"/>
    <n v="22869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698.7148179999999"/>
    <n v="686.07900000000006"/>
    <n v="26223.311380445284"/>
    <n v="3146.7973656534341"/>
    <n v="110"/>
    <n v="150"/>
    <n v="1E-3"/>
    <n v="228.69300000000001"/>
    <n v="18356.317966311697"/>
    <n v="18845.010966311696"/>
    <n v="3180.9641611183101"/>
    <n v="5423.955649192103"/>
    <n v="0.08"/>
    <n v="762.44510066244095"/>
    <n v="0.12"/>
    <n v="2261.4013159574033"/>
    <n v="15"/>
    <n v="2"/>
  </r>
  <r>
    <n v="799"/>
    <d v="2022-12-31T00:00:00"/>
    <x v="3"/>
    <s v="CLI416"/>
    <s v="CLI416"/>
    <s v="MANAUS"/>
    <s v="AM"/>
    <s v="CLI794"/>
    <s v="SAO PAULO"/>
    <s v="SP"/>
    <n v="3929.9226880000001"/>
    <n v="0"/>
    <n v="2877.9279630000001"/>
    <n v="7000"/>
    <n v="0"/>
    <x v="0"/>
    <x v="2"/>
    <s v="BRMAOTK01"/>
    <s v="BRMAOCHI"/>
    <n v="11.436796000000001"/>
    <n v="69.304500000000004"/>
    <n v="150"/>
    <n v="819.41538908543998"/>
    <n v="0"/>
    <n v="832"/>
    <n v="7"/>
    <n v="0"/>
    <n v="0"/>
    <n v="832"/>
    <m/>
    <m/>
    <n v="0"/>
    <x v="1"/>
    <s v="BRSSZTK01S"/>
    <s v="BRSSZTCO"/>
    <n v="85.841132000000002"/>
    <n v="69.304500000000004"/>
    <n v="150"/>
    <n v="1921.83765003648"/>
    <n v="345.9307770065663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143"/>
    <n v="138609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29.9226880000001"/>
    <n v="415.827"/>
    <n v="27523.182777300484"/>
    <n v="3302.7819332760578"/>
    <n v="110"/>
    <n v="150"/>
    <n v="1E-3"/>
    <n v="138.60900000000001"/>
    <n v="17920.941589084803"/>
    <n v="18319.550589084804"/>
    <n v="3180.9641611183101"/>
    <n v="12552.171038881053"/>
    <n v="0.08"/>
    <n v="1218.5893418365056"/>
    <n v="0.12"/>
    <n v="2198.3460706901765"/>
    <n v="15"/>
    <n v="2"/>
  </r>
  <r>
    <n v="800"/>
    <d v="2022-12-31T00:00:00"/>
    <x v="2"/>
    <s v="CLI416"/>
    <s v="CLI416"/>
    <s v="MANAUS"/>
    <s v="AM"/>
    <s v="CLI1296"/>
    <s v="DUQUE DE CAXIAS"/>
    <s v="RJ"/>
    <n v="4126.6281179999996"/>
    <n v="0"/>
    <n v="3072.1998579999999"/>
    <n v="7000"/>
    <n v="0"/>
    <x v="0"/>
    <x v="2"/>
    <s v="BRMAOTK01"/>
    <s v="BRMAOCHI"/>
    <n v="11.436796000000001"/>
    <n v="65.091000000000008"/>
    <n v="150"/>
    <n v="815.20188908544003"/>
    <n v="0"/>
    <n v="832"/>
    <n v="7"/>
    <n v="0"/>
    <n v="0"/>
    <n v="832"/>
    <m/>
    <m/>
    <n v="0"/>
    <x v="4"/>
    <s v="BRIGITK01"/>
    <s v="BRIGITCO"/>
    <n v="68.801226"/>
    <n v="65.091000000000008"/>
    <n v="150"/>
    <n v="1665.14999720064"/>
    <n v="333.02999944012799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630"/>
    <n v="130182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4126.6281179999996"/>
    <n v="390.54599999999999"/>
    <n v="28833.720484213278"/>
    <n v="3460.046458105593"/>
    <n v="110"/>
    <n v="150"/>
    <n v="1E-3"/>
    <n v="130.18200000000002"/>
    <n v="20183.604338949292"/>
    <n v="20573.786338949292"/>
    <n v="3180.9641611183101"/>
    <n v="13081.470291544902"/>
    <n v="0.08"/>
    <n v="1420.8323562578466"/>
    <n v="0.12"/>
    <n v="2468.8543606739149"/>
    <n v="15"/>
    <n v="2"/>
  </r>
  <r>
    <n v="801"/>
    <d v="2022-12-31T00:00:00"/>
    <x v="2"/>
    <s v="CLI416"/>
    <s v="CLI416"/>
    <s v="MANAUS"/>
    <s v="AM"/>
    <s v="CLI834"/>
    <s v="RECIFE"/>
    <s v="PE"/>
    <n v="3509.5908080000004"/>
    <n v="0"/>
    <n v="2054.4430109999998"/>
    <n v="7000"/>
    <n v="0"/>
    <x v="0"/>
    <x v="2"/>
    <s v="BRMAOTK01"/>
    <s v="BRMAOCHI"/>
    <n v="11.436796000000001"/>
    <n v="30.9115"/>
    <n v="150"/>
    <n v="781.02238908544007"/>
    <n v="0"/>
    <n v="832"/>
    <n v="7"/>
    <n v="0"/>
    <n v="0"/>
    <n v="832"/>
    <m/>
    <m/>
    <n v="0"/>
    <x v="2"/>
    <s v="BRSUATK01"/>
    <s v="BRSUATCO"/>
    <n v="51.681188999999996"/>
    <n v="30.9115"/>
    <n v="150"/>
    <n v="1377.3090721849599"/>
    <n v="247.91563299329277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457"/>
    <n v="6182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509.5908080000004"/>
    <n v="185.46899999999999"/>
    <n v="24438.367793495683"/>
    <n v="2932.604135219482"/>
    <n v="110"/>
    <n v="150"/>
    <n v="1E-3"/>
    <n v="61.823"/>
    <n v="17106.857455446978"/>
    <n v="17428.680455446978"/>
    <n v="3180.9641611183101"/>
    <n v="9618.3848330582678"/>
    <n v="0.08"/>
    <n v="1201.7946688946629"/>
    <n v="0.12"/>
    <n v="2091.4416546536372"/>
    <n v="15"/>
    <n v="2"/>
  </r>
  <r>
    <n v="802"/>
    <d v="2022-12-31T00:00:00"/>
    <x v="2"/>
    <s v="CLI416"/>
    <s v="CLI416"/>
    <s v="MANAUS"/>
    <s v="AM"/>
    <s v="CLI1297"/>
    <s v="JUNDIAI"/>
    <s v="SP"/>
    <n v="3878.5104309999997"/>
    <n v="0"/>
    <n v="2826.507944"/>
    <n v="7000"/>
    <n v="0"/>
    <x v="0"/>
    <x v="2"/>
    <s v="BRMAOTK01"/>
    <s v="BRMAOCHI"/>
    <n v="11.436796000000001"/>
    <n v="36.945"/>
    <n v="150"/>
    <n v="787.05588908544007"/>
    <n v="0"/>
    <n v="832"/>
    <n v="7"/>
    <n v="0"/>
    <n v="0"/>
    <n v="832"/>
    <m/>
    <m/>
    <n v="0"/>
    <x v="1"/>
    <s v="BRSSZTK01"/>
    <s v="BRSSZTCO"/>
    <n v="139.13710800000001"/>
    <n v="36.945"/>
    <n v="150"/>
    <n v="2679.1454398771202"/>
    <n v="482.2461791778816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108"/>
    <n v="7389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878.5104309999997"/>
    <n v="221.67000000000002"/>
    <n v="26979.887196503758"/>
    <n v="3237.586463580451"/>
    <n v="110"/>
    <n v="150"/>
    <n v="1E-3"/>
    <n v="73.89"/>
    <n v="18885.921037552631"/>
    <n v="19219.81103755263"/>
    <n v="3180.9641611183101"/>
    <n v="10805.645547471759"/>
    <n v="0.08"/>
    <n v="1221.709082352975"/>
    <n v="0.12"/>
    <n v="2306.3773245063157"/>
    <n v="15"/>
    <n v="2"/>
  </r>
  <r>
    <n v="803"/>
    <d v="2022-12-31T00:00:00"/>
    <x v="2"/>
    <s v="CLI416"/>
    <s v="CLI416"/>
    <s v="MANAUS"/>
    <s v="AM"/>
    <s v="CLI1099"/>
    <s v="BARUERI"/>
    <s v="SP"/>
    <n v="3921.9795249999997"/>
    <n v="0"/>
    <n v="2871.0121140000001"/>
    <n v="7000"/>
    <n v="0"/>
    <x v="0"/>
    <x v="2"/>
    <s v="BRMAOTK01"/>
    <s v="BRMAOCHI"/>
    <n v="11.436796000000001"/>
    <n v="60.704000000000001"/>
    <n v="150"/>
    <n v="810.81488908543997"/>
    <n v="0"/>
    <n v="832"/>
    <n v="7"/>
    <n v="0"/>
    <n v="0"/>
    <n v="832"/>
    <m/>
    <m/>
    <n v="0"/>
    <x v="1"/>
    <s v="BRSSZTK01"/>
    <s v="BRSSZTCO"/>
    <n v="108.985372"/>
    <n v="60.704000000000001"/>
    <n v="150"/>
    <n v="2256.1570221900802"/>
    <n v="406.1082639942144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441"/>
    <n v="121408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21.9795249999997"/>
    <n v="364.22399999999999"/>
    <n v="27417.638075094001"/>
    <n v="3290.1165690112798"/>
    <n v="110"/>
    <n v="150"/>
    <n v="1E-3"/>
    <n v="121.408"/>
    <n v="19192.3466525658"/>
    <n v="19573.7546525658"/>
    <n v="3180.9641611183101"/>
    <n v="11558.81858017197"/>
    <n v="0.08"/>
    <n v="1288.0539581836854"/>
    <n v="0.12"/>
    <n v="2348.8505583078959"/>
    <n v="15"/>
    <n v="2"/>
  </r>
  <r>
    <n v="804"/>
    <d v="2022-12-31T00:00:00"/>
    <x v="2"/>
    <s v="CLI416"/>
    <s v="CLI416"/>
    <s v="MANAUS"/>
    <s v="AM"/>
    <s v="CLI553"/>
    <s v="BARUERI"/>
    <s v="SP"/>
    <n v="3921.9795249999997"/>
    <n v="0"/>
    <n v="2871.0121140000001"/>
    <n v="7000"/>
    <n v="0"/>
    <x v="0"/>
    <x v="2"/>
    <s v="BRMAOTK01"/>
    <s v="BRMAOCHI"/>
    <n v="11.436796000000001"/>
    <n v="45.721000000000004"/>
    <n v="150"/>
    <n v="795.83188908544003"/>
    <n v="0"/>
    <n v="832"/>
    <n v="7"/>
    <n v="0"/>
    <n v="0"/>
    <n v="832"/>
    <m/>
    <m/>
    <n v="0"/>
    <x v="1"/>
    <s v="BRSSZTK01"/>
    <s v="BRSSZTCO"/>
    <n v="108.985372"/>
    <n v="45.721000000000004"/>
    <n v="150"/>
    <n v="2241.17402219008"/>
    <n v="403.411323994214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542"/>
    <n v="91442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3921.9795249999997"/>
    <n v="274.32600000000002"/>
    <n v="27327.740075094003"/>
    <n v="3279.3288090112801"/>
    <n v="110"/>
    <n v="150"/>
    <n v="1E-3"/>
    <n v="91.442000000000007"/>
    <n v="19129.418052565801"/>
    <n v="19480.8600525658"/>
    <n v="3180.9641611183101"/>
    <n v="11495.889980171971"/>
    <n v="0.08"/>
    <n v="1283.2354253836854"/>
    <n v="0.12"/>
    <n v="2337.7032063078959"/>
    <n v="15"/>
    <n v="2"/>
  </r>
  <r>
    <n v="805"/>
    <d v="2022-12-31T00:00:00"/>
    <x v="2"/>
    <s v="CLI416"/>
    <s v="CLI416"/>
    <s v="MANAUS"/>
    <s v="AM"/>
    <s v="CLI793"/>
    <s v="PAULISTA"/>
    <s v="PE"/>
    <n v="3521.932331"/>
    <n v="0"/>
    <n v="2065.996979"/>
    <n v="7000"/>
    <n v="0"/>
    <x v="0"/>
    <x v="2"/>
    <s v="BRMAOTK01"/>
    <s v="BRMAOCHI"/>
    <n v="11.436796000000001"/>
    <n v="97.087500000000006"/>
    <n v="150"/>
    <n v="847.19838908544"/>
    <n v="0"/>
    <n v="832"/>
    <n v="7"/>
    <n v="0"/>
    <n v="0"/>
    <n v="832"/>
    <m/>
    <m/>
    <n v="0"/>
    <x v="2"/>
    <s v="BRSUATK01"/>
    <s v="BRSUATCO"/>
    <n v="65.896101999999999"/>
    <n v="97.087500000000006"/>
    <n v="150"/>
    <n v="1654.10232073728"/>
    <n v="297.73841773271039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120"/>
    <n v="194175"/>
    <x v="1"/>
    <x v="2"/>
    <x v="2"/>
    <x v="0"/>
    <x v="3"/>
    <x v="3"/>
    <n v="2"/>
    <n v="2"/>
    <n v="2"/>
    <n v="2"/>
    <n v="2"/>
    <n v="2"/>
    <n v="2"/>
    <n v="21"/>
    <n v="7"/>
    <n v="180"/>
    <n v="7"/>
    <n v="180"/>
    <n v="3521.932331"/>
    <n v="582.52499999999998"/>
    <n v="24919.234582527766"/>
    <n v="2990.3081499033319"/>
    <n v="110"/>
    <n v="150"/>
    <n v="1E-3"/>
    <n v="194.17500000000001"/>
    <n v="17443.464207769433"/>
    <n v="17897.639207769433"/>
    <n v="3180.9641611183101"/>
    <n v="9744.3743368284031"/>
    <n v="0.08"/>
    <n v="1207.8880064171203"/>
    <n v="0.12"/>
    <n v="2147.716704932332"/>
    <n v="15"/>
    <n v="2"/>
  </r>
  <r>
    <n v="806"/>
    <d v="2022-12-31T00:00:00"/>
    <x v="2"/>
    <s v="CLI416"/>
    <s v="CLI416"/>
    <s v="MANAUS"/>
    <s v="AM"/>
    <s v="CLI578"/>
    <s v="CABO DE SANTO AGOSTINHO"/>
    <s v="PE"/>
    <n v="3510.0331660000002"/>
    <n v="0"/>
    <n v="2055.2547009999998"/>
    <n v="7000"/>
    <n v="0"/>
    <x v="0"/>
    <x v="2"/>
    <s v="BRMAOTK01"/>
    <s v="BRMAOCHI"/>
    <n v="11.436796000000001"/>
    <n v="94.94"/>
    <n v="150"/>
    <n v="845.05088908544008"/>
    <n v="0"/>
    <n v="832"/>
    <n v="7"/>
    <n v="0"/>
    <n v="0"/>
    <n v="832"/>
    <m/>
    <m/>
    <n v="0"/>
    <x v="2"/>
    <s v="BRSUATK01"/>
    <s v="BRSUATCO"/>
    <n v="23.080721"/>
    <n v="94.94"/>
    <n v="150"/>
    <n v="1017.57473399744"/>
    <n v="183.16345211953919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919"/>
    <n v="189880"/>
    <x v="1"/>
    <x v="2"/>
    <x v="2"/>
    <x v="2"/>
    <x v="3"/>
    <x v="3"/>
    <n v="2"/>
    <n v="1"/>
    <n v="2"/>
    <n v="2"/>
    <n v="2"/>
    <n v="2"/>
    <n v="2"/>
    <n v="19"/>
    <n v="7"/>
    <n v="180"/>
    <n v="7"/>
    <n v="180"/>
    <n v="3510.0331660000002"/>
    <n v="569.64"/>
    <n v="24825.542828979364"/>
    <n v="2979.0651394775236"/>
    <n v="110"/>
    <n v="150"/>
    <n v="1E-3"/>
    <n v="189.88"/>
    <n v="17377.879980285554"/>
    <n v="17827.759980285555"/>
    <n v="3180.9641611183101"/>
    <n v="10313.170196084364"/>
    <n v="0.08"/>
    <n v="1262.5576724066509"/>
    <n v="0.12"/>
    <n v="2139.3311976342666"/>
    <n v="15"/>
    <n v="2"/>
  </r>
  <r>
    <n v="807"/>
    <d v="2022-12-31T00:00:00"/>
    <x v="2"/>
    <s v="CLI416"/>
    <s v="CLI416"/>
    <s v="MANAUS"/>
    <s v="AM"/>
    <s v="CLI1202"/>
    <s v="GUARULHOS"/>
    <s v="SP"/>
    <n v="3939.5816420000001"/>
    <n v="0"/>
    <n v="2887.376076"/>
    <n v="7000"/>
    <n v="0"/>
    <x v="0"/>
    <x v="2"/>
    <s v="BRMAOTK01"/>
    <s v="BRMAOCHI"/>
    <n v="11.436796000000001"/>
    <n v="55.271500000000003"/>
    <n v="150"/>
    <n v="805.38238908544008"/>
    <n v="0"/>
    <n v="832"/>
    <n v="7"/>
    <n v="0"/>
    <n v="0"/>
    <n v="832"/>
    <m/>
    <m/>
    <n v="0"/>
    <x v="1"/>
    <s v="BRSSZTK01"/>
    <s v="BRSSZTCO"/>
    <n v="96.951807000000002"/>
    <n v="55.271500000000003"/>
    <n v="150"/>
    <n v="2072.42752166848"/>
    <n v="373.0369539003264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28"/>
    <n v="110543"/>
    <x v="1"/>
    <x v="3"/>
    <x v="2"/>
    <x v="2"/>
    <x v="3"/>
    <x v="3"/>
    <n v="2"/>
    <n v="1"/>
    <n v="2"/>
    <n v="2"/>
    <n v="2"/>
    <n v="2"/>
    <n v="2"/>
    <n v="18"/>
    <n v="7"/>
    <n v="180"/>
    <n v="7"/>
    <n v="180"/>
    <n v="3939.5816420000001"/>
    <n v="331.62900000000002"/>
    <n v="27504.578347556326"/>
    <n v="3300.549401706759"/>
    <n v="110"/>
    <n v="150"/>
    <n v="1E-3"/>
    <n v="110.54300000000001"/>
    <n v="19253.204843289426"/>
    <n v="19623.747843289428"/>
    <n v="3180.9641611183101"/>
    <n v="11797.973771417197"/>
    <n v="0.08"/>
    <n v="1309.8320782908145"/>
    <n v="0.12"/>
    <n v="2354.8497411947315"/>
    <n v="15"/>
    <n v="2"/>
  </r>
  <r>
    <n v="808"/>
    <d v="2022-12-31T00:00:00"/>
    <x v="2"/>
    <s v="CLI416"/>
    <s v="CLI416"/>
    <s v="MANAUS"/>
    <s v="AM"/>
    <s v="CLI808"/>
    <s v="CAJAMAR"/>
    <s v="SP"/>
    <n v="3898.610596"/>
    <n v="0"/>
    <n v="2846.7739100000003"/>
    <n v="7000"/>
    <n v="0"/>
    <x v="0"/>
    <x v="2"/>
    <s v="BRMAOTK01"/>
    <s v="BRMAOCHI"/>
    <n v="11.436796000000001"/>
    <n v="80.070499999999996"/>
    <n v="150"/>
    <n v="830.18138908544006"/>
    <n v="0"/>
    <n v="832"/>
    <n v="7"/>
    <n v="0"/>
    <n v="0"/>
    <n v="832"/>
    <m/>
    <m/>
    <n v="0"/>
    <x v="1"/>
    <s v="BRSSZTK01"/>
    <s v="BRSSZTCO"/>
    <n v="123.50964200000001"/>
    <n v="80.070499999999996"/>
    <n v="150"/>
    <n v="2490.7244020428798"/>
    <n v="448.3303923677183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749"/>
    <n v="160141"/>
    <x v="1"/>
    <x v="3"/>
    <x v="2"/>
    <x v="2"/>
    <x v="3"/>
    <x v="3"/>
    <n v="1"/>
    <n v="1"/>
    <n v="1"/>
    <n v="1"/>
    <n v="2"/>
    <n v="1"/>
    <n v="2"/>
    <n v="14"/>
    <n v="7"/>
    <n v="180"/>
    <n v="7"/>
    <n v="180"/>
    <n v="3898.610596"/>
    <n v="480.423"/>
    <n v="27375.139613012161"/>
    <n v="3285.0167535614592"/>
    <n v="110"/>
    <n v="150"/>
    <n v="1E-3"/>
    <n v="160.14099999999999"/>
    <n v="19162.597729108511"/>
    <n v="19582.738729108511"/>
    <n v="3180.9641611183101"/>
    <n v="11313.86877686188"/>
    <n v="0.08"/>
    <n v="1265.0802036489979"/>
    <n v="0.12"/>
    <n v="2349.9286474930213"/>
    <n v="15"/>
    <n v="2"/>
  </r>
  <r>
    <n v="809"/>
    <d v="2022-12-31T00:00:00"/>
    <x v="2"/>
    <s v="CLI416"/>
    <s v="CLI416"/>
    <s v="MANAUS"/>
    <s v="AM"/>
    <s v="CLI579"/>
    <s v="CAJAMAR"/>
    <s v="SP"/>
    <n v="3898.610596"/>
    <n v="0"/>
    <n v="2846.7739100000003"/>
    <n v="7000"/>
    <n v="0"/>
    <x v="0"/>
    <x v="2"/>
    <s v="BRMAOTK01"/>
    <s v="BRMAOCHI"/>
    <n v="11.436796000000001"/>
    <n v="116.41800000000001"/>
    <n v="150"/>
    <n v="866.52888908544003"/>
    <n v="0"/>
    <n v="832"/>
    <n v="7"/>
    <n v="0"/>
    <n v="0"/>
    <n v="832"/>
    <m/>
    <m/>
    <n v="0"/>
    <x v="1"/>
    <s v="BRSSZTK01"/>
    <s v="BRSSZTCO"/>
    <n v="123.50964200000001"/>
    <n v="116.41800000000001"/>
    <n v="150"/>
    <n v="2527.0719020428801"/>
    <n v="454.8729423677183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700"/>
    <n v="23283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98.610596"/>
    <n v="698.50800000000004"/>
    <n v="27593.224613012164"/>
    <n v="3311.1869535614596"/>
    <n v="110"/>
    <n v="150"/>
    <n v="1E-3"/>
    <n v="232.83600000000001"/>
    <n v="19315.257229108513"/>
    <n v="19808.093229108512"/>
    <n v="3180.9641611183101"/>
    <n v="11466.528276861882"/>
    <n v="0.08"/>
    <n v="1276.769559648998"/>
    <n v="0.12"/>
    <n v="2376.9711874930213"/>
    <n v="15"/>
    <n v="1"/>
  </r>
  <r>
    <n v="810"/>
    <d v="2022-12-31T00:00:00"/>
    <x v="2"/>
    <s v="CLI416"/>
    <s v="CLI416"/>
    <s v="MANAUS"/>
    <s v="AM"/>
    <s v="CLI1176"/>
    <s v="UBERLANDIA"/>
    <s v="MG"/>
    <n v="3366.7000940000003"/>
    <n v="0"/>
    <n v="2315.9385539999998"/>
    <n v="7000"/>
    <n v="0"/>
    <x v="0"/>
    <x v="2"/>
    <s v="BRMAOTK01"/>
    <s v="BRMAOCHI"/>
    <n v="11.436796000000001"/>
    <n v="75.388999999999996"/>
    <n v="150"/>
    <n v="825.49988908544003"/>
    <n v="0"/>
    <n v="832"/>
    <n v="7"/>
    <n v="0"/>
    <n v="0"/>
    <n v="832"/>
    <m/>
    <m/>
    <n v="0"/>
    <x v="1"/>
    <s v="BRSSZTK01"/>
    <s v="BRSSZTCO"/>
    <n v="666.86632599999996"/>
    <n v="75.388999999999996"/>
    <n v="150"/>
    <n v="10536.763280464638"/>
    <n v="1264.411593655756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088"/>
    <n v="15077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366.7000940000003"/>
    <n v="452.334"/>
    <n v="23734.867670350242"/>
    <n v="2848.1841204420289"/>
    <n v="110"/>
    <n v="150"/>
    <n v="1E-3"/>
    <n v="150.77799999999999"/>
    <n v="16614.407369245168"/>
    <n v="17025.185369245166"/>
    <n v="3180.9641611183101"/>
    <n v="714.9580385767772"/>
    <n v="0.08"/>
    <n v="351.88084848314651"/>
    <n v="0.12"/>
    <n v="2043.0222443094199"/>
    <n v="15"/>
    <n v="1"/>
  </r>
  <r>
    <n v="811"/>
    <d v="2022-12-31T00:00:00"/>
    <x v="2"/>
    <s v="CLI416"/>
    <s v="CLI416"/>
    <s v="MANAUS"/>
    <s v="AM"/>
    <s v="CLI624"/>
    <s v="RIO DE JANEIRO"/>
    <s v="RJ"/>
    <n v="4144.4069500000005"/>
    <n v="0"/>
    <n v="3090.4427809999997"/>
    <n v="7000"/>
    <n v="0"/>
    <x v="0"/>
    <x v="2"/>
    <s v="BRMAOTK01"/>
    <s v="BRMAOCHI"/>
    <n v="11.436796000000001"/>
    <n v="91.668999999999997"/>
    <n v="150"/>
    <n v="841.77988908544"/>
    <n v="0"/>
    <n v="832"/>
    <n v="7"/>
    <n v="0"/>
    <n v="0"/>
    <n v="832"/>
    <m/>
    <m/>
    <n v="0"/>
    <x v="4"/>
    <s v="BRIGITK01"/>
    <s v="BRIGITCO"/>
    <n v="78.029871"/>
    <n v="91.668999999999997"/>
    <n v="150"/>
    <n v="1828.4655078534402"/>
    <n v="365.69310157068804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503"/>
    <n v="18333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4144.4069500000005"/>
    <n v="550.01400000000001"/>
    <n v="29113.923821172004"/>
    <n v="3493.6708585406404"/>
    <n v="110"/>
    <n v="150"/>
    <n v="1E-3"/>
    <n v="183.33799999999999"/>
    <n v="20379.746674820402"/>
    <n v="20823.084674820402"/>
    <n v="3180.9641611183101"/>
    <n v="13140.875116763211"/>
    <n v="0.08"/>
    <n v="1422.9716941048669"/>
    <n v="0.12"/>
    <n v="2498.7701609784481"/>
    <n v="15"/>
    <n v="1"/>
  </r>
  <r>
    <n v="812"/>
    <d v="2022-12-31T00:00:00"/>
    <x v="3"/>
    <s v="CLI416"/>
    <s v="CLI416"/>
    <s v="MANAUS"/>
    <s v="AM"/>
    <s v="CLI1299"/>
    <s v="RIO DE JANEIRO"/>
    <s v="RJ"/>
    <n v="4144.4069500000005"/>
    <n v="0"/>
    <n v="3090.4427809999997"/>
    <n v="7000"/>
    <n v="0"/>
    <x v="0"/>
    <x v="2"/>
    <s v="BRMAOTK01"/>
    <s v="BRMAOCHI"/>
    <n v="11.436796000000001"/>
    <n v="89.430999999999997"/>
    <n v="150"/>
    <n v="839.54188908544006"/>
    <n v="0"/>
    <n v="832"/>
    <n v="7"/>
    <n v="0"/>
    <n v="0"/>
    <n v="832"/>
    <m/>
    <m/>
    <n v="0"/>
    <x v="4"/>
    <s v="BRIGITK01S"/>
    <s v="BRIGITCO"/>
    <n v="78.029871"/>
    <n v="89.430999999999997"/>
    <n v="150"/>
    <n v="1826.2275078534401"/>
    <n v="365.24550157068802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615"/>
    <n v="17886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4144.4069500000005"/>
    <n v="536.58600000000001"/>
    <n v="29100.495821172004"/>
    <n v="3492.0594985406406"/>
    <n v="110"/>
    <n v="150"/>
    <n v="1E-3"/>
    <n v="178.86199999999999"/>
    <n v="19091.987819322992"/>
    <n v="19530.849819322993"/>
    <n v="3180.9641611183101"/>
    <n v="13679.343769119241"/>
    <n v="0.08"/>
    <n v="1319.9867936650739"/>
    <n v="0.12"/>
    <n v="2343.7019783187593"/>
    <n v="15"/>
    <n v="1"/>
  </r>
  <r>
    <n v="813"/>
    <d v="2022-12-31T00:00:00"/>
    <x v="2"/>
    <s v="CLI416"/>
    <s v="CLI416"/>
    <s v="MANAUS"/>
    <s v="AM"/>
    <s v="CLI700"/>
    <s v="SAO PAULO"/>
    <s v="SP"/>
    <n v="3929.9226880000001"/>
    <n v="0"/>
    <n v="2877.9279630000001"/>
    <n v="7000"/>
    <n v="0"/>
    <x v="0"/>
    <x v="2"/>
    <s v="BRMAOTK01"/>
    <s v="BRMAOCHI"/>
    <n v="11.436796000000001"/>
    <n v="93.384500000000003"/>
    <n v="150"/>
    <n v="843.49538908544002"/>
    <n v="0"/>
    <n v="832"/>
    <n v="7"/>
    <n v="0"/>
    <n v="0"/>
    <n v="832"/>
    <m/>
    <m/>
    <n v="0"/>
    <x v="1"/>
    <s v="BRSSZTK01"/>
    <s v="BRSSZTCO"/>
    <n v="85.841132000000002"/>
    <n v="93.384500000000003"/>
    <n v="150"/>
    <n v="1945.9176500364802"/>
    <n v="350.2651770065664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50"/>
    <n v="18676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29.9226880000001"/>
    <n v="560.30700000000002"/>
    <n v="27667.662777300484"/>
    <n v="3320.1195332760581"/>
    <n v="110"/>
    <n v="150"/>
    <n v="1E-3"/>
    <n v="186.76900000000001"/>
    <n v="19367.363944110337"/>
    <n v="19814.132944110337"/>
    <n v="3180.9641611183101"/>
    <n v="12076.755743870104"/>
    <n v="0.08"/>
    <n v="1333.9563782385478"/>
    <n v="0.12"/>
    <n v="2377.6959532932406"/>
    <n v="15"/>
    <n v="1"/>
  </r>
  <r>
    <n v="814"/>
    <d v="2022-12-31T00:00:00"/>
    <x v="2"/>
    <s v="CLI416"/>
    <s v="CLI416"/>
    <s v="MANAUS"/>
    <s v="AM"/>
    <s v="CLI581"/>
    <s v="RIO DE JANEIRO"/>
    <s v="RJ"/>
    <n v="4144.4069500000005"/>
    <n v="0"/>
    <n v="3090.4427809999997"/>
    <n v="7000"/>
    <n v="0"/>
    <x v="0"/>
    <x v="2"/>
    <s v="BRMAOTK01"/>
    <s v="BRMAOCHI"/>
    <n v="11.436796000000001"/>
    <n v="75.734999999999999"/>
    <n v="150"/>
    <n v="825.84588908544004"/>
    <n v="0"/>
    <n v="832"/>
    <n v="7"/>
    <n v="0"/>
    <n v="0"/>
    <n v="832"/>
    <m/>
    <m/>
    <n v="0"/>
    <x v="4"/>
    <s v="BRIGITK01"/>
    <s v="BRIGITCO"/>
    <n v="78.029871"/>
    <n v="75.734999999999999"/>
    <n v="150"/>
    <n v="1812.53150785344"/>
    <n v="362.50630157068804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472"/>
    <n v="1514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4144.4069500000005"/>
    <n v="454.41"/>
    <n v="29018.319821172005"/>
    <n v="3482.1983785406405"/>
    <n v="110"/>
    <n v="150"/>
    <n v="1E-3"/>
    <n v="151.47"/>
    <n v="20312.823874820402"/>
    <n v="20724.293874820403"/>
    <n v="3180.9641611183101"/>
    <n v="13073.952316763211"/>
    <n v="0.08"/>
    <n v="1417.8728141048666"/>
    <n v="0.12"/>
    <n v="2486.9152649784482"/>
    <n v="15"/>
    <n v="1"/>
  </r>
  <r>
    <n v="815"/>
    <d v="2022-12-31T00:00:00"/>
    <x v="2"/>
    <s v="CLI416"/>
    <s v="CLI416"/>
    <s v="MANAUS"/>
    <s v="AM"/>
    <s v="CLI582"/>
    <s v="UBERLANDIA"/>
    <s v="MG"/>
    <n v="3366.7000940000003"/>
    <n v="0"/>
    <n v="2315.9385539999998"/>
    <n v="7000"/>
    <n v="0"/>
    <x v="0"/>
    <x v="2"/>
    <s v="BRMAOTK01"/>
    <s v="BRMAOCHI"/>
    <n v="11.436796000000001"/>
    <n v="41.32"/>
    <n v="150"/>
    <n v="791.43088908544007"/>
    <n v="0"/>
    <n v="832"/>
    <n v="7"/>
    <n v="0"/>
    <n v="0"/>
    <n v="832"/>
    <m/>
    <m/>
    <n v="0"/>
    <x v="1"/>
    <s v="BRSSZTK01"/>
    <s v="BRSSZTCO"/>
    <n v="666.86632599999996"/>
    <n v="41.32"/>
    <n v="150"/>
    <n v="10502.694280464639"/>
    <n v="1260.323313655756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008"/>
    <n v="8264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366.7000940000003"/>
    <n v="247.92000000000002"/>
    <n v="23530.453670350242"/>
    <n v="2823.6544404420288"/>
    <n v="110"/>
    <n v="150"/>
    <n v="1E-3"/>
    <n v="82.64"/>
    <n v="16471.31756924517"/>
    <n v="16813.957569245169"/>
    <n v="3180.9641611183101"/>
    <n v="571.86823857677928"/>
    <n v="0.08"/>
    <n v="340.76072688314662"/>
    <n v="0.12"/>
    <n v="2017.6749083094203"/>
    <n v="15"/>
    <n v="1"/>
  </r>
  <r>
    <n v="816"/>
    <d v="2022-12-31T00:00:00"/>
    <x v="3"/>
    <s v="CLI416"/>
    <s v="CLI416"/>
    <s v="MANAUS"/>
    <s v="AM"/>
    <s v="CLI810"/>
    <s v="SAO PAULO"/>
    <s v="SP"/>
    <n v="3929.9226880000001"/>
    <n v="0"/>
    <n v="2877.9279630000001"/>
    <n v="7000"/>
    <n v="0"/>
    <x v="0"/>
    <x v="2"/>
    <s v="BRMAOTK01"/>
    <s v="BRMAOCHI"/>
    <n v="11.436796000000001"/>
    <n v="58.580500000000001"/>
    <n v="150"/>
    <n v="808.69138908544005"/>
    <n v="0"/>
    <n v="832"/>
    <n v="7"/>
    <n v="0"/>
    <n v="0"/>
    <n v="832"/>
    <m/>
    <m/>
    <n v="0"/>
    <x v="1"/>
    <s v="BRSSZTK01S"/>
    <s v="BRSSZTCO"/>
    <n v="85.841132000000002"/>
    <n v="58.580500000000001"/>
    <n v="150"/>
    <n v="1911.1136500364801"/>
    <n v="344.000457006566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231"/>
    <n v="11716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29.9226880000001"/>
    <n v="351.483"/>
    <n v="27458.838777300483"/>
    <n v="3295.060653276058"/>
    <n v="110"/>
    <n v="150"/>
    <n v="1E-3"/>
    <n v="117.161"/>
    <n v="17883.4075890848"/>
    <n v="18260.5685890848"/>
    <n v="3180.9641611183101"/>
    <n v="12503.913038881048"/>
    <n v="0.08"/>
    <n v="1215.7410474365049"/>
    <n v="0.12"/>
    <n v="2191.2682306901761"/>
    <n v="15"/>
    <n v="1"/>
  </r>
  <r>
    <n v="817"/>
    <d v="2022-12-31T00:00:00"/>
    <x v="2"/>
    <s v="CLI416"/>
    <s v="CLI416"/>
    <s v="MANAUS"/>
    <s v="AM"/>
    <s v="CLI1015"/>
    <s v="BARUERI"/>
    <s v="SP"/>
    <n v="3921.9795249999997"/>
    <n v="0"/>
    <n v="2871.0121140000001"/>
    <n v="7000"/>
    <n v="0"/>
    <x v="0"/>
    <x v="2"/>
    <s v="BRMAOTK01"/>
    <s v="BRMAOCHI"/>
    <n v="11.436796000000001"/>
    <n v="82.3035"/>
    <n v="150"/>
    <n v="832.41438908544001"/>
    <n v="0"/>
    <n v="832"/>
    <n v="7"/>
    <n v="0"/>
    <n v="0"/>
    <n v="832"/>
    <m/>
    <m/>
    <n v="0"/>
    <x v="1"/>
    <s v="BRSSZTK01"/>
    <s v="BRSSZTCO"/>
    <n v="108.985372"/>
    <n v="82.3035"/>
    <n v="150"/>
    <n v="2277.75652219008"/>
    <n v="409.9961739942143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135"/>
    <n v="16460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21.9795249999997"/>
    <n v="493.82100000000003"/>
    <n v="27547.235075094002"/>
    <n v="3305.6682090112799"/>
    <n v="110"/>
    <n v="150"/>
    <n v="1E-3"/>
    <n v="164.607"/>
    <n v="19283.0645525658"/>
    <n v="19707.6715525658"/>
    <n v="3180.9641611183101"/>
    <n v="11649.53648017197"/>
    <n v="0.08"/>
    <n v="1295.0003573836855"/>
    <n v="0.12"/>
    <n v="2364.920586307896"/>
    <n v="15"/>
    <n v="1"/>
  </r>
  <r>
    <n v="818"/>
    <d v="2022-12-31T00:00:00"/>
    <x v="2"/>
    <s v="CLI416"/>
    <s v="CLI416"/>
    <s v="MANAUS"/>
    <s v="AM"/>
    <s v="CLI978"/>
    <s v="EXTREMA"/>
    <s v="MG"/>
    <n v="3930.1885790000001"/>
    <n v="0"/>
    <n v="2875.756222"/>
    <n v="7000"/>
    <n v="0"/>
    <x v="0"/>
    <x v="2"/>
    <s v="BRMAOTK01"/>
    <s v="BRMAOCHI"/>
    <n v="11.436796000000001"/>
    <n v="79.067999999999998"/>
    <n v="150"/>
    <n v="829.17888908544001"/>
    <n v="0"/>
    <n v="832"/>
    <n v="7"/>
    <n v="0"/>
    <n v="0"/>
    <n v="832"/>
    <m/>
    <m/>
    <n v="0"/>
    <x v="1"/>
    <s v="BRSSZTK01"/>
    <s v="BRSSZTCO"/>
    <n v="185.23678700000002"/>
    <n v="79.067999999999998"/>
    <n v="150"/>
    <n v="3404.3107877356806"/>
    <n v="408.517294528281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430"/>
    <n v="15813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30.1885790000001"/>
    <n v="474.40800000000002"/>
    <n v="27583.569432445845"/>
    <n v="3310.0283318935012"/>
    <n v="110"/>
    <n v="150"/>
    <n v="1E-3"/>
    <n v="158.136"/>
    <n v="19308.49860271209"/>
    <n v="19726.634602712089"/>
    <n v="3180.9641611183101"/>
    <n v="10545.180764772656"/>
    <n v="0.08"/>
    <n v="1206.770210509015"/>
    <n v="0.12"/>
    <n v="2367.1961523254504"/>
    <n v="15"/>
    <n v="1"/>
  </r>
  <r>
    <n v="819"/>
    <d v="2022-12-31T00:00:00"/>
    <x v="2"/>
    <s v="CLI416"/>
    <s v="CLI416"/>
    <s v="MANAUS"/>
    <s v="AM"/>
    <s v="CLI957"/>
    <s v="SALTO"/>
    <s v="SP"/>
    <n v="3863.2648119999999"/>
    <n v="0"/>
    <n v="2810.096646"/>
    <n v="7000"/>
    <n v="0"/>
    <x v="0"/>
    <x v="2"/>
    <s v="BRMAOTK01"/>
    <s v="BRMAOCHI"/>
    <n v="11.436796000000001"/>
    <n v="56.103500000000004"/>
    <n v="150"/>
    <n v="806.21438908544008"/>
    <n v="0"/>
    <n v="832"/>
    <n v="7"/>
    <n v="0"/>
    <n v="0"/>
    <n v="832"/>
    <m/>
    <m/>
    <n v="0"/>
    <x v="1"/>
    <s v="BRSSZTK01"/>
    <s v="BRSSZTCO"/>
    <n v="180.47000800000001"/>
    <n v="56.103500000000004"/>
    <n v="150"/>
    <n v="3310.7186393331203"/>
    <n v="595.9293550799616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813"/>
    <n v="11220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63.2648119999999"/>
    <n v="336.62099999999998"/>
    <n v="26991.305807699522"/>
    <n v="3238.9566969239427"/>
    <n v="110"/>
    <n v="150"/>
    <n v="1E-3"/>
    <n v="112.20700000000001"/>
    <n v="18893.914065389665"/>
    <n v="19266.121065389663"/>
    <n v="3180.9641611183101"/>
    <n v="10201.223875852793"/>
    <n v="0.08"/>
    <n v="1164.2606945512914"/>
    <n v="0.12"/>
    <n v="2311.9345278467595"/>
    <n v="15"/>
    <n v="1"/>
  </r>
  <r>
    <n v="820"/>
    <d v="2022-12-31T00:00:00"/>
    <x v="2"/>
    <s v="CLI416"/>
    <s v="CLI416"/>
    <s v="MANAUS"/>
    <s v="AM"/>
    <s v="CLI1188"/>
    <s v="CONTAGEM"/>
    <s v="MG"/>
    <n v="3714.1282850000002"/>
    <n v="0"/>
    <n v="2662.4970329999996"/>
    <n v="7000"/>
    <n v="0"/>
    <x v="0"/>
    <x v="2"/>
    <s v="BRMAOTK01"/>
    <s v="BRMAOCHI"/>
    <n v="11.436796000000001"/>
    <n v="49.091500000000003"/>
    <n v="150"/>
    <n v="799.20238908544002"/>
    <n v="0"/>
    <n v="832"/>
    <n v="7"/>
    <n v="0"/>
    <n v="0"/>
    <n v="832"/>
    <m/>
    <m/>
    <n v="0"/>
    <x v="4"/>
    <s v="BRIGITK01"/>
    <s v="BRIGITCO"/>
    <n v="440.110163"/>
    <n v="49.091500000000003"/>
    <n v="150"/>
    <n v="7150.7013455123206"/>
    <n v="858.0841614614784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977"/>
    <n v="9818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714.1282850000002"/>
    <n v="294.54899999999998"/>
    <n v="25936.4536183036"/>
    <n v="3112.374434196432"/>
    <n v="110"/>
    <n v="150"/>
    <n v="1E-3"/>
    <n v="98.183000000000007"/>
    <n v="18155.517532812519"/>
    <n v="18513.70053281252"/>
    <n v="3180.9641611183101"/>
    <n v="5551.8326370964496"/>
    <n v="0.08"/>
    <n v="776.45701094026253"/>
    <n v="0.12"/>
    <n v="2221.6440639375023"/>
    <n v="15"/>
    <n v="1"/>
  </r>
  <r>
    <n v="821"/>
    <d v="2022-12-31T00:00:00"/>
    <x v="2"/>
    <s v="CLI416"/>
    <s v="CLI416"/>
    <s v="MANAUS"/>
    <s v="AM"/>
    <s v="CLI1314"/>
    <s v="VESPASIANO"/>
    <s v="MG"/>
    <n v="3710.043056"/>
    <n v="0"/>
    <n v="2656.5886809999997"/>
    <n v="7000"/>
    <n v="0"/>
    <x v="0"/>
    <x v="2"/>
    <s v="BRMAOTK01"/>
    <s v="BRMAOCHI"/>
    <n v="11.436796000000001"/>
    <n v="123.089"/>
    <n v="150"/>
    <n v="873.19988908543996"/>
    <n v="0"/>
    <n v="832"/>
    <n v="7"/>
    <n v="0"/>
    <n v="0"/>
    <n v="832"/>
    <m/>
    <m/>
    <n v="0"/>
    <x v="4"/>
    <s v="BRIGITK01"/>
    <s v="BRIGITCO"/>
    <n v="464.651681"/>
    <n v="123.089"/>
    <n v="150"/>
    <n v="7588.3216827718406"/>
    <n v="910.5986019326208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471"/>
    <n v="24617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710.043056"/>
    <n v="738.53399999999999"/>
    <n v="26352.695991573761"/>
    <n v="3162.323518988851"/>
    <n v="110"/>
    <n v="150"/>
    <n v="1E-3"/>
    <n v="246.178"/>
    <n v="18446.88719410163"/>
    <n v="18953.065194101629"/>
    <n v="3180.9641611183101"/>
    <n v="5479.5794611260371"/>
    <n v="0.08"/>
    <n v="766.47560162493812"/>
    <n v="0.12"/>
    <n v="2274.3678232921952"/>
    <n v="15"/>
    <n v="1"/>
  </r>
  <r>
    <n v="822"/>
    <d v="2022-12-31T00:00:00"/>
    <x v="2"/>
    <s v="CLI416"/>
    <s v="CLI416"/>
    <s v="MANAUS"/>
    <s v="AM"/>
    <s v="CLI582"/>
    <s v="UBERLANDIA"/>
    <s v="MG"/>
    <n v="3366.7000940000003"/>
    <n v="0"/>
    <n v="2315.9385539999998"/>
    <n v="7000"/>
    <n v="0"/>
    <x v="0"/>
    <x v="2"/>
    <s v="BRMAOTK01"/>
    <s v="BRMAOCHI"/>
    <n v="11.436796000000001"/>
    <n v="36.320999999999998"/>
    <n v="150"/>
    <n v="786.43188908544005"/>
    <n v="0"/>
    <n v="832"/>
    <n v="7"/>
    <n v="0"/>
    <n v="0"/>
    <n v="832"/>
    <m/>
    <m/>
    <n v="0"/>
    <x v="1"/>
    <s v="BRSSZTK01"/>
    <s v="BRSSZTCO"/>
    <n v="666.86632599999996"/>
    <n v="36.320999999999998"/>
    <n v="150"/>
    <n v="10497.695280464639"/>
    <n v="1259.723433655756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27"/>
    <n v="7264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366.7000940000003"/>
    <n v="217.92600000000002"/>
    <n v="23500.459670350243"/>
    <n v="2820.0551604420289"/>
    <n v="110"/>
    <n v="150"/>
    <n v="1E-3"/>
    <n v="72.641999999999996"/>
    <n v="16450.321769245169"/>
    <n v="16782.963769245169"/>
    <n v="3180.9641611183101"/>
    <n v="550.8724385767805"/>
    <n v="0.08"/>
    <n v="339.12905328314673"/>
    <n v="0.12"/>
    <n v="2013.9556523094202"/>
    <n v="15"/>
    <n v="1"/>
  </r>
  <r>
    <n v="823"/>
    <d v="2022-12-31T00:00:00"/>
    <x v="2"/>
    <s v="CLI416"/>
    <s v="CLI416"/>
    <s v="MANAUS"/>
    <s v="AM"/>
    <s v="CLI955"/>
    <s v="CABO DE SANTO AGOSTINHO"/>
    <s v="PE"/>
    <n v="3510.0331660000002"/>
    <n v="0"/>
    <n v="2055.2547009999998"/>
    <n v="7000"/>
    <n v="0"/>
    <x v="0"/>
    <x v="2"/>
    <s v="BRMAOTK01"/>
    <s v="BRMAOCHI"/>
    <n v="11.436796000000001"/>
    <n v="89.777500000000003"/>
    <n v="150"/>
    <n v="839.88838908544005"/>
    <n v="0"/>
    <n v="832"/>
    <n v="7"/>
    <n v="0"/>
    <n v="0"/>
    <n v="832"/>
    <m/>
    <m/>
    <n v="0"/>
    <x v="2"/>
    <s v="BRSUATK01"/>
    <s v="BRSUATCO"/>
    <n v="23.080721"/>
    <n v="89.777500000000003"/>
    <n v="150"/>
    <n v="1012.4122339974401"/>
    <n v="182.2342021195392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724"/>
    <n v="17955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0.0331660000002"/>
    <n v="538.66499999999996"/>
    <n v="24794.567828979365"/>
    <n v="2975.3481394775235"/>
    <n v="110"/>
    <n v="150"/>
    <n v="1E-3"/>
    <n v="179.55500000000001"/>
    <n v="17356.197480285555"/>
    <n v="17795.752480285555"/>
    <n v="3180.9641611183101"/>
    <n v="10291.487696084363"/>
    <n v="0.08"/>
    <n v="1260.8974124066508"/>
    <n v="0.12"/>
    <n v="2135.4902976342664"/>
    <n v="15"/>
    <n v="1"/>
  </r>
  <r>
    <n v="824"/>
    <d v="2022-12-31T00:00:00"/>
    <x v="2"/>
    <s v="CLI416"/>
    <s v="CLI416"/>
    <s v="MANAUS"/>
    <s v="AM"/>
    <s v="CLI957"/>
    <s v="SALTO"/>
    <s v="SP"/>
    <n v="3863.2648119999999"/>
    <n v="0"/>
    <n v="2810.096646"/>
    <n v="7000"/>
    <n v="0"/>
    <x v="0"/>
    <x v="2"/>
    <s v="BRMAOTK01"/>
    <s v="BRMAOCHI"/>
    <n v="11.436796000000001"/>
    <n v="86.717500000000001"/>
    <n v="150"/>
    <n v="836.82838908543999"/>
    <n v="0"/>
    <n v="832"/>
    <n v="7"/>
    <n v="0"/>
    <n v="0"/>
    <n v="832"/>
    <m/>
    <m/>
    <n v="0"/>
    <x v="1"/>
    <s v="BRSSZTK01"/>
    <s v="BRSSZTCO"/>
    <n v="180.47000800000001"/>
    <n v="86.717500000000001"/>
    <n v="150"/>
    <n v="3341.3326393331204"/>
    <n v="601.4398750799616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494"/>
    <n v="17343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63.2648119999999"/>
    <n v="520.30500000000006"/>
    <n v="27174.989807699523"/>
    <n v="3260.9987769239428"/>
    <n v="110"/>
    <n v="150"/>
    <n v="1E-3"/>
    <n v="173.435"/>
    <n v="19022.492865389664"/>
    <n v="19455.927865389665"/>
    <n v="3180.9641611183101"/>
    <n v="10329.802675852794"/>
    <n v="0.08"/>
    <n v="1174.1061569512915"/>
    <n v="0.12"/>
    <n v="2334.71134384676"/>
    <n v="15"/>
    <n v="1"/>
  </r>
  <r>
    <n v="825"/>
    <d v="2022-12-31T00:00:00"/>
    <x v="2"/>
    <s v="CLI416"/>
    <s v="CLI416"/>
    <s v="MANAUS"/>
    <s v="AM"/>
    <s v="CLI833"/>
    <s v="JOAO PESSOA"/>
    <s v="PB"/>
    <n v="3511.0566020000001"/>
    <n v="0"/>
    <n v="2026.6121250000001"/>
    <n v="7000"/>
    <n v="0"/>
    <x v="0"/>
    <x v="2"/>
    <s v="BRMAOTK01"/>
    <s v="BRMAOCHI"/>
    <n v="11.436796000000001"/>
    <n v="88.198000000000008"/>
    <n v="150"/>
    <n v="838.30888908544"/>
    <n v="0"/>
    <n v="832"/>
    <n v="7"/>
    <n v="0"/>
    <n v="0"/>
    <n v="832"/>
    <m/>
    <m/>
    <n v="0"/>
    <x v="2"/>
    <s v="BRSUATK01"/>
    <s v="BRSUATCO"/>
    <n v="167.74277900000001"/>
    <n v="88.198000000000008"/>
    <n v="150"/>
    <n v="3154.2383690425604"/>
    <n v="378.50860428510725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571"/>
    <n v="17639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1.0566020000001"/>
    <n v="529.18799999999999"/>
    <n v="24792.040941917923"/>
    <n v="2975.0449130301508"/>
    <n v="110"/>
    <n v="150"/>
    <n v="1E-3"/>
    <n v="176.39600000000002"/>
    <n v="17354.428659342546"/>
    <n v="17790.824659342547"/>
    <n v="3180.9641611183101"/>
    <n v="8146.3132400962349"/>
    <n v="0.08"/>
    <n v="1073.581503754355"/>
    <n v="0.12"/>
    <n v="2134.8989591211057"/>
    <n v="15"/>
    <n v="1"/>
  </r>
  <r>
    <n v="826"/>
    <d v="2022-12-31T00:00:00"/>
    <x v="2"/>
    <s v="CLI416"/>
    <s v="CLI416"/>
    <s v="MANAUS"/>
    <s v="AM"/>
    <s v="CLI833"/>
    <s v="JOAO PESSOA"/>
    <s v="PB"/>
    <n v="3511.0566020000001"/>
    <n v="0"/>
    <n v="2026.6121250000001"/>
    <n v="7000"/>
    <n v="0"/>
    <x v="0"/>
    <x v="2"/>
    <s v="BRMAOTK01"/>
    <s v="BRMAOCHI"/>
    <n v="11.436796000000001"/>
    <n v="26.191500000000001"/>
    <n v="150"/>
    <n v="776.30238908544004"/>
    <n v="0"/>
    <n v="832"/>
    <n v="7"/>
    <n v="0"/>
    <n v="0"/>
    <n v="832"/>
    <m/>
    <m/>
    <n v="0"/>
    <x v="2"/>
    <s v="BRSUATK01"/>
    <s v="BRSUATCO"/>
    <n v="167.74277900000001"/>
    <n v="26.191500000000001"/>
    <n v="150"/>
    <n v="3092.2318690425604"/>
    <n v="371.06782428510724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88"/>
    <n v="5238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1.0566020000001"/>
    <n v="157.149"/>
    <n v="24420.001941917926"/>
    <n v="2930.400233030151"/>
    <n v="110"/>
    <n v="150"/>
    <n v="1E-3"/>
    <n v="52.383000000000003"/>
    <n v="17094.001359342546"/>
    <n v="17406.384359342548"/>
    <n v="3180.9641611183101"/>
    <n v="7885.8859400962392"/>
    <n v="0.08"/>
    <n v="1053.3425821543556"/>
    <n v="0.12"/>
    <n v="2088.7661231211059"/>
    <n v="15"/>
    <n v="1"/>
  </r>
  <r>
    <n v="827"/>
    <d v="2022-12-31T00:00:00"/>
    <x v="2"/>
    <s v="CLI416"/>
    <s v="CLI416"/>
    <s v="MANAUS"/>
    <s v="AM"/>
    <s v="CLI1031"/>
    <s v="RIBEIRAO PRETO"/>
    <s v="SP"/>
    <n v="3631.6236860000004"/>
    <n v="0"/>
    <n v="2578.277677"/>
    <n v="7000"/>
    <n v="0"/>
    <x v="0"/>
    <x v="2"/>
    <s v="BRMAOTK01"/>
    <s v="BRMAOCHI"/>
    <n v="11.436796000000001"/>
    <n v="111.51950000000001"/>
    <n v="150"/>
    <n v="861.63038908544002"/>
    <n v="0"/>
    <n v="832"/>
    <n v="7"/>
    <n v="0"/>
    <n v="0"/>
    <n v="832"/>
    <m/>
    <m/>
    <n v="0"/>
    <x v="1"/>
    <s v="BRSSZTK01"/>
    <s v="BRSSZTCO"/>
    <n v="394.54480899999999"/>
    <n v="111.51950000000001"/>
    <n v="150"/>
    <n v="6538.0038988217602"/>
    <n v="1176.840701787916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47"/>
    <n v="22303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631.6236860000004"/>
    <n v="669.11699999999996"/>
    <n v="25750.736186678565"/>
    <n v="3090.0883424014278"/>
    <n v="110"/>
    <n v="150"/>
    <n v="1E-3"/>
    <n v="223.03900000000002"/>
    <n v="18025.515330674993"/>
    <n v="18508.554330674993"/>
    <n v="3180.9641611183101"/>
    <n v="6160.9558816494828"/>
    <n v="0.08"/>
    <n v="794.56634727839014"/>
    <n v="0.12"/>
    <n v="2221.0265196809992"/>
    <n v="15"/>
    <n v="1"/>
  </r>
  <r>
    <n v="828"/>
    <d v="2022-12-31T00:00:00"/>
    <x v="2"/>
    <s v="CLI416"/>
    <s v="CLI416"/>
    <s v="MANAUS"/>
    <s v="AM"/>
    <s v="CLI1018"/>
    <s v="UBERLANDIA"/>
    <s v="MG"/>
    <n v="3366.7000940000003"/>
    <n v="0"/>
    <n v="2315.9385539999998"/>
    <n v="7000"/>
    <n v="0"/>
    <x v="0"/>
    <x v="2"/>
    <s v="BRMAOTK01"/>
    <s v="BRMAOCHI"/>
    <n v="11.436796000000001"/>
    <n v="37.973500000000001"/>
    <n v="150"/>
    <n v="788.08438908544008"/>
    <n v="0"/>
    <n v="832"/>
    <n v="7"/>
    <n v="0"/>
    <n v="0"/>
    <n v="832"/>
    <m/>
    <m/>
    <n v="0"/>
    <x v="1"/>
    <s v="BRSSZTK01"/>
    <s v="BRSSZTCO"/>
    <n v="666.86632599999996"/>
    <n v="37.973500000000001"/>
    <n v="150"/>
    <n v="10499.347780464639"/>
    <n v="1259.921733655756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538"/>
    <n v="7594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366.7000940000003"/>
    <n v="227.84100000000001"/>
    <n v="23510.374670350244"/>
    <n v="2821.244960442029"/>
    <n v="110"/>
    <n v="150"/>
    <n v="1E-3"/>
    <n v="75.947000000000003"/>
    <n v="16457.26226924517"/>
    <n v="16793.20926924517"/>
    <n v="3180.9641611183101"/>
    <n v="557.81293857678111"/>
    <n v="0.08"/>
    <n v="339.66842928314679"/>
    <n v="0.12"/>
    <n v="2015.1851123094202"/>
    <n v="15"/>
    <n v="1"/>
  </r>
  <r>
    <n v="829"/>
    <d v="2022-12-31T00:00:00"/>
    <x v="2"/>
    <s v="CLI416"/>
    <s v="CLI416"/>
    <s v="MANAUS"/>
    <s v="AM"/>
    <s v="CLI599"/>
    <s v="JABOATAO DOS GUARARAPES"/>
    <s v="PE"/>
    <n v="3493.6139780000003"/>
    <n v="0"/>
    <n v="2038.9469220000001"/>
    <n v="7000"/>
    <n v="0"/>
    <x v="0"/>
    <x v="2"/>
    <s v="BRMAOTK01"/>
    <s v="BRMAOCHI"/>
    <n v="11.436796000000001"/>
    <n v="91.730500000000006"/>
    <n v="150"/>
    <n v="841.84138908544003"/>
    <n v="0"/>
    <n v="832"/>
    <n v="7"/>
    <n v="0"/>
    <n v="0"/>
    <n v="832"/>
    <m/>
    <m/>
    <n v="0"/>
    <x v="2"/>
    <s v="BRSUATK01"/>
    <s v="BRSUATCO"/>
    <n v="43.495365"/>
    <n v="91.730500000000006"/>
    <n v="150"/>
    <n v="1316.8416648736002"/>
    <n v="237.03149967724801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437"/>
    <n v="18346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93.6139780000003"/>
    <n v="550.38300000000004"/>
    <n v="24694.783780038888"/>
    <n v="2963.3740536046666"/>
    <n v="110"/>
    <n v="150"/>
    <n v="1E-3"/>
    <n v="183.46100000000001"/>
    <n v="17286.348646027222"/>
    <n v="17729.809646027221"/>
    <n v="3180.9641611183101"/>
    <n v="9919.1624309498711"/>
    <n v="0.08"/>
    <n v="1226.7276073912747"/>
    <n v="0.12"/>
    <n v="2127.5771575232666"/>
    <n v="15"/>
    <n v="1"/>
  </r>
  <r>
    <n v="830"/>
    <d v="2022-12-31T00:00:00"/>
    <x v="2"/>
    <s v="CLI416"/>
    <s v="CLI416"/>
    <s v="MANAUS"/>
    <s v="AM"/>
    <s v="CLI581"/>
    <s v="RIO DE JANEIRO"/>
    <s v="RJ"/>
    <n v="4144.4069500000005"/>
    <n v="0"/>
    <n v="3090.4427809999997"/>
    <n v="7000"/>
    <n v="0"/>
    <x v="0"/>
    <x v="2"/>
    <s v="BRMAOTK01"/>
    <s v="BRMAOCHI"/>
    <n v="11.436796000000001"/>
    <n v="84.846500000000006"/>
    <n v="150"/>
    <n v="834.95738908544001"/>
    <n v="0"/>
    <n v="832"/>
    <n v="7"/>
    <n v="0"/>
    <n v="0"/>
    <n v="832"/>
    <m/>
    <m/>
    <n v="0"/>
    <x v="4"/>
    <s v="BRIGITK01"/>
    <s v="BRIGITCO"/>
    <n v="78.029871"/>
    <n v="84.846500000000006"/>
    <n v="150"/>
    <n v="1821.6430078534402"/>
    <n v="364.32860157068808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703"/>
    <n v="16969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4144.4069500000005"/>
    <n v="509.07900000000001"/>
    <n v="29072.988821172006"/>
    <n v="3488.7586585406407"/>
    <n v="110"/>
    <n v="150"/>
    <n v="1E-3"/>
    <n v="169.69300000000001"/>
    <n v="20351.092174820402"/>
    <n v="20780.785174820401"/>
    <n v="3180.9641611183101"/>
    <n v="13112.22061676321"/>
    <n v="0.08"/>
    <n v="1420.7884941048667"/>
    <n v="0.12"/>
    <n v="2493.6942209784479"/>
    <n v="15"/>
    <n v="1"/>
  </r>
  <r>
    <n v="831"/>
    <d v="2022-12-31T00:00:00"/>
    <x v="2"/>
    <s v="CLI416"/>
    <s v="CLI416"/>
    <s v="MANAUS"/>
    <s v="AM"/>
    <s v="CLI667"/>
    <s v="CABO DE SANTO AGOSTINHO"/>
    <s v="PE"/>
    <n v="3510.0331660000002"/>
    <n v="0"/>
    <n v="2055.2547009999998"/>
    <n v="7000"/>
    <n v="0"/>
    <x v="0"/>
    <x v="2"/>
    <s v="BRMAOTK01"/>
    <s v="BRMAOCHI"/>
    <n v="11.436796000000001"/>
    <n v="89.305000000000007"/>
    <n v="150"/>
    <n v="839.41588908544009"/>
    <n v="0"/>
    <n v="832"/>
    <n v="7"/>
    <n v="0"/>
    <n v="0"/>
    <n v="832"/>
    <m/>
    <m/>
    <n v="0"/>
    <x v="2"/>
    <s v="BRSUATK01"/>
    <s v="BRSUATCO"/>
    <n v="23.080721"/>
    <n v="89.305000000000007"/>
    <n v="150"/>
    <n v="1011.93973399744"/>
    <n v="182.149152119539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821"/>
    <n v="17861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0.0331660000002"/>
    <n v="535.83000000000004"/>
    <n v="24791.732828979366"/>
    <n v="2975.0079394775239"/>
    <n v="110"/>
    <n v="150"/>
    <n v="1E-3"/>
    <n v="178.61"/>
    <n v="17354.212980285556"/>
    <n v="17792.822980285557"/>
    <n v="3180.9641611183101"/>
    <n v="10289.503196084364"/>
    <n v="0.08"/>
    <n v="1260.7454564066509"/>
    <n v="0.12"/>
    <n v="2135.1387576342668"/>
    <n v="15"/>
    <n v="1"/>
  </r>
  <r>
    <n v="832"/>
    <d v="2022-12-31T00:00:00"/>
    <x v="2"/>
    <s v="CLI416"/>
    <s v="CLI416"/>
    <s v="MANAUS"/>
    <s v="AM"/>
    <s v="CLI1176"/>
    <s v="UBERLANDIA"/>
    <s v="MG"/>
    <n v="3366.7000940000003"/>
    <n v="0"/>
    <n v="2315.9385539999998"/>
    <n v="7000"/>
    <n v="0"/>
    <x v="0"/>
    <x v="2"/>
    <s v="BRMAOTK01"/>
    <s v="BRMAOCHI"/>
    <n v="11.436796000000001"/>
    <n v="82.614000000000004"/>
    <n v="150"/>
    <n v="832.72488908544005"/>
    <n v="0"/>
    <n v="832"/>
    <n v="7"/>
    <n v="0"/>
    <n v="0"/>
    <n v="832"/>
    <m/>
    <m/>
    <n v="0"/>
    <x v="4"/>
    <s v="BRIGITK01"/>
    <s v="BRIGITCO"/>
    <n v="853.73010699999998"/>
    <n v="82.614000000000004"/>
    <n v="150"/>
    <n v="13312.681652580479"/>
    <n v="1597.5217983096575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865"/>
    <n v="16522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366.7000940000003"/>
    <n v="495.68400000000003"/>
    <n v="23778.217670350245"/>
    <n v="2853.3861204420291"/>
    <n v="110"/>
    <n v="150"/>
    <n v="1E-3"/>
    <n v="165.22800000000001"/>
    <n v="16644.752369245169"/>
    <n v="17069.980369245168"/>
    <n v="3180.9641611183101"/>
    <n v="-2087.3903335390619"/>
    <n v="0.08"/>
    <n v="106.16416234156726"/>
    <n v="0.12"/>
    <n v="2048.3976443094202"/>
    <n v="15"/>
    <n v="1"/>
  </r>
  <r>
    <n v="833"/>
    <d v="2022-12-31T00:00:00"/>
    <x v="1"/>
    <s v="CLI419"/>
    <s v="CLI419"/>
    <s v="FEIRA DE SANTANA"/>
    <s v="BA"/>
    <s v="CLI836"/>
    <s v="MANAUS"/>
    <s v="AM"/>
    <n v="2532.3139994572889"/>
    <n v="1962.873523"/>
    <n v="0"/>
    <n v="7000"/>
    <n v="0"/>
    <x v="0"/>
    <x v="5"/>
    <s v="BRSSATK01S"/>
    <s v="BRSSATCO"/>
    <n v="112.075299"/>
    <n v="103.50700000000001"/>
    <n v="150"/>
    <n v="2344.7423581753601"/>
    <n v="422.05362447156477"/>
    <n v="704"/>
    <n v="7"/>
    <n v="74.400000000000006"/>
    <n v="0"/>
    <n v="1224.8000000000002"/>
    <m/>
    <m/>
    <n v="0"/>
    <x v="0"/>
    <s v="BRMAOTK01"/>
    <s v="BRMAOCHI"/>
    <n v="11.436796000000001"/>
    <n v="103.50700000000001"/>
    <n v="150"/>
    <n v="853.61788908544008"/>
    <n v="0"/>
    <n v="832"/>
    <n v="7"/>
    <n v="480"/>
    <n v="0"/>
    <n v="4192"/>
    <s v="BRSSADP01"/>
    <n v="110"/>
    <n v="75"/>
    <n v="300"/>
    <n v="150"/>
    <n v="150"/>
    <n v="110"/>
    <n v="8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72"/>
    <n v="207014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532.3139994572889"/>
    <n v="621.04200000000003"/>
    <n v="23782.494978654224"/>
    <n v="2853.8993974385066"/>
    <n v="180"/>
    <n v="150"/>
    <n v="1E-3"/>
    <n v="207.01400000000001"/>
    <n v="15006.426834335203"/>
    <n v="15543.440834335202"/>
    <n v="3180.9641611183101"/>
    <n v="5197.0587841314518"/>
    <n v="0.08"/>
    <n v="953.8421570082271"/>
    <n v="0.12"/>
    <n v="1865.2129001202243"/>
    <n v="15"/>
    <n v="1"/>
  </r>
  <r>
    <n v="834"/>
    <d v="2022-12-31T00:00:00"/>
    <x v="1"/>
    <s v="CLI419"/>
    <s v="CLI419"/>
    <s v="FEIRA DE SANTANA"/>
    <s v="BA"/>
    <s v="CLI769"/>
    <s v="BOA VISTA"/>
    <s v="RR"/>
    <n v="2923.8073824192652"/>
    <n v="1962.873523"/>
    <n v="0"/>
    <n v="7000"/>
    <n v="0"/>
    <x v="0"/>
    <x v="5"/>
    <s v="BRSSATK01S"/>
    <s v="BRSSATCO"/>
    <n v="112.075299"/>
    <n v="106.2315"/>
    <n v="150"/>
    <n v="2347.4668581753599"/>
    <n v="422.54403447156477"/>
    <n v="704"/>
    <n v="7"/>
    <n v="74.400000000000006"/>
    <n v="0"/>
    <n v="1224.8000000000002"/>
    <m/>
    <m/>
    <n v="0"/>
    <x v="0"/>
    <s v="BRMAOTK01"/>
    <s v="BRMAOCHI"/>
    <n v="745.73917200000005"/>
    <n v="106.2315"/>
    <n v="150"/>
    <n v="11736.236345422081"/>
    <n v="1408.3483614506497"/>
    <n v="832"/>
    <n v="7"/>
    <n v="480"/>
    <n v="0"/>
    <n v="4192"/>
    <s v="BRSSADP01"/>
    <n v="110"/>
    <n v="75"/>
    <n v="300"/>
    <n v="150"/>
    <n v="150"/>
    <n v="110"/>
    <n v="895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127"/>
    <n v="212463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2923.8073824192652"/>
    <n v="637.38900000000001"/>
    <n v="27308.846372408752"/>
    <n v="3277.0615646890501"/>
    <n v="180"/>
    <n v="150"/>
    <n v="1E-3"/>
    <n v="212.46299999999999"/>
    <n v="17472.965659963371"/>
    <n v="18015.428659963371"/>
    <n v="3180.9641611183101"/>
    <n v="-3213.571846577021"/>
    <n v="0.08"/>
    <n v="168.06664483549727"/>
    <n v="0.12"/>
    <n v="2161.8514391956046"/>
    <n v="15"/>
    <n v="1"/>
  </r>
  <r>
    <n v="835"/>
    <d v="2022-12-31T00:00:00"/>
    <x v="0"/>
    <s v="CLI421"/>
    <s v="CLI421"/>
    <s v="SANTOS"/>
    <s v="SP"/>
    <s v="CLI1208"/>
    <s v="SALVADOR"/>
    <s v="BA"/>
    <n v="1910.3949520000001"/>
    <n v="0"/>
    <n v="0"/>
    <n v="0"/>
    <n v="0"/>
    <x v="0"/>
    <x v="0"/>
    <s v="BRSSZTK01S"/>
    <s v="BRSSZTCO"/>
    <n v="14.583465"/>
    <n v="28.779500000000002"/>
    <n v="150"/>
    <n v="825.51345085759999"/>
    <n v="148.592421154368"/>
    <n v="640"/>
    <n v="7"/>
    <n v="160"/>
    <n v="0"/>
    <n v="1760"/>
    <m/>
    <m/>
    <n v="0"/>
    <x v="5"/>
    <s v="BRSSATK01S"/>
    <s v="BRSSATCO"/>
    <n v="2.2452209999999999"/>
    <n v="28.779500000000002"/>
    <n v="150"/>
    <n v="642.70213127744"/>
    <n v="0"/>
    <n v="704"/>
    <n v="7"/>
    <n v="74.400000000000006"/>
    <n v="0"/>
    <n v="1224.8000000000002"/>
    <s v="BRSSZDP01"/>
    <n v="110"/>
    <n v="50"/>
    <n v="250"/>
    <n v="120"/>
    <n v="120"/>
    <n v="110"/>
    <n v="76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092"/>
    <n v="57559"/>
    <x v="2"/>
    <x v="3"/>
    <x v="2"/>
    <x v="2"/>
    <x v="3"/>
    <x v="3"/>
    <n v="1"/>
    <n v="1"/>
    <n v="1"/>
    <n v="1"/>
    <n v="1"/>
    <n v="1"/>
    <n v="1"/>
    <n v="12"/>
    <n v="7"/>
    <n v="380"/>
    <n v="7"/>
    <n v="380"/>
    <n v="1910.3949520000001"/>
    <n v="172.67699999999999"/>
    <n v="17758.202813247361"/>
    <n v="1243.0741969273154"/>
    <n v="180"/>
    <n v="150"/>
    <n v="1E-3"/>
    <n v="57.559000000000005"/>
    <n v="11402.991061778623"/>
    <n v="11790.550061778622"/>
    <n v="3180.9641611183101"/>
    <n v="4864.7859006603121"/>
    <n v="0.08"/>
    <n v="813.89936467913719"/>
    <n v="7.0000000000000007E-2"/>
    <n v="825.33850432450356"/>
    <n v="15"/>
    <n v="1"/>
  </r>
  <r>
    <n v="836"/>
    <d v="2022-12-31T00:00:00"/>
    <x v="2"/>
    <s v="CLI422"/>
    <s v="CLI422"/>
    <s v="CAJAMAR"/>
    <s v="SP"/>
    <s v="CLI594"/>
    <s v="MANAUS"/>
    <s v="AM"/>
    <n v="2651.2453473366877"/>
    <n v="2846.7739100000003"/>
    <n v="0"/>
    <n v="7000"/>
    <n v="0"/>
    <x v="0"/>
    <x v="0"/>
    <s v="BRSSZTK01"/>
    <s v="BRSSZTCO"/>
    <n v="123.50964200000001"/>
    <n v="104.569"/>
    <n v="150"/>
    <n v="2515.2229020428799"/>
    <n v="452.74012236771836"/>
    <n v="640"/>
    <n v="7"/>
    <n v="0"/>
    <n v="0"/>
    <n v="640"/>
    <m/>
    <m/>
    <n v="0"/>
    <x v="0"/>
    <s v="BRMAOTK01"/>
    <s v="BRMAOCHI"/>
    <n v="11.436796000000001"/>
    <n v="104.569"/>
    <n v="150"/>
    <n v="854.6798890854399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521"/>
    <n v="209138"/>
    <x v="1"/>
    <x v="1"/>
    <x v="6"/>
    <x v="1"/>
    <x v="5"/>
    <x v="6"/>
    <n v="5"/>
    <n v="5"/>
    <n v="5"/>
    <n v="5"/>
    <n v="5"/>
    <n v="5"/>
    <n v="5"/>
    <n v="57"/>
    <n v="7"/>
    <n v="180"/>
    <n v="7"/>
    <n v="180"/>
    <n v="2651.2453473366877"/>
    <n v="627.41399999999999"/>
    <n v="19051.323103949555"/>
    <n v="1333.5926172764689"/>
    <n v="110"/>
    <n v="150"/>
    <n v="1E-3"/>
    <n v="209.13800000000001"/>
    <n v="13335.926172764688"/>
    <n v="13805.064172764689"/>
    <n v="3180.9641611183101"/>
    <n v="5512.1972205180573"/>
    <n v="0.08"/>
    <n v="798.59370074149194"/>
    <n v="7.0000000000000007E-2"/>
    <n v="966.35449209352828"/>
    <n v="15"/>
    <n v="5"/>
  </r>
  <r>
    <n v="837"/>
    <d v="2022-12-31T00:00:00"/>
    <x v="2"/>
    <s v="CLI422"/>
    <s v="CLI422"/>
    <s v="CAJAMAR"/>
    <s v="SP"/>
    <s v="CLI887"/>
    <s v="MANAUS"/>
    <s v="AM"/>
    <n v="2651.2453473366877"/>
    <n v="2846.7739100000003"/>
    <n v="0"/>
    <n v="7000"/>
    <n v="0"/>
    <x v="0"/>
    <x v="0"/>
    <s v="BRSSZTK01"/>
    <s v="BRSSZTCO"/>
    <n v="123.50964200000001"/>
    <n v="95.254500000000007"/>
    <n v="150"/>
    <n v="2505.90840204288"/>
    <n v="451.06351236771837"/>
    <n v="640"/>
    <n v="7"/>
    <n v="0"/>
    <n v="0"/>
    <n v="640"/>
    <m/>
    <m/>
    <n v="0"/>
    <x v="0"/>
    <s v="BRMAOTK01"/>
    <s v="BRMAOCHI"/>
    <n v="11.436796000000001"/>
    <n v="95.254500000000007"/>
    <n v="150"/>
    <n v="845.36538908544003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709"/>
    <n v="19050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51.2453473366877"/>
    <n v="571.52700000000004"/>
    <n v="18995.436103949556"/>
    <n v="1329.6805272764691"/>
    <n v="110"/>
    <n v="150"/>
    <n v="1E-3"/>
    <n v="190.50900000000001"/>
    <n v="13296.805272764688"/>
    <n v="13747.314272764688"/>
    <n v="3180.9641611183101"/>
    <n v="5473.0763205180574"/>
    <n v="0.08"/>
    <n v="795.59815754149201"/>
    <n v="7.0000000000000007E-2"/>
    <n v="962.31199909352824"/>
    <n v="15"/>
    <n v="1"/>
  </r>
  <r>
    <n v="838"/>
    <d v="2022-12-31T00:00:00"/>
    <x v="2"/>
    <s v="CLI422"/>
    <s v="CLI422"/>
    <s v="CAJAMAR"/>
    <s v="SP"/>
    <s v="CLI1312"/>
    <s v="MANAUS"/>
    <s v="AM"/>
    <n v="2651.2453473366877"/>
    <n v="2846.7739100000003"/>
    <n v="0"/>
    <n v="7000"/>
    <n v="0"/>
    <x v="0"/>
    <x v="0"/>
    <s v="BRSSZTK01"/>
    <s v="BRSSZTCO"/>
    <n v="123.50964200000001"/>
    <n v="77.921499999999995"/>
    <n v="150"/>
    <n v="2488.5754020428799"/>
    <n v="447.94357236771839"/>
    <n v="640"/>
    <n v="7"/>
    <n v="0"/>
    <n v="0"/>
    <n v="640"/>
    <m/>
    <m/>
    <n v="0"/>
    <x v="0"/>
    <s v="BRMAOTK01"/>
    <s v="BRMAOCHI"/>
    <n v="11.436796000000001"/>
    <n v="77.921499999999995"/>
    <n v="150"/>
    <n v="828.0323890854400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837"/>
    <n v="15584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51.2453473366877"/>
    <n v="467.529"/>
    <n v="18891.438103949553"/>
    <n v="1322.4006672764688"/>
    <n v="110"/>
    <n v="150"/>
    <n v="1E-3"/>
    <n v="155.84299999999999"/>
    <n v="13224.006672764686"/>
    <n v="13639.849672764687"/>
    <n v="3180.9641611183101"/>
    <n v="5400.2777205180573"/>
    <n v="0.08"/>
    <n v="790.02386474149205"/>
    <n v="7.0000000000000007E-2"/>
    <n v="954.78947709352815"/>
    <n v="15"/>
    <n v="1"/>
  </r>
  <r>
    <n v="839"/>
    <d v="2022-12-31T00:00:00"/>
    <x v="2"/>
    <s v="CLI422"/>
    <s v="CLI422"/>
    <s v="CAJAMAR"/>
    <s v="SP"/>
    <s v="CLI1312"/>
    <s v="MANAUS"/>
    <s v="AM"/>
    <n v="2651.2453473366877"/>
    <n v="2846.7739100000003"/>
    <n v="0"/>
    <n v="7000"/>
    <n v="0"/>
    <x v="0"/>
    <x v="0"/>
    <s v="BRSSZTK01"/>
    <s v="BRSSZTCO"/>
    <n v="123.50964200000001"/>
    <n v="86.762500000000003"/>
    <n v="150"/>
    <n v="2497.4164020428798"/>
    <n v="449.53495236771835"/>
    <n v="640"/>
    <n v="7"/>
    <n v="0"/>
    <n v="0"/>
    <n v="640"/>
    <m/>
    <m/>
    <n v="0"/>
    <x v="0"/>
    <s v="BRMAOTK01"/>
    <s v="BRMAOCHI"/>
    <n v="11.436796000000001"/>
    <n v="86.762500000000003"/>
    <n v="150"/>
    <n v="836.87338908544007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648"/>
    <n v="17352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51.2453473366877"/>
    <n v="520.57500000000005"/>
    <n v="18944.484103949555"/>
    <n v="1326.1138872764691"/>
    <n v="110"/>
    <n v="150"/>
    <n v="1E-3"/>
    <n v="173.52500000000001"/>
    <n v="13261.138872764688"/>
    <n v="13694.663872764688"/>
    <n v="3180.9641611183101"/>
    <n v="5437.4099205180573"/>
    <n v="0.08"/>
    <n v="792.86713034149204"/>
    <n v="7.0000000000000007E-2"/>
    <n v="958.62647109352827"/>
    <n v="15"/>
    <n v="1"/>
  </r>
  <r>
    <n v="840"/>
    <d v="2022-12-31T00:00:00"/>
    <x v="2"/>
    <s v="CLI423"/>
    <s v="CLI423"/>
    <s v="IGARASSU"/>
    <s v="PE"/>
    <s v="CLI594"/>
    <s v="MANAUS"/>
    <s v="AM"/>
    <n v="2831.5305762940925"/>
    <n v="2072.1853219999998"/>
    <n v="0"/>
    <n v="7000"/>
    <n v="0"/>
    <x v="0"/>
    <x v="3"/>
    <s v="BRSUATK01"/>
    <s v="BRSUATCO"/>
    <n v="78.551428999999999"/>
    <n v="46.986000000000004"/>
    <n v="150"/>
    <n v="1791.5102449785602"/>
    <n v="322.47184409614084"/>
    <n v="1344"/>
    <n v="7"/>
    <n v="0"/>
    <n v="0"/>
    <n v="1344"/>
    <m/>
    <m/>
    <n v="0"/>
    <x v="0"/>
    <s v="BRMAOTK01"/>
    <s v="BRMAOCHI"/>
    <n v="11.436796000000001"/>
    <n v="46.986000000000004"/>
    <n v="150"/>
    <n v="797.09688908544001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58"/>
    <n v="93972"/>
    <x v="1"/>
    <x v="5"/>
    <x v="5"/>
    <x v="5"/>
    <x v="0"/>
    <x v="0"/>
    <n v="4"/>
    <n v="4"/>
    <n v="4"/>
    <n v="4"/>
    <n v="4"/>
    <n v="4"/>
    <n v="4"/>
    <n v="45"/>
    <n v="7"/>
    <n v="180"/>
    <n v="7"/>
    <n v="180"/>
    <n v="2831.5305762940925"/>
    <n v="281.916"/>
    <n v="19930.134882390132"/>
    <n v="2391.6161858868159"/>
    <n v="110"/>
    <n v="150"/>
    <n v="1E-3"/>
    <n v="93.972000000000008"/>
    <n v="13951.094417673092"/>
    <n v="14305.066417673092"/>
    <n v="3180.9641611183101"/>
    <n v="6099.49512249078"/>
    <n v="0.08"/>
    <n v="911.51899516103606"/>
    <n v="0.12"/>
    <n v="1716.6079701207709"/>
    <n v="15"/>
    <n v="4"/>
  </r>
  <r>
    <n v="841"/>
    <d v="2022-12-31T00:00:00"/>
    <x v="2"/>
    <s v="CLI423"/>
    <s v="CLI423"/>
    <s v="IGARASSU"/>
    <s v="PE"/>
    <s v="CLI1050"/>
    <s v="MANAUS"/>
    <s v="AM"/>
    <n v="2831.5305762940925"/>
    <n v="2072.1853219999998"/>
    <n v="0"/>
    <n v="7000"/>
    <n v="0"/>
    <x v="0"/>
    <x v="3"/>
    <s v="BRSUATK01"/>
    <s v="BRSUATCO"/>
    <n v="78.551428999999999"/>
    <n v="75.364999999999995"/>
    <n v="150"/>
    <n v="1819.8892449785601"/>
    <n v="327.5800640961408"/>
    <n v="1344"/>
    <n v="7"/>
    <n v="0"/>
    <n v="0"/>
    <n v="1344"/>
    <m/>
    <m/>
    <n v="0"/>
    <x v="0"/>
    <s v="BRMAOTK01"/>
    <s v="BRMAOCHI"/>
    <n v="11.436796000000001"/>
    <n v="75.364999999999995"/>
    <n v="150"/>
    <n v="825.4758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391"/>
    <n v="15073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1.5305762940925"/>
    <n v="452.19"/>
    <n v="20100.408882390129"/>
    <n v="2412.0490658868152"/>
    <n v="110"/>
    <n v="150"/>
    <n v="1E-3"/>
    <n v="150.72999999999999"/>
    <n v="14070.286217673091"/>
    <n v="14481.01621767309"/>
    <n v="3180.9641611183101"/>
    <n v="6218.6869224907787"/>
    <n v="0.08"/>
    <n v="920.6456815610361"/>
    <n v="0.12"/>
    <n v="1737.7219461207708"/>
    <n v="15"/>
    <n v="1"/>
  </r>
  <r>
    <n v="842"/>
    <d v="2022-12-31T00:00:00"/>
    <x v="2"/>
    <s v="CLI423"/>
    <s v="CLI423"/>
    <s v="IGARASSU"/>
    <s v="PE"/>
    <s v="CLI887"/>
    <s v="MANAUS"/>
    <s v="AM"/>
    <n v="2831.5305762940925"/>
    <n v="2072.1853219999998"/>
    <n v="0"/>
    <n v="7000"/>
    <n v="0"/>
    <x v="0"/>
    <x v="3"/>
    <s v="BRSUATK01"/>
    <s v="BRSUATCO"/>
    <n v="78.551428999999999"/>
    <n v="105.63"/>
    <n v="150"/>
    <n v="1850.1542449785602"/>
    <n v="333.0277640961408"/>
    <n v="1344"/>
    <n v="7"/>
    <n v="0"/>
    <n v="0"/>
    <n v="1344"/>
    <m/>
    <m/>
    <n v="0"/>
    <x v="0"/>
    <s v="BRMAOTK01"/>
    <s v="BRMAOCHI"/>
    <n v="11.436796000000001"/>
    <n v="105.63"/>
    <n v="150"/>
    <n v="855.7408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641"/>
    <n v="21126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1.5305762940925"/>
    <n v="633.78"/>
    <n v="20281.998882390129"/>
    <n v="2433.8398658868155"/>
    <n v="110"/>
    <n v="150"/>
    <n v="1E-3"/>
    <n v="211.26"/>
    <n v="14197.39921767309"/>
    <n v="14668.65921767309"/>
    <n v="3180.9641611183101"/>
    <n v="6345.799922490778"/>
    <n v="0.08"/>
    <n v="930.37890556103582"/>
    <n v="0.12"/>
    <n v="1760.2391061207707"/>
    <n v="15"/>
    <n v="1"/>
  </r>
  <r>
    <n v="843"/>
    <d v="2022-12-31T00:00:00"/>
    <x v="2"/>
    <s v="CLI423"/>
    <s v="CLI423"/>
    <s v="IGARASSU"/>
    <s v="PE"/>
    <s v="CLI1312"/>
    <s v="MANAUS"/>
    <s v="AM"/>
    <n v="2831.5305762940925"/>
    <n v="2072.1853219999998"/>
    <n v="0"/>
    <n v="7000"/>
    <n v="0"/>
    <x v="0"/>
    <x v="3"/>
    <s v="BRSUATK01"/>
    <s v="BRSUATCO"/>
    <n v="78.551428999999999"/>
    <n v="55.153500000000001"/>
    <n v="150"/>
    <n v="1799.67774497856"/>
    <n v="323.94199409614077"/>
    <n v="1344"/>
    <n v="7"/>
    <n v="0"/>
    <n v="0"/>
    <n v="1344"/>
    <m/>
    <m/>
    <n v="0"/>
    <x v="0"/>
    <s v="BRMAOTK01"/>
    <s v="BRMAOCHI"/>
    <n v="11.436796000000001"/>
    <n v="55.153500000000001"/>
    <n v="150"/>
    <n v="805.2643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065"/>
    <n v="11030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1.5305762940925"/>
    <n v="330.92099999999999"/>
    <n v="19979.139882390129"/>
    <n v="2397.4967858868154"/>
    <n v="110"/>
    <n v="150"/>
    <n v="1E-3"/>
    <n v="110.307"/>
    <n v="13985.39791767309"/>
    <n v="14355.704917673091"/>
    <n v="3180.9641611183101"/>
    <n v="6133.79862249078"/>
    <n v="0.08"/>
    <n v="914.14566316103594"/>
    <n v="0.12"/>
    <n v="1722.6845901207707"/>
    <n v="15"/>
    <n v="1"/>
  </r>
  <r>
    <n v="844"/>
    <d v="2022-12-31T00:00:00"/>
    <x v="2"/>
    <s v="CLI423"/>
    <s v="CLI423"/>
    <s v="IGARASSU"/>
    <s v="PE"/>
    <s v="CLI1312"/>
    <s v="MANAUS"/>
    <s v="AM"/>
    <n v="2831.5305762940925"/>
    <n v="2072.1853219999998"/>
    <n v="0"/>
    <n v="7000"/>
    <n v="0"/>
    <x v="0"/>
    <x v="3"/>
    <s v="BRSUATK01"/>
    <s v="BRSUATCO"/>
    <n v="78.551428999999999"/>
    <n v="38.139499999999998"/>
    <n v="150"/>
    <n v="1782.6637449785601"/>
    <n v="320.87947409614083"/>
    <n v="1344"/>
    <n v="7"/>
    <n v="0"/>
    <n v="0"/>
    <n v="1344"/>
    <m/>
    <m/>
    <n v="0"/>
    <x v="0"/>
    <s v="BRMAOTK01"/>
    <s v="BRMAOCHI"/>
    <n v="11.436796000000001"/>
    <n v="38.139499999999998"/>
    <n v="150"/>
    <n v="788.2503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107"/>
    <n v="7627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1.5305762940925"/>
    <n v="228.83700000000002"/>
    <n v="19877.05588239013"/>
    <n v="2385.2467058868156"/>
    <n v="110"/>
    <n v="150"/>
    <n v="1E-3"/>
    <n v="76.278999999999996"/>
    <n v="13913.93911767309"/>
    <n v="14250.21811767309"/>
    <n v="3180.9641611183101"/>
    <n v="6062.3398224907796"/>
    <n v="0.08"/>
    <n v="908.67396076103603"/>
    <n v="0.12"/>
    <n v="1710.0261741207707"/>
    <n v="15"/>
    <n v="1"/>
  </r>
  <r>
    <n v="845"/>
    <d v="2022-12-31T00:00:00"/>
    <x v="2"/>
    <s v="CLI423"/>
    <s v="CLI423"/>
    <s v="IGARASSU"/>
    <s v="PE"/>
    <s v="CLI1244"/>
    <s v="MANAUS"/>
    <s v="AM"/>
    <n v="2831.5305762940925"/>
    <n v="2072.1853219999998"/>
    <n v="0"/>
    <n v="7000"/>
    <n v="0"/>
    <x v="0"/>
    <x v="3"/>
    <s v="BRSUATK01"/>
    <s v="BRSUATCO"/>
    <n v="78.551428999999999"/>
    <n v="28.091000000000001"/>
    <n v="150"/>
    <n v="1772.61524497856"/>
    <n v="319.0707440961408"/>
    <n v="1344"/>
    <n v="7"/>
    <n v="0"/>
    <n v="0"/>
    <n v="1344"/>
    <m/>
    <m/>
    <n v="0"/>
    <x v="0"/>
    <s v="BRMAOTK01"/>
    <s v="BRMAOCHI"/>
    <n v="11.436796000000001"/>
    <n v="28.091000000000001"/>
    <n v="150"/>
    <n v="778.2018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67"/>
    <n v="5618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1.5305762940925"/>
    <n v="168.54599999999999"/>
    <n v="19816.764882390129"/>
    <n v="2378.0117858868152"/>
    <n v="110"/>
    <n v="150"/>
    <n v="1E-3"/>
    <n v="56.182000000000002"/>
    <n v="13871.73541767309"/>
    <n v="14187.91741767309"/>
    <n v="3180.9641611183101"/>
    <n v="6020.1361224907796"/>
    <n v="0.08"/>
    <n v="905.44236316103593"/>
    <n v="0.12"/>
    <n v="1702.5500901207708"/>
    <n v="15"/>
    <n v="1"/>
  </r>
  <r>
    <n v="846"/>
    <d v="2022-12-31T00:00:00"/>
    <x v="2"/>
    <s v="CLI424"/>
    <s v="CLI424"/>
    <s v="ITAPEVI"/>
    <s v="SP"/>
    <s v="CLI423"/>
    <s v="IGARASSU"/>
    <s v="PE"/>
    <n v="2639.8631320000004"/>
    <n v="0"/>
    <n v="0"/>
    <n v="0"/>
    <n v="0"/>
    <x v="0"/>
    <x v="0"/>
    <s v="BRSSZTK01"/>
    <s v="BRSSZTCO"/>
    <n v="115.56559200000001"/>
    <n v="112.3895"/>
    <n v="150"/>
    <n v="2405.3392730508804"/>
    <n v="432.96106914915845"/>
    <n v="640"/>
    <n v="7"/>
    <n v="0"/>
    <n v="0"/>
    <n v="640"/>
    <m/>
    <m/>
    <n v="0"/>
    <x v="2"/>
    <s v="BRSUATK01"/>
    <s v="BRSUATCO"/>
    <n v="78.551428999999999"/>
    <n v="112.3895"/>
    <n v="150"/>
    <n v="1856.9137449785601"/>
    <n v="334.24447409614078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47"/>
    <n v="22477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39.8631320000004"/>
    <n v="674.33699999999999"/>
    <n v="19020.949934886725"/>
    <n v="1331.4664954420709"/>
    <n v="110"/>
    <n v="150"/>
    <n v="1E-3"/>
    <n v="224.779"/>
    <n v="13314.664954420707"/>
    <n v="13799.443954420707"/>
    <n v="3180.9641611183101"/>
    <n v="4102.2267752729567"/>
    <n v="0.08"/>
    <n v="701.5988314516776"/>
    <n v="7.0000000000000007E-2"/>
    <n v="965.96107680944954"/>
    <n v="15"/>
    <n v="1"/>
  </r>
  <r>
    <n v="847"/>
    <d v="2022-12-31T00:00:00"/>
    <x v="2"/>
    <s v="CLI425"/>
    <s v="CLI425"/>
    <s v="SAO BERNARDO DO CAMPO"/>
    <s v="SP"/>
    <s v="CLI423"/>
    <s v="IGARASSU"/>
    <s v="PE"/>
    <n v="2631.9759429999999"/>
    <n v="0"/>
    <n v="0"/>
    <n v="0"/>
    <n v="0"/>
    <x v="0"/>
    <x v="0"/>
    <s v="BRSSZTK01"/>
    <s v="BRSSZTCO"/>
    <n v="66.511209000000008"/>
    <n v="72.588000000000008"/>
    <n v="150"/>
    <n v="1638.71663971776"/>
    <n v="294.96899514919681"/>
    <n v="640"/>
    <n v="7"/>
    <n v="0"/>
    <n v="0"/>
    <n v="640"/>
    <m/>
    <m/>
    <n v="0"/>
    <x v="2"/>
    <s v="BRSUATK01"/>
    <s v="BRSUATCO"/>
    <n v="78.551428999999999"/>
    <n v="72.588000000000008"/>
    <n v="150"/>
    <n v="1817.1122449785601"/>
    <n v="327.0802040961407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830"/>
    <n v="145176"/>
    <x v="1"/>
    <x v="3"/>
    <x v="2"/>
    <x v="2"/>
    <x v="3"/>
    <x v="3"/>
    <n v="2"/>
    <n v="1"/>
    <n v="2"/>
    <n v="2"/>
    <n v="2"/>
    <n v="2"/>
    <n v="2"/>
    <n v="18"/>
    <n v="7"/>
    <n v="180"/>
    <n v="7"/>
    <n v="180"/>
    <n v="2631.9759429999999"/>
    <n v="435.52800000000002"/>
    <n v="18728.579349875279"/>
    <n v="1311.0005544912697"/>
    <n v="110"/>
    <n v="150"/>
    <n v="1E-3"/>
    <n v="145.17600000000002"/>
    <n v="13110.005544912694"/>
    <n v="13515.181544912693"/>
    <n v="3180.9641611183101"/>
    <n v="4624.3884990980623"/>
    <n v="0.08"/>
    <n v="754.98427687768287"/>
    <n v="7.0000000000000007E-2"/>
    <n v="946.06270814388859"/>
    <n v="15"/>
    <n v="2"/>
  </r>
  <r>
    <n v="848"/>
    <d v="2022-12-31T00:00:00"/>
    <x v="2"/>
    <s v="CLI425"/>
    <s v="CLI425"/>
    <s v="SAO BERNARDO DO CAMPO"/>
    <s v="SP"/>
    <s v="CLI1209"/>
    <s v="RECIFE"/>
    <s v="PE"/>
    <n v="2606.8052790000002"/>
    <n v="0"/>
    <n v="0"/>
    <n v="0"/>
    <n v="0"/>
    <x v="0"/>
    <x v="0"/>
    <s v="BRSSZTK01"/>
    <s v="BRSSZTCO"/>
    <n v="66.511209000000008"/>
    <n v="59.398499999999999"/>
    <n v="150"/>
    <n v="1625.5271397177601"/>
    <n v="292.59488514919678"/>
    <n v="640"/>
    <n v="7"/>
    <n v="0"/>
    <n v="0"/>
    <n v="640"/>
    <m/>
    <m/>
    <n v="0"/>
    <x v="2"/>
    <s v="BRSUATK01"/>
    <s v="BRSUATCO"/>
    <n v="51.681188999999996"/>
    <n v="59.398499999999999"/>
    <n v="150"/>
    <n v="1405.7960721849599"/>
    <n v="253.04329299329277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267"/>
    <n v="11879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06.8052790000002"/>
    <n v="356.39100000000002"/>
    <n v="18478.509377477843"/>
    <n v="1293.4956564234492"/>
    <n v="110"/>
    <n v="150"/>
    <n v="1E-3"/>
    <n v="118.797"/>
    <n v="12934.95656423449"/>
    <n v="13313.75356423449"/>
    <n v="3180.9641611183101"/>
    <n v="4847.4661912134598"/>
    <n v="0.08"/>
    <n v="778.94337393514252"/>
    <n v="7.0000000000000007E-2"/>
    <n v="931.9627494964144"/>
    <n v="15"/>
    <n v="1"/>
  </r>
  <r>
    <n v="849"/>
    <d v="2022-12-31T00:00:00"/>
    <x v="2"/>
    <s v="CLI426"/>
    <s v="CLI426"/>
    <s v="SAO PAULO"/>
    <s v="SP"/>
    <s v="CLI1209"/>
    <s v="RECIFE"/>
    <s v="PE"/>
    <n v="2588.9492049999999"/>
    <n v="0"/>
    <n v="0"/>
    <n v="0"/>
    <n v="0"/>
    <x v="0"/>
    <x v="0"/>
    <s v="BRSSZTK01"/>
    <s v="BRSSZTCO"/>
    <n v="85.841132000000002"/>
    <n v="55.265500000000003"/>
    <n v="150"/>
    <n v="1907.79865003648"/>
    <n v="343.40375700656637"/>
    <n v="640"/>
    <n v="7"/>
    <n v="0"/>
    <n v="0"/>
    <n v="640"/>
    <m/>
    <m/>
    <n v="0"/>
    <x v="2"/>
    <s v="BRSUATK01"/>
    <s v="BRSUATCO"/>
    <n v="51.681188999999996"/>
    <n v="55.265500000000003"/>
    <n v="150"/>
    <n v="1401.6630721849599"/>
    <n v="252.2993529932927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601"/>
    <n v="110531"/>
    <x v="1"/>
    <x v="1"/>
    <x v="6"/>
    <x v="1"/>
    <x v="8"/>
    <x v="6"/>
    <n v="5"/>
    <n v="5"/>
    <n v="5"/>
    <n v="5"/>
    <n v="5"/>
    <n v="5"/>
    <n v="5"/>
    <n v="58"/>
    <n v="7"/>
    <n v="180"/>
    <n v="7"/>
    <n v="180"/>
    <n v="2588.9492049999999"/>
    <n v="331.59300000000002"/>
    <n v="18332.451493186803"/>
    <n v="1283.2716045230763"/>
    <n v="110"/>
    <n v="150"/>
    <n v="1E-3"/>
    <n v="110.53100000000001"/>
    <n v="12832.716045230762"/>
    <n v="13203.247045230763"/>
    <n v="3180.9641611183101"/>
    <n v="4458.8211618910118"/>
    <n v="0.08"/>
    <n v="743.8465770407571"/>
    <n v="7.0000000000000007E-2"/>
    <n v="924.22729316615346"/>
    <n v="15"/>
    <n v="5"/>
  </r>
  <r>
    <n v="850"/>
    <d v="2022-12-31T00:00:00"/>
    <x v="2"/>
    <s v="CLI426"/>
    <s v="CLI426"/>
    <s v="SAO PAULO"/>
    <s v="SP"/>
    <s v="CLI423"/>
    <s v="IGARASSU"/>
    <s v="PE"/>
    <n v="2614.1198690000001"/>
    <n v="0"/>
    <n v="0"/>
    <n v="0"/>
    <n v="0"/>
    <x v="0"/>
    <x v="0"/>
    <s v="BRSSZTK01"/>
    <s v="BRSSZTCO"/>
    <n v="85.841132000000002"/>
    <n v="76.308999999999997"/>
    <n v="150"/>
    <n v="1928.84215003648"/>
    <n v="347.19158700656641"/>
    <n v="640"/>
    <n v="7"/>
    <n v="0"/>
    <n v="0"/>
    <n v="640"/>
    <m/>
    <m/>
    <n v="0"/>
    <x v="2"/>
    <s v="BRSUATK01"/>
    <s v="BRSUATCO"/>
    <n v="78.551428999999999"/>
    <n v="76.308999999999997"/>
    <n v="150"/>
    <n v="1820.8332449785601"/>
    <n v="327.74998409614079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15"/>
    <n v="152618"/>
    <x v="1"/>
    <x v="5"/>
    <x v="6"/>
    <x v="5"/>
    <x v="5"/>
    <x v="6"/>
    <n v="5"/>
    <n v="4"/>
    <n v="5"/>
    <n v="5"/>
    <n v="5"/>
    <n v="5"/>
    <n v="5"/>
    <n v="54"/>
    <n v="7"/>
    <n v="180"/>
    <n v="7"/>
    <n v="180"/>
    <n v="2614.1198690000001"/>
    <n v="457.85399999999998"/>
    <n v="18629.645465584243"/>
    <n v="1304.0751825908972"/>
    <n v="110"/>
    <n v="150"/>
    <n v="1E-3"/>
    <n v="152.61799999999999"/>
    <n v="13040.751825908968"/>
    <n v="13453.369825908969"/>
    <n v="3180.9641611183101"/>
    <n v="4268.7302697756186"/>
    <n v="0.08"/>
    <n v="722.30022878329783"/>
    <n v="7.0000000000000007E-2"/>
    <n v="941.73588781362787"/>
    <n v="15"/>
    <n v="5"/>
  </r>
  <r>
    <n v="851"/>
    <d v="2022-12-31T00:00:00"/>
    <x v="2"/>
    <s v="CLI426"/>
    <s v="CLI426"/>
    <s v="SAO PAULO"/>
    <s v="SP"/>
    <s v="CLI1209"/>
    <s v="RECIFE"/>
    <s v="PE"/>
    <n v="2588.9492049999999"/>
    <n v="0"/>
    <n v="0"/>
    <n v="0"/>
    <n v="0"/>
    <x v="0"/>
    <x v="0"/>
    <s v="BRSSZTK01"/>
    <s v="BRSSZTCO"/>
    <n v="85.841132000000002"/>
    <n v="66.3155"/>
    <n v="150"/>
    <n v="1918.84865003648"/>
    <n v="345.3927570065664"/>
    <n v="640"/>
    <n v="7"/>
    <n v="0"/>
    <n v="0"/>
    <n v="640"/>
    <m/>
    <m/>
    <n v="0"/>
    <x v="2"/>
    <s v="BRSUATK01"/>
    <s v="BRSUATCO"/>
    <n v="51.681188999999996"/>
    <n v="66.3155"/>
    <n v="150"/>
    <n v="1412.7130721849599"/>
    <n v="254.28835299329276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427"/>
    <n v="13263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88.9492049999999"/>
    <n v="397.89300000000003"/>
    <n v="18398.751493186803"/>
    <n v="1287.9126045230762"/>
    <n v="110"/>
    <n v="150"/>
    <n v="1E-3"/>
    <n v="132.631"/>
    <n v="12879.126045230762"/>
    <n v="13271.757045230761"/>
    <n v="3180.9641611183101"/>
    <n v="4505.2311618910098"/>
    <n v="0.08"/>
    <n v="747.24113704075705"/>
    <n v="7.0000000000000007E-2"/>
    <n v="929.02299316615336"/>
    <n v="15"/>
    <n v="1"/>
  </r>
  <r>
    <n v="852"/>
    <d v="2022-12-31T00:00:00"/>
    <x v="2"/>
    <s v="CLI426"/>
    <s v="CLI426"/>
    <s v="SAO PAULO"/>
    <s v="SP"/>
    <s v="CLI423"/>
    <s v="IGARASSU"/>
    <s v="PE"/>
    <n v="2614.1198690000001"/>
    <n v="0"/>
    <n v="0"/>
    <n v="0"/>
    <n v="0"/>
    <x v="0"/>
    <x v="0"/>
    <s v="BRSSZTK01"/>
    <s v="BRSSZTCO"/>
    <n v="85.841132000000002"/>
    <n v="68.585999999999999"/>
    <n v="150"/>
    <n v="1921.1191500364801"/>
    <n v="345.80144700656638"/>
    <n v="640"/>
    <n v="7"/>
    <n v="0"/>
    <n v="0"/>
    <n v="640"/>
    <m/>
    <m/>
    <n v="0"/>
    <x v="2"/>
    <s v="BRSUATK01"/>
    <s v="BRSUATCO"/>
    <n v="78.551428999999999"/>
    <n v="68.585999999999999"/>
    <n v="150"/>
    <n v="1813.1102449785601"/>
    <n v="326.3598440961408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227"/>
    <n v="13717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14.1198690000001"/>
    <n v="411.51600000000002"/>
    <n v="18583.307465584243"/>
    <n v="1300.8315225908971"/>
    <n v="110"/>
    <n v="150"/>
    <n v="1E-3"/>
    <n v="137.172"/>
    <n v="13008.315225908969"/>
    <n v="13405.48722590897"/>
    <n v="3180.9641611183101"/>
    <n v="4236.2936697756195"/>
    <n v="0.08"/>
    <n v="719.92772318329776"/>
    <n v="7.0000000000000007E-2"/>
    <n v="938.38410581362803"/>
    <n v="15"/>
    <n v="1"/>
  </r>
  <r>
    <n v="853"/>
    <d v="2022-12-31T00:00:00"/>
    <x v="0"/>
    <s v="CLI427"/>
    <s v="CLI427"/>
    <s v="MOSSORO"/>
    <s v="RN"/>
    <s v="CLI1212"/>
    <s v="ITAGUAI"/>
    <s v="RJ"/>
    <n v="2431.6111609999998"/>
    <n v="0"/>
    <n v="0"/>
    <n v="0"/>
    <n v="0"/>
    <x v="0"/>
    <x v="1"/>
    <s v="BRPECTK01S"/>
    <s v="BRPECAPM"/>
    <n v="278.70183199999997"/>
    <n v="77.4255"/>
    <n v="150"/>
    <n v="4787.5062120844805"/>
    <n v="574.50074545013763"/>
    <n v="768"/>
    <n v="7"/>
    <n v="0"/>
    <n v="0"/>
    <n v="768"/>
    <m/>
    <m/>
    <n v="0"/>
    <x v="4"/>
    <s v="BRIGITK01S"/>
    <s v="BRIGITCO"/>
    <n v="14.539448"/>
    <n v="77.4255"/>
    <n v="150"/>
    <n v="873.50726681471997"/>
    <n v="0"/>
    <n v="704"/>
    <n v="7"/>
    <n v="0"/>
    <n v="0"/>
    <n v="704"/>
    <s v="BRPECDP01"/>
    <n v="120"/>
    <n v="90"/>
    <n v="0"/>
    <n v="0"/>
    <n v="0"/>
    <n v="120"/>
    <n v="330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112"/>
    <n v="154851"/>
    <x v="0"/>
    <x v="17"/>
    <x v="25"/>
    <x v="19"/>
    <x v="20"/>
    <x v="15"/>
    <n v="13"/>
    <n v="13"/>
    <n v="13"/>
    <n v="13"/>
    <n v="12"/>
    <n v="11"/>
    <n v="11"/>
    <n v="144"/>
    <n v="7"/>
    <n v="110"/>
    <n v="7"/>
    <n v="110"/>
    <n v="2431.6111609999998"/>
    <n v="464.553"/>
    <n v="17396.935129904559"/>
    <n v="2087.6322155885468"/>
    <n v="75"/>
    <n v="150"/>
    <n v="1E-3"/>
    <n v="154.851"/>
    <n v="8215.145155703749"/>
    <n v="8594.9961557037495"/>
    <n v="3180.9641611183101"/>
    <n v="3612.0319945854394"/>
    <n v="0.08"/>
    <n v="188.75855450835294"/>
    <n v="0.12"/>
    <n v="1031.3995386844499"/>
    <n v="15"/>
    <n v="13"/>
  </r>
  <r>
    <n v="854"/>
    <d v="2022-12-31T00:00:00"/>
    <x v="0"/>
    <s v="CLI427"/>
    <s v="CLI427"/>
    <s v="MOSSORO"/>
    <s v="RN"/>
    <s v="CLI1213"/>
    <s v="RIO DE JANEIRO"/>
    <s v="RJ"/>
    <n v="2413.5519950000003"/>
    <n v="0"/>
    <n v="0"/>
    <n v="0"/>
    <n v="0"/>
    <x v="0"/>
    <x v="1"/>
    <s v="BRPECTK01S"/>
    <s v="BRPECAPM"/>
    <n v="278.70183199999997"/>
    <n v="87.387500000000003"/>
    <n v="150"/>
    <n v="4797.46821208448"/>
    <n v="575.69618545013759"/>
    <n v="768"/>
    <n v="7"/>
    <n v="0"/>
    <n v="0"/>
    <n v="768"/>
    <m/>
    <m/>
    <n v="0"/>
    <x v="4"/>
    <s v="BRIGITK01S"/>
    <s v="BRIGITCO"/>
    <n v="78.029871"/>
    <n v="87.387500000000003"/>
    <n v="150"/>
    <n v="1824.1840078534401"/>
    <n v="364.83680157068807"/>
    <n v="704"/>
    <n v="7"/>
    <n v="0"/>
    <n v="0"/>
    <n v="704"/>
    <s v="BRPECDP01"/>
    <n v="120"/>
    <n v="90"/>
    <n v="0"/>
    <n v="0"/>
    <n v="0"/>
    <n v="120"/>
    <n v="330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087"/>
    <n v="174775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413.5519950000003"/>
    <n v="524.32500000000005"/>
    <n v="17334.068055965206"/>
    <n v="2080.0881667158246"/>
    <n v="75"/>
    <n v="150"/>
    <n v="1E-3"/>
    <n v="174.77500000000001"/>
    <n v="7498.6910852190986"/>
    <n v="7898.4660852190982"/>
    <n v="3180.9641611183101"/>
    <n v="2915.5019241007881"/>
    <n v="0.08"/>
    <n v="26.902470260828178"/>
    <n v="0.12"/>
    <n v="947.8159302262917"/>
    <n v="15"/>
    <n v="2"/>
  </r>
  <r>
    <n v="855"/>
    <d v="2022-12-31T00:00:00"/>
    <x v="0"/>
    <s v="CLI427"/>
    <s v="CLI427"/>
    <s v="MOSSORO"/>
    <s v="RN"/>
    <s v="CLI1240"/>
    <s v="MANAUS"/>
    <s v="AM"/>
    <n v="2528.4842900610142"/>
    <n v="1630.154591"/>
    <n v="0"/>
    <n v="7000"/>
    <n v="0"/>
    <x v="0"/>
    <x v="1"/>
    <s v="BRPECTK01S"/>
    <s v="BRPECAPM"/>
    <n v="278.70183199999997"/>
    <n v="37.221000000000004"/>
    <n v="150"/>
    <n v="4747.3017120844797"/>
    <n v="569.67620545013756"/>
    <n v="768"/>
    <n v="7"/>
    <n v="0"/>
    <n v="0"/>
    <n v="768"/>
    <m/>
    <m/>
    <n v="0"/>
    <x v="0"/>
    <s v="BRMAOTK01S"/>
    <s v="BRMAOCHI"/>
    <n v="11.436796000000001"/>
    <n v="37.221000000000004"/>
    <n v="150"/>
    <n v="787.33188908544003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628"/>
    <n v="74442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528.4842900610142"/>
    <n v="223.32599999999999"/>
    <n v="17813.569674432747"/>
    <n v="2137.6283609319294"/>
    <n v="75"/>
    <n v="150"/>
    <n v="1E-3"/>
    <n v="74.442000000000007"/>
    <n v="8595.2552512839775"/>
    <n v="8894.6972512839784"/>
    <n v="3180.9641611183101"/>
    <n v="3783.7330901656683"/>
    <n v="0.08"/>
    <n v="223.23099557311369"/>
    <n v="0.12"/>
    <n v="1067.3636701540775"/>
    <n v="15"/>
    <n v="1"/>
  </r>
  <r>
    <n v="856"/>
    <d v="2022-12-31T00:00:00"/>
    <x v="2"/>
    <s v="CLI428"/>
    <s v="CLI428"/>
    <s v="RIO DE JANEIRO"/>
    <s v="RJ"/>
    <s v="CLI1217"/>
    <s v="SIMOES FILHO"/>
    <s v="BA"/>
    <n v="1556.1325149999998"/>
    <n v="0"/>
    <n v="0"/>
    <n v="0"/>
    <n v="0"/>
    <x v="0"/>
    <x v="4"/>
    <s v="BRIGITK01"/>
    <s v="BRIGITCO"/>
    <n v="78.029871"/>
    <n v="112.29600000000001"/>
    <n v="150"/>
    <n v="1849.0925078534401"/>
    <n v="369.81850157068806"/>
    <n v="704"/>
    <n v="7"/>
    <n v="0"/>
    <n v="0"/>
    <n v="704"/>
    <m/>
    <m/>
    <n v="0"/>
    <x v="5"/>
    <s v="BRSSATK01"/>
    <s v="BRSSATCO"/>
    <n v="26.551053"/>
    <n v="112.29600000000001"/>
    <n v="150"/>
    <n v="1086.3493939219202"/>
    <n v="195.54289090594563"/>
    <n v="704"/>
    <n v="7"/>
    <n v="0"/>
    <n v="0"/>
    <n v="704"/>
    <s v="BRIGIDP01"/>
    <n v="105"/>
    <n v="80"/>
    <n v="0"/>
    <n v="0"/>
    <n v="0"/>
    <n v="105"/>
    <n v="290"/>
    <s v="BRSS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366"/>
    <n v="224592"/>
    <x v="1"/>
    <x v="0"/>
    <x v="5"/>
    <x v="4"/>
    <x v="0"/>
    <x v="0"/>
    <n v="4"/>
    <n v="3"/>
    <n v="4"/>
    <n v="4"/>
    <n v="4"/>
    <n v="3"/>
    <n v="4"/>
    <n v="41"/>
    <n v="7"/>
    <n v="180"/>
    <n v="7"/>
    <n v="180"/>
    <n v="1556.1325149999998"/>
    <n v="673.77600000000007"/>
    <n v="11660.817664064401"/>
    <n v="816.25723648450821"/>
    <n v="110"/>
    <n v="150"/>
    <n v="1E-3"/>
    <n v="224.59200000000001"/>
    <n v="8162.5723648450803"/>
    <n v="8647.1643648450809"/>
    <n v="3180.9641611183101"/>
    <n v="832.75830195140998"/>
    <n v="0.08"/>
    <n v="411.70888564744695"/>
    <n v="7.0000000000000007E-2"/>
    <n v="605.30150553915576"/>
    <n v="15"/>
    <n v="4"/>
  </r>
  <r>
    <n v="857"/>
    <d v="2022-12-31T00:00:00"/>
    <x v="2"/>
    <s v="CLI428"/>
    <s v="CLI428"/>
    <s v="RIO DE JANEIRO"/>
    <s v="RJ"/>
    <s v="CLI1216"/>
    <s v="CABO DE SANTO AGOSTINHO"/>
    <s v="PE"/>
    <n v="2241.9811359999999"/>
    <n v="0"/>
    <n v="0"/>
    <n v="0"/>
    <n v="0"/>
    <x v="0"/>
    <x v="4"/>
    <s v="BRIGITK01"/>
    <s v="BRIGITCO"/>
    <n v="78.029871"/>
    <n v="124.3605"/>
    <n v="150"/>
    <n v="1861.1570078534401"/>
    <n v="372.23140157068804"/>
    <n v="704"/>
    <n v="7"/>
    <n v="0"/>
    <n v="0"/>
    <n v="704"/>
    <m/>
    <m/>
    <n v="0"/>
    <x v="2"/>
    <s v="BRSUATK01"/>
    <s v="BRSUATCO"/>
    <n v="23.080721"/>
    <n v="124.3605"/>
    <n v="150"/>
    <n v="1046.9952339974402"/>
    <n v="188.45914211953922"/>
    <n v="1344"/>
    <n v="7"/>
    <n v="0"/>
    <n v="0"/>
    <n v="1344"/>
    <s v="BRIGIDP01"/>
    <n v="105"/>
    <n v="80"/>
    <n v="0"/>
    <n v="0"/>
    <n v="0"/>
    <n v="105"/>
    <n v="29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71"/>
    <n v="248721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241.9811359999999"/>
    <n v="746.16300000000001"/>
    <n v="16390.775215330559"/>
    <n v="1147.3542650731392"/>
    <n v="110"/>
    <n v="150"/>
    <n v="1E-3"/>
    <n v="248.721"/>
    <n v="11473.542650731391"/>
    <n v="11982.263650731391"/>
    <n v="3180.9641611183101"/>
    <n v="3555.1472477621996"/>
    <n v="0.08"/>
    <n v="681.07366921522248"/>
    <n v="7.0000000000000007E-2"/>
    <n v="838.75845555119747"/>
    <n v="15"/>
    <n v="3"/>
  </r>
  <r>
    <n v="858"/>
    <d v="2022-12-31T00:00:00"/>
    <x v="2"/>
    <s v="CLI429"/>
    <s v="CLI429"/>
    <s v="TABOAO DA SERRA"/>
    <s v="SP"/>
    <s v="CLI1218"/>
    <s v="IGARASSU"/>
    <s v="PE"/>
    <n v="2628.155252"/>
    <n v="0"/>
    <n v="0"/>
    <n v="0"/>
    <n v="0"/>
    <x v="0"/>
    <x v="0"/>
    <s v="BRSSZTK01"/>
    <s v="BRSSZTCO"/>
    <n v="91.124923999999993"/>
    <n v="89.242999999999995"/>
    <n v="150"/>
    <n v="2020.06419393536"/>
    <n v="363.61155490836478"/>
    <n v="640"/>
    <n v="7"/>
    <n v="0"/>
    <n v="0"/>
    <n v="640"/>
    <m/>
    <m/>
    <n v="0"/>
    <x v="2"/>
    <s v="BRSUATK01"/>
    <s v="BRSUATCO"/>
    <n v="78.551428999999999"/>
    <n v="89.242999999999995"/>
    <n v="150"/>
    <n v="1833.76724497856"/>
    <n v="330.0781040961408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41"/>
    <n v="178486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628.155252"/>
    <n v="535.45799999999997"/>
    <n v="18802.56319012192"/>
    <n v="1316.1794233085345"/>
    <n v="110"/>
    <n v="150"/>
    <n v="1E-3"/>
    <n v="178.48599999999999"/>
    <n v="13161.794233085344"/>
    <n v="13600.280233085345"/>
    <n v="3180.9641611183101"/>
    <n v="4311.4846330531145"/>
    <n v="0.08"/>
    <n v="724.22073081335361"/>
    <n v="7.0000000000000007E-2"/>
    <n v="952.01961631597419"/>
    <n v="15"/>
    <n v="3"/>
  </r>
  <r>
    <n v="859"/>
    <d v="2022-12-31T00:00:00"/>
    <x v="1"/>
    <s v="CLI430"/>
    <s v="CLI430"/>
    <s v="IPOJUCA"/>
    <s v="PE"/>
    <s v="CLI766"/>
    <s v="MANAUS"/>
    <s v="AM"/>
    <n v="2824.7841972531837"/>
    <n v="2060.3329469999999"/>
    <n v="0"/>
    <n v="7000"/>
    <n v="0"/>
    <x v="0"/>
    <x v="3"/>
    <s v="BRSUATK01S"/>
    <s v="BRSUATCO"/>
    <n v="23.753726"/>
    <n v="86.357500000000002"/>
    <n v="150"/>
    <n v="1018.96390680064"/>
    <n v="0"/>
    <n v="1344"/>
    <n v="7"/>
    <n v="0"/>
    <n v="0"/>
    <n v="1344"/>
    <m/>
    <m/>
    <n v="0"/>
    <x v="0"/>
    <s v="BRMAOTK01"/>
    <s v="BRMAOCHI"/>
    <n v="11.436796000000001"/>
    <n v="86.357500000000002"/>
    <n v="150"/>
    <n v="836.4683890854399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482"/>
    <n v="17271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518.14499999999998"/>
    <n v="20120.549492178485"/>
    <n v="2414.4659390614179"/>
    <n v="110"/>
    <n v="150"/>
    <n v="1E-3"/>
    <n v="172.715"/>
    <n v="13371.109909764491"/>
    <n v="13803.824909764491"/>
    <n v="3180.9641611183101"/>
    <n v="7350.3923595607412"/>
    <n v="0.08"/>
    <n v="955.87140911027291"/>
    <n v="0.12"/>
    <n v="1656.4589891717389"/>
    <n v="15"/>
    <n v="1"/>
  </r>
  <r>
    <n v="860"/>
    <d v="2022-12-31T00:00:00"/>
    <x v="2"/>
    <s v="CLI431"/>
    <s v="CLI431"/>
    <s v="MANAUS"/>
    <s v="AM"/>
    <s v="CLI1223"/>
    <s v="LOUVEIRA"/>
    <s v="SP"/>
    <n v="3865.5848300000002"/>
    <n v="0"/>
    <n v="2812.8709169999997"/>
    <n v="7000"/>
    <n v="0"/>
    <x v="0"/>
    <x v="2"/>
    <s v="BRMAOTK01"/>
    <s v="BRMAOCHI"/>
    <n v="11.436796000000001"/>
    <n v="86.975000000000009"/>
    <n v="150"/>
    <n v="837.08588908544004"/>
    <n v="0"/>
    <n v="832"/>
    <n v="7"/>
    <n v="0"/>
    <n v="0"/>
    <n v="832"/>
    <m/>
    <m/>
    <n v="0"/>
    <x v="1"/>
    <s v="BRSSZTK01"/>
    <s v="BRSSZTCO"/>
    <n v="152.74309700000001"/>
    <n v="86.975000000000009"/>
    <n v="150"/>
    <n v="2930.7704807340801"/>
    <n v="527.538686532134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480"/>
    <n v="17395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865.5848300000002"/>
    <n v="521.85"/>
    <n v="27192.289957136803"/>
    <n v="3263.0747948564162"/>
    <n v="110"/>
    <n v="150"/>
    <n v="1E-3"/>
    <n v="173.95000000000002"/>
    <n v="19034.602969995762"/>
    <n v="19468.552969995762"/>
    <n v="3180.9641611183101"/>
    <n v="10752.732439057932"/>
    <n v="0.08"/>
    <n v="1213.8526330915288"/>
    <n v="0.12"/>
    <n v="2336.2263563994916"/>
    <n v="15"/>
    <n v="2"/>
  </r>
  <r>
    <n v="861"/>
    <d v="2022-12-31T00:00:00"/>
    <x v="2"/>
    <s v="CLI434"/>
    <s v="CLI434"/>
    <s v="MANAUS"/>
    <s v="AM"/>
    <s v="CLI1255"/>
    <s v="CABO DE SANTO AGOSTINHO"/>
    <s v="PE"/>
    <n v="3510.0331660000002"/>
    <n v="0"/>
    <n v="2055.2547009999998"/>
    <n v="7000"/>
    <n v="0"/>
    <x v="0"/>
    <x v="2"/>
    <s v="BRMAOTK01"/>
    <s v="BRMAOCHI"/>
    <n v="11.436796000000001"/>
    <n v="34.353999999999999"/>
    <n v="150"/>
    <n v="784.46488908544006"/>
    <n v="0"/>
    <n v="832"/>
    <n v="7"/>
    <n v="0"/>
    <n v="0"/>
    <n v="832"/>
    <m/>
    <m/>
    <n v="0"/>
    <x v="2"/>
    <s v="BRSUATK01"/>
    <s v="BRSUATCO"/>
    <n v="23.080721"/>
    <n v="34.353999999999999"/>
    <n v="150"/>
    <n v="956.98873399744014"/>
    <n v="172.2579721195392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266"/>
    <n v="6870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0.0331660000002"/>
    <n v="206.124"/>
    <n v="24462.026828979364"/>
    <n v="2935.4432194775236"/>
    <n v="110"/>
    <n v="150"/>
    <n v="1E-3"/>
    <n v="68.707999999999998"/>
    <n v="17123.418780285552"/>
    <n v="17452.126780285551"/>
    <n v="3180.9641611183101"/>
    <n v="10058.70899608436"/>
    <n v="0.08"/>
    <n v="1243.0732148066506"/>
    <n v="0.12"/>
    <n v="2094.2552136342661"/>
    <n v="15"/>
    <n v="1"/>
  </r>
  <r>
    <n v="862"/>
    <d v="2022-12-31T00:00:00"/>
    <x v="2"/>
    <s v="CLI436"/>
    <s v="CLI436"/>
    <s v="MANAUS"/>
    <s v="AM"/>
    <s v="CLI1127"/>
    <s v="CAJAMAR"/>
    <s v="SP"/>
    <n v="3898.610596"/>
    <n v="0"/>
    <n v="2846.7739100000003"/>
    <n v="7000"/>
    <n v="0"/>
    <x v="0"/>
    <x v="2"/>
    <s v="BRMAOTK01"/>
    <s v="BRMAOCHI"/>
    <n v="11.436796000000001"/>
    <n v="108.43600000000001"/>
    <n v="150"/>
    <n v="858.54688908544006"/>
    <n v="0"/>
    <n v="832"/>
    <n v="7"/>
    <n v="0"/>
    <n v="0"/>
    <n v="832"/>
    <m/>
    <m/>
    <n v="0"/>
    <x v="1"/>
    <s v="BRSSZTK01"/>
    <s v="BRSSZTCO"/>
    <n v="123.50964200000001"/>
    <n v="108.43600000000001"/>
    <n v="150"/>
    <n v="2519.0899020428801"/>
    <n v="453.436182367718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245"/>
    <n v="216872"/>
    <x v="1"/>
    <x v="14"/>
    <x v="1"/>
    <x v="1"/>
    <x v="8"/>
    <x v="1"/>
    <n v="6"/>
    <n v="6"/>
    <n v="6"/>
    <n v="6"/>
    <n v="6"/>
    <n v="6"/>
    <n v="6"/>
    <n v="68"/>
    <n v="7"/>
    <n v="180"/>
    <n v="7"/>
    <n v="180"/>
    <n v="3898.610596"/>
    <n v="650.61599999999999"/>
    <n v="27545.332613012164"/>
    <n v="3305.4399135614594"/>
    <n v="110"/>
    <n v="150"/>
    <n v="1E-3"/>
    <n v="216.87200000000001"/>
    <n v="19281.732829108514"/>
    <n v="19758.604829108514"/>
    <n v="3180.9641611183101"/>
    <n v="11433.003876861883"/>
    <n v="0.08"/>
    <n v="1274.202548448998"/>
    <n v="0.12"/>
    <n v="2371.0325794930213"/>
    <n v="15"/>
    <n v="6"/>
  </r>
  <r>
    <n v="863"/>
    <d v="2022-12-31T00:00:00"/>
    <x v="2"/>
    <s v="CLI436"/>
    <s v="CLI436"/>
    <s v="MANAUS"/>
    <s v="AM"/>
    <s v="CLI1233"/>
    <s v="CAJAMAR"/>
    <s v="SP"/>
    <n v="3898.610596"/>
    <n v="0"/>
    <n v="2846.7739100000003"/>
    <n v="7000"/>
    <n v="0"/>
    <x v="0"/>
    <x v="2"/>
    <s v="BRMAOTK01"/>
    <s v="BRMAOCHI"/>
    <n v="11.436796000000001"/>
    <n v="32.769500000000001"/>
    <n v="150"/>
    <n v="782.88038908544002"/>
    <n v="0"/>
    <n v="832"/>
    <n v="7"/>
    <n v="0"/>
    <n v="0"/>
    <n v="832"/>
    <m/>
    <m/>
    <n v="0"/>
    <x v="1"/>
    <s v="BRSSZTK01"/>
    <s v="BRSSZTCO"/>
    <n v="123.50964200000001"/>
    <n v="32.769500000000001"/>
    <n v="150"/>
    <n v="2443.4234020428798"/>
    <n v="439.8162123677183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020"/>
    <n v="6553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98.610596"/>
    <n v="196.61699999999999"/>
    <n v="27091.333613012161"/>
    <n v="3250.9600335614591"/>
    <n v="110"/>
    <n v="150"/>
    <n v="1E-3"/>
    <n v="65.539000000000001"/>
    <n v="18963.933529108512"/>
    <n v="19289.472529108512"/>
    <n v="3180.9641611183101"/>
    <n v="11115.204576861883"/>
    <n v="0.08"/>
    <n v="1249.868202048998"/>
    <n v="0.12"/>
    <n v="2314.7367034930212"/>
    <n v="15"/>
    <n v="1"/>
  </r>
  <r>
    <n v="864"/>
    <d v="2022-12-31T00:00:00"/>
    <x v="2"/>
    <s v="CLI437"/>
    <s v="CLI437"/>
    <s v="RIO CLARO"/>
    <s v="SP"/>
    <s v="CLI436"/>
    <s v="MANAUS"/>
    <s v="AM"/>
    <n v="2525.2887849135604"/>
    <n v="2709.0958969999997"/>
    <n v="0"/>
    <n v="7000"/>
    <n v="0"/>
    <x v="0"/>
    <x v="0"/>
    <s v="BRSSZTK01"/>
    <s v="BRSSZTCO"/>
    <n v="254.22760699999998"/>
    <n v="50.845500000000001"/>
    <n v="150"/>
    <n v="4398.3004309804801"/>
    <n v="791.69407757648639"/>
    <n v="640"/>
    <n v="7"/>
    <n v="0"/>
    <n v="0"/>
    <n v="640"/>
    <m/>
    <m/>
    <n v="0"/>
    <x v="0"/>
    <s v="BRMAOTK01"/>
    <s v="BRMAOCHI"/>
    <n v="11.436796000000001"/>
    <n v="50.845500000000001"/>
    <n v="150"/>
    <n v="800.95638908544004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591"/>
    <n v="10169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525.2887849135604"/>
    <n v="305.07299999999998"/>
    <n v="17873.616126796594"/>
    <n v="1251.1531288757617"/>
    <n v="110"/>
    <n v="150"/>
    <n v="1E-3"/>
    <n v="101.691"/>
    <n v="12511.531288757615"/>
    <n v="12873.222288757615"/>
    <n v="3180.9641611183101"/>
    <n v="2751.0013075733855"/>
    <n v="0.08"/>
    <n v="550.58171128921674"/>
    <n v="7.0000000000000007E-2"/>
    <n v="901.12556021303317"/>
    <n v="15"/>
    <n v="1"/>
  </r>
  <r>
    <n v="865"/>
    <d v="2022-12-31T00:00:00"/>
    <x v="2"/>
    <s v="CLI438"/>
    <s v="CLI438"/>
    <s v="JABOATAO DOS GUARARAPES"/>
    <s v="PE"/>
    <s v="CLI1038"/>
    <s v="MANAUS"/>
    <s v="AM"/>
    <n v="2824.724442364587"/>
    <n v="2038.9469220000001"/>
    <n v="0"/>
    <n v="7000"/>
    <n v="0"/>
    <x v="0"/>
    <x v="3"/>
    <s v="BRSUATK01"/>
    <s v="BRSUATCO"/>
    <n v="43.495365"/>
    <n v="121.50700000000001"/>
    <n v="150"/>
    <n v="1346.6181648736001"/>
    <n v="242.391269677248"/>
    <n v="1344"/>
    <n v="7"/>
    <n v="0"/>
    <n v="0"/>
    <n v="1344"/>
    <m/>
    <m/>
    <n v="0"/>
    <x v="0"/>
    <s v="BRMAOTK01"/>
    <s v="BRMAOCHI"/>
    <n v="11.436796000000001"/>
    <n v="121.50700000000001"/>
    <n v="150"/>
    <n v="871.6178890854400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269"/>
    <n v="24301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24442364587"/>
    <n v="729.04200000000003"/>
    <n v="20331.040699120218"/>
    <n v="2439.7248838944261"/>
    <n v="110"/>
    <n v="150"/>
    <n v="1E-3"/>
    <n v="243.01400000000001"/>
    <n v="14231.728489384152"/>
    <n v="14734.742489384151"/>
    <n v="3180.9641611183101"/>
    <n v="6899.5422743067993"/>
    <n v="0.08"/>
    <n v="981.929213259829"/>
    <n v="0.12"/>
    <n v="1768.1690987260981"/>
    <n v="15"/>
    <n v="1"/>
  </r>
  <r>
    <n v="866"/>
    <d v="2022-12-31T00:00:00"/>
    <x v="2"/>
    <s v="CLI439"/>
    <s v="CLI439"/>
    <s v="MANAUS"/>
    <s v="AM"/>
    <s v="CLI1179"/>
    <s v="RESENDE"/>
    <s v="RJ"/>
    <n v="4029.6304419999997"/>
    <n v="0"/>
    <n v="2976.3585929999999"/>
    <n v="7000"/>
    <n v="0"/>
    <x v="0"/>
    <x v="2"/>
    <s v="BRMAOTK01"/>
    <s v="BRMAOCHI"/>
    <n v="11.436796000000001"/>
    <n v="42.857500000000002"/>
    <n v="150"/>
    <n v="792.96838908543998"/>
    <n v="0"/>
    <n v="832"/>
    <n v="7"/>
    <n v="0"/>
    <n v="0"/>
    <n v="832"/>
    <m/>
    <m/>
    <n v="0"/>
    <x v="4"/>
    <s v="BRIGITK01"/>
    <s v="BRIGITCO"/>
    <n v="127.089484"/>
    <n v="42.857500000000002"/>
    <n v="150"/>
    <n v="2506.5526322137598"/>
    <n v="501.31052644275201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871"/>
    <n v="85715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4029.6304419999997"/>
    <n v="257.14499999999998"/>
    <n v="28041.612146404321"/>
    <n v="3364.9934575685184"/>
    <n v="110"/>
    <n v="150"/>
    <n v="1E-3"/>
    <n v="85.715000000000003"/>
    <n v="19629.128502483025"/>
    <n v="19974.843502483025"/>
    <n v="3180.9641611183101"/>
    <n v="11663.358320065516"/>
    <n v="0.08"/>
    <n v="1293.9209563792861"/>
    <n v="0.12"/>
    <n v="2396.9812202979629"/>
    <n v="15"/>
    <n v="3"/>
  </r>
  <r>
    <n v="867"/>
    <d v="2022-12-31T00:00:00"/>
    <x v="2"/>
    <s v="CLI439"/>
    <s v="CLI439"/>
    <s v="MANAUS"/>
    <s v="AM"/>
    <s v="CLI1127"/>
    <s v="CAJAMAR"/>
    <s v="SP"/>
    <n v="3898.610596"/>
    <n v="0"/>
    <n v="2846.7739100000003"/>
    <n v="7000"/>
    <n v="0"/>
    <x v="0"/>
    <x v="2"/>
    <s v="BRMAOTK01"/>
    <s v="BRMAOCHI"/>
    <n v="11.436796000000001"/>
    <n v="113.82300000000001"/>
    <n v="150"/>
    <n v="863.93388908544"/>
    <n v="0"/>
    <n v="832"/>
    <n v="7"/>
    <n v="0"/>
    <n v="0"/>
    <n v="832"/>
    <m/>
    <m/>
    <n v="0"/>
    <x v="1"/>
    <s v="BRSSZTK01"/>
    <s v="BRSSZTCO"/>
    <n v="123.50964200000001"/>
    <n v="113.82300000000001"/>
    <n v="150"/>
    <n v="2524.4769020428798"/>
    <n v="454.4058423677183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219"/>
    <n v="227646"/>
    <x v="1"/>
    <x v="2"/>
    <x v="2"/>
    <x v="2"/>
    <x v="3"/>
    <x v="3"/>
    <n v="2"/>
    <n v="1"/>
    <n v="2"/>
    <n v="2"/>
    <n v="2"/>
    <n v="2"/>
    <n v="2"/>
    <n v="19"/>
    <n v="7"/>
    <n v="180"/>
    <n v="7"/>
    <n v="180"/>
    <n v="3898.610596"/>
    <n v="682.93799999999999"/>
    <n v="27577.654613012161"/>
    <n v="3309.3185535614593"/>
    <n v="110"/>
    <n v="150"/>
    <n v="1E-3"/>
    <n v="227.64600000000002"/>
    <n v="19304.358229108511"/>
    <n v="19792.004229108512"/>
    <n v="3180.9641611183101"/>
    <n v="11455.62927686188"/>
    <n v="0.08"/>
    <n v="1275.935007648998"/>
    <n v="0.12"/>
    <n v="2375.0405074930213"/>
    <n v="15"/>
    <n v="2"/>
  </r>
  <r>
    <n v="868"/>
    <d v="2022-12-31T00:00:00"/>
    <x v="0"/>
    <s v="CLI440"/>
    <s v="CLI440"/>
    <s v="PACAJUS"/>
    <s v="CE"/>
    <s v="CLI1244"/>
    <s v="MANAUS"/>
    <s v="AM"/>
    <n v="2398.1130094236678"/>
    <n v="1477.7445349999998"/>
    <n v="0"/>
    <n v="7000"/>
    <n v="0"/>
    <x v="0"/>
    <x v="1"/>
    <s v="BRPECTK01S"/>
    <s v="BRPECAPM"/>
    <n v="95.168801000000002"/>
    <n v="59.186500000000002"/>
    <n v="150"/>
    <n v="2049.9243636486403"/>
    <n v="368.98638545675527"/>
    <n v="768"/>
    <n v="7"/>
    <n v="0"/>
    <n v="0"/>
    <n v="768"/>
    <m/>
    <m/>
    <n v="0"/>
    <x v="0"/>
    <s v="BRMAOTK01S"/>
    <s v="BRMAOCHI"/>
    <n v="11.436796000000001"/>
    <n v="59.186500000000002"/>
    <n v="150"/>
    <n v="809.29738908544005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245"/>
    <n v="11837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98.1130094236678"/>
    <n v="355.11900000000003"/>
    <n v="17060.016522475751"/>
    <n v="2047.20198269709"/>
    <n v="110"/>
    <n v="150"/>
    <n v="1E-3"/>
    <n v="118.373"/>
    <n v="9940.5563388191695"/>
    <n v="10318.929338819169"/>
    <n v="3180.9641611183101"/>
    <n v="5207.9651777008585"/>
    <n v="0.08"/>
    <n v="567.25769605026665"/>
    <n v="0.12"/>
    <n v="1238.2715206583002"/>
    <n v="15"/>
    <n v="1"/>
  </r>
  <r>
    <n v="869"/>
    <d v="2022-12-31T00:00:00"/>
    <x v="0"/>
    <s v="CLI440"/>
    <s v="CLI440"/>
    <s v="PACAJUS"/>
    <s v="CE"/>
    <s v="CLI902"/>
    <s v="MANAUS"/>
    <s v="AM"/>
    <n v="2398.1130094236678"/>
    <n v="1477.7445349999998"/>
    <n v="0"/>
    <n v="7000"/>
    <n v="0"/>
    <x v="0"/>
    <x v="1"/>
    <s v="BRPECTK01S"/>
    <s v="BRPECAPM"/>
    <n v="95.168801000000002"/>
    <n v="31.705000000000002"/>
    <n v="150"/>
    <n v="2022.4428636486402"/>
    <n v="364.03971545675523"/>
    <n v="768"/>
    <n v="7"/>
    <n v="0"/>
    <n v="0"/>
    <n v="768"/>
    <m/>
    <m/>
    <n v="0"/>
    <x v="0"/>
    <s v="BRMAOTK01S"/>
    <s v="BRMAOCHI"/>
    <n v="11.436796000000001"/>
    <n v="31.705000000000002"/>
    <n v="150"/>
    <n v="781.81588908544006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422"/>
    <n v="6341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98.1130094236678"/>
    <n v="190.23"/>
    <n v="16895.127522475752"/>
    <n v="2027.4153026970901"/>
    <n v="110"/>
    <n v="150"/>
    <n v="1E-3"/>
    <n v="63.410000000000004"/>
    <n v="9863.6081388191687"/>
    <n v="10187.018138819169"/>
    <n v="3180.9641611183101"/>
    <n v="5076.053977700858"/>
    <n v="0.08"/>
    <n v="561.49757365026665"/>
    <n v="0.12"/>
    <n v="1222.4421766583002"/>
    <n v="15"/>
    <n v="1"/>
  </r>
  <r>
    <n v="870"/>
    <d v="2022-12-31T00:00:00"/>
    <x v="0"/>
    <s v="CLI440"/>
    <s v="CLI440"/>
    <s v="PACAJUS"/>
    <s v="CE"/>
    <s v="CLI1038"/>
    <s v="MANAUS"/>
    <s v="AM"/>
    <n v="2398.1130094236678"/>
    <n v="1477.7445349999998"/>
    <n v="0"/>
    <n v="7000"/>
    <n v="0"/>
    <x v="0"/>
    <x v="1"/>
    <s v="BRPECTK01S"/>
    <s v="BRPECAPM"/>
    <n v="95.168801000000002"/>
    <n v="116.5245"/>
    <n v="150"/>
    <n v="2107.2623636486405"/>
    <n v="379.3072254567553"/>
    <n v="768"/>
    <n v="7"/>
    <n v="0"/>
    <n v="0"/>
    <n v="768"/>
    <m/>
    <m/>
    <n v="0"/>
    <x v="0"/>
    <s v="BRMAOTK01S"/>
    <s v="BRMAOCHI"/>
    <n v="11.436796000000001"/>
    <n v="116.5245"/>
    <n v="150"/>
    <n v="866.6353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63"/>
    <n v="23304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98.1130094236678"/>
    <n v="699.14700000000005"/>
    <n v="17404.044522475753"/>
    <n v="2088.4853426970903"/>
    <n v="110"/>
    <n v="150"/>
    <n v="1E-3"/>
    <n v="233.04900000000001"/>
    <n v="10101.102738819171"/>
    <n v="10594.151738819171"/>
    <n v="3180.9641611183101"/>
    <n v="5483.1875777008609"/>
    <n v="0.08"/>
    <n v="579.27574085026686"/>
    <n v="0.12"/>
    <n v="1271.2982086583006"/>
    <n v="15"/>
    <n v="1"/>
  </r>
  <r>
    <n v="871"/>
    <d v="2022-12-31T00:00:00"/>
    <x v="2"/>
    <s v="CLI441"/>
    <s v="CLI441"/>
    <s v="JABOATAO DOS GUARARAPES"/>
    <s v="PE"/>
    <s v="CLI146"/>
    <s v="MANAUS"/>
    <s v="AM"/>
    <n v="2824.724442364587"/>
    <n v="2038.9469220000001"/>
    <n v="0"/>
    <n v="7000"/>
    <n v="0"/>
    <x v="0"/>
    <x v="3"/>
    <s v="BRSUATK01"/>
    <s v="BRSUATCO"/>
    <n v="43.495365"/>
    <n v="46.808"/>
    <n v="150"/>
    <n v="1271.9191648736"/>
    <n v="228.94544967724801"/>
    <n v="1344"/>
    <n v="7"/>
    <n v="0"/>
    <n v="0"/>
    <n v="1344"/>
    <m/>
    <m/>
    <n v="0"/>
    <x v="0"/>
    <s v="BRMAOTK01"/>
    <s v="BRMAOCHI"/>
    <n v="11.436796000000001"/>
    <n v="46.808"/>
    <n v="150"/>
    <n v="796.91888908544001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00"/>
    <n v="93616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2824.724442364587"/>
    <n v="280.84800000000001"/>
    <n v="19882.846699120219"/>
    <n v="2385.941603894426"/>
    <n v="110"/>
    <n v="150"/>
    <n v="1E-3"/>
    <n v="93.616"/>
    <n v="13917.992689384153"/>
    <n v="14271.608689384153"/>
    <n v="3180.9641611183101"/>
    <n v="6585.8064743068026"/>
    <n v="0.08"/>
    <n v="957.90601485982916"/>
    <n v="0.12"/>
    <n v="1712.5930427260982"/>
    <n v="15"/>
    <n v="2"/>
  </r>
  <r>
    <n v="872"/>
    <d v="2022-12-31T00:00:00"/>
    <x v="2"/>
    <s v="CLI441"/>
    <s v="CLI441"/>
    <s v="JABOATAO DOS GUARARAPES"/>
    <s v="PE"/>
    <s v="CLI398"/>
    <s v="MANAUS"/>
    <s v="AM"/>
    <n v="2824.724442364587"/>
    <n v="2038.9469220000001"/>
    <n v="0"/>
    <n v="7000"/>
    <n v="0"/>
    <x v="0"/>
    <x v="3"/>
    <s v="BRSUATK01"/>
    <s v="BRSUATCO"/>
    <n v="43.495365"/>
    <n v="71.135500000000008"/>
    <n v="150"/>
    <n v="1296.2466648736001"/>
    <n v="233.32439967724801"/>
    <n v="1344"/>
    <n v="7"/>
    <n v="0"/>
    <n v="0"/>
    <n v="1344"/>
    <m/>
    <m/>
    <n v="0"/>
    <x v="0"/>
    <s v="BRMAOTK01"/>
    <s v="BRMAOCHI"/>
    <n v="11.436796000000001"/>
    <n v="71.135500000000008"/>
    <n v="150"/>
    <n v="821.2463890854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31"/>
    <n v="142271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2824.724442364587"/>
    <n v="426.81299999999999"/>
    <n v="20028.811699120215"/>
    <n v="2403.4574038944256"/>
    <n v="110"/>
    <n v="150"/>
    <n v="1E-3"/>
    <n v="142.27100000000002"/>
    <n v="14020.168189384151"/>
    <n v="14422.439189384151"/>
    <n v="3180.9641611183101"/>
    <n v="6687.9819743068001"/>
    <n v="0.08"/>
    <n v="965.72973885982913"/>
    <n v="0.12"/>
    <n v="1730.6927027260981"/>
    <n v="15"/>
    <n v="2"/>
  </r>
  <r>
    <n v="873"/>
    <d v="2022-12-31T00:00:00"/>
    <x v="0"/>
    <s v="CLI442"/>
    <s v="CLI442"/>
    <s v="MANAUS"/>
    <s v="AM"/>
    <s v="CLI315"/>
    <s v="ARACARIGUAMA"/>
    <s v="SP"/>
    <n v="3907.4822669999999"/>
    <n v="0"/>
    <n v="2853.6338900000001"/>
    <n v="7000"/>
    <n v="0"/>
    <x v="0"/>
    <x v="2"/>
    <s v="BRMAOTK01S"/>
    <s v="BRMAOCHI"/>
    <n v="11.436796000000001"/>
    <n v="26.5045"/>
    <n v="150"/>
    <n v="776.61538908544003"/>
    <n v="0"/>
    <n v="832"/>
    <n v="7"/>
    <n v="0"/>
    <n v="0"/>
    <n v="832"/>
    <m/>
    <m/>
    <n v="0"/>
    <x v="1"/>
    <s v="BRSSZTK01S"/>
    <s v="BRSSZTCO"/>
    <n v="133.95505300000002"/>
    <n v="26.5045"/>
    <n v="150"/>
    <n v="2591.92429648192"/>
    <n v="466.5463733667455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437"/>
    <n v="53009"/>
    <x v="0"/>
    <x v="8"/>
    <x v="25"/>
    <x v="19"/>
    <x v="20"/>
    <x v="15"/>
    <n v="13"/>
    <n v="13"/>
    <n v="13"/>
    <n v="13"/>
    <n v="12"/>
    <n v="11"/>
    <n v="11"/>
    <n v="143"/>
    <n v="7"/>
    <n v="110"/>
    <n v="7"/>
    <n v="110"/>
    <n v="3907.4822669999999"/>
    <n v="159.02700000000002"/>
    <n v="27113.990775906317"/>
    <n v="3253.6788931087581"/>
    <n v="75"/>
    <n v="150"/>
    <n v="1E-3"/>
    <n v="53.009"/>
    <n v="16621.815763237268"/>
    <n v="16899.824763237266"/>
    <n v="3180.9641611183101"/>
    <n v="11951.860602118955"/>
    <n v="0.08"/>
    <n v="1045.1790963442527"/>
    <n v="0.12"/>
    <n v="2027.9789715884717"/>
    <n v="15"/>
    <n v="13"/>
  </r>
  <r>
    <n v="874"/>
    <d v="2022-12-31T00:00:00"/>
    <x v="2"/>
    <s v="CLI443"/>
    <s v="CLI443"/>
    <s v="MANAUS"/>
    <s v="AM"/>
    <s v="CLI1223"/>
    <s v="LOUVEIRA"/>
    <s v="SP"/>
    <n v="3865.5848300000002"/>
    <n v="0"/>
    <n v="2812.8709169999997"/>
    <n v="7000"/>
    <n v="0"/>
    <x v="0"/>
    <x v="2"/>
    <s v="BRMAOTK01"/>
    <s v="BRMAOCHI"/>
    <n v="11.436796000000001"/>
    <n v="79.570000000000007"/>
    <n v="150"/>
    <n v="829.68088908544007"/>
    <n v="0"/>
    <n v="832"/>
    <n v="7"/>
    <n v="0"/>
    <n v="0"/>
    <n v="832"/>
    <m/>
    <m/>
    <n v="0"/>
    <x v="1"/>
    <s v="BRSSZTK01"/>
    <s v="BRSSZTCO"/>
    <n v="152.74309700000001"/>
    <n v="79.570000000000007"/>
    <n v="150"/>
    <n v="2923.3654807340804"/>
    <n v="526.2057865321344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346"/>
    <n v="159140"/>
    <x v="1"/>
    <x v="2"/>
    <x v="2"/>
    <x v="0"/>
    <x v="3"/>
    <x v="3"/>
    <n v="2"/>
    <n v="2"/>
    <n v="2"/>
    <n v="2"/>
    <n v="2"/>
    <n v="2"/>
    <n v="2"/>
    <n v="21"/>
    <n v="7"/>
    <n v="180"/>
    <n v="7"/>
    <n v="180"/>
    <n v="3865.5848300000002"/>
    <n v="477.42"/>
    <n v="27147.859957136803"/>
    <n v="3257.7431948564163"/>
    <n v="110"/>
    <n v="150"/>
    <n v="1E-3"/>
    <n v="159.14000000000001"/>
    <n v="19003.501969995759"/>
    <n v="19422.641969995759"/>
    <n v="3180.9641611183101"/>
    <n v="10721.631439057926"/>
    <n v="0.08"/>
    <n v="1211.4711850915282"/>
    <n v="0.12"/>
    <n v="2330.717036399491"/>
    <n v="15"/>
    <n v="2"/>
  </r>
  <r>
    <n v="875"/>
    <d v="2022-12-31T00:00:00"/>
    <x v="2"/>
    <s v="CLI444"/>
    <s v="CLI444"/>
    <s v="SAO CARLOS"/>
    <s v="SP"/>
    <s v="CLI173"/>
    <s v="MANAUS"/>
    <s v="AM"/>
    <n v="2469.5230337508128"/>
    <n v="2648.3485340000002"/>
    <n v="0"/>
    <n v="7000"/>
    <n v="0"/>
    <x v="0"/>
    <x v="0"/>
    <s v="BRSSZTK01"/>
    <s v="BRSSZTCO"/>
    <n v="313.15260600000005"/>
    <n v="35.846000000000004"/>
    <n v="150"/>
    <n v="5256.3714281638404"/>
    <n v="946.14685706949126"/>
    <n v="640"/>
    <n v="7"/>
    <n v="0"/>
    <n v="0"/>
    <n v="640"/>
    <m/>
    <m/>
    <n v="0"/>
    <x v="0"/>
    <s v="BRMAOTK01"/>
    <s v="BRMAOCHI"/>
    <n v="11.436796000000001"/>
    <n v="35.846000000000004"/>
    <n v="150"/>
    <n v="785.95688908544003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498"/>
    <n v="71692"/>
    <x v="0"/>
    <x v="0"/>
    <x v="5"/>
    <x v="4"/>
    <x v="0"/>
    <x v="0"/>
    <n v="3"/>
    <n v="3"/>
    <n v="4"/>
    <n v="4"/>
    <n v="3"/>
    <n v="3"/>
    <n v="3"/>
    <n v="38"/>
    <n v="7"/>
    <n v="110"/>
    <n v="7"/>
    <n v="110"/>
    <n v="2469.5230337508128"/>
    <n v="215.07599999999999"/>
    <n v="17404.916141280424"/>
    <n v="1218.3441298896298"/>
    <n v="75"/>
    <n v="150"/>
    <n v="1E-3"/>
    <n v="71.692000000000007"/>
    <n v="12183.441298896296"/>
    <n v="12480.133298896297"/>
    <n v="3180.9641611183101"/>
    <n v="1514.8408205287064"/>
    <n v="0.08"/>
    <n v="439.33264996620204"/>
    <n v="7.0000000000000007E-2"/>
    <n v="873.60933092274081"/>
    <n v="15"/>
    <n v="4"/>
  </r>
  <r>
    <n v="876"/>
    <d v="2022-12-31T00:00:00"/>
    <x v="2"/>
    <s v="CLI444"/>
    <s v="CLI444"/>
    <s v="SAO CARLOS"/>
    <s v="SP"/>
    <s v="CLI416"/>
    <s v="MANAUS"/>
    <s v="AM"/>
    <n v="2469.5230337508128"/>
    <n v="2648.3485340000002"/>
    <n v="0"/>
    <n v="7000"/>
    <n v="0"/>
    <x v="0"/>
    <x v="0"/>
    <s v="BRSSZTK01"/>
    <s v="BRSSZTCO"/>
    <n v="313.15260600000005"/>
    <n v="77.981999999999999"/>
    <n v="150"/>
    <n v="5298.5074281638408"/>
    <n v="953.73133706949136"/>
    <n v="640"/>
    <n v="7"/>
    <n v="0"/>
    <n v="0"/>
    <n v="640"/>
    <m/>
    <m/>
    <n v="0"/>
    <x v="0"/>
    <s v="BRMAOTK01"/>
    <s v="BRMAOCHI"/>
    <n v="11.436796000000001"/>
    <n v="77.981999999999999"/>
    <n v="150"/>
    <n v="828.09288908543999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282"/>
    <n v="155964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469.5230337508128"/>
    <n v="467.892"/>
    <n v="17657.732141280423"/>
    <n v="1236.0412498896296"/>
    <n v="75"/>
    <n v="150"/>
    <n v="1E-3"/>
    <n v="155.964"/>
    <n v="12360.412498896296"/>
    <n v="12741.376498896296"/>
    <n v="3180.9641611183101"/>
    <n v="1691.8120205287046"/>
    <n v="0.08"/>
    <n v="452.88358756620192"/>
    <n v="7.0000000000000007E-2"/>
    <n v="891.89635492274078"/>
    <n v="15"/>
    <n v="2"/>
  </r>
  <r>
    <n v="877"/>
    <d v="2022-12-31T00:00:00"/>
    <x v="0"/>
    <s v="CLI446"/>
    <s v="CLI446"/>
    <s v="MANAUS"/>
    <s v="AM"/>
    <s v="CLI989"/>
    <s v="IPOJUCA"/>
    <s v="PE"/>
    <n v="3513.7510560000001"/>
    <n v="0"/>
    <n v="2060.3329469999999"/>
    <n v="7000"/>
    <n v="0"/>
    <x v="0"/>
    <x v="2"/>
    <s v="BRMAOTK01S"/>
    <s v="BRMAOCHI"/>
    <n v="11.436796000000001"/>
    <n v="70.342500000000001"/>
    <n v="150"/>
    <n v="820.45338908543999"/>
    <n v="0"/>
    <n v="832"/>
    <n v="7"/>
    <n v="0"/>
    <n v="0"/>
    <n v="832"/>
    <m/>
    <m/>
    <n v="0"/>
    <x v="2"/>
    <s v="BRSUATK01S"/>
    <s v="BRSUATCO"/>
    <n v="23.753726"/>
    <n v="70.342500000000001"/>
    <n v="150"/>
    <n v="1002.94890680064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345"/>
    <n v="140685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3513.7510560000001"/>
    <n v="422.05500000000001"/>
    <n v="24703.205871253762"/>
    <n v="2964.3847045504513"/>
    <n v="110"/>
    <n v="150"/>
    <n v="1E-3"/>
    <n v="140.685"/>
    <n v="16015.862502757376"/>
    <n v="16416.547502757378"/>
    <n v="3180.9641611183101"/>
    <n v="10764.583341639067"/>
    <n v="0.08"/>
    <n v="1167.4516165497039"/>
    <n v="0.12"/>
    <n v="1969.9857003308853"/>
    <n v="15"/>
    <n v="3"/>
  </r>
  <r>
    <n v="878"/>
    <d v="2022-12-31T00:00:00"/>
    <x v="0"/>
    <s v="CLI446"/>
    <s v="CLI446"/>
    <s v="MANAUS"/>
    <s v="AM"/>
    <s v="CLI1161"/>
    <s v="CAUCAIA"/>
    <s v="CE"/>
    <n v="3014.7999490000002"/>
    <n v="0"/>
    <n v="1428.051281"/>
    <n v="7000"/>
    <n v="0"/>
    <x v="0"/>
    <x v="2"/>
    <s v="BRMAOTK01S"/>
    <s v="BRMAOCHI"/>
    <n v="11.436796000000001"/>
    <n v="52.11"/>
    <n v="150"/>
    <n v="802.22088908544004"/>
    <n v="0"/>
    <n v="832"/>
    <n v="7"/>
    <n v="0"/>
    <n v="0"/>
    <n v="832"/>
    <m/>
    <m/>
    <n v="0"/>
    <x v="3"/>
    <s v="BRPECTK01S"/>
    <s v="BRPECAPM"/>
    <n v="34.109209"/>
    <n v="52.11"/>
    <n v="150"/>
    <n v="1138.14987043776"/>
    <n v="204.86697667879679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70"/>
    <n v="10422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014.7999490000002"/>
    <n v="312.66000000000003"/>
    <n v="21205.453861661044"/>
    <n v="2544.6544633993253"/>
    <n v="110"/>
    <n v="150"/>
    <n v="1E-3"/>
    <n v="104.22"/>
    <n v="13485.55817149649"/>
    <n v="13849.778171496489"/>
    <n v="3180.9641611183101"/>
    <n v="8773.8140103781789"/>
    <n v="0.08"/>
    <n v="936.36323482355954"/>
    <n v="0.12"/>
    <n v="1661.9733805795786"/>
    <n v="15"/>
    <n v="2"/>
  </r>
  <r>
    <n v="879"/>
    <d v="2022-12-31T00:00:00"/>
    <x v="0"/>
    <s v="CLI446"/>
    <s v="CLI446"/>
    <s v="MANAUS"/>
    <s v="AM"/>
    <s v="CLI986"/>
    <s v="CAUCAIA"/>
    <s v="CE"/>
    <n v="3014.7999490000002"/>
    <n v="0"/>
    <n v="1428.051281"/>
    <n v="7000"/>
    <n v="0"/>
    <x v="0"/>
    <x v="2"/>
    <s v="BRMAOTK01S"/>
    <s v="BRMAOCHI"/>
    <n v="11.436796000000001"/>
    <n v="61.204500000000003"/>
    <n v="150"/>
    <n v="811.31538908544007"/>
    <n v="0"/>
    <n v="832"/>
    <n v="7"/>
    <n v="0"/>
    <n v="0"/>
    <n v="832"/>
    <m/>
    <m/>
    <n v="0"/>
    <x v="3"/>
    <s v="BRPECTK01S"/>
    <s v="BRPECAPM"/>
    <n v="34.109209"/>
    <n v="61.204500000000003"/>
    <n v="150"/>
    <n v="1147.2443704377602"/>
    <n v="206.50398667879682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329"/>
    <n v="12240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367.22700000000003"/>
    <n v="21260.020861661043"/>
    <n v="2551.202503399325"/>
    <n v="110"/>
    <n v="150"/>
    <n v="1E-3"/>
    <n v="122.40900000000001"/>
    <n v="13511.022771496489"/>
    <n v="13893.431771496489"/>
    <n v="3180.9641611183101"/>
    <n v="8817.4676103781785"/>
    <n v="0.08"/>
    <n v="938.26944202355924"/>
    <n v="0.12"/>
    <n v="1667.2118125795787"/>
    <n v="15"/>
    <n v="1"/>
  </r>
  <r>
    <n v="880"/>
    <d v="2022-12-31T00:00:00"/>
    <x v="0"/>
    <s v="CLI446"/>
    <s v="CLI446"/>
    <s v="MANAUS"/>
    <s v="AM"/>
    <s v="CLI993"/>
    <s v="IPOJUCA"/>
    <s v="PE"/>
    <n v="3513.7510560000001"/>
    <n v="0"/>
    <n v="2060.3329469999999"/>
    <n v="7000"/>
    <n v="0"/>
    <x v="0"/>
    <x v="2"/>
    <s v="BRMAOTK01S"/>
    <s v="BRMAOCHI"/>
    <n v="11.436796000000001"/>
    <n v="44.801500000000004"/>
    <n v="150"/>
    <n v="794.91238908544005"/>
    <n v="0"/>
    <n v="832"/>
    <n v="7"/>
    <n v="0"/>
    <n v="0"/>
    <n v="832"/>
    <m/>
    <m/>
    <n v="0"/>
    <x v="2"/>
    <s v="BRSUATK01S"/>
    <s v="BRSUATCO"/>
    <n v="23.753726"/>
    <n v="44.801500000000004"/>
    <n v="150"/>
    <n v="977.40790680064003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684"/>
    <n v="8960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3.7510560000001"/>
    <n v="268.80900000000003"/>
    <n v="24549.959871253763"/>
    <n v="2945.9951845504515"/>
    <n v="110"/>
    <n v="150"/>
    <n v="1E-3"/>
    <n v="89.603000000000009"/>
    <n v="15944.347702757377"/>
    <n v="16293.950702757376"/>
    <n v="3180.9641611183101"/>
    <n v="10641.986541639066"/>
    <n v="0.08"/>
    <n v="1161.7304325497037"/>
    <n v="0.12"/>
    <n v="1955.274084330885"/>
    <n v="15"/>
    <n v="1"/>
  </r>
  <r>
    <n v="881"/>
    <d v="2022-12-31T00:00:00"/>
    <x v="0"/>
    <s v="CLI446"/>
    <s v="CLI446"/>
    <s v="MANAUS"/>
    <s v="AM"/>
    <s v="CLI827"/>
    <s v="CAUCAIA"/>
    <s v="CE"/>
    <n v="3014.7999490000002"/>
    <n v="0"/>
    <n v="1428.051281"/>
    <n v="7000"/>
    <n v="0"/>
    <x v="0"/>
    <x v="2"/>
    <s v="BRMAOTK01S"/>
    <s v="BRMAOCHI"/>
    <n v="11.436796000000001"/>
    <n v="112.9135"/>
    <n v="150"/>
    <n v="863.02438908544002"/>
    <n v="0"/>
    <n v="832"/>
    <n v="7"/>
    <n v="0"/>
    <n v="0"/>
    <n v="832"/>
    <m/>
    <m/>
    <n v="0"/>
    <x v="3"/>
    <s v="BRPECTK01S"/>
    <s v="BRPECAPM"/>
    <n v="34.109209"/>
    <n v="112.9135"/>
    <n v="150"/>
    <n v="1198.95337043776"/>
    <n v="215.8116066787967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718"/>
    <n v="22582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677.48099999999999"/>
    <n v="21570.274861661044"/>
    <n v="2588.4329833993252"/>
    <n v="110"/>
    <n v="150"/>
    <n v="1E-3"/>
    <n v="225.827"/>
    <n v="13655.80797149649"/>
    <n v="14141.634971496489"/>
    <n v="3180.9641611183101"/>
    <n v="9065.6708103781784"/>
    <n v="0.08"/>
    <n v="949.10764842355934"/>
    <n v="0.12"/>
    <n v="1696.9961965795785"/>
    <n v="15"/>
    <n v="1"/>
  </r>
  <r>
    <n v="882"/>
    <d v="2022-12-31T00:00:00"/>
    <x v="0"/>
    <s v="CLI446"/>
    <s v="CLI446"/>
    <s v="MANAUS"/>
    <s v="AM"/>
    <s v="CLI983"/>
    <s v="CAUCAIA"/>
    <s v="CE"/>
    <n v="3014.7999490000002"/>
    <n v="0"/>
    <n v="1428.051281"/>
    <n v="7000"/>
    <n v="0"/>
    <x v="0"/>
    <x v="2"/>
    <s v="BRMAOTK01S"/>
    <s v="BRMAOCHI"/>
    <n v="11.436796000000001"/>
    <n v="124.517"/>
    <n v="150"/>
    <n v="874.62788908544007"/>
    <n v="0"/>
    <n v="832"/>
    <n v="7"/>
    <n v="0"/>
    <n v="0"/>
    <n v="832"/>
    <m/>
    <m/>
    <n v="0"/>
    <x v="3"/>
    <s v="BRPECTK01S"/>
    <s v="BRPECAPM"/>
    <n v="34.109209"/>
    <n v="124.517"/>
    <n v="150"/>
    <n v="1210.5568704377599"/>
    <n v="217.90023667879677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203"/>
    <n v="24903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747.10199999999998"/>
    <n v="21639.895861661043"/>
    <n v="2596.787503399325"/>
    <n v="110"/>
    <n v="150"/>
    <n v="1E-3"/>
    <n v="249.03399999999999"/>
    <n v="13688.297771496491"/>
    <n v="14197.331771496491"/>
    <n v="3180.9641611183101"/>
    <n v="9121.36761037818"/>
    <n v="0.08"/>
    <n v="951.53974202355937"/>
    <n v="0.12"/>
    <n v="1703.6798125795788"/>
    <n v="15"/>
    <n v="1"/>
  </r>
  <r>
    <n v="883"/>
    <d v="2022-12-31T00:00:00"/>
    <x v="0"/>
    <s v="CLI446"/>
    <s v="CLI446"/>
    <s v="MANAUS"/>
    <s v="AM"/>
    <s v="CLI857"/>
    <s v="IPOJUCA"/>
    <s v="PE"/>
    <n v="3513.7510560000001"/>
    <n v="0"/>
    <n v="2060.3329469999999"/>
    <n v="7000"/>
    <n v="0"/>
    <x v="0"/>
    <x v="2"/>
    <s v="BRMAOTK01S"/>
    <s v="BRMAOCHI"/>
    <n v="11.436796000000001"/>
    <n v="33.233499999999999"/>
    <n v="150"/>
    <n v="783.34438908544007"/>
    <n v="0"/>
    <n v="832"/>
    <n v="7"/>
    <n v="0"/>
    <n v="0"/>
    <n v="832"/>
    <m/>
    <m/>
    <n v="0"/>
    <x v="2"/>
    <s v="BRSUATK01S"/>
    <s v="BRSUATCO"/>
    <n v="23.753726"/>
    <n v="33.233499999999999"/>
    <n v="150"/>
    <n v="965.83990680064005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25"/>
    <n v="6646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3.7510560000001"/>
    <n v="199.40100000000001"/>
    <n v="24480.551871253763"/>
    <n v="2937.6662245504513"/>
    <n v="110"/>
    <n v="150"/>
    <n v="1E-3"/>
    <n v="66.466999999999999"/>
    <n v="15911.957302757377"/>
    <n v="16238.424302757378"/>
    <n v="3180.9641611183101"/>
    <n v="10586.460141639067"/>
    <n v="0.08"/>
    <n v="1159.1392005497039"/>
    <n v="0.12"/>
    <n v="1948.6109163308852"/>
    <n v="15"/>
    <n v="1"/>
  </r>
  <r>
    <n v="884"/>
    <d v="2022-12-31T00:00:00"/>
    <x v="0"/>
    <s v="CLI446"/>
    <s v="CLI446"/>
    <s v="MANAUS"/>
    <s v="AM"/>
    <s v="CLI984"/>
    <s v="CAUCAIA"/>
    <s v="CE"/>
    <n v="3014.7999490000002"/>
    <n v="0"/>
    <n v="1428.051281"/>
    <n v="7000"/>
    <n v="0"/>
    <x v="0"/>
    <x v="2"/>
    <s v="BRMAOTK01S"/>
    <s v="BRMAOCHI"/>
    <n v="11.436796000000001"/>
    <n v="121.666"/>
    <n v="150"/>
    <n v="871.77688908543996"/>
    <n v="0"/>
    <n v="832"/>
    <n v="7"/>
    <n v="0"/>
    <n v="0"/>
    <n v="832"/>
    <m/>
    <m/>
    <n v="0"/>
    <x v="3"/>
    <s v="BRPECTK01S"/>
    <s v="BRPECAPM"/>
    <n v="34.109209"/>
    <n v="121.666"/>
    <n v="150"/>
    <n v="1207.70587043776"/>
    <n v="217.3870566787968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495"/>
    <n v="24333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729.99599999999998"/>
    <n v="21622.789861661044"/>
    <n v="2594.7347833993254"/>
    <n v="110"/>
    <n v="150"/>
    <n v="1E-3"/>
    <n v="243.33199999999999"/>
    <n v="13680.314971496491"/>
    <n v="14183.646971496491"/>
    <n v="3180.9641611183101"/>
    <n v="9107.6828103781809"/>
    <n v="0.08"/>
    <n v="950.94217242355955"/>
    <n v="0.12"/>
    <n v="1702.0376365795789"/>
    <n v="15"/>
    <n v="1"/>
  </r>
  <r>
    <n v="885"/>
    <d v="2022-12-31T00:00:00"/>
    <x v="0"/>
    <s v="CLI446"/>
    <s v="CLI446"/>
    <s v="MANAUS"/>
    <s v="AM"/>
    <s v="CLI1309"/>
    <s v="CAUCAIA"/>
    <s v="CE"/>
    <n v="3014.7999490000002"/>
    <n v="0"/>
    <n v="1428.051281"/>
    <n v="7000"/>
    <n v="0"/>
    <x v="0"/>
    <x v="2"/>
    <s v="BRMAOTK01S"/>
    <s v="BRMAOCHI"/>
    <n v="11.436796000000001"/>
    <n v="98.289000000000001"/>
    <n v="150"/>
    <n v="848.39988908544001"/>
    <n v="0"/>
    <n v="832"/>
    <n v="7"/>
    <n v="0"/>
    <n v="0"/>
    <n v="832"/>
    <m/>
    <m/>
    <n v="0"/>
    <x v="3"/>
    <s v="BRPECTK01S"/>
    <s v="BRPECAPM"/>
    <n v="34.109209"/>
    <n v="98.289000000000001"/>
    <n v="150"/>
    <n v="1184.3288704377601"/>
    <n v="213.1791966787968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651"/>
    <n v="19657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014.7999490000002"/>
    <n v="589.73400000000004"/>
    <n v="21482.527861661045"/>
    <n v="2577.9033433993254"/>
    <n v="110"/>
    <n v="150"/>
    <n v="1E-3"/>
    <n v="196.578"/>
    <n v="13614.85937149649"/>
    <n v="14071.43737149649"/>
    <n v="3180.9641611183101"/>
    <n v="8995.4732103781789"/>
    <n v="0.08"/>
    <n v="946.0423532235593"/>
    <n v="0.12"/>
    <n v="1688.5724845795787"/>
    <n v="15"/>
    <n v="1"/>
  </r>
  <r>
    <n v="886"/>
    <d v="2022-12-31T00:00:00"/>
    <x v="0"/>
    <s v="CLI447"/>
    <s v="CLI447"/>
    <s v="IPOJUCA"/>
    <s v="PE"/>
    <s v="CLI845"/>
    <s v="MANAUS"/>
    <s v="AM"/>
    <n v="2824.7841972531837"/>
    <n v="2060.3329469999999"/>
    <n v="0"/>
    <n v="7000"/>
    <n v="0"/>
    <x v="0"/>
    <x v="3"/>
    <s v="BRSUATK01S"/>
    <s v="BRSUATCO"/>
    <n v="23.753726"/>
    <n v="37.794499999999999"/>
    <n v="150"/>
    <n v="970.40090680063997"/>
    <n v="0"/>
    <n v="1344"/>
    <n v="7"/>
    <n v="0"/>
    <n v="0"/>
    <n v="1344"/>
    <m/>
    <m/>
    <n v="0"/>
    <x v="0"/>
    <s v="BRMAOTK01S"/>
    <s v="BRMAOCHI"/>
    <n v="11.436796000000001"/>
    <n v="37.794499999999999"/>
    <n v="150"/>
    <n v="787.90538908543999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67"/>
    <n v="7558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226.767"/>
    <n v="19829.171492178484"/>
    <n v="2379.5005790614182"/>
    <n v="110"/>
    <n v="150"/>
    <n v="1E-3"/>
    <n v="75.588999999999999"/>
    <n v="12649.60563740468"/>
    <n v="12985.19463740468"/>
    <n v="3180.9641611183101"/>
    <n v="7368.2304762863696"/>
    <n v="0.08"/>
    <n v="898.15106732148809"/>
    <n v="0.12"/>
    <n v="1558.2233564885616"/>
    <n v="15"/>
    <n v="1"/>
  </r>
  <r>
    <n v="887"/>
    <d v="2022-12-31T00:00:00"/>
    <x v="3"/>
    <s v="CLI448"/>
    <s v="CLI448"/>
    <s v="SANTA LUZIA DO NORTE"/>
    <s v="AL"/>
    <s v="CLI501"/>
    <s v="MANAUS"/>
    <s v="AM"/>
    <n v="2770.7778640141869"/>
    <n v="2032.0484429999999"/>
    <n v="0"/>
    <n v="7000"/>
    <n v="0"/>
    <x v="0"/>
    <x v="3"/>
    <s v="BRSUATK01"/>
    <s v="BRSUATCO"/>
    <n v="222.28744"/>
    <n v="123.354"/>
    <n v="150"/>
    <n v="3997.5629750016001"/>
    <n v="479.70755700019197"/>
    <n v="1344"/>
    <n v="7"/>
    <n v="0"/>
    <n v="0"/>
    <n v="1344"/>
    <m/>
    <m/>
    <n v="0"/>
    <x v="0"/>
    <s v="BRMAOTK01S"/>
    <s v="BRMAOCHI"/>
    <n v="11.436796000000001"/>
    <n v="123.354"/>
    <n v="150"/>
    <n v="873.46488908544006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310"/>
    <n v="24670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70.7778640141869"/>
    <n v="740.12400000000002"/>
    <n v="19975.773643405784"/>
    <n v="2397.0928372086942"/>
    <n v="110"/>
    <n v="150"/>
    <n v="1E-3"/>
    <n v="246.708"/>
    <n v="13371.61612802424"/>
    <n v="13878.32412802424"/>
    <n v="3180.9641611183101"/>
    <n v="4263.7969919043298"/>
    <n v="0.08"/>
    <n v="682.20709655496057"/>
    <n v="0.12"/>
    <n v="1665.3988953629087"/>
    <n v="15"/>
    <n v="1"/>
  </r>
  <r>
    <n v="888"/>
    <d v="2022-12-31T00:00:00"/>
    <x v="3"/>
    <s v="CLI448"/>
    <s v="CLI448"/>
    <s v="SANTA LUZIA DO NORTE"/>
    <s v="AL"/>
    <s v="CLI1125"/>
    <s v="MANAUS"/>
    <s v="AM"/>
    <n v="2770.7778640141869"/>
    <n v="2032.0484429999999"/>
    <n v="0"/>
    <n v="7000"/>
    <n v="0"/>
    <x v="0"/>
    <x v="3"/>
    <s v="BRSUATK01"/>
    <s v="BRSUATCO"/>
    <n v="222.28744"/>
    <n v="71.383499999999998"/>
    <n v="150"/>
    <n v="3945.5924750016002"/>
    <n v="473.471097000192"/>
    <n v="1344"/>
    <n v="7"/>
    <n v="0"/>
    <n v="0"/>
    <n v="1344"/>
    <m/>
    <m/>
    <n v="0"/>
    <x v="0"/>
    <s v="BRMAOTK01S"/>
    <s v="BRMAOCHI"/>
    <n v="11.436796000000001"/>
    <n v="71.383499999999998"/>
    <n v="150"/>
    <n v="821.49438908544005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058"/>
    <n v="14276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70.7778640141869"/>
    <n v="428.30099999999999"/>
    <n v="19663.950643405784"/>
    <n v="2359.6740772086941"/>
    <n v="110"/>
    <n v="150"/>
    <n v="1E-3"/>
    <n v="142.767"/>
    <n v="13189.71937802424"/>
    <n v="13592.486378024239"/>
    <n v="3180.9641611183101"/>
    <n v="4029.9297419043291"/>
    <n v="0.08"/>
    <n v="668.15427335496065"/>
    <n v="0.12"/>
    <n v="1631.0983653629087"/>
    <n v="15"/>
    <n v="1"/>
  </r>
  <r>
    <n v="889"/>
    <d v="2022-12-31T00:00:00"/>
    <x v="3"/>
    <s v="CLI449"/>
    <s v="CLI449"/>
    <s v="MARACANAU"/>
    <s v="CE"/>
    <s v="CLI885"/>
    <s v="MANAUS"/>
    <s v="AM"/>
    <n v="2379.3453616800616"/>
    <n v="1441.5450940000001"/>
    <n v="0"/>
    <n v="7000"/>
    <n v="0"/>
    <x v="0"/>
    <x v="1"/>
    <s v="BRPECTK01"/>
    <s v="BRPECAPM"/>
    <n v="52.945568000000002"/>
    <n v="78.718500000000006"/>
    <n v="150"/>
    <n v="1443.8499206515201"/>
    <n v="259.89298571727358"/>
    <n v="768"/>
    <n v="7"/>
    <n v="0"/>
    <n v="0"/>
    <n v="768"/>
    <m/>
    <m/>
    <n v="0"/>
    <x v="0"/>
    <s v="BRMAOTK01S"/>
    <s v="BRMAOCHI"/>
    <n v="11.436796000000001"/>
    <n v="78.718500000000006"/>
    <n v="150"/>
    <n v="828.8293890854399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504"/>
    <n v="157437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379.3453616800616"/>
    <n v="472.31100000000004"/>
    <n v="17049.758177354837"/>
    <n v="2045.9709812825804"/>
    <n v="110"/>
    <n v="150"/>
    <n v="1E-3"/>
    <n v="157.43700000000001"/>
    <n v="11354.650151788577"/>
    <n v="11772.087151788577"/>
    <n v="3180.9641611183101"/>
    <n v="5217.2730700187458"/>
    <n v="0.08"/>
    <n v="739.16118850674741"/>
    <n v="0.12"/>
    <n v="1412.6504582146292"/>
    <n v="15"/>
    <n v="3"/>
  </r>
  <r>
    <n v="890"/>
    <d v="2022-12-31T00:00:00"/>
    <x v="3"/>
    <s v="CLI449"/>
    <s v="CLI449"/>
    <s v="MARACANAU"/>
    <s v="CE"/>
    <s v="CLI652"/>
    <s v="MANAUS"/>
    <s v="AM"/>
    <n v="2379.3453616800616"/>
    <n v="1441.5450940000001"/>
    <n v="0"/>
    <n v="7000"/>
    <n v="0"/>
    <x v="0"/>
    <x v="1"/>
    <s v="BRPECTK01"/>
    <s v="BRPECAPM"/>
    <n v="52.945568000000002"/>
    <n v="123.46600000000001"/>
    <n v="150"/>
    <n v="1488.5974206515202"/>
    <n v="267.94753571727364"/>
    <n v="768"/>
    <n v="7"/>
    <n v="0"/>
    <n v="0"/>
    <n v="768"/>
    <m/>
    <m/>
    <n v="0"/>
    <x v="0"/>
    <s v="BRMAOTK01S"/>
    <s v="BRMAOCHI"/>
    <n v="11.436796000000001"/>
    <n v="123.46600000000001"/>
    <n v="150"/>
    <n v="873.57688908544003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588"/>
    <n v="246932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379.3453616800616"/>
    <n v="740.79600000000005"/>
    <n v="17318.243177354834"/>
    <n v="2078.1891812825802"/>
    <n v="110"/>
    <n v="150"/>
    <n v="1E-3"/>
    <n v="246.93200000000002"/>
    <n v="11511.266401788575"/>
    <n v="12018.198401788575"/>
    <n v="3180.9641611183101"/>
    <n v="5418.6368200187444"/>
    <n v="0.08"/>
    <n v="751.04612450674733"/>
    <n v="0.12"/>
    <n v="1442.1838082146289"/>
    <n v="15"/>
    <n v="2"/>
  </r>
  <r>
    <n v="891"/>
    <d v="2022-12-31T00:00:00"/>
    <x v="3"/>
    <s v="CLI449"/>
    <s v="CLI449"/>
    <s v="MARACANAU"/>
    <s v="CE"/>
    <s v="CLI595"/>
    <s v="MANAUS"/>
    <s v="AM"/>
    <n v="2379.3453616800616"/>
    <n v="1441.5450940000001"/>
    <n v="0"/>
    <n v="7000"/>
    <n v="0"/>
    <x v="0"/>
    <x v="1"/>
    <s v="BRPECTK01"/>
    <s v="BRPECAPM"/>
    <n v="52.945568000000002"/>
    <n v="29.221499999999999"/>
    <n v="150"/>
    <n v="1394.3529206515202"/>
    <n v="250.98352571727364"/>
    <n v="768"/>
    <n v="7"/>
    <n v="0"/>
    <n v="0"/>
    <n v="768"/>
    <m/>
    <m/>
    <n v="0"/>
    <x v="0"/>
    <s v="BRMAOTK01S"/>
    <s v="BRMAOCHI"/>
    <n v="11.436796000000001"/>
    <n v="29.221499999999999"/>
    <n v="150"/>
    <n v="779.3323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876"/>
    <n v="58443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379.3453616800616"/>
    <n v="175.32900000000001"/>
    <n v="16752.776177354837"/>
    <n v="2010.3331412825803"/>
    <n v="110"/>
    <n v="150"/>
    <n v="1E-3"/>
    <n v="58.442999999999998"/>
    <n v="11181.410651788578"/>
    <n v="11499.853651788577"/>
    <n v="3180.9641611183101"/>
    <n v="4994.5365700187467"/>
    <n v="0.08"/>
    <n v="726.0147853067474"/>
    <n v="0.12"/>
    <n v="1379.9824382146292"/>
    <n v="15"/>
    <n v="2"/>
  </r>
  <r>
    <n v="892"/>
    <d v="2022-12-31T00:00:00"/>
    <x v="3"/>
    <s v="CLI449"/>
    <s v="CLI449"/>
    <s v="MARACANAU"/>
    <s v="CE"/>
    <s v="CLI494"/>
    <s v="MANAUS"/>
    <s v="AM"/>
    <n v="2379.3453616800616"/>
    <n v="1441.5450940000001"/>
    <n v="0"/>
    <n v="7000"/>
    <n v="0"/>
    <x v="0"/>
    <x v="1"/>
    <s v="BRPECTK01"/>
    <s v="BRPECAPM"/>
    <n v="52.945568000000002"/>
    <n v="49.620000000000005"/>
    <n v="150"/>
    <n v="1414.7514206515202"/>
    <n v="254.65525571727363"/>
    <n v="768"/>
    <n v="7"/>
    <n v="0"/>
    <n v="0"/>
    <n v="768"/>
    <m/>
    <m/>
    <n v="0"/>
    <x v="0"/>
    <s v="BRMAOTK01S"/>
    <s v="BRMAOCHI"/>
    <n v="11.436796000000001"/>
    <n v="49.620000000000005"/>
    <n v="150"/>
    <n v="799.73088908544003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999"/>
    <n v="9924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297.72000000000003"/>
    <n v="16875.167177354837"/>
    <n v="2025.0200612825804"/>
    <n v="110"/>
    <n v="150"/>
    <n v="1E-3"/>
    <n v="99.240000000000009"/>
    <n v="11252.805401788577"/>
    <n v="11612.045401788577"/>
    <n v="3180.9641611183101"/>
    <n v="5086.3298200187455"/>
    <n v="0.08"/>
    <n v="731.43262690674737"/>
    <n v="0.12"/>
    <n v="1393.4454482146291"/>
    <n v="15"/>
    <n v="1"/>
  </r>
  <r>
    <n v="893"/>
    <d v="2022-12-31T00:00:00"/>
    <x v="3"/>
    <s v="CLI449"/>
    <s v="CLI449"/>
    <s v="MARACANAU"/>
    <s v="CE"/>
    <s v="CLI784"/>
    <s v="MANAUS"/>
    <s v="AM"/>
    <n v="2379.3453616800616"/>
    <n v="1441.5450940000001"/>
    <n v="0"/>
    <n v="7000"/>
    <n v="0"/>
    <x v="0"/>
    <x v="1"/>
    <s v="BRPECTK01"/>
    <s v="BRPECAPM"/>
    <n v="52.945568000000002"/>
    <n v="54.564500000000002"/>
    <n v="150"/>
    <n v="1419.6959206515201"/>
    <n v="255.54526571727359"/>
    <n v="768"/>
    <n v="7"/>
    <n v="0"/>
    <n v="0"/>
    <n v="768"/>
    <m/>
    <m/>
    <n v="0"/>
    <x v="0"/>
    <s v="BRMAOTK01S"/>
    <s v="BRMAOCHI"/>
    <n v="11.436796000000001"/>
    <n v="54.564500000000002"/>
    <n v="150"/>
    <n v="804.6753890854399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696"/>
    <n v="10912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327.387"/>
    <n v="16904.834177354835"/>
    <n v="2028.58010128258"/>
    <n v="110"/>
    <n v="150"/>
    <n v="1E-3"/>
    <n v="109.129"/>
    <n v="11270.111151788577"/>
    <n v="11639.240151788577"/>
    <n v="3180.9641611183101"/>
    <n v="5108.5800700187465"/>
    <n v="0.08"/>
    <n v="732.74588610674755"/>
    <n v="0.12"/>
    <n v="1396.7088182146292"/>
    <n v="15"/>
    <n v="1"/>
  </r>
  <r>
    <n v="894"/>
    <d v="2022-12-31T00:00:00"/>
    <x v="3"/>
    <s v="CLI449"/>
    <s v="CLI449"/>
    <s v="MARACANAU"/>
    <s v="CE"/>
    <s v="CLI1306"/>
    <s v="MANAUS"/>
    <s v="AM"/>
    <n v="2379.3453616800616"/>
    <n v="1441.5450940000001"/>
    <n v="0"/>
    <n v="7000"/>
    <n v="0"/>
    <x v="0"/>
    <x v="1"/>
    <s v="BRPECTK01"/>
    <s v="BRPECAPM"/>
    <n v="52.945568000000002"/>
    <n v="50.209000000000003"/>
    <n v="150"/>
    <n v="1415.3404206515202"/>
    <n v="254.76127571727363"/>
    <n v="768"/>
    <n v="7"/>
    <n v="0"/>
    <n v="0"/>
    <n v="768"/>
    <m/>
    <m/>
    <n v="0"/>
    <x v="0"/>
    <s v="BRMAOTK01S"/>
    <s v="BRMAOCHI"/>
    <n v="11.436796000000001"/>
    <n v="50.209000000000003"/>
    <n v="150"/>
    <n v="800.31988908544008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92"/>
    <n v="10041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301.25400000000002"/>
    <n v="16878.701177354837"/>
    <n v="2025.4441412825804"/>
    <n v="110"/>
    <n v="150"/>
    <n v="1E-3"/>
    <n v="100.41800000000001"/>
    <n v="11254.866901788577"/>
    <n v="11615.284901788576"/>
    <n v="3180.9641611183101"/>
    <n v="5088.9803200187453"/>
    <n v="0.08"/>
    <n v="731.58906530674733"/>
    <n v="0.12"/>
    <n v="1393.8341882146292"/>
    <n v="15"/>
    <n v="1"/>
  </r>
  <r>
    <n v="895"/>
    <d v="2022-12-31T00:00:00"/>
    <x v="3"/>
    <s v="CLI449"/>
    <s v="CLI449"/>
    <s v="MARACANAU"/>
    <s v="CE"/>
    <s v="CLI688"/>
    <s v="MANAUS"/>
    <s v="AM"/>
    <n v="2379.3453616800616"/>
    <n v="1441.5450940000001"/>
    <n v="0"/>
    <n v="7000"/>
    <n v="0"/>
    <x v="0"/>
    <x v="1"/>
    <s v="BRPECTK01"/>
    <s v="BRPECAPM"/>
    <n v="52.945568000000002"/>
    <n v="102.685"/>
    <n v="150"/>
    <n v="1467.81642065152"/>
    <n v="264.20695571727362"/>
    <n v="768"/>
    <n v="7"/>
    <n v="0"/>
    <n v="0"/>
    <n v="768"/>
    <m/>
    <m/>
    <n v="0"/>
    <x v="0"/>
    <s v="BRMAOTK01S"/>
    <s v="BRMAOCHI"/>
    <n v="11.436796000000001"/>
    <n v="102.685"/>
    <n v="150"/>
    <n v="852.7958890854399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830"/>
    <n v="2053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616.11"/>
    <n v="17193.557177354836"/>
    <n v="2063.2268612825801"/>
    <n v="110"/>
    <n v="150"/>
    <n v="1E-3"/>
    <n v="205.37"/>
    <n v="11438.532901788576"/>
    <n v="11903.902901788577"/>
    <n v="3180.9641611183101"/>
    <n v="5325.1223200187469"/>
    <n v="0.08"/>
    <n v="745.52669090674738"/>
    <n v="0.12"/>
    <n v="1428.4683482146293"/>
    <n v="15"/>
    <n v="1"/>
  </r>
  <r>
    <n v="896"/>
    <d v="2022-12-31T00:00:00"/>
    <x v="3"/>
    <s v="CLI449"/>
    <s v="CLI449"/>
    <s v="MARACANAU"/>
    <s v="CE"/>
    <s v="CLI940"/>
    <s v="MANAUS"/>
    <s v="AM"/>
    <n v="2379.3453616800616"/>
    <n v="1441.5450940000001"/>
    <n v="0"/>
    <n v="7000"/>
    <n v="0"/>
    <x v="0"/>
    <x v="1"/>
    <s v="BRPECTK01"/>
    <s v="BRPECAPM"/>
    <n v="52.945568000000002"/>
    <n v="61.014000000000003"/>
    <n v="150"/>
    <n v="1426.14542065152"/>
    <n v="256.7061757172736"/>
    <n v="768"/>
    <n v="7"/>
    <n v="0"/>
    <n v="0"/>
    <n v="768"/>
    <m/>
    <m/>
    <n v="0"/>
    <x v="0"/>
    <s v="BRMAOTK01S"/>
    <s v="BRMAOCHI"/>
    <n v="11.436796000000001"/>
    <n v="61.014000000000003"/>
    <n v="150"/>
    <n v="811.12488908544003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342"/>
    <n v="12202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366.084"/>
    <n v="16943.531177354835"/>
    <n v="2033.22374128258"/>
    <n v="110"/>
    <n v="150"/>
    <n v="1E-3"/>
    <n v="122.02800000000001"/>
    <n v="11292.684401788576"/>
    <n v="11674.712401788576"/>
    <n v="3180.9641611183101"/>
    <n v="5137.6028200187466"/>
    <n v="0.08"/>
    <n v="734.45887330674748"/>
    <n v="0.12"/>
    <n v="1400.9654882146292"/>
    <n v="15"/>
    <n v="1"/>
  </r>
  <r>
    <n v="897"/>
    <d v="2022-12-31T00:00:00"/>
    <x v="3"/>
    <s v="CLI449"/>
    <s v="CLI449"/>
    <s v="MARACANAU"/>
    <s v="CE"/>
    <s v="CLI977"/>
    <s v="MANAUS"/>
    <s v="AM"/>
    <n v="2379.3453616800616"/>
    <n v="1441.5450940000001"/>
    <n v="0"/>
    <n v="7000"/>
    <n v="0"/>
    <x v="0"/>
    <x v="1"/>
    <s v="BRPECTK01"/>
    <s v="BRPECAPM"/>
    <n v="52.945568000000002"/>
    <n v="50.488500000000002"/>
    <n v="150"/>
    <n v="1415.61992065152"/>
    <n v="254.8115857172736"/>
    <n v="768"/>
    <n v="7"/>
    <n v="0"/>
    <n v="0"/>
    <n v="768"/>
    <m/>
    <m/>
    <n v="0"/>
    <x v="0"/>
    <s v="BRMAOTK01S"/>
    <s v="BRMAOCHI"/>
    <n v="11.436796000000001"/>
    <n v="50.488500000000002"/>
    <n v="150"/>
    <n v="800.59938908544007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254"/>
    <n v="10097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379.3453616800616"/>
    <n v="302.93099999999998"/>
    <n v="16880.378177354836"/>
    <n v="2025.6453812825803"/>
    <n v="110"/>
    <n v="150"/>
    <n v="1E-3"/>
    <n v="100.977"/>
    <n v="11255.845151788577"/>
    <n v="11616.822151788578"/>
    <n v="3180.9641611183101"/>
    <n v="5090.2380700187477"/>
    <n v="0.08"/>
    <n v="731.66330050674753"/>
    <n v="0.12"/>
    <n v="1394.0186582146293"/>
    <n v="15"/>
    <n v="1"/>
  </r>
  <r>
    <n v="898"/>
    <d v="2022-12-31T00:00:00"/>
    <x v="3"/>
    <s v="CLI450"/>
    <s v="CLI450"/>
    <s v="JABOATAO DOS GUARARAPES"/>
    <s v="PE"/>
    <s v="CLI688"/>
    <s v="MANAUS"/>
    <s v="AM"/>
    <n v="2824.724442364587"/>
    <n v="2038.9469220000001"/>
    <n v="0"/>
    <n v="7000"/>
    <n v="0"/>
    <x v="0"/>
    <x v="3"/>
    <s v="BRSUATK01"/>
    <s v="BRSUATCO"/>
    <n v="43.495365"/>
    <n v="52.533500000000004"/>
    <n v="150"/>
    <n v="1277.6446648736"/>
    <n v="229.976039677248"/>
    <n v="1344"/>
    <n v="7"/>
    <n v="0"/>
    <n v="0"/>
    <n v="1344"/>
    <m/>
    <m/>
    <n v="0"/>
    <x v="0"/>
    <s v="BRMAOTK01S"/>
    <s v="BRMAOCHI"/>
    <n v="11.436796000000001"/>
    <n v="52.533500000000004"/>
    <n v="150"/>
    <n v="802.6443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862"/>
    <n v="105067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2824.724442364587"/>
    <n v="315.20100000000002"/>
    <n v="19917.199699120218"/>
    <n v="2390.0639638944263"/>
    <n v="75"/>
    <n v="150"/>
    <n v="1E-3"/>
    <n v="105.06700000000001"/>
    <n v="13380.188717024344"/>
    <n v="13710.255717024345"/>
    <n v="3180.9641611183101"/>
    <n v="6815.6468910324347"/>
    <n v="0.08"/>
    <n v="911.99924987104464"/>
    <n v="0.12"/>
    <n v="1645.2306860429214"/>
    <n v="15"/>
    <n v="1"/>
  </r>
  <r>
    <n v="899"/>
    <d v="2022-12-31T00:00:00"/>
    <x v="3"/>
    <s v="CLI450"/>
    <s v="CLI450"/>
    <s v="JABOATAO DOS GUARARAPES"/>
    <s v="PE"/>
    <s v="CLI977"/>
    <s v="MANAUS"/>
    <s v="AM"/>
    <n v="2824.724442364587"/>
    <n v="2038.9469220000001"/>
    <n v="0"/>
    <n v="7000"/>
    <n v="0"/>
    <x v="0"/>
    <x v="3"/>
    <s v="BRSUATK01"/>
    <s v="BRSUATCO"/>
    <n v="43.495365"/>
    <n v="27.926000000000002"/>
    <n v="150"/>
    <n v="1253.0371648736"/>
    <n v="225.546689677248"/>
    <n v="1344"/>
    <n v="7"/>
    <n v="0"/>
    <n v="0"/>
    <n v="1344"/>
    <m/>
    <m/>
    <n v="0"/>
    <x v="0"/>
    <s v="BRMAOTK01S"/>
    <s v="BRMAOCHI"/>
    <n v="11.436796000000001"/>
    <n v="27.926000000000002"/>
    <n v="150"/>
    <n v="778.0368890854400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493"/>
    <n v="5585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24442364587"/>
    <n v="167.55600000000001"/>
    <n v="19769.554699120217"/>
    <n v="2372.3465638944258"/>
    <n v="110"/>
    <n v="150"/>
    <n v="1E-3"/>
    <n v="55.852000000000004"/>
    <n v="13294.062467024343"/>
    <n v="13609.914467024344"/>
    <n v="3180.9641611183101"/>
    <n v="6739.9131410324335"/>
    <n v="0.08"/>
    <n v="908.26349787104436"/>
    <n v="0.12"/>
    <n v="1633.1897360429211"/>
    <n v="15"/>
    <n v="1"/>
  </r>
  <r>
    <n v="900"/>
    <d v="2022-12-31T00:00:00"/>
    <x v="2"/>
    <s v="CLI451"/>
    <s v="CLI451"/>
    <s v="MAIRINQUE"/>
    <s v="SP"/>
    <s v="CLI1263"/>
    <s v="SAO GONCALO DO AMARANTE"/>
    <s v="CE"/>
    <n v="2866.377512"/>
    <n v="0"/>
    <n v="0"/>
    <n v="0"/>
    <n v="0"/>
    <x v="0"/>
    <x v="0"/>
    <s v="BRSSZTK01"/>
    <s v="BRSSZTCO"/>
    <n v="143.37867699999998"/>
    <n v="113.2685"/>
    <n v="150"/>
    <n v="2818.3147407852798"/>
    <n v="507.29665334135035"/>
    <n v="640"/>
    <n v="7"/>
    <n v="0"/>
    <n v="0"/>
    <n v="640"/>
    <m/>
    <m/>
    <n v="0"/>
    <x v="3"/>
    <s v="BRPECTK01"/>
    <s v="BRPECAPM"/>
    <n v="25.372788"/>
    <n v="113.2685"/>
    <n v="150"/>
    <n v="1069.8639655923198"/>
    <n v="0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142"/>
    <n v="226537"/>
    <x v="1"/>
    <x v="7"/>
    <x v="24"/>
    <x v="23"/>
    <x v="27"/>
    <x v="26"/>
    <n v="18"/>
    <n v="18"/>
    <n v="20"/>
    <n v="20"/>
    <n v="20"/>
    <n v="18"/>
    <n v="20"/>
    <n v="218"/>
    <n v="7"/>
    <n v="180"/>
    <n v="7"/>
    <n v="180"/>
    <n v="2866.377512"/>
    <n v="679.61099999999999"/>
    <n v="20564.47402889152"/>
    <n v="1439.5131820224065"/>
    <n v="110"/>
    <n v="150"/>
    <n v="1E-3"/>
    <n v="226.53700000000001"/>
    <n v="14395.131820224064"/>
    <n v="14881.668820224064"/>
    <n v="3180.9641611183101"/>
    <n v="6134.5259527281542"/>
    <n v="0.08"/>
    <n v="838.89547684040917"/>
    <n v="7.0000000000000007E-2"/>
    <n v="1041.7168174156845"/>
    <n v="15"/>
    <n v="20"/>
  </r>
  <r>
    <n v="901"/>
    <d v="2022-12-31T00:00:00"/>
    <x v="2"/>
    <s v="CLI452"/>
    <s v="CLI452"/>
    <s v="SAO VICENTE"/>
    <s v="SP"/>
    <s v="CLI1263"/>
    <s v="SAO GONCALO DO AMARANTE"/>
    <s v="CE"/>
    <n v="2885.9299679999999"/>
    <n v="0"/>
    <n v="0"/>
    <n v="0"/>
    <n v="0"/>
    <x v="0"/>
    <x v="0"/>
    <s v="BRSSZTK01"/>
    <s v="BRSSZTCO"/>
    <n v="19.906849999999999"/>
    <n v="83.154499999999999"/>
    <n v="150"/>
    <n v="958.76312998399999"/>
    <n v="172.57736339712"/>
    <n v="640"/>
    <n v="7"/>
    <n v="0"/>
    <n v="0"/>
    <n v="640"/>
    <m/>
    <m/>
    <n v="0"/>
    <x v="3"/>
    <s v="BRPECTK01"/>
    <s v="BRPECAPM"/>
    <n v="25.372788"/>
    <n v="83.154499999999999"/>
    <n v="150"/>
    <n v="1039.7499655923198"/>
    <n v="0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628"/>
    <n v="166309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2885.9299679999999"/>
    <n v="498.92700000000002"/>
    <n v="20516.569975489281"/>
    <n v="1436.1598982842497"/>
    <n v="110"/>
    <n v="150"/>
    <n v="1E-3"/>
    <n v="166.309"/>
    <n v="14361.598982842495"/>
    <n v="14787.907982842495"/>
    <n v="3180.9641611183101"/>
    <n v="7930.4307261478643"/>
    <n v="0.08"/>
    <n v="1009.3454019095244"/>
    <n v="7.0000000000000007E-2"/>
    <n v="1035.1535587989747"/>
    <n v="15"/>
    <n v="3"/>
  </r>
  <r>
    <n v="902"/>
    <d v="2022-12-31T00:00:00"/>
    <x v="2"/>
    <s v="CLI454"/>
    <s v="CLI454"/>
    <s v="RECIFE"/>
    <s v="PE"/>
    <s v="CLI1244"/>
    <s v="MANAUS"/>
    <s v="AM"/>
    <n v="2837.7155170247038"/>
    <n v="2054.4430109999998"/>
    <n v="0"/>
    <n v="7000"/>
    <n v="0"/>
    <x v="0"/>
    <x v="3"/>
    <s v="BRSUATK01"/>
    <s v="BRSUATCO"/>
    <n v="51.681188999999996"/>
    <n v="108.014"/>
    <n v="150"/>
    <n v="1454.4115721849598"/>
    <n v="261.79408299329276"/>
    <n v="1344"/>
    <n v="7"/>
    <n v="0"/>
    <n v="0"/>
    <n v="1344"/>
    <m/>
    <m/>
    <n v="0"/>
    <x v="0"/>
    <s v="BRMAOTK01"/>
    <s v="BRMAOCHI"/>
    <n v="11.436796000000001"/>
    <n v="108.014"/>
    <n v="150"/>
    <n v="858.1248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387"/>
    <n v="21602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7.7155170247038"/>
    <n v="648.08400000000006"/>
    <n v="20338.304567494084"/>
    <n v="2440.59654809929"/>
    <n v="110"/>
    <n v="150"/>
    <n v="1E-3"/>
    <n v="216.02799999999999"/>
    <n v="14236.813197245858"/>
    <n v="14712.841197245858"/>
    <n v="3180.9641611183101"/>
    <n v="6783.3405748571477"/>
    <n v="0.08"/>
    <n v="971.08085223857324"/>
    <n v="0.12"/>
    <n v="1765.5409436695029"/>
    <n v="15"/>
    <n v="1"/>
  </r>
  <r>
    <n v="903"/>
    <d v="2022-12-31T00:00:00"/>
    <x v="2"/>
    <s v="CLI454"/>
    <s v="CLI454"/>
    <s v="RECIFE"/>
    <s v="PE"/>
    <s v="CLI594"/>
    <s v="MANAUS"/>
    <s v="AM"/>
    <n v="2837.7155170247038"/>
    <n v="2054.4430109999998"/>
    <n v="0"/>
    <n v="7000"/>
    <n v="0"/>
    <x v="0"/>
    <x v="3"/>
    <s v="BRSUATK01"/>
    <s v="BRSUATCO"/>
    <n v="51.681188999999996"/>
    <n v="87.738500000000002"/>
    <n v="150"/>
    <n v="1434.1360721849599"/>
    <n v="258.14449299329277"/>
    <n v="1344"/>
    <n v="7"/>
    <n v="0"/>
    <n v="0"/>
    <n v="1344"/>
    <m/>
    <m/>
    <n v="0"/>
    <x v="0"/>
    <s v="BRMAOTK01"/>
    <s v="BRMAOCHI"/>
    <n v="11.436796000000001"/>
    <n v="87.738500000000002"/>
    <n v="150"/>
    <n v="837.8493890854400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535"/>
    <n v="17547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37.7155170247038"/>
    <n v="526.43100000000004"/>
    <n v="20216.651567494086"/>
    <n v="2425.99818809929"/>
    <n v="110"/>
    <n v="150"/>
    <n v="1E-3"/>
    <n v="175.477"/>
    <n v="14151.656097245859"/>
    <n v="14587.13309724586"/>
    <n v="3180.9641611183101"/>
    <n v="6698.1834748571491"/>
    <n v="0.08"/>
    <n v="964.56025143857335"/>
    <n v="0.12"/>
    <n v="1750.4559716695032"/>
    <n v="15"/>
    <n v="1"/>
  </r>
  <r>
    <n v="904"/>
    <d v="2022-12-31T00:00:00"/>
    <x v="2"/>
    <s v="CLI455"/>
    <s v="CLI455"/>
    <s v="GUARULHOS"/>
    <s v="SP"/>
    <s v="CLI1234"/>
    <s v="MANAUS"/>
    <s v="AM"/>
    <n v="2680.9932138622717"/>
    <n v="2887.376076"/>
    <n v="0"/>
    <n v="7000"/>
    <n v="0"/>
    <x v="0"/>
    <x v="0"/>
    <s v="BRSSZTK01"/>
    <s v="BRSSZTCO"/>
    <n v="96.951807000000002"/>
    <n v="124.2135"/>
    <n v="150"/>
    <n v="2141.36952166848"/>
    <n v="385.44651390032641"/>
    <n v="640"/>
    <n v="7"/>
    <n v="0"/>
    <n v="0"/>
    <n v="640"/>
    <m/>
    <m/>
    <n v="0"/>
    <x v="0"/>
    <s v="BRMAOTK01"/>
    <s v="BRMAOCHI"/>
    <n v="11.436796000000001"/>
    <n v="124.2135"/>
    <n v="150"/>
    <n v="874.3243890854399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122"/>
    <n v="24842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80.9932138622717"/>
    <n v="745.28100000000006"/>
    <n v="19371.20667561013"/>
    <n v="1355.9844672927093"/>
    <n v="110"/>
    <n v="150"/>
    <n v="1E-3"/>
    <n v="248.42699999999999"/>
    <n v="13559.844672927091"/>
    <n v="14068.271672927091"/>
    <n v="3180.9641611183101"/>
    <n v="6129.6136010548616"/>
    <n v="0.08"/>
    <n v="853.37049986182774"/>
    <n v="7.0000000000000007E-2"/>
    <n v="984.77901710489641"/>
    <n v="15"/>
    <n v="1"/>
  </r>
  <r>
    <n v="905"/>
    <d v="2022-12-31T00:00:00"/>
    <x v="2"/>
    <s v="CLI456"/>
    <s v="CLI456"/>
    <s v="EUSEBIO"/>
    <s v="CE"/>
    <s v="CLI1267"/>
    <s v="MANAUS"/>
    <s v="AM"/>
    <n v="2398.2748939157436"/>
    <n v="1458.154974"/>
    <n v="0"/>
    <n v="7000"/>
    <n v="0"/>
    <x v="0"/>
    <x v="1"/>
    <s v="BRPECTK01"/>
    <s v="BRPECAPM"/>
    <n v="65.770497000000006"/>
    <n v="103.5055"/>
    <n v="150"/>
    <n v="1658.6592766700801"/>
    <n v="298.55866980061438"/>
    <n v="768"/>
    <n v="7"/>
    <n v="0"/>
    <n v="0"/>
    <n v="768"/>
    <m/>
    <m/>
    <n v="0"/>
    <x v="0"/>
    <s v="BRMAOTK01"/>
    <s v="BRMAOCHI"/>
    <n v="11.436796000000001"/>
    <n v="103.5055"/>
    <n v="150"/>
    <n v="853.61638908544001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764"/>
    <n v="207011"/>
    <x v="1"/>
    <x v="1"/>
    <x v="6"/>
    <x v="1"/>
    <x v="8"/>
    <x v="6"/>
    <n v="5"/>
    <n v="5"/>
    <n v="5"/>
    <n v="5"/>
    <n v="5"/>
    <n v="5"/>
    <n v="5"/>
    <n v="58"/>
    <n v="7"/>
    <n v="180"/>
    <n v="7"/>
    <n v="180"/>
    <n v="2398.2748939157436"/>
    <n v="621.03300000000002"/>
    <n v="17327.02987358606"/>
    <n v="2079.2435848303271"/>
    <n v="110"/>
    <n v="150"/>
    <n v="1E-3"/>
    <n v="207.011"/>
    <n v="12128.92091151024"/>
    <n v="12595.931911510241"/>
    <n v="3180.9641611183101"/>
    <n v="4972.6920846364101"/>
    <n v="0.08"/>
    <n v="782.80780607632857"/>
    <n v="0.12"/>
    <n v="1511.5118293812288"/>
    <n v="15"/>
    <n v="5"/>
  </r>
  <r>
    <n v="906"/>
    <d v="2022-12-31T00:00:00"/>
    <x v="2"/>
    <s v="CLI456"/>
    <s v="CLI456"/>
    <s v="EUSEBIO"/>
    <s v="CE"/>
    <s v="CLI634"/>
    <s v="MANAUS"/>
    <s v="AM"/>
    <n v="2398.2748939157436"/>
    <n v="1458.154974"/>
    <n v="0"/>
    <n v="7000"/>
    <n v="0"/>
    <x v="0"/>
    <x v="1"/>
    <s v="BRPECTK01"/>
    <s v="BRPECAPM"/>
    <n v="65.770497000000006"/>
    <n v="73.409500000000008"/>
    <n v="150"/>
    <n v="1628.5632766700801"/>
    <n v="293.14138980061438"/>
    <n v="768"/>
    <n v="7"/>
    <n v="0"/>
    <n v="0"/>
    <n v="768"/>
    <m/>
    <m/>
    <n v="0"/>
    <x v="0"/>
    <s v="BRMAOTK01"/>
    <s v="BRMAOCHI"/>
    <n v="11.436796000000001"/>
    <n v="73.409500000000008"/>
    <n v="150"/>
    <n v="823.5203890854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482"/>
    <n v="146819"/>
    <x v="1"/>
    <x v="1"/>
    <x v="6"/>
    <x v="1"/>
    <x v="5"/>
    <x v="6"/>
    <n v="5"/>
    <n v="5"/>
    <n v="5"/>
    <n v="5"/>
    <n v="5"/>
    <n v="5"/>
    <n v="5"/>
    <n v="57"/>
    <n v="7"/>
    <n v="180"/>
    <n v="7"/>
    <n v="180"/>
    <n v="2398.2748939157436"/>
    <n v="440.45699999999999"/>
    <n v="17146.453873586059"/>
    <n v="2057.5744648303271"/>
    <n v="110"/>
    <n v="150"/>
    <n v="1E-3"/>
    <n v="146.81900000000002"/>
    <n v="12002.51771151024"/>
    <n v="12409.336711510239"/>
    <n v="3180.9641611183101"/>
    <n v="4846.2888846364076"/>
    <n v="0.08"/>
    <n v="773.12893247632837"/>
    <n v="0.12"/>
    <n v="1489.1204053812287"/>
    <n v="15"/>
    <n v="5"/>
  </r>
  <r>
    <n v="907"/>
    <d v="2022-12-31T00:00:00"/>
    <x v="2"/>
    <s v="CLI457"/>
    <s v="CLI457"/>
    <s v="MOSSORO RN"/>
    <s v="RN"/>
    <s v="CLI634"/>
    <s v="MANAUS"/>
    <s v="AM"/>
    <n v="2528.4842900610142"/>
    <n v="1630.154591"/>
    <n v="0"/>
    <n v="7000"/>
    <n v="0"/>
    <x v="0"/>
    <x v="1"/>
    <s v="BRPECTK01"/>
    <s v="BRPECAPM"/>
    <n v="278.70183199999997"/>
    <n v="102.59700000000001"/>
    <n v="150"/>
    <n v="4812.6777120844799"/>
    <n v="577.52132545013762"/>
    <n v="768"/>
    <n v="7"/>
    <n v="0"/>
    <n v="0"/>
    <n v="768"/>
    <m/>
    <m/>
    <n v="0"/>
    <x v="0"/>
    <s v="BRMAOTK01"/>
    <s v="BRMAOCHI"/>
    <n v="11.436796000000001"/>
    <n v="102.59700000000001"/>
    <n v="150"/>
    <n v="852.7078890854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332"/>
    <n v="205194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528.4842900610142"/>
    <n v="615.58199999999999"/>
    <n v="18205.825674432745"/>
    <n v="2184.6990809319291"/>
    <n v="110"/>
    <n v="150"/>
    <n v="1E-3"/>
    <n v="205.19400000000002"/>
    <n v="12744.077972102921"/>
    <n v="13209.271972102921"/>
    <n v="3180.9641611183101"/>
    <n v="2432.9222098146906"/>
    <n v="0.08"/>
    <n v="557.30920363862901"/>
    <n v="0.12"/>
    <n v="1585.1126366523504"/>
    <n v="15"/>
    <n v="3"/>
  </r>
  <r>
    <n v="908"/>
    <d v="2022-12-31T00:00:00"/>
    <x v="2"/>
    <s v="CLI457"/>
    <s v="CLI457"/>
    <s v="MOSSORO RN"/>
    <s v="RN"/>
    <s v="CLI1267"/>
    <s v="MANAUS"/>
    <s v="AM"/>
    <n v="2528.4842900610142"/>
    <n v="1630.154591"/>
    <n v="0"/>
    <n v="7000"/>
    <n v="0"/>
    <x v="0"/>
    <x v="1"/>
    <s v="BRPECTK01"/>
    <s v="BRPECAPM"/>
    <n v="278.70183199999997"/>
    <n v="59.932000000000002"/>
    <n v="150"/>
    <n v="4770.01271208448"/>
    <n v="572.40152545013757"/>
    <n v="768"/>
    <n v="7"/>
    <n v="0"/>
    <n v="0"/>
    <n v="768"/>
    <m/>
    <m/>
    <n v="0"/>
    <x v="0"/>
    <s v="BRMAOTK01"/>
    <s v="BRMAOCHI"/>
    <n v="11.436796000000001"/>
    <n v="59.932000000000002"/>
    <n v="150"/>
    <n v="810.04288908544004"/>
    <n v="0"/>
    <n v="832"/>
    <n v="7"/>
    <n v="0"/>
    <n v="0"/>
    <n v="832"/>
    <s v="BRPECDP01"/>
    <n v="120"/>
    <n v="90"/>
    <n v="0"/>
    <n v="0"/>
    <n v="0"/>
    <n v="120"/>
    <n v="33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28"/>
    <n v="119864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2528.4842900610142"/>
    <n v="359.59199999999998"/>
    <n v="17949.835674432747"/>
    <n v="2153.9802809319294"/>
    <n v="110"/>
    <n v="150"/>
    <n v="1E-3"/>
    <n v="119.864"/>
    <n v="12564.884972102922"/>
    <n v="12944.748972102921"/>
    <n v="3180.9641611183101"/>
    <n v="2253.7292098146913"/>
    <n v="0.08"/>
    <n v="543.38334763862917"/>
    <n v="0.12"/>
    <n v="1553.3698766523505"/>
    <n v="15"/>
    <n v="3"/>
  </r>
  <r>
    <n v="909"/>
    <d v="2022-12-31T00:00:00"/>
    <x v="0"/>
    <s v="CLI458"/>
    <s v="CLI458"/>
    <s v="MANAUS"/>
    <s v="AM"/>
    <s v="CLI781"/>
    <s v="CAUCAIA"/>
    <s v="CE"/>
    <n v="3014.7999490000002"/>
    <n v="0"/>
    <n v="1428.051281"/>
    <n v="7000"/>
    <n v="0"/>
    <x v="0"/>
    <x v="2"/>
    <s v="BRMAOTK01S"/>
    <s v="BRMAOCHI"/>
    <n v="11.436796000000001"/>
    <n v="78.244500000000002"/>
    <n v="150"/>
    <n v="828.35538908544004"/>
    <n v="0"/>
    <n v="832"/>
    <n v="7"/>
    <n v="0"/>
    <n v="0"/>
    <n v="832"/>
    <m/>
    <m/>
    <n v="0"/>
    <x v="3"/>
    <s v="BRPECTK01S"/>
    <s v="BRPECAPM"/>
    <n v="34.109209"/>
    <n v="78.244500000000002"/>
    <n v="150"/>
    <n v="1164.2843704377601"/>
    <n v="209.57118667879681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255"/>
    <n v="156489"/>
    <x v="0"/>
    <x v="5"/>
    <x v="6"/>
    <x v="5"/>
    <x v="5"/>
    <x v="6"/>
    <n v="5"/>
    <n v="5"/>
    <n v="5"/>
    <n v="5"/>
    <n v="4"/>
    <n v="4"/>
    <n v="4"/>
    <n v="52"/>
    <n v="7"/>
    <n v="110"/>
    <n v="7"/>
    <n v="110"/>
    <n v="3014.7999490000002"/>
    <n v="469.46699999999998"/>
    <n v="21362.260861661045"/>
    <n v="2563.4713033993253"/>
    <n v="75"/>
    <n v="150"/>
    <n v="1E-3"/>
    <n v="156.489"/>
    <n v="13558.734771496493"/>
    <n v="13940.223771496492"/>
    <n v="3180.9641611183101"/>
    <n v="8864.2596103781816"/>
    <n v="0.08"/>
    <n v="939.04102602355965"/>
    <n v="0.12"/>
    <n v="1672.8268525795791"/>
    <n v="15"/>
    <n v="5"/>
  </r>
  <r>
    <n v="910"/>
    <d v="2022-12-31T00:00:00"/>
    <x v="2"/>
    <s v="CLI458"/>
    <s v="CLI458"/>
    <s v="MANAUS"/>
    <s v="AM"/>
    <s v="CLI348"/>
    <s v="SAO JOSE DOS CAMPOS"/>
    <s v="SP"/>
    <n v="3994.1975430000002"/>
    <n v="0"/>
    <n v="2941.9602110000001"/>
    <n v="7000"/>
    <n v="0"/>
    <x v="0"/>
    <x v="2"/>
    <s v="BRMAOTK01"/>
    <s v="BRMAOCHI"/>
    <n v="11.436796000000001"/>
    <n v="119.79"/>
    <n v="150"/>
    <n v="869.90088908543999"/>
    <n v="0"/>
    <n v="832"/>
    <n v="7"/>
    <n v="0"/>
    <n v="0"/>
    <n v="832"/>
    <m/>
    <m/>
    <n v="0"/>
    <x v="1"/>
    <s v="BRSSZTK01"/>
    <s v="BRSSZTCO"/>
    <n v="143.53611799999999"/>
    <n v="119.79"/>
    <n v="150"/>
    <n v="2827.1689874035196"/>
    <n v="508.8904177326335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529"/>
    <n v="239580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3994.1975430000002"/>
    <n v="718.74"/>
    <n v="28262.583746611286"/>
    <n v="3391.5100495933543"/>
    <n v="75"/>
    <n v="150"/>
    <n v="1E-3"/>
    <n v="239.58"/>
    <n v="19783.808622627897"/>
    <n v="20248.388622627899"/>
    <n v="3180.9641611183101"/>
    <n v="11603.354585020632"/>
    <n v="0.08"/>
    <n v="1283.3942662725049"/>
    <n v="0.12"/>
    <n v="2429.8066347153476"/>
    <n v="15"/>
    <n v="2"/>
  </r>
  <r>
    <n v="911"/>
    <d v="2022-12-31T00:00:00"/>
    <x v="1"/>
    <s v="CLI458"/>
    <s v="CLI458"/>
    <s v="MANAUS"/>
    <s v="AM"/>
    <s v="CLI1148"/>
    <s v="ITAQUAQUECETUBA"/>
    <s v="SP"/>
    <n v="3962.8098799999998"/>
    <n v="0"/>
    <n v="2911.4064789999998"/>
    <n v="7000"/>
    <n v="0"/>
    <x v="0"/>
    <x v="2"/>
    <s v="BRMAOTK01S"/>
    <s v="BRMAOCHI"/>
    <n v="11.436796000000001"/>
    <n v="112.444"/>
    <n v="150"/>
    <n v="862.55488908543998"/>
    <n v="0"/>
    <n v="832"/>
    <n v="7"/>
    <n v="0"/>
    <n v="0"/>
    <n v="832"/>
    <m/>
    <m/>
    <n v="0"/>
    <x v="1"/>
    <s v="BRSSZTK01"/>
    <s v="BRSSZTCO"/>
    <n v="105.903558"/>
    <n v="112.444"/>
    <n v="150"/>
    <n v="2262.2348936051199"/>
    <n v="407.2022808489215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440"/>
    <n v="224888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962.8098799999998"/>
    <n v="674.66399999999999"/>
    <n v="28005.355382684804"/>
    <n v="3360.6426459221761"/>
    <n v="110"/>
    <n v="150"/>
    <n v="1E-3"/>
    <n v="224.88800000000001"/>
    <n v="18999.960345519554"/>
    <n v="19484.848345519553"/>
    <n v="3180.9641611183101"/>
    <n v="12274.649290796122"/>
    <n v="0.08"/>
    <n v="1276.2285025584056"/>
    <n v="0.12"/>
    <n v="2338.1818014623464"/>
    <n v="15"/>
    <n v="2"/>
  </r>
  <r>
    <n v="912"/>
    <d v="2022-12-31T00:00:00"/>
    <x v="1"/>
    <s v="CLI458"/>
    <s v="CLI458"/>
    <s v="MANAUS"/>
    <s v="AM"/>
    <s v="CLI347"/>
    <s v="PINDAMONHANGABA"/>
    <s v="SP"/>
    <n v="4028.8141989999999"/>
    <n v="0"/>
    <n v="2976.8681710000001"/>
    <n v="7000"/>
    <n v="0"/>
    <x v="0"/>
    <x v="2"/>
    <s v="BRMAOTK01S"/>
    <s v="BRMAOCHI"/>
    <n v="11.436796000000001"/>
    <n v="37.948"/>
    <n v="150"/>
    <n v="788.05888908544"/>
    <n v="0"/>
    <n v="832"/>
    <n v="7"/>
    <n v="0"/>
    <n v="0"/>
    <n v="832"/>
    <m/>
    <m/>
    <n v="0"/>
    <x v="1"/>
    <s v="BRSSZTK01"/>
    <s v="BRSSZTCO"/>
    <n v="196.61712800000001"/>
    <n v="37.948"/>
    <n v="150"/>
    <n v="3531.80920340992"/>
    <n v="635.7256566137855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644"/>
    <n v="75896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4028.8141989999999"/>
    <n v="227.68800000000002"/>
    <n v="28006.612072841039"/>
    <n v="3360.7934487409243"/>
    <n v="110"/>
    <n v="150"/>
    <n v="1E-3"/>
    <n v="75.896000000000001"/>
    <n v="19052.987228628917"/>
    <n v="19388.883228628918"/>
    <n v="3180.9641611183101"/>
    <n v="10909.109864100687"/>
    <n v="0.08"/>
    <n v="1154.6631583615815"/>
    <n v="0.12"/>
    <n v="2326.66598743547"/>
    <n v="15"/>
    <n v="2"/>
  </r>
  <r>
    <n v="913"/>
    <d v="2022-12-31T00:00:00"/>
    <x v="2"/>
    <s v="CLI459"/>
    <s v="CLI459"/>
    <s v="MANAUS"/>
    <s v="AM"/>
    <s v="CLI1273"/>
    <s v="ITAQUAQUECETUBA"/>
    <s v="SP"/>
    <n v="3962.8098799999998"/>
    <n v="0"/>
    <n v="2911.4064789999998"/>
    <n v="7000"/>
    <n v="0"/>
    <x v="0"/>
    <x v="2"/>
    <s v="BRMAOTK01"/>
    <s v="BRMAOCHI"/>
    <n v="11.436796000000001"/>
    <n v="90.856499999999997"/>
    <n v="150"/>
    <n v="840.96738908544"/>
    <n v="0"/>
    <n v="832"/>
    <n v="7"/>
    <n v="0"/>
    <n v="0"/>
    <n v="832"/>
    <m/>
    <m/>
    <n v="0"/>
    <x v="1"/>
    <s v="BRSSZTK01"/>
    <s v="BRSSZTCO"/>
    <n v="105.903558"/>
    <n v="90.856499999999997"/>
    <n v="150"/>
    <n v="2240.6473936051198"/>
    <n v="403.3165308489215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191"/>
    <n v="18171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62.8098799999998"/>
    <n v="545.13900000000001"/>
    <n v="27875.830382684802"/>
    <n v="3345.099645922176"/>
    <n v="110"/>
    <n v="150"/>
    <n v="1E-3"/>
    <n v="181.71299999999999"/>
    <n v="19513.081267879359"/>
    <n v="19954.794267879359"/>
    <n v="3180.9641611183101"/>
    <n v="11925.21532407049"/>
    <n v="0.08"/>
    <n v="1317.5890363471904"/>
    <n v="0.12"/>
    <n v="2394.5753121455232"/>
    <n v="15"/>
    <n v="1"/>
  </r>
  <r>
    <n v="914"/>
    <d v="2022-12-31T00:00:00"/>
    <x v="2"/>
    <s v="CLI461"/>
    <s v="CLI461"/>
    <s v="CABO DE SANTO AGOSTINHO"/>
    <s v="PE"/>
    <s v="CLI788"/>
    <s v="MANAUS"/>
    <s v="AM"/>
    <n v="2825.8436369633364"/>
    <n v="2055.2547009999998"/>
    <n v="0"/>
    <n v="7000"/>
    <n v="0"/>
    <x v="0"/>
    <x v="3"/>
    <s v="BRSUATK01"/>
    <s v="BRSUATCO"/>
    <n v="23.080721"/>
    <n v="36.0715"/>
    <n v="150"/>
    <n v="958.70623399744011"/>
    <n v="172.56712211953922"/>
    <n v="1344"/>
    <n v="7"/>
    <n v="480"/>
    <n v="0"/>
    <n v="4704"/>
    <m/>
    <m/>
    <n v="0"/>
    <x v="0"/>
    <s v="BRMAOTK01"/>
    <s v="BRMAOCHI"/>
    <n v="11.436796000000001"/>
    <n v="36.0715"/>
    <n v="150"/>
    <n v="786.18238908544004"/>
    <n v="0"/>
    <n v="832"/>
    <n v="7"/>
    <n v="480"/>
    <n v="0"/>
    <n v="4192"/>
    <s v="BRSUADP01"/>
    <n v="95"/>
    <n v="70"/>
    <n v="290"/>
    <n v="150"/>
    <n v="150"/>
    <n v="95"/>
    <n v="85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592"/>
    <n v="72143"/>
    <x v="2"/>
    <x v="0"/>
    <x v="5"/>
    <x v="4"/>
    <x v="0"/>
    <x v="0"/>
    <n v="3"/>
    <n v="3"/>
    <n v="3"/>
    <n v="3"/>
    <n v="3"/>
    <n v="3"/>
    <n v="3"/>
    <n v="36"/>
    <n v="7"/>
    <n v="380"/>
    <n v="7"/>
    <n v="380"/>
    <n v="2825.8436369633364"/>
    <n v="216.429"/>
    <n v="26009.574779049442"/>
    <n v="3121.1489734859329"/>
    <n v="180"/>
    <n v="150"/>
    <n v="1E-3"/>
    <n v="72.143000000000001"/>
    <n v="18206.702345334608"/>
    <n v="18608.845345334608"/>
    <n v="3180.9641611183101"/>
    <n v="3936.9925611334188"/>
    <n v="0.08"/>
    <n v="1335.3111680105751"/>
    <n v="0.12"/>
    <n v="2233.061441440153"/>
    <n v="15"/>
    <n v="3"/>
  </r>
  <r>
    <n v="915"/>
    <d v="2022-12-31T00:00:00"/>
    <x v="2"/>
    <s v="CLI462"/>
    <s v="CLI462"/>
    <s v="IGARASSU"/>
    <s v="PE"/>
    <s v="CLI464"/>
    <s v="LOUVEIRA"/>
    <s v="SP"/>
    <n v="2592.8668650000004"/>
    <n v="0"/>
    <n v="0"/>
    <n v="0"/>
    <n v="0"/>
    <x v="0"/>
    <x v="3"/>
    <s v="BRSUATK01"/>
    <s v="BRSUATCO"/>
    <n v="78.551428999999999"/>
    <n v="68.265000000000001"/>
    <n v="150"/>
    <n v="1812.7892449785602"/>
    <n v="326.30206409614084"/>
    <n v="1344"/>
    <n v="7"/>
    <n v="0"/>
    <n v="0"/>
    <n v="1344"/>
    <m/>
    <m/>
    <n v="0"/>
    <x v="1"/>
    <s v="BRSSZTK01"/>
    <s v="BRSSZTCO"/>
    <n v="152.74309700000001"/>
    <n v="68.265000000000001"/>
    <n v="150"/>
    <n v="2912.0604807340801"/>
    <n v="524.17088653213443"/>
    <n v="640"/>
    <n v="7"/>
    <n v="0"/>
    <n v="0"/>
    <n v="640"/>
    <s v="BRSUADP01"/>
    <n v="95"/>
    <n v="70"/>
    <n v="0"/>
    <n v="0"/>
    <n v="0"/>
    <n v="95"/>
    <n v="26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19"/>
    <n v="136530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592.8668650000004"/>
    <n v="409.59000000000003"/>
    <n v="18437.053165540405"/>
    <n v="2212.4463798648485"/>
    <n v="110"/>
    <n v="150"/>
    <n v="1E-3"/>
    <n v="136.53"/>
    <n v="12905.937215878283"/>
    <n v="13302.467215878283"/>
    <n v="3180.9641611183101"/>
    <n v="3152.653329047333"/>
    <n v="0.08"/>
    <n v="618.17156316298951"/>
    <n v="0.12"/>
    <n v="1596.296065905394"/>
    <n v="15"/>
    <n v="2"/>
  </r>
  <r>
    <n v="916"/>
    <d v="2022-12-31T00:00:00"/>
    <x v="2"/>
    <s v="CLI463"/>
    <s v="CLI463"/>
    <s v="IPOJUCA"/>
    <s v="PE"/>
    <s v="CLI1244"/>
    <s v="MANAUS"/>
    <s v="AM"/>
    <n v="2824.7841972531837"/>
    <n v="2060.3329469999999"/>
    <n v="0"/>
    <n v="7000"/>
    <n v="0"/>
    <x v="0"/>
    <x v="3"/>
    <s v="BRSUATK01"/>
    <s v="BRSUATCO"/>
    <n v="23.753726"/>
    <n v="112.8865"/>
    <n v="150"/>
    <n v="1045.49290680064"/>
    <n v="0"/>
    <n v="1344"/>
    <n v="7"/>
    <n v="0"/>
    <n v="0"/>
    <n v="1344"/>
    <m/>
    <m/>
    <n v="0"/>
    <x v="0"/>
    <s v="BRMAOTK01"/>
    <s v="BRMAOCHI"/>
    <n v="11.436796000000001"/>
    <n v="112.8865"/>
    <n v="150"/>
    <n v="862.9973890854399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163"/>
    <n v="225773"/>
    <x v="1"/>
    <x v="20"/>
    <x v="25"/>
    <x v="18"/>
    <x v="20"/>
    <x v="15"/>
    <n v="13"/>
    <n v="13"/>
    <n v="14"/>
    <n v="14"/>
    <n v="14"/>
    <n v="13"/>
    <n v="14"/>
    <n v="156"/>
    <n v="7"/>
    <n v="180"/>
    <n v="7"/>
    <n v="180"/>
    <n v="2824.7841972531837"/>
    <n v="677.31899999999996"/>
    <n v="20279.723492178484"/>
    <n v="2433.5668190614178"/>
    <n v="110"/>
    <n v="150"/>
    <n v="1E-3"/>
    <n v="225.773"/>
    <n v="14195.806444524938"/>
    <n v="14681.579444524938"/>
    <n v="3180.9641611183101"/>
    <n v="7156.1249875205467"/>
    <n v="0.08"/>
    <n v="1021.8471318911086"/>
    <n v="0.12"/>
    <n v="1761.7895333429924"/>
    <n v="15"/>
    <n v="14"/>
  </r>
  <r>
    <n v="917"/>
    <d v="2022-12-31T00:00:00"/>
    <x v="2"/>
    <s v="CLI463"/>
    <s v="CLI463"/>
    <s v="IPOJUCA"/>
    <s v="PE"/>
    <s v="CLI646"/>
    <s v="MANAUS"/>
    <s v="AM"/>
    <n v="2824.7841972531837"/>
    <n v="2060.3329469999999"/>
    <n v="0"/>
    <n v="7000"/>
    <n v="0"/>
    <x v="0"/>
    <x v="3"/>
    <s v="BRSUATK01"/>
    <s v="BRSUATCO"/>
    <n v="23.753726"/>
    <n v="59.569499999999998"/>
    <n v="150"/>
    <n v="992.17590680063995"/>
    <n v="0"/>
    <n v="1344"/>
    <n v="7"/>
    <n v="0"/>
    <n v="0"/>
    <n v="1344"/>
    <m/>
    <m/>
    <n v="0"/>
    <x v="0"/>
    <s v="BRMAOTK01"/>
    <s v="BRMAOCHI"/>
    <n v="11.436796000000001"/>
    <n v="59.569499999999998"/>
    <n v="150"/>
    <n v="809.68038908543997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147"/>
    <n v="119139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2824.7841972531837"/>
    <n v="357.41700000000003"/>
    <n v="19959.821492178486"/>
    <n v="2395.1785790614181"/>
    <n v="110"/>
    <n v="150"/>
    <n v="1E-3"/>
    <n v="119.139"/>
    <n v="13971.875044524939"/>
    <n v="14351.014044524938"/>
    <n v="3180.9641611183101"/>
    <n v="6932.1935875205472"/>
    <n v="0.08"/>
    <n v="1003.9326198911086"/>
    <n v="0.12"/>
    <n v="1722.1216853429926"/>
    <n v="15"/>
    <n v="5"/>
  </r>
  <r>
    <n v="918"/>
    <d v="2022-12-31T00:00:00"/>
    <x v="2"/>
    <s v="CLI463"/>
    <s v="CLI463"/>
    <s v="IPOJUCA"/>
    <s v="PE"/>
    <s v="CLI561"/>
    <s v="MANAUS"/>
    <s v="AM"/>
    <n v="2824.7841972531837"/>
    <n v="2060.3329469999999"/>
    <n v="0"/>
    <n v="7000"/>
    <n v="0"/>
    <x v="0"/>
    <x v="3"/>
    <s v="BRSUATK01"/>
    <s v="BRSUATCO"/>
    <n v="23.753726"/>
    <n v="115.97"/>
    <n v="150"/>
    <n v="1048.5764068006401"/>
    <n v="0"/>
    <n v="1344"/>
    <n v="7"/>
    <n v="0"/>
    <n v="0"/>
    <n v="1344"/>
    <m/>
    <m/>
    <n v="0"/>
    <x v="0"/>
    <s v="BRMAOTK01"/>
    <s v="BRMAOCHI"/>
    <n v="11.436796000000001"/>
    <n v="115.97"/>
    <n v="150"/>
    <n v="866.08088908544005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803"/>
    <n v="231940"/>
    <x v="1"/>
    <x v="0"/>
    <x v="0"/>
    <x v="4"/>
    <x v="0"/>
    <x v="2"/>
    <n v="3"/>
    <n v="3"/>
    <n v="3"/>
    <n v="3"/>
    <n v="3"/>
    <n v="3"/>
    <n v="3"/>
    <n v="34"/>
    <n v="7"/>
    <n v="180"/>
    <n v="7"/>
    <n v="180"/>
    <n v="2824.7841972531837"/>
    <n v="695.82"/>
    <n v="20298.224492178484"/>
    <n v="2435.7869390614178"/>
    <n v="110"/>
    <n v="150"/>
    <n v="1E-3"/>
    <n v="231.94"/>
    <n v="14208.757144524938"/>
    <n v="14700.697144524938"/>
    <n v="3180.9641611183101"/>
    <n v="7169.0756875205461"/>
    <n v="0.08"/>
    <n v="1022.8831878911086"/>
    <n v="0.12"/>
    <n v="1764.0836573429926"/>
    <n v="15"/>
    <n v="3"/>
  </r>
  <r>
    <n v="919"/>
    <d v="2022-12-31T00:00:00"/>
    <x v="2"/>
    <s v="CLI463"/>
    <s v="CLI463"/>
    <s v="IPOJUCA"/>
    <s v="PE"/>
    <s v="CLI1037"/>
    <s v="BOA VISTA"/>
    <s v="RR"/>
    <n v="3101.4836705854573"/>
    <n v="2060.3329469999999"/>
    <n v="0"/>
    <n v="7000"/>
    <n v="0"/>
    <x v="0"/>
    <x v="3"/>
    <s v="BRSUATK01"/>
    <s v="BRSUATCO"/>
    <n v="23.753726"/>
    <n v="74.710000000000008"/>
    <n v="150"/>
    <n v="1007.31640680064"/>
    <n v="0"/>
    <n v="1344"/>
    <n v="7"/>
    <n v="0"/>
    <n v="0"/>
    <n v="1344"/>
    <m/>
    <m/>
    <n v="0"/>
    <x v="0"/>
    <s v="BRMAOTK01"/>
    <s v="BRMAOCHI"/>
    <n v="745.73917200000005"/>
    <n v="74.710000000000008"/>
    <n v="150"/>
    <n v="11704.714845422081"/>
    <n v="1404.5657814506496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821"/>
    <n v="149420"/>
    <x v="1"/>
    <x v="2"/>
    <x v="0"/>
    <x v="0"/>
    <x v="2"/>
    <x v="2"/>
    <n v="3"/>
    <n v="2"/>
    <n v="3"/>
    <n v="3"/>
    <n v="3"/>
    <n v="2"/>
    <n v="3"/>
    <n v="29"/>
    <n v="7"/>
    <n v="180"/>
    <n v="7"/>
    <n v="180"/>
    <n v="3101.4836705854573"/>
    <n v="448.26"/>
    <n v="21929.719547599016"/>
    <n v="2631.5663457118817"/>
    <n v="110"/>
    <n v="150"/>
    <n v="1E-3"/>
    <n v="149.42000000000002"/>
    <n v="15350.803683319309"/>
    <n v="15760.223683319309"/>
    <n v="3180.9641611183101"/>
    <n v="-2568.7717300217223"/>
    <n v="0.08"/>
    <n v="131.49013197167505"/>
    <n v="0.12"/>
    <n v="1891.226841998317"/>
    <n v="15"/>
    <n v="3"/>
  </r>
  <r>
    <n v="920"/>
    <d v="2022-12-31T00:00:00"/>
    <x v="2"/>
    <s v="CLI463"/>
    <s v="CLI463"/>
    <s v="IPOJUCA"/>
    <s v="PE"/>
    <s v="CLI1038"/>
    <s v="MANAUS"/>
    <s v="AM"/>
    <n v="2824.7841972531837"/>
    <n v="2060.3329469999999"/>
    <n v="0"/>
    <n v="7000"/>
    <n v="0"/>
    <x v="0"/>
    <x v="3"/>
    <s v="BRSUATK01"/>
    <s v="BRSUATCO"/>
    <n v="23.753726"/>
    <n v="73.391000000000005"/>
    <n v="150"/>
    <n v="1005.99740680064"/>
    <n v="0"/>
    <n v="1344"/>
    <n v="7"/>
    <n v="0"/>
    <n v="0"/>
    <n v="1344"/>
    <m/>
    <m/>
    <n v="0"/>
    <x v="0"/>
    <s v="BRMAOTK01"/>
    <s v="BRMAOCHI"/>
    <n v="11.436796000000001"/>
    <n v="73.391000000000005"/>
    <n v="150"/>
    <n v="823.5018890854399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516"/>
    <n v="146782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24.7841972531837"/>
    <n v="440.346"/>
    <n v="20042.750492178486"/>
    <n v="2405.1300590614183"/>
    <n v="110"/>
    <n v="150"/>
    <n v="1E-3"/>
    <n v="146.78200000000001"/>
    <n v="14029.92534452494"/>
    <n v="14436.707344524939"/>
    <n v="3180.9641611183101"/>
    <n v="6990.243887520548"/>
    <n v="0.08"/>
    <n v="1008.5766438911087"/>
    <n v="0.12"/>
    <n v="1732.4048813429927"/>
    <n v="15"/>
    <n v="2"/>
  </r>
  <r>
    <n v="921"/>
    <d v="2022-12-31T00:00:00"/>
    <x v="2"/>
    <s v="CLI463"/>
    <s v="CLI463"/>
    <s v="IPOJUCA"/>
    <s v="PE"/>
    <s v="CLI561"/>
    <s v="MANAUS"/>
    <s v="AM"/>
    <n v="2824.7841972531837"/>
    <n v="2060.3329469999999"/>
    <n v="0"/>
    <n v="7000"/>
    <n v="0"/>
    <x v="0"/>
    <x v="3"/>
    <s v="BRSUATK01"/>
    <s v="BRSUATCO"/>
    <n v="23.753726"/>
    <n v="80.290500000000009"/>
    <n v="150"/>
    <n v="1012.89690680064"/>
    <n v="0"/>
    <n v="1344"/>
    <n v="7"/>
    <n v="0"/>
    <n v="0"/>
    <n v="1344"/>
    <m/>
    <m/>
    <n v="0"/>
    <x v="0"/>
    <s v="BRMAOTK01"/>
    <s v="BRMAOCHI"/>
    <n v="11.436796000000001"/>
    <n v="80.290500000000009"/>
    <n v="150"/>
    <n v="830.40138908544009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587"/>
    <n v="160581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24.7841972531837"/>
    <n v="481.74299999999999"/>
    <n v="20084.147492178483"/>
    <n v="2410.0976990614176"/>
    <n v="110"/>
    <n v="150"/>
    <n v="1E-3"/>
    <n v="160.58100000000002"/>
    <n v="14058.903244524938"/>
    <n v="14479.484244524938"/>
    <n v="3180.9641611183101"/>
    <n v="7019.2217875205461"/>
    <n v="0.08"/>
    <n v="1010.8948758911085"/>
    <n v="0.12"/>
    <n v="1737.5381093429926"/>
    <n v="15"/>
    <n v="2"/>
  </r>
  <r>
    <n v="922"/>
    <d v="2022-12-31T00:00:00"/>
    <x v="2"/>
    <s v="CLI463"/>
    <s v="CLI463"/>
    <s v="IPOJUCA"/>
    <s v="PE"/>
    <s v="CLI659"/>
    <s v="MANAUS"/>
    <s v="AM"/>
    <n v="2824.7841972531837"/>
    <n v="2060.3329469999999"/>
    <n v="0"/>
    <n v="7000"/>
    <n v="0"/>
    <x v="0"/>
    <x v="3"/>
    <s v="BRSUATK01"/>
    <s v="BRSUATCO"/>
    <n v="23.753726"/>
    <n v="117.54650000000001"/>
    <n v="150"/>
    <n v="1050.15290680064"/>
    <n v="0"/>
    <n v="1344"/>
    <n v="7"/>
    <n v="0"/>
    <n v="0"/>
    <n v="1344"/>
    <m/>
    <m/>
    <n v="0"/>
    <x v="0"/>
    <s v="BRMAOTK01"/>
    <s v="BRMAOCHI"/>
    <n v="11.436796000000001"/>
    <n v="117.54650000000001"/>
    <n v="150"/>
    <n v="867.65738908544006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353"/>
    <n v="235093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824.7841972531837"/>
    <n v="705.279"/>
    <n v="20307.683492178483"/>
    <n v="2436.9220190614178"/>
    <n v="110"/>
    <n v="150"/>
    <n v="1E-3"/>
    <n v="235.09300000000002"/>
    <n v="14215.378444524937"/>
    <n v="14710.471444524937"/>
    <n v="3180.9641611183101"/>
    <n v="7175.6969875205468"/>
    <n v="0.08"/>
    <n v="1023.4128918911086"/>
    <n v="0.12"/>
    <n v="1765.2565733429924"/>
    <n v="15"/>
    <n v="2"/>
  </r>
  <r>
    <n v="923"/>
    <d v="2022-12-31T00:00:00"/>
    <x v="2"/>
    <s v="CLI463"/>
    <s v="CLI463"/>
    <s v="IPOJUCA"/>
    <s v="PE"/>
    <s v="CLI1005"/>
    <s v="MANAUS"/>
    <s v="AM"/>
    <n v="2824.7841972531837"/>
    <n v="2060.3329469999999"/>
    <n v="0"/>
    <n v="7000"/>
    <n v="0"/>
    <x v="0"/>
    <x v="3"/>
    <s v="BRSUATK01"/>
    <s v="BRSUATCO"/>
    <n v="23.753726"/>
    <n v="88.521000000000001"/>
    <n v="150"/>
    <n v="1021.12740680064"/>
    <n v="0"/>
    <n v="1344"/>
    <n v="7"/>
    <n v="0"/>
    <n v="0"/>
    <n v="1344"/>
    <m/>
    <m/>
    <n v="0"/>
    <x v="0"/>
    <s v="BRMAOTK01"/>
    <s v="BRMAOCHI"/>
    <n v="11.436796000000001"/>
    <n v="88.521000000000001"/>
    <n v="150"/>
    <n v="838.6318890854399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228"/>
    <n v="177042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824.7841972531837"/>
    <n v="531.12599999999998"/>
    <n v="20133.530492178485"/>
    <n v="2416.0236590614181"/>
    <n v="110"/>
    <n v="150"/>
    <n v="1E-3"/>
    <n v="177.042"/>
    <n v="14093.471344524938"/>
    <n v="14530.513344524938"/>
    <n v="3180.9641611183101"/>
    <n v="7053.7898875205465"/>
    <n v="0.08"/>
    <n v="1013.6603238911085"/>
    <n v="0.12"/>
    <n v="1743.6616013429925"/>
    <n v="15"/>
    <n v="2"/>
  </r>
  <r>
    <n v="924"/>
    <d v="2022-12-31T00:00:00"/>
    <x v="2"/>
    <s v="CLI463"/>
    <s v="CLI463"/>
    <s v="IPOJUCA"/>
    <s v="PE"/>
    <s v="CLI1017"/>
    <s v="MANAUS"/>
    <s v="AM"/>
    <n v="2824.7841972531837"/>
    <n v="2060.3329469999999"/>
    <n v="0"/>
    <n v="7000"/>
    <n v="0"/>
    <x v="0"/>
    <x v="3"/>
    <s v="BRSUATK01"/>
    <s v="BRSUATCO"/>
    <n v="23.753726"/>
    <n v="46.259"/>
    <n v="150"/>
    <n v="978.86540680064002"/>
    <n v="0"/>
    <n v="1344"/>
    <n v="7"/>
    <n v="0"/>
    <n v="0"/>
    <n v="1344"/>
    <m/>
    <m/>
    <n v="0"/>
    <x v="0"/>
    <s v="BRMAOTK01"/>
    <s v="BRMAOCHI"/>
    <n v="11.436796000000001"/>
    <n v="46.259"/>
    <n v="150"/>
    <n v="796.36988908544004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73"/>
    <n v="92518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277.55400000000003"/>
    <n v="19879.958492178484"/>
    <n v="2385.595019061418"/>
    <n v="110"/>
    <n v="150"/>
    <n v="1E-3"/>
    <n v="92.518000000000001"/>
    <n v="13915.970944524939"/>
    <n v="14268.488944524939"/>
    <n v="3180.9641611183101"/>
    <n v="6876.2894875205493"/>
    <n v="0.08"/>
    <n v="999.4602918911088"/>
    <n v="0.12"/>
    <n v="1712.2186733429926"/>
    <n v="15"/>
    <n v="1"/>
  </r>
  <r>
    <n v="925"/>
    <d v="2022-12-31T00:00:00"/>
    <x v="2"/>
    <s v="CLI463"/>
    <s v="CLI463"/>
    <s v="IPOJUCA"/>
    <s v="PE"/>
    <s v="CLI561"/>
    <s v="MANAUS"/>
    <s v="AM"/>
    <n v="2824.7841972531837"/>
    <n v="2060.3329469999999"/>
    <n v="0"/>
    <n v="7000"/>
    <n v="0"/>
    <x v="0"/>
    <x v="3"/>
    <s v="BRSUATK01"/>
    <s v="BRSUATCO"/>
    <n v="23.753726"/>
    <n v="91.557500000000005"/>
    <n v="150"/>
    <n v="1024.16390680064"/>
    <n v="0"/>
    <n v="1344"/>
    <n v="7"/>
    <n v="0"/>
    <n v="0"/>
    <n v="1344"/>
    <m/>
    <m/>
    <n v="0"/>
    <x v="0"/>
    <s v="BRMAOTK01"/>
    <s v="BRMAOCHI"/>
    <n v="11.436796000000001"/>
    <n v="91.557500000000005"/>
    <n v="150"/>
    <n v="841.66838908544003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264"/>
    <n v="183115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549.34500000000003"/>
    <n v="20151.749492178486"/>
    <n v="2418.209939061418"/>
    <n v="110"/>
    <n v="150"/>
    <n v="1E-3"/>
    <n v="183.11500000000001"/>
    <n v="14106.224644524938"/>
    <n v="14549.339644524938"/>
    <n v="3180.9641611183101"/>
    <n v="7066.5431875205468"/>
    <n v="0.08"/>
    <n v="1014.6805878911086"/>
    <n v="0.12"/>
    <n v="1745.9207573429926"/>
    <n v="15"/>
    <n v="1"/>
  </r>
  <r>
    <n v="926"/>
    <d v="2022-12-31T00:00:00"/>
    <x v="2"/>
    <s v="CLI463"/>
    <s v="CLI463"/>
    <s v="IPOJUCA"/>
    <s v="PE"/>
    <s v="CLI1205"/>
    <s v="MANAUS"/>
    <s v="AM"/>
    <n v="2824.7841972531837"/>
    <n v="2060.3329469999999"/>
    <n v="0"/>
    <n v="7000"/>
    <n v="0"/>
    <x v="0"/>
    <x v="3"/>
    <s v="BRSUATK01"/>
    <s v="BRSUATCO"/>
    <n v="23.753726"/>
    <n v="29.181000000000001"/>
    <n v="150"/>
    <n v="961.78740680064004"/>
    <n v="0"/>
    <n v="1344"/>
    <n v="7"/>
    <n v="0"/>
    <n v="0"/>
    <n v="1344"/>
    <m/>
    <m/>
    <n v="0"/>
    <x v="0"/>
    <s v="BRMAOTK01"/>
    <s v="BRMAOCHI"/>
    <n v="11.436796000000001"/>
    <n v="29.181000000000001"/>
    <n v="150"/>
    <n v="779.29188908544006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529"/>
    <n v="5836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175.08600000000001"/>
    <n v="19777.490492178484"/>
    <n v="2373.2988590614182"/>
    <n v="110"/>
    <n v="150"/>
    <n v="1E-3"/>
    <n v="58.362000000000002"/>
    <n v="13844.243344524937"/>
    <n v="14162.605344524936"/>
    <n v="3180.9641611183101"/>
    <n v="6804.5618875205455"/>
    <n v="0.08"/>
    <n v="993.72208389110847"/>
    <n v="0.12"/>
    <n v="1699.5126413429923"/>
    <n v="15"/>
    <n v="1"/>
  </r>
  <r>
    <n v="927"/>
    <d v="2022-12-31T00:00:00"/>
    <x v="2"/>
    <s v="CLI463"/>
    <s v="CLI463"/>
    <s v="IPOJUCA"/>
    <s v="PE"/>
    <s v="CLI1243"/>
    <s v="BOA VISTA"/>
    <s v="RR"/>
    <n v="3101.4836705854573"/>
    <n v="2060.3329469999999"/>
    <n v="0"/>
    <n v="7000"/>
    <n v="0"/>
    <x v="0"/>
    <x v="3"/>
    <s v="BRSUATK01"/>
    <s v="BRSUATCO"/>
    <n v="23.753726"/>
    <n v="54.125"/>
    <n v="150"/>
    <n v="986.73140680064"/>
    <n v="0"/>
    <n v="1344"/>
    <n v="7"/>
    <n v="0"/>
    <n v="0"/>
    <n v="1344"/>
    <m/>
    <m/>
    <n v="0"/>
    <x v="0"/>
    <s v="BRMAOTK01"/>
    <s v="BRMAOCHI"/>
    <n v="745.73917200000005"/>
    <n v="54.125"/>
    <n v="150"/>
    <n v="11684.129845422081"/>
    <n v="1402.0955814506497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825"/>
    <n v="10825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101.4836705854573"/>
    <n v="324.75"/>
    <n v="21806.209547599017"/>
    <n v="2616.7451457118818"/>
    <n v="110"/>
    <n v="150"/>
    <n v="1E-3"/>
    <n v="108.25"/>
    <n v="15264.346683319311"/>
    <n v="15632.596683319311"/>
    <n v="3180.9641611183101"/>
    <n v="-2655.2287300217208"/>
    <n v="0.08"/>
    <n v="124.77118797167518"/>
    <n v="0.12"/>
    <n v="1875.9116019983171"/>
    <n v="15"/>
    <n v="1"/>
  </r>
  <r>
    <n v="928"/>
    <d v="2022-12-31T00:00:00"/>
    <x v="2"/>
    <s v="CLI463"/>
    <s v="CLI463"/>
    <s v="IPOJUCA"/>
    <s v="PE"/>
    <s v="CLI1017"/>
    <s v="MANAUS"/>
    <s v="AM"/>
    <n v="2824.7841972531837"/>
    <n v="2060.3329469999999"/>
    <n v="0"/>
    <n v="7000"/>
    <n v="0"/>
    <x v="0"/>
    <x v="3"/>
    <s v="BRSUATK01"/>
    <s v="BRSUATCO"/>
    <n v="23.753726"/>
    <n v="34.160499999999999"/>
    <n v="150"/>
    <n v="966.76690680063996"/>
    <n v="0"/>
    <n v="1344"/>
    <n v="7"/>
    <n v="0"/>
    <n v="0"/>
    <n v="1344"/>
    <m/>
    <m/>
    <n v="0"/>
    <x v="0"/>
    <s v="BRMAOTK01"/>
    <s v="BRMAOCHI"/>
    <n v="11.436796000000001"/>
    <n v="34.160499999999999"/>
    <n v="150"/>
    <n v="784.27138908543998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756"/>
    <n v="68321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204.96299999999999"/>
    <n v="19807.367492178484"/>
    <n v="2376.8840990614181"/>
    <n v="110"/>
    <n v="150"/>
    <n v="1E-3"/>
    <n v="68.320999999999998"/>
    <n v="13865.157244524939"/>
    <n v="14193.478244524938"/>
    <n v="3180.9641611183101"/>
    <n v="6825.4757875205487"/>
    <n v="0.08"/>
    <n v="995.39519589110876"/>
    <n v="0.12"/>
    <n v="1703.2173893429926"/>
    <n v="15"/>
    <n v="1"/>
  </r>
  <r>
    <n v="929"/>
    <d v="2022-12-31T00:00:00"/>
    <x v="2"/>
    <s v="CLI463"/>
    <s v="CLI463"/>
    <s v="IPOJUCA"/>
    <s v="PE"/>
    <s v="CLI605"/>
    <s v="MANAUS"/>
    <s v="AM"/>
    <n v="2824.7841972531837"/>
    <n v="2060.3329469999999"/>
    <n v="0"/>
    <n v="7000"/>
    <n v="0"/>
    <x v="0"/>
    <x v="3"/>
    <s v="BRSUATK01"/>
    <s v="BRSUATCO"/>
    <n v="23.753726"/>
    <n v="113.077"/>
    <n v="150"/>
    <n v="1045.6834068006401"/>
    <n v="0"/>
    <n v="1344"/>
    <n v="7"/>
    <n v="0"/>
    <n v="0"/>
    <n v="1344"/>
    <m/>
    <m/>
    <n v="0"/>
    <x v="0"/>
    <s v="BRMAOTK01"/>
    <s v="BRMAOCHI"/>
    <n v="11.436796000000001"/>
    <n v="113.077"/>
    <n v="150"/>
    <n v="863.18788908544002"/>
    <n v="0"/>
    <n v="832"/>
    <n v="7"/>
    <n v="0"/>
    <n v="0"/>
    <n v="832"/>
    <s v="BRSUADP01"/>
    <n v="95"/>
    <n v="70"/>
    <n v="0"/>
    <n v="0"/>
    <n v="0"/>
    <n v="95"/>
    <n v="26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3822"/>
    <n v="22615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824.7841972531837"/>
    <n v="678.46199999999999"/>
    <n v="20280.866492178484"/>
    <n v="2433.7039790614181"/>
    <n v="110"/>
    <n v="150"/>
    <n v="1E-3"/>
    <n v="226.154"/>
    <n v="14196.606544524939"/>
    <n v="14682.760544524939"/>
    <n v="3180.9641611183101"/>
    <n v="7156.9250875205489"/>
    <n v="0.08"/>
    <n v="1021.9111398911087"/>
    <n v="0.12"/>
    <n v="1761.9312653429927"/>
    <n v="15"/>
    <n v="1"/>
  </r>
  <r>
    <n v="930"/>
    <d v="2022-12-31T00:00:00"/>
    <x v="2"/>
    <s v="CLI464"/>
    <s v="CLI464"/>
    <s v="LOUVEIRA"/>
    <s v="SP"/>
    <s v="CLI601"/>
    <s v="CARUARU"/>
    <s v="PE"/>
    <n v="2452.461616"/>
    <n v="0"/>
    <n v="0"/>
    <n v="0"/>
    <n v="0"/>
    <x v="0"/>
    <x v="0"/>
    <s v="BRSSZTK01"/>
    <s v="BRSSZTCO"/>
    <n v="152.74309700000001"/>
    <n v="29.826000000000001"/>
    <n v="150"/>
    <n v="2873.6214807340803"/>
    <n v="517.25186653213439"/>
    <n v="640"/>
    <n v="7"/>
    <n v="0"/>
    <n v="0"/>
    <n v="640"/>
    <m/>
    <m/>
    <n v="0"/>
    <x v="2"/>
    <s v="BRSUATK01"/>
    <s v="BRSUATCO"/>
    <n v="152.331682"/>
    <n v="29.826000000000001"/>
    <n v="150"/>
    <n v="2867.5256927884798"/>
    <n v="516.15462470192631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240"/>
    <n v="59652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2452.461616"/>
    <n v="178.95600000000002"/>
    <n v="17252.932735791364"/>
    <n v="1207.7052915053957"/>
    <n v="110"/>
    <n v="150"/>
    <n v="1E-3"/>
    <n v="59.652000000000001"/>
    <n v="12077.052915053955"/>
    <n v="12396.704915053955"/>
    <n v="3180.9641611183101"/>
    <n v="1220.5935804130845"/>
    <n v="0.08"/>
    <n v="449.77210002378672"/>
    <n v="7.0000000000000007E-2"/>
    <n v="867.76934405377699"/>
    <n v="15"/>
    <n v="2"/>
  </r>
  <r>
    <n v="931"/>
    <d v="2022-12-31T00:00:00"/>
    <x v="2"/>
    <s v="CLI464"/>
    <s v="CLI464"/>
    <s v="LOUVEIRA"/>
    <s v="SP"/>
    <s v="CLI787"/>
    <s v="JABOATAO DOS GUARARAPES"/>
    <s v="PE"/>
    <n v="2564.6417230000002"/>
    <n v="0"/>
    <n v="0"/>
    <n v="0"/>
    <n v="0"/>
    <x v="0"/>
    <x v="0"/>
    <s v="BRSSZTK01"/>
    <s v="BRSSZTCO"/>
    <n v="152.74309700000001"/>
    <n v="27.627500000000001"/>
    <n v="150"/>
    <n v="2871.4229807340803"/>
    <n v="516.85613653213443"/>
    <n v="640"/>
    <n v="7"/>
    <n v="0"/>
    <n v="0"/>
    <n v="640"/>
    <m/>
    <m/>
    <n v="0"/>
    <x v="2"/>
    <s v="BRSUATK01"/>
    <s v="BRSUATCO"/>
    <n v="43.495365"/>
    <n v="27.627500000000001"/>
    <n v="150"/>
    <n v="1252.7386648736001"/>
    <n v="225.49295967724802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191"/>
    <n v="55255"/>
    <x v="1"/>
    <x v="2"/>
    <x v="2"/>
    <x v="0"/>
    <x v="2"/>
    <x v="3"/>
    <n v="2"/>
    <n v="2"/>
    <n v="2"/>
    <n v="2"/>
    <n v="2"/>
    <n v="2"/>
    <n v="2"/>
    <n v="22"/>
    <n v="7"/>
    <n v="180"/>
    <n v="7"/>
    <n v="180"/>
    <n v="2564.6417230000002"/>
    <n v="165.76500000000001"/>
    <n v="18001.552355224085"/>
    <n v="1260.108664865686"/>
    <n v="110"/>
    <n v="150"/>
    <n v="1E-3"/>
    <n v="55.255000000000003"/>
    <n v="12601.086648656859"/>
    <n v="12916.341648656859"/>
    <n v="3180.9641611183101"/>
    <n v="3357.2158419308694"/>
    <n v="0.08"/>
    <n v="643.98647254718355"/>
    <n v="7.0000000000000007E-2"/>
    <n v="904.14391540598024"/>
    <n v="15"/>
    <n v="2"/>
  </r>
  <r>
    <n v="932"/>
    <d v="2022-12-31T00:00:00"/>
    <x v="2"/>
    <s v="CLI464"/>
    <s v="CLI464"/>
    <s v="LOUVEIRA"/>
    <s v="SP"/>
    <s v="CLI1159"/>
    <s v="FORTALEZA"/>
    <s v="CE"/>
    <n v="2788.2594939999999"/>
    <n v="0"/>
    <n v="0"/>
    <n v="0"/>
    <n v="0"/>
    <x v="0"/>
    <x v="0"/>
    <s v="BRSSZTK01"/>
    <s v="BRSSZTCO"/>
    <n v="152.74309700000001"/>
    <n v="62"/>
    <n v="150"/>
    <n v="2905.7954807340802"/>
    <n v="523.04318653213443"/>
    <n v="640"/>
    <n v="7"/>
    <n v="0"/>
    <n v="0"/>
    <n v="640"/>
    <m/>
    <m/>
    <n v="0"/>
    <x v="3"/>
    <s v="BRPECTK01"/>
    <s v="BRPECAPM"/>
    <n v="42.140103000000003"/>
    <n v="62"/>
    <n v="150"/>
    <n v="1267.03073571392"/>
    <n v="228.06553242850558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992"/>
    <n v="124000"/>
    <x v="1"/>
    <x v="3"/>
    <x v="2"/>
    <x v="2"/>
    <x v="3"/>
    <x v="3"/>
    <n v="1"/>
    <n v="1"/>
    <n v="2"/>
    <n v="2"/>
    <n v="2"/>
    <n v="1"/>
    <n v="2"/>
    <n v="16"/>
    <n v="7"/>
    <n v="180"/>
    <n v="7"/>
    <n v="180"/>
    <n v="2788.2594939999999"/>
    <n v="372"/>
    <n v="19726.366693374242"/>
    <n v="1380.8456685361971"/>
    <n v="110"/>
    <n v="150"/>
    <n v="1E-3"/>
    <n v="124"/>
    <n v="13808.456685361969"/>
    <n v="14192.456685361969"/>
    <n v="3180.9641611183101"/>
    <n v="5160.6663077956582"/>
    <n v="0.08"/>
    <n v="741.48173999626647"/>
    <n v="7.0000000000000007E-2"/>
    <n v="993.47196797533798"/>
    <n v="15"/>
    <n v="2"/>
  </r>
  <r>
    <n v="933"/>
    <d v="2022-12-31T00:00:00"/>
    <x v="2"/>
    <s v="CLI464"/>
    <s v="CLI464"/>
    <s v="LOUVEIRA"/>
    <s v="SP"/>
    <s v="CLI786"/>
    <s v="CARUARU"/>
    <s v="PE"/>
    <n v="2452.461616"/>
    <n v="0"/>
    <n v="0"/>
    <n v="0"/>
    <n v="0"/>
    <x v="0"/>
    <x v="0"/>
    <s v="BRSSZTK01"/>
    <s v="BRSSZTCO"/>
    <n v="152.74309700000001"/>
    <n v="117.623"/>
    <n v="150"/>
    <n v="2961.4184807340803"/>
    <n v="533.05532653213447"/>
    <n v="640"/>
    <n v="7"/>
    <n v="0"/>
    <n v="0"/>
    <n v="640"/>
    <m/>
    <m/>
    <n v="0"/>
    <x v="2"/>
    <s v="BRSUATK01"/>
    <s v="BRSUATCO"/>
    <n v="152.331682"/>
    <n v="117.623"/>
    <n v="150"/>
    <n v="2955.3226927884798"/>
    <n v="531.9580847019264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696"/>
    <n v="23524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452.461616"/>
    <n v="705.73800000000006"/>
    <n v="17779.714735791367"/>
    <n v="1244.5800315053959"/>
    <n v="110"/>
    <n v="150"/>
    <n v="1E-3"/>
    <n v="235.24600000000001"/>
    <n v="12445.800315053957"/>
    <n v="12941.046315053956"/>
    <n v="3180.9641611183101"/>
    <n v="1589.3409804130856"/>
    <n v="0.08"/>
    <n v="476.74333842378684"/>
    <n v="7.0000000000000007E-2"/>
    <n v="905.87324205377706"/>
    <n v="15"/>
    <n v="1"/>
  </r>
  <r>
    <n v="934"/>
    <d v="2022-12-31T00:00:00"/>
    <x v="2"/>
    <s v="CLI464"/>
    <s v="CLI464"/>
    <s v="LOUVEIRA"/>
    <s v="SP"/>
    <s v="CLI602"/>
    <s v="JOAO PESSOA"/>
    <s v="PB"/>
    <n v="2661.3781269999999"/>
    <n v="0"/>
    <n v="0"/>
    <n v="0"/>
    <n v="0"/>
    <x v="0"/>
    <x v="0"/>
    <s v="BRSSZTK01"/>
    <s v="BRSSZTCO"/>
    <n v="152.74309700000001"/>
    <n v="53.029499999999999"/>
    <n v="150"/>
    <n v="2896.8249807340803"/>
    <n v="521.42849653213443"/>
    <n v="640"/>
    <n v="7"/>
    <n v="0"/>
    <n v="0"/>
    <n v="640"/>
    <m/>
    <m/>
    <n v="0"/>
    <x v="2"/>
    <s v="BRSUATK01"/>
    <s v="BRSUATCO"/>
    <n v="167.74277900000001"/>
    <n v="53.029499999999999"/>
    <n v="150"/>
    <n v="3119.0698690425606"/>
    <n v="374.28838428510727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170"/>
    <n v="10605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61.3781269999999"/>
    <n v="318.17700000000002"/>
    <n v="18810.897405331922"/>
    <n v="1316.7628183732347"/>
    <n v="110"/>
    <n v="150"/>
    <n v="1E-3"/>
    <n v="106.059"/>
    <n v="13167.628183732344"/>
    <n v="13533.687183732343"/>
    <n v="3180.9641611183101"/>
    <n v="2082.8281728373927"/>
    <n v="0.08"/>
    <n v="529.76603625107691"/>
    <n v="7.0000000000000007E-2"/>
    <n v="947.35810286126411"/>
    <n v="15"/>
    <n v="1"/>
  </r>
  <r>
    <n v="935"/>
    <d v="2022-12-31T00:00:00"/>
    <x v="2"/>
    <s v="CLI468"/>
    <s v="CLI468"/>
    <s v="RIO CLARO"/>
    <s v="SP"/>
    <s v="CLI1147"/>
    <s v="MARACANAU"/>
    <s v="CE"/>
    <n v="2717.9580839999999"/>
    <n v="0"/>
    <n v="0"/>
    <n v="0"/>
    <n v="0"/>
    <x v="0"/>
    <x v="0"/>
    <s v="BRSSZTK01"/>
    <s v="BRSSZTCO"/>
    <n v="254.22760699999998"/>
    <n v="87.680999999999997"/>
    <n v="150"/>
    <n v="4435.1359309804793"/>
    <n v="798.3244675764862"/>
    <n v="640"/>
    <n v="7"/>
    <n v="0"/>
    <n v="0"/>
    <n v="640"/>
    <m/>
    <m/>
    <n v="0"/>
    <x v="3"/>
    <s v="BRPECTK01"/>
    <s v="BRPECAPM"/>
    <n v="52.945568000000002"/>
    <n v="87.680999999999997"/>
    <n v="150"/>
    <n v="1452.8124206515201"/>
    <n v="261.50623571727363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82"/>
    <n v="17536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717.9580839999999"/>
    <n v="526.08600000000001"/>
    <n v="19403.038630120638"/>
    <n v="1358.2127041084448"/>
    <n v="110"/>
    <n v="150"/>
    <n v="1E-3"/>
    <n v="175.36199999999999"/>
    <n v="13582.127041084446"/>
    <n v="14017.489041084445"/>
    <n v="3180.9641611183101"/>
    <n v="3270.5765283341357"/>
    <n v="0.08"/>
    <n v="565.57679889269491"/>
    <n v="7.0000000000000007E-2"/>
    <n v="981.2242328759113"/>
    <n v="15"/>
    <n v="1"/>
  </r>
  <r>
    <n v="936"/>
    <d v="2022-12-31T00:00:00"/>
    <x v="2"/>
    <s v="CLI469"/>
    <s v="CLI469"/>
    <s v="MANAUS"/>
    <s v="AM"/>
    <s v="CLI1281"/>
    <s v="ITAMONTE"/>
    <s v="MG"/>
    <n v="3965.4578750000001"/>
    <n v="0"/>
    <n v="2912.6678590000001"/>
    <n v="7000"/>
    <n v="0"/>
    <x v="0"/>
    <x v="2"/>
    <s v="BRMAOTK01"/>
    <s v="BRMAOCHI"/>
    <n v="11.436796000000001"/>
    <n v="102.559"/>
    <n v="150"/>
    <n v="852.66988908543999"/>
    <n v="0"/>
    <n v="832"/>
    <n v="7"/>
    <n v="0"/>
    <n v="0"/>
    <n v="832"/>
    <m/>
    <m/>
    <n v="0"/>
    <x v="4"/>
    <s v="BRIGITK01"/>
    <s v="BRIGITCO"/>
    <n v="200.12501699999999"/>
    <n v="102.559"/>
    <n v="150"/>
    <n v="3648.3953318828803"/>
    <n v="437.80743982594561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8549"/>
    <n v="205118"/>
    <x v="1"/>
    <x v="32"/>
    <x v="29"/>
    <x v="28"/>
    <x v="31"/>
    <x v="30"/>
    <n v="44"/>
    <n v="42"/>
    <n v="47"/>
    <n v="47"/>
    <n v="48"/>
    <n v="44"/>
    <n v="47"/>
    <n v="521"/>
    <n v="7"/>
    <n v="180"/>
    <n v="7"/>
    <n v="180"/>
    <n v="3965.4578750000001"/>
    <n v="615.35400000000004"/>
    <n v="27964.027810810003"/>
    <n v="3355.6833372972001"/>
    <n v="110"/>
    <n v="150"/>
    <n v="1E-3"/>
    <n v="205.11799999999999"/>
    <n v="19574.819467567002"/>
    <n v="20039.937467567001"/>
    <n v="3180.9641611183101"/>
    <n v="10526.908085480371"/>
    <n v="0.08"/>
    <n v="1208.085184541819"/>
    <n v="0.12"/>
    <n v="2404.7924961080398"/>
    <n v="15"/>
    <n v="48"/>
  </r>
  <r>
    <n v="937"/>
    <d v="2022-12-31T00:00:00"/>
    <x v="2"/>
    <s v="CLI469"/>
    <s v="CLI469"/>
    <s v="MANAUS"/>
    <s v="AM"/>
    <s v="CLI1285"/>
    <s v="ITAMONTE"/>
    <s v="MG"/>
    <n v="3965.4578750000001"/>
    <n v="0"/>
    <n v="2912.6678590000001"/>
    <n v="7000"/>
    <n v="0"/>
    <x v="0"/>
    <x v="2"/>
    <s v="BRMAOTK01"/>
    <s v="BRMAOCHI"/>
    <n v="11.436796000000001"/>
    <n v="99.759500000000003"/>
    <n v="150"/>
    <n v="849.87038908544002"/>
    <n v="0"/>
    <n v="832"/>
    <n v="7"/>
    <n v="0"/>
    <n v="0"/>
    <n v="832"/>
    <m/>
    <m/>
    <n v="0"/>
    <x v="4"/>
    <s v="BRIGITK01"/>
    <s v="BRIGITCO"/>
    <n v="200.12501699999999"/>
    <n v="99.759500000000003"/>
    <n v="150"/>
    <n v="3645.5958318828802"/>
    <n v="437.47149982594561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669"/>
    <n v="199519"/>
    <x v="1"/>
    <x v="8"/>
    <x v="9"/>
    <x v="19"/>
    <x v="10"/>
    <x v="20"/>
    <n v="12"/>
    <n v="11"/>
    <n v="12"/>
    <n v="12"/>
    <n v="13"/>
    <n v="12"/>
    <n v="13"/>
    <n v="138"/>
    <n v="7"/>
    <n v="180"/>
    <n v="7"/>
    <n v="180"/>
    <n v="3965.4578750000001"/>
    <n v="598.55700000000002"/>
    <n v="27947.230810810004"/>
    <n v="3353.6676972972004"/>
    <n v="110"/>
    <n v="150"/>
    <n v="1E-3"/>
    <n v="199.51900000000001"/>
    <n v="19563.061567567001"/>
    <n v="20022.580567567002"/>
    <n v="3180.9641611183101"/>
    <n v="10515.15018548037"/>
    <n v="0.08"/>
    <n v="1207.1714277418189"/>
    <n v="0.12"/>
    <n v="2402.7096681080402"/>
    <n v="15"/>
    <n v="13"/>
  </r>
  <r>
    <n v="938"/>
    <d v="2022-12-31T00:00:00"/>
    <x v="2"/>
    <s v="CLI469"/>
    <s v="CLI469"/>
    <s v="MANAUS"/>
    <s v="AM"/>
    <s v="CLI1286"/>
    <s v="LORENA"/>
    <s v="SP"/>
    <n v="4030.8049550000001"/>
    <n v="0"/>
    <n v="2978.1559609999999"/>
    <n v="7000"/>
    <n v="0"/>
    <x v="0"/>
    <x v="2"/>
    <s v="BRMAOTK01"/>
    <s v="BRMAOCHI"/>
    <n v="11.436796000000001"/>
    <n v="88.709000000000003"/>
    <n v="150"/>
    <n v="838.81988908544008"/>
    <n v="0"/>
    <n v="832"/>
    <n v="7"/>
    <n v="0"/>
    <n v="0"/>
    <n v="832"/>
    <m/>
    <m/>
    <n v="0"/>
    <x v="1"/>
    <s v="BRSSZTK01"/>
    <s v="BRSSZTCO"/>
    <n v="237.24024900000001"/>
    <n v="88.709000000000003"/>
    <n v="150"/>
    <n v="4184.4683629433603"/>
    <n v="753.2043053298048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109"/>
    <n v="177418"/>
    <x v="1"/>
    <x v="1"/>
    <x v="6"/>
    <x v="1"/>
    <x v="5"/>
    <x v="6"/>
    <n v="5"/>
    <n v="5"/>
    <n v="5"/>
    <n v="5"/>
    <n v="5"/>
    <n v="5"/>
    <n v="5"/>
    <n v="57"/>
    <n v="7"/>
    <n v="180"/>
    <n v="7"/>
    <n v="180"/>
    <n v="4030.8049550000001"/>
    <n v="532.25400000000002"/>
    <n v="28324.697217206805"/>
    <n v="3398.9636660648166"/>
    <n v="110"/>
    <n v="150"/>
    <n v="1E-3"/>
    <n v="177.41800000000001"/>
    <n v="19827.288052044762"/>
    <n v="20264.706052044763"/>
    <n v="3180.9641611183101"/>
    <n v="10293.453638897652"/>
    <n v="0.08"/>
    <n v="1159.0570795748927"/>
    <n v="0.12"/>
    <n v="2431.7647262453715"/>
    <n v="15"/>
    <n v="5"/>
  </r>
  <r>
    <n v="939"/>
    <d v="2022-12-31T00:00:00"/>
    <x v="2"/>
    <s v="CLI469"/>
    <s v="CLI469"/>
    <s v="MANAUS"/>
    <s v="AM"/>
    <s v="CLI1291"/>
    <s v="BETIM"/>
    <s v="MG"/>
    <n v="3725.1065960000001"/>
    <n v="0"/>
    <n v="2672.0403730000003"/>
    <n v="7000"/>
    <n v="0"/>
    <x v="0"/>
    <x v="2"/>
    <s v="BRMAOTK01"/>
    <s v="BRMAOCHI"/>
    <n v="11.436796000000001"/>
    <n v="52.595500000000001"/>
    <n v="150"/>
    <n v="802.70638908544004"/>
    <n v="0"/>
    <n v="832"/>
    <n v="7"/>
    <n v="0"/>
    <n v="0"/>
    <n v="832"/>
    <m/>
    <m/>
    <n v="0"/>
    <x v="4"/>
    <s v="BRIGITK01"/>
    <s v="BRIGITCO"/>
    <n v="450.76401400000003"/>
    <n v="52.595500000000001"/>
    <n v="150"/>
    <n v="7312.0596203929608"/>
    <n v="877.4471544471553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720"/>
    <n v="105191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725.1065960000001"/>
    <n v="315.57299999999998"/>
    <n v="26032.030889172162"/>
    <n v="3123.8437067006594"/>
    <n v="110"/>
    <n v="150"/>
    <n v="1E-3"/>
    <n v="105.191"/>
    <n v="18222.421622420512"/>
    <n v="18587.612622420511"/>
    <n v="3180.9641611183101"/>
    <n v="5460.8824518237998"/>
    <n v="0.08"/>
    <n v="767.63195667959633"/>
    <n v="0.12"/>
    <n v="2230.5135146904613"/>
    <n v="15"/>
    <n v="2"/>
  </r>
  <r>
    <n v="940"/>
    <d v="2022-12-31T00:00:00"/>
    <x v="2"/>
    <s v="CLI469"/>
    <s v="CLI469"/>
    <s v="MANAUS"/>
    <s v="AM"/>
    <s v="CLI357"/>
    <s v="SAO PAULO"/>
    <s v="SP"/>
    <n v="3929.9226880000001"/>
    <n v="0"/>
    <n v="2877.9279630000001"/>
    <n v="7000"/>
    <n v="0"/>
    <x v="0"/>
    <x v="2"/>
    <s v="BRMAOTK01"/>
    <s v="BRMAOCHI"/>
    <n v="11.436796000000001"/>
    <n v="91.283500000000004"/>
    <n v="150"/>
    <n v="841.39438908544003"/>
    <n v="0"/>
    <n v="832"/>
    <n v="7"/>
    <n v="0"/>
    <n v="0"/>
    <n v="832"/>
    <m/>
    <m/>
    <n v="0"/>
    <x v="1"/>
    <s v="BRSSZTK01"/>
    <s v="BRSSZTCO"/>
    <n v="85.841132000000002"/>
    <n v="91.283500000000004"/>
    <n v="150"/>
    <n v="1943.81665003648"/>
    <n v="349.8869970065663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068"/>
    <n v="18256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29.9226880000001"/>
    <n v="547.70100000000002"/>
    <n v="27655.056777300484"/>
    <n v="3318.6068132760579"/>
    <n v="110"/>
    <n v="150"/>
    <n v="1E-3"/>
    <n v="182.56700000000001"/>
    <n v="19358.539744110338"/>
    <n v="19801.106744110337"/>
    <n v="3180.9641611183101"/>
    <n v="12067.931543870109"/>
    <n v="0.08"/>
    <n v="1333.2806966385481"/>
    <n v="0.12"/>
    <n v="2376.1328092932404"/>
    <n v="15"/>
    <n v="1"/>
  </r>
  <r>
    <n v="941"/>
    <d v="2022-12-31T00:00:00"/>
    <x v="2"/>
    <s v="CLI469"/>
    <s v="CLI469"/>
    <s v="MANAUS"/>
    <s v="AM"/>
    <s v="CLI1113"/>
    <s v="SOROCABA"/>
    <s v="SP"/>
    <n v="3896.0252300000002"/>
    <n v="0"/>
    <n v="2842.3073469999999"/>
    <n v="7000"/>
    <n v="0"/>
    <x v="0"/>
    <x v="2"/>
    <s v="BRMAOTK01"/>
    <s v="BRMAOCHI"/>
    <n v="11.436796000000001"/>
    <n v="78.278000000000006"/>
    <n v="150"/>
    <n v="828.38888908544004"/>
    <n v="0"/>
    <n v="832"/>
    <n v="7"/>
    <n v="0"/>
    <n v="0"/>
    <n v="832"/>
    <m/>
    <m/>
    <n v="0"/>
    <x v="1"/>
    <s v="BRSSZTK01"/>
    <s v="BRSSZTCO"/>
    <n v="174.993404"/>
    <n v="78.278000000000006"/>
    <n v="150"/>
    <n v="3251.7482694425598"/>
    <n v="585.31468849966075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894"/>
    <n v="15655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96.0252300000002"/>
    <n v="469.66800000000001"/>
    <n v="27346.827495920807"/>
    <n v="3281.6192995104966"/>
    <n v="110"/>
    <n v="150"/>
    <n v="1E-3"/>
    <n v="156.55600000000001"/>
    <n v="19142.779247144565"/>
    <n v="19559.335247144565"/>
    <n v="3180.9641611183101"/>
    <n v="10531.233927498255"/>
    <n v="0.08"/>
    <n v="1191.5106720093524"/>
    <n v="0.12"/>
    <n v="2347.1202296573479"/>
    <n v="15"/>
    <n v="1"/>
  </r>
  <r>
    <n v="942"/>
    <d v="2022-12-31T00:00:00"/>
    <x v="0"/>
    <s v="CLI471"/>
    <s v="CLI471"/>
    <s v="MARACANAU"/>
    <s v="CE"/>
    <s v="CLI587"/>
    <s v="SAO PAULO"/>
    <s v="SP"/>
    <n v="2794.9295589999997"/>
    <n v="0"/>
    <n v="0"/>
    <n v="0"/>
    <n v="0"/>
    <x v="0"/>
    <x v="1"/>
    <s v="BRPECTK01S"/>
    <s v="BRPECAPM"/>
    <n v="52.945568000000002"/>
    <n v="112.77850000000001"/>
    <n v="150"/>
    <n v="1477.9099206515202"/>
    <n v="266.02378571727365"/>
    <n v="768"/>
    <n v="7"/>
    <n v="0"/>
    <n v="0"/>
    <n v="768"/>
    <m/>
    <m/>
    <n v="0"/>
    <x v="1"/>
    <s v="BRSSZTK01S"/>
    <s v="BRSSZTCO"/>
    <n v="85.841132000000002"/>
    <n v="112.77850000000001"/>
    <n v="150"/>
    <n v="1965.3116500364799"/>
    <n v="353.75609700656639"/>
    <n v="640"/>
    <n v="7"/>
    <n v="0"/>
    <n v="0"/>
    <n v="640"/>
    <s v="BRPECDP01"/>
    <n v="120"/>
    <n v="90"/>
    <n v="0"/>
    <n v="0"/>
    <n v="0"/>
    <n v="120"/>
    <n v="330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4691"/>
    <n v="225557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2794.9295589999997"/>
    <n v="676.67100000000005"/>
    <n v="20076.33383798664"/>
    <n v="2409.1600605583967"/>
    <n v="75"/>
    <n v="150"/>
    <n v="1E-3"/>
    <n v="225.55700000000002"/>
    <n v="11643.178587109047"/>
    <n v="12093.735587109048"/>
    <n v="3180.9641611183101"/>
    <n v="7174.771425990737"/>
    <n v="0.08"/>
    <n v="642.45873069577658"/>
    <n v="0.12"/>
    <n v="1451.2482704530858"/>
    <n v="15"/>
    <n v="2"/>
  </r>
  <r>
    <n v="943"/>
    <d v="2022-12-31T00:00:00"/>
    <x v="2"/>
    <s v="CLI472"/>
    <s v="CLI472"/>
    <s v="MANAUS"/>
    <s v="AM"/>
    <s v="CLI1151"/>
    <s v="MAIRIPORA"/>
    <s v="SP"/>
    <n v="3923.9247519999999"/>
    <n v="0"/>
    <n v="2872.1134520000001"/>
    <n v="7000"/>
    <n v="0"/>
    <x v="0"/>
    <x v="2"/>
    <s v="BRMAOTK01"/>
    <s v="BRMAOCHI"/>
    <n v="11.436796000000001"/>
    <n v="33.35"/>
    <n v="150"/>
    <n v="783.46088908544004"/>
    <n v="0"/>
    <n v="832"/>
    <n v="7"/>
    <n v="0"/>
    <n v="0"/>
    <n v="832"/>
    <m/>
    <m/>
    <n v="0"/>
    <x v="1"/>
    <s v="BRSSZTK01"/>
    <s v="BRSSZTCO"/>
    <n v="120.216016"/>
    <n v="33.35"/>
    <n v="150"/>
    <n v="2395.20343130624"/>
    <n v="431.1366176351231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368"/>
    <n v="66700"/>
    <x v="0"/>
    <x v="4"/>
    <x v="10"/>
    <x v="3"/>
    <x v="11"/>
    <x v="16"/>
    <n v="9"/>
    <n v="9"/>
    <n v="10"/>
    <n v="9"/>
    <n v="9"/>
    <n v="7"/>
    <n v="8"/>
    <n v="102"/>
    <n v="7"/>
    <n v="110"/>
    <n v="7"/>
    <n v="110"/>
    <n v="3923.9247519999999"/>
    <n v="200.1"/>
    <n v="27266.724033841921"/>
    <n v="3272.0068840610306"/>
    <n v="75"/>
    <n v="150"/>
    <n v="1E-3"/>
    <n v="66.7"/>
    <n v="19086.706823689343"/>
    <n v="19378.406823689344"/>
    <n v="3180.9641611183101"/>
    <n v="11251.778342179354"/>
    <n v="0.08"/>
    <n v="1261.4884708530033"/>
    <n v="0.12"/>
    <n v="2325.4088188427213"/>
    <n v="15"/>
    <n v="10"/>
  </r>
  <r>
    <n v="944"/>
    <d v="2022-12-31T00:00:00"/>
    <x v="2"/>
    <s v="CLI472"/>
    <s v="CLI472"/>
    <s v="MANAUS"/>
    <s v="AM"/>
    <s v="CLI1140"/>
    <s v="GUARULHOS"/>
    <s v="SP"/>
    <n v="3939.5816420000001"/>
    <n v="0"/>
    <n v="2887.376076"/>
    <n v="7000"/>
    <n v="0"/>
    <x v="0"/>
    <x v="2"/>
    <s v="BRMAOTK01"/>
    <s v="BRMAOCHI"/>
    <n v="11.436796000000001"/>
    <n v="56.465000000000003"/>
    <n v="150"/>
    <n v="806.57588908544005"/>
    <n v="0"/>
    <n v="832"/>
    <n v="7"/>
    <n v="0"/>
    <n v="0"/>
    <n v="832"/>
    <m/>
    <m/>
    <n v="0"/>
    <x v="1"/>
    <s v="BRSSZTK01"/>
    <s v="BRSSZTCO"/>
    <n v="96.951807000000002"/>
    <n v="56.465000000000003"/>
    <n v="150"/>
    <n v="2073.6210216684799"/>
    <n v="373.2517839003263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608"/>
    <n v="112930"/>
    <x v="0"/>
    <x v="2"/>
    <x v="0"/>
    <x v="0"/>
    <x v="2"/>
    <x v="2"/>
    <n v="2"/>
    <n v="2"/>
    <n v="2"/>
    <n v="2"/>
    <n v="2"/>
    <n v="2"/>
    <n v="2"/>
    <n v="24"/>
    <n v="7"/>
    <n v="110"/>
    <n v="7"/>
    <n v="110"/>
    <n v="3939.5816420000001"/>
    <n v="338.79"/>
    <n v="27511.739347556326"/>
    <n v="3301.408721706759"/>
    <n v="75"/>
    <n v="150"/>
    <n v="1E-3"/>
    <n v="112.93"/>
    <n v="19258.217543289426"/>
    <n v="19596.147543289426"/>
    <n v="3180.9641611183101"/>
    <n v="11767.986471417193"/>
    <n v="0.08"/>
    <n v="1307.4159078908142"/>
    <n v="0.12"/>
    <n v="2351.5377051947312"/>
    <n v="15"/>
    <n v="2"/>
  </r>
  <r>
    <n v="945"/>
    <d v="2022-12-31T00:00:00"/>
    <x v="2"/>
    <s v="CLI472"/>
    <s v="CLI472"/>
    <s v="MANAUS"/>
    <s v="AM"/>
    <s v="CLI1153"/>
    <s v="OSASCO"/>
    <s v="SP"/>
    <n v="3923.7267370000004"/>
    <n v="0"/>
    <n v="2872.0677019999998"/>
    <n v="7000"/>
    <n v="0"/>
    <x v="0"/>
    <x v="2"/>
    <s v="BRMAOTK01"/>
    <s v="BRMAOCHI"/>
    <n v="11.436796000000001"/>
    <n v="81.506500000000003"/>
    <n v="150"/>
    <n v="831.61738908543998"/>
    <n v="0"/>
    <n v="832"/>
    <n v="7"/>
    <n v="0"/>
    <n v="0"/>
    <n v="832"/>
    <m/>
    <m/>
    <n v="0"/>
    <x v="1"/>
    <s v="BRSSZTK01"/>
    <s v="BRSSZTCO"/>
    <n v="100.48628599999999"/>
    <n v="81.506500000000003"/>
    <n v="150"/>
    <n v="2151.0316245990398"/>
    <n v="387.1856924278271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70"/>
    <n v="163013"/>
    <x v="0"/>
    <x v="3"/>
    <x v="2"/>
    <x v="2"/>
    <x v="3"/>
    <x v="3"/>
    <n v="1"/>
    <n v="1"/>
    <n v="2"/>
    <n v="1"/>
    <n v="1"/>
    <n v="1"/>
    <n v="1"/>
    <n v="13"/>
    <n v="7"/>
    <n v="110"/>
    <n v="7"/>
    <n v="110"/>
    <n v="3923.7267370000004"/>
    <n v="489.03899999999999"/>
    <n v="27554.318321897525"/>
    <n v="3306.518198627703"/>
    <n v="75"/>
    <n v="150"/>
    <n v="1E-3"/>
    <n v="163.01300000000001"/>
    <n v="19288.022825328266"/>
    <n v="19676.035825328265"/>
    <n v="3180.9641611183101"/>
    <n v="11745.422650525474"/>
    <n v="0.08"/>
    <n v="1304.4960895372767"/>
    <n v="0.12"/>
    <n v="2361.1242990393916"/>
    <n v="15"/>
    <n v="2"/>
  </r>
  <r>
    <n v="946"/>
    <d v="2022-12-31T00:00:00"/>
    <x v="2"/>
    <s v="CLI472"/>
    <s v="CLI472"/>
    <s v="MANAUS"/>
    <s v="AM"/>
    <s v="CLI723"/>
    <s v="SAO PAULO"/>
    <s v="SP"/>
    <n v="3929.9226880000001"/>
    <n v="0"/>
    <n v="2877.9279630000001"/>
    <n v="7000"/>
    <n v="0"/>
    <x v="0"/>
    <x v="2"/>
    <s v="BRMAOTK01"/>
    <s v="BRMAOCHI"/>
    <n v="11.436796000000001"/>
    <n v="123.21850000000001"/>
    <n v="150"/>
    <n v="873.32938908543997"/>
    <n v="0"/>
    <n v="832"/>
    <n v="7"/>
    <n v="0"/>
    <n v="0"/>
    <n v="832"/>
    <m/>
    <m/>
    <n v="0"/>
    <x v="1"/>
    <s v="BRSSZTK01"/>
    <s v="BRSSZTCO"/>
    <n v="85.841132000000002"/>
    <n v="123.21850000000001"/>
    <n v="150"/>
    <n v="1975.75165003648"/>
    <n v="355.63529700656636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551"/>
    <n v="246437"/>
    <x v="0"/>
    <x v="3"/>
    <x v="2"/>
    <x v="2"/>
    <x v="3"/>
    <x v="3"/>
    <n v="1"/>
    <n v="1"/>
    <n v="1"/>
    <n v="1"/>
    <n v="1"/>
    <n v="1"/>
    <n v="1"/>
    <n v="12"/>
    <n v="7"/>
    <n v="110"/>
    <n v="7"/>
    <n v="110"/>
    <n v="3929.9226880000001"/>
    <n v="739.31100000000004"/>
    <n v="27846.666777300485"/>
    <n v="3341.6000132760582"/>
    <n v="75"/>
    <n v="150"/>
    <n v="1E-3"/>
    <n v="246.43700000000001"/>
    <n v="19492.666744110338"/>
    <n v="19964.10374411034"/>
    <n v="3180.9641611183101"/>
    <n v="12167.058543870109"/>
    <n v="0.08"/>
    <n v="1340.7509926385483"/>
    <n v="0.12"/>
    <n v="2395.6924492932408"/>
    <n v="15"/>
    <n v="1"/>
  </r>
  <r>
    <n v="947"/>
    <d v="2022-12-31T00:00:00"/>
    <x v="2"/>
    <s v="CLI472"/>
    <s v="CLI472"/>
    <s v="MANAUS"/>
    <s v="AM"/>
    <s v="CLI1153"/>
    <s v="OSASCO"/>
    <s v="SP"/>
    <n v="3923.7267370000004"/>
    <n v="0"/>
    <n v="2872.0677019999998"/>
    <n v="7000"/>
    <n v="0"/>
    <x v="0"/>
    <x v="2"/>
    <s v="BRMAOTK01"/>
    <s v="BRMAOCHI"/>
    <n v="11.436796000000001"/>
    <n v="46.716000000000001"/>
    <n v="150"/>
    <n v="796.82688908544003"/>
    <n v="0"/>
    <n v="832"/>
    <n v="7"/>
    <n v="0"/>
    <n v="0"/>
    <n v="832"/>
    <m/>
    <m/>
    <n v="0"/>
    <x v="1"/>
    <s v="BRSSZTK01"/>
    <s v="BRSSZTCO"/>
    <n v="100.48628599999999"/>
    <n v="46.716000000000001"/>
    <n v="150"/>
    <n v="2116.2411245990397"/>
    <n v="380.9234024278271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207"/>
    <n v="93432"/>
    <x v="1"/>
    <x v="14"/>
    <x v="1"/>
    <x v="12"/>
    <x v="1"/>
    <x v="1"/>
    <n v="6"/>
    <n v="6"/>
    <n v="7"/>
    <n v="7"/>
    <n v="7"/>
    <n v="6"/>
    <n v="7"/>
    <n v="74"/>
    <n v="7"/>
    <n v="180"/>
    <n v="7"/>
    <n v="180"/>
    <n v="3923.7267370000004"/>
    <n v="280.29599999999999"/>
    <n v="27345.575321897522"/>
    <n v="3281.4690386277025"/>
    <n v="110"/>
    <n v="150"/>
    <n v="1E-3"/>
    <n v="93.432000000000002"/>
    <n v="19141.902725328266"/>
    <n v="19495.334725328266"/>
    <n v="3180.9641611183101"/>
    <n v="11634.302550525474"/>
    <n v="0.08"/>
    <n v="1296.1074647372766"/>
    <n v="0.12"/>
    <n v="2339.4401670393918"/>
    <n v="15"/>
    <n v="7"/>
  </r>
  <r>
    <n v="948"/>
    <d v="2022-12-31T00:00:00"/>
    <x v="2"/>
    <s v="CLI472"/>
    <s v="CLI472"/>
    <s v="MANAUS"/>
    <s v="AM"/>
    <s v="CLI1139"/>
    <s v="GUARULHOS"/>
    <s v="SP"/>
    <n v="3939.5816420000001"/>
    <n v="0"/>
    <n v="2887.376076"/>
    <n v="7000"/>
    <n v="0"/>
    <x v="0"/>
    <x v="2"/>
    <s v="BRMAOTK01"/>
    <s v="BRMAOCHI"/>
    <n v="11.436796000000001"/>
    <n v="61.840499999999999"/>
    <n v="150"/>
    <n v="811.95138908544004"/>
    <n v="0"/>
    <n v="832"/>
    <n v="7"/>
    <n v="0"/>
    <n v="0"/>
    <n v="832"/>
    <m/>
    <m/>
    <n v="0"/>
    <x v="1"/>
    <s v="BRSSZTK01"/>
    <s v="BRSSZTCO"/>
    <n v="96.951807000000002"/>
    <n v="61.840499999999999"/>
    <n v="150"/>
    <n v="2078.99652166848"/>
    <n v="374.21937390032639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996"/>
    <n v="123681"/>
    <x v="1"/>
    <x v="14"/>
    <x v="1"/>
    <x v="12"/>
    <x v="1"/>
    <x v="1"/>
    <n v="6"/>
    <n v="6"/>
    <n v="6"/>
    <n v="6"/>
    <n v="6"/>
    <n v="6"/>
    <n v="6"/>
    <n v="70"/>
    <n v="7"/>
    <n v="180"/>
    <n v="7"/>
    <n v="180"/>
    <n v="3939.5816420000001"/>
    <n v="371.04300000000001"/>
    <n v="27543.992347556326"/>
    <n v="3305.2790817067589"/>
    <n v="110"/>
    <n v="150"/>
    <n v="1E-3"/>
    <n v="123.681"/>
    <n v="19280.794643289428"/>
    <n v="19664.475643289428"/>
    <n v="3180.9641611183101"/>
    <n v="11825.563571417199"/>
    <n v="0.08"/>
    <n v="1311.9446686908145"/>
    <n v="0.12"/>
    <n v="2359.7370771947312"/>
    <n v="15"/>
    <n v="6"/>
  </r>
  <r>
    <n v="949"/>
    <d v="2022-12-31T00:00:00"/>
    <x v="2"/>
    <s v="CLI472"/>
    <s v="CLI472"/>
    <s v="MANAUS"/>
    <s v="AM"/>
    <s v="CLI723"/>
    <s v="SAO PAULO"/>
    <s v="SP"/>
    <n v="3929.9226880000001"/>
    <n v="0"/>
    <n v="2877.9279630000001"/>
    <n v="7000"/>
    <n v="0"/>
    <x v="0"/>
    <x v="2"/>
    <s v="BRMAOTK01"/>
    <s v="BRMAOCHI"/>
    <n v="11.436796000000001"/>
    <n v="68.462000000000003"/>
    <n v="150"/>
    <n v="818.57288908544001"/>
    <n v="0"/>
    <n v="832"/>
    <n v="7"/>
    <n v="0"/>
    <n v="0"/>
    <n v="832"/>
    <m/>
    <m/>
    <n v="0"/>
    <x v="1"/>
    <s v="BRSSZTK01"/>
    <s v="BRSSZTCO"/>
    <n v="85.841132000000002"/>
    <n v="68.462000000000003"/>
    <n v="150"/>
    <n v="1920.99515003648"/>
    <n v="345.779127006566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525"/>
    <n v="136924"/>
    <x v="1"/>
    <x v="1"/>
    <x v="6"/>
    <x v="1"/>
    <x v="8"/>
    <x v="1"/>
    <n v="5"/>
    <n v="5"/>
    <n v="5"/>
    <n v="5"/>
    <n v="6"/>
    <n v="5"/>
    <n v="6"/>
    <n v="61"/>
    <n v="7"/>
    <n v="180"/>
    <n v="7"/>
    <n v="180"/>
    <n v="3929.9226880000001"/>
    <n v="410.77199999999999"/>
    <n v="27518.127777300484"/>
    <n v="3302.1753332760582"/>
    <n v="110"/>
    <n v="150"/>
    <n v="1E-3"/>
    <n v="136.92400000000001"/>
    <n v="19262.689444110336"/>
    <n v="19659.613444110335"/>
    <n v="3180.9641611183101"/>
    <n v="11972.081243870103"/>
    <n v="0.08"/>
    <n v="1325.9413022385477"/>
    <n v="0.12"/>
    <n v="2359.1536132932401"/>
    <n v="15"/>
    <n v="6"/>
  </r>
  <r>
    <n v="950"/>
    <d v="2022-12-31T00:00:00"/>
    <x v="2"/>
    <s v="CLI472"/>
    <s v="CLI472"/>
    <s v="MANAUS"/>
    <s v="AM"/>
    <s v="CLI903"/>
    <s v="CABREUVA"/>
    <s v="SP"/>
    <n v="3888.702683"/>
    <n v="0"/>
    <n v="2835.0515639999999"/>
    <n v="7000"/>
    <n v="0"/>
    <x v="0"/>
    <x v="2"/>
    <s v="BRMAOTK01"/>
    <s v="BRMAOCHI"/>
    <n v="11.436796000000001"/>
    <n v="30.334500000000002"/>
    <n v="150"/>
    <n v="780.44538908544007"/>
    <n v="0"/>
    <n v="832"/>
    <n v="7"/>
    <n v="0"/>
    <n v="0"/>
    <n v="832"/>
    <m/>
    <m/>
    <n v="0"/>
    <x v="1"/>
    <s v="BRSSZTK01"/>
    <s v="BRSSZTCO"/>
    <n v="155.94079500000001"/>
    <n v="30.334500000000002"/>
    <n v="150"/>
    <n v="2921.5091208288"/>
    <n v="525.87164174918394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453"/>
    <n v="60669"/>
    <x v="1"/>
    <x v="5"/>
    <x v="6"/>
    <x v="5"/>
    <x v="5"/>
    <x v="6"/>
    <n v="4"/>
    <n v="4"/>
    <n v="5"/>
    <n v="5"/>
    <n v="5"/>
    <n v="4"/>
    <n v="5"/>
    <n v="52"/>
    <n v="7"/>
    <n v="180"/>
    <n v="7"/>
    <n v="180"/>
    <n v="3888.702683"/>
    <n v="182.00700000000001"/>
    <n v="27009.439372145684"/>
    <n v="3241.132724657482"/>
    <n v="110"/>
    <n v="150"/>
    <n v="1E-3"/>
    <n v="60.669000000000004"/>
    <n v="18906.607560501976"/>
    <n v="19227.276560501978"/>
    <n v="3180.9641611183101"/>
    <n v="10577.357889469429"/>
    <n v="0.08"/>
    <n v="1199.9560327070847"/>
    <n v="0.12"/>
    <n v="2307.2731872602371"/>
    <n v="15"/>
    <n v="5"/>
  </r>
  <r>
    <n v="951"/>
    <d v="2022-12-31T00:00:00"/>
    <x v="2"/>
    <s v="CLI472"/>
    <s v="CLI472"/>
    <s v="MANAUS"/>
    <s v="AM"/>
    <s v="CLI1149"/>
    <s v="DIADEMA"/>
    <s v="SP"/>
    <n v="3943.754328"/>
    <n v="0"/>
    <n v="2891.7324800000001"/>
    <n v="7000"/>
    <n v="0"/>
    <x v="0"/>
    <x v="2"/>
    <s v="BRMAOTK01"/>
    <s v="BRMAOCHI"/>
    <n v="11.436796000000001"/>
    <n v="115.8815"/>
    <n v="150"/>
    <n v="865.99238908543998"/>
    <n v="0"/>
    <n v="832"/>
    <n v="7"/>
    <n v="0"/>
    <n v="0"/>
    <n v="832"/>
    <m/>
    <m/>
    <n v="0"/>
    <x v="1"/>
    <s v="BRSSZTK01"/>
    <s v="BRSSZTCO"/>
    <n v="72.836216000000007"/>
    <n v="115.8815"/>
    <n v="150"/>
    <n v="1775.72549143424"/>
    <n v="319.63058845816317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1556"/>
    <n v="231763"/>
    <x v="1"/>
    <x v="5"/>
    <x v="5"/>
    <x v="5"/>
    <x v="5"/>
    <x v="0"/>
    <n v="4"/>
    <n v="4"/>
    <n v="4"/>
    <n v="4"/>
    <n v="4"/>
    <n v="4"/>
    <n v="4"/>
    <n v="46"/>
    <n v="7"/>
    <n v="180"/>
    <n v="7"/>
    <n v="180"/>
    <n v="3943.754328"/>
    <n v="695.28899999999999"/>
    <n v="27896.574891274882"/>
    <n v="3347.5889869529856"/>
    <n v="110"/>
    <n v="150"/>
    <n v="1E-3"/>
    <n v="231.76300000000001"/>
    <n v="19527.602423892415"/>
    <n v="20019.365423892414"/>
    <n v="3180.9641611183101"/>
    <n v="12429.683382254421"/>
    <n v="0.08"/>
    <n v="1364.6413563931656"/>
    <n v="0.12"/>
    <n v="2402.3238508670897"/>
    <n v="15"/>
    <n v="4"/>
  </r>
  <r>
    <n v="952"/>
    <d v="2022-12-31T00:00:00"/>
    <x v="2"/>
    <s v="CLI472"/>
    <s v="CLI472"/>
    <s v="MANAUS"/>
    <s v="AM"/>
    <s v="CLI1177"/>
    <s v="SAO PAULO"/>
    <s v="SP"/>
    <n v="3929.9226880000001"/>
    <n v="0"/>
    <n v="2877.9279630000001"/>
    <n v="7000"/>
    <n v="0"/>
    <x v="0"/>
    <x v="2"/>
    <s v="BRMAOTK01"/>
    <s v="BRMAOCHI"/>
    <n v="11.436796000000001"/>
    <n v="111.491"/>
    <n v="150"/>
    <n v="861.60188908544001"/>
    <n v="0"/>
    <n v="832"/>
    <n v="7"/>
    <n v="0"/>
    <n v="0"/>
    <n v="832"/>
    <m/>
    <m/>
    <n v="0"/>
    <x v="1"/>
    <s v="BRSSZTK01"/>
    <s v="BRSSZTCO"/>
    <n v="85.841132000000002"/>
    <n v="111.491"/>
    <n v="150"/>
    <n v="1964.02415003648"/>
    <n v="353.52434700656642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540"/>
    <n v="222982"/>
    <x v="1"/>
    <x v="5"/>
    <x v="5"/>
    <x v="5"/>
    <x v="5"/>
    <x v="0"/>
    <n v="4"/>
    <n v="4"/>
    <n v="4"/>
    <n v="4"/>
    <n v="4"/>
    <n v="4"/>
    <n v="4"/>
    <n v="46"/>
    <n v="7"/>
    <n v="180"/>
    <n v="7"/>
    <n v="180"/>
    <n v="3929.9226880000001"/>
    <n v="668.94600000000003"/>
    <n v="27776.301777300483"/>
    <n v="3333.1562132760578"/>
    <n v="110"/>
    <n v="150"/>
    <n v="1E-3"/>
    <n v="222.982"/>
    <n v="19443.411244110335"/>
    <n v="19926.393244110335"/>
    <n v="3180.9641611183101"/>
    <n v="12152.803043870106"/>
    <n v="0.08"/>
    <n v="1339.7794286385481"/>
    <n v="0.12"/>
    <n v="2391.16718929324"/>
    <n v="15"/>
    <n v="4"/>
  </r>
  <r>
    <n v="953"/>
    <d v="2022-12-31T00:00:00"/>
    <x v="2"/>
    <s v="CLI472"/>
    <s v="CLI472"/>
    <s v="MANAUS"/>
    <s v="AM"/>
    <s v="CLI515"/>
    <s v="CARAPICUIBA"/>
    <s v="SP"/>
    <n v="3921.016138"/>
    <n v="0"/>
    <n v="2868.9442519999998"/>
    <n v="7000"/>
    <n v="0"/>
    <x v="0"/>
    <x v="2"/>
    <s v="BRMAOTK01"/>
    <s v="BRMAOCHI"/>
    <n v="11.436796000000001"/>
    <n v="30.644000000000002"/>
    <n v="150"/>
    <n v="780.75488908544003"/>
    <n v="0"/>
    <n v="832"/>
    <n v="7"/>
    <n v="0"/>
    <n v="0"/>
    <n v="832"/>
    <m/>
    <m/>
    <n v="0"/>
    <x v="1"/>
    <s v="BRSSZTK01"/>
    <s v="BRSSZTCO"/>
    <n v="105.882527"/>
    <n v="30.644000000000002"/>
    <n v="150"/>
    <n v="2180.12328484928"/>
    <n v="392.4221912728704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056"/>
    <n v="61288"/>
    <x v="1"/>
    <x v="0"/>
    <x v="5"/>
    <x v="4"/>
    <x v="0"/>
    <x v="0"/>
    <n v="3"/>
    <n v="3"/>
    <n v="3"/>
    <n v="3"/>
    <n v="3"/>
    <n v="3"/>
    <n v="3"/>
    <n v="36"/>
    <n v="7"/>
    <n v="180"/>
    <n v="7"/>
    <n v="180"/>
    <n v="3921.016138"/>
    <n v="183.864"/>
    <n v="27230.735752512483"/>
    <n v="3267.688290301498"/>
    <n v="110"/>
    <n v="150"/>
    <n v="1E-3"/>
    <n v="61.288000000000004"/>
    <n v="19061.515026758738"/>
    <n v="19382.803026758738"/>
    <n v="3180.9641611183101"/>
    <n v="11473.960691705706"/>
    <n v="0.08"/>
    <n v="1282.3602129240917"/>
    <n v="0.12"/>
    <n v="2325.9363632110485"/>
    <n v="15"/>
    <n v="3"/>
  </r>
  <r>
    <n v="954"/>
    <d v="2022-12-31T00:00:00"/>
    <x v="2"/>
    <s v="CLI472"/>
    <s v="CLI472"/>
    <s v="MANAUS"/>
    <s v="AM"/>
    <s v="CLI1034"/>
    <s v="ARUJA"/>
    <s v="SP"/>
    <n v="3964.70714"/>
    <n v="0"/>
    <n v="2911.325163"/>
    <n v="7000"/>
    <n v="0"/>
    <x v="0"/>
    <x v="2"/>
    <s v="BRMAOTK01"/>
    <s v="BRMAOCHI"/>
    <n v="11.436796000000001"/>
    <n v="68.541499999999999"/>
    <n v="150"/>
    <n v="818.65238908544006"/>
    <n v="0"/>
    <n v="832"/>
    <n v="7"/>
    <n v="0"/>
    <n v="0"/>
    <n v="832"/>
    <m/>
    <m/>
    <n v="0"/>
    <x v="1"/>
    <s v="BRSSZTK01"/>
    <s v="BRSSZTCO"/>
    <n v="109.774653"/>
    <n v="68.541499999999999"/>
    <n v="150"/>
    <n v="2275.6890146259198"/>
    <n v="409.6240226326655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9400"/>
    <n v="137083"/>
    <x v="1"/>
    <x v="2"/>
    <x v="0"/>
    <x v="0"/>
    <x v="2"/>
    <x v="2"/>
    <n v="2"/>
    <n v="2"/>
    <n v="3"/>
    <n v="3"/>
    <n v="3"/>
    <n v="2"/>
    <n v="3"/>
    <n v="28"/>
    <n v="7"/>
    <n v="180"/>
    <n v="7"/>
    <n v="180"/>
    <n v="3964.70714"/>
    <n v="411.24900000000002"/>
    <n v="27754.824599454401"/>
    <n v="3330.578951934528"/>
    <n v="110"/>
    <n v="150"/>
    <n v="1E-3"/>
    <n v="137.083"/>
    <n v="19428.37721961808"/>
    <n v="19825.460219618079"/>
    <n v="3180.9641611183101"/>
    <n v="11783.154654788406"/>
    <n v="0.08"/>
    <n v="1305.719583461924"/>
    <n v="0.12"/>
    <n v="2379.0552263541695"/>
    <n v="15"/>
    <n v="3"/>
  </r>
  <r>
    <n v="955"/>
    <d v="2022-12-31T00:00:00"/>
    <x v="2"/>
    <s v="CLI472"/>
    <s v="CLI472"/>
    <s v="MANAUS"/>
    <s v="AM"/>
    <s v="CLI797"/>
    <s v="MAGE"/>
    <s v="RJ"/>
    <n v="4121.4376050000001"/>
    <n v="0"/>
    <n v="3068.5633980000002"/>
    <n v="7000"/>
    <n v="0"/>
    <x v="0"/>
    <x v="2"/>
    <s v="BRMAOTK01"/>
    <s v="BRMAOCHI"/>
    <n v="11.436796000000001"/>
    <n v="113.104"/>
    <n v="150"/>
    <n v="863.21488908544006"/>
    <n v="0"/>
    <n v="832"/>
    <n v="7"/>
    <n v="0"/>
    <n v="0"/>
    <n v="832"/>
    <m/>
    <m/>
    <n v="0"/>
    <x v="4"/>
    <s v="BRIGITK01"/>
    <s v="BRIGITCO"/>
    <n v="105.979461"/>
    <n v="113.104"/>
    <n v="150"/>
    <n v="2264.0195210310399"/>
    <n v="452.80390420620802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416"/>
    <n v="226208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4121.4376050000001"/>
    <n v="678.62400000000002"/>
    <n v="29086.549918050801"/>
    <n v="3490.3859901660962"/>
    <n v="110"/>
    <n v="150"/>
    <n v="1E-3"/>
    <n v="226.208"/>
    <n v="20360.58494263556"/>
    <n v="20846.792942635559"/>
    <n v="3180.9641611183101"/>
    <n v="12707.594371400766"/>
    <n v="0.08"/>
    <n v="1381.3403702650296"/>
    <n v="0.12"/>
    <n v="2501.6151531162668"/>
    <n v="15"/>
    <n v="2"/>
  </r>
  <r>
    <n v="956"/>
    <d v="2022-12-31T00:00:00"/>
    <x v="2"/>
    <s v="CLI472"/>
    <s v="CLI472"/>
    <s v="MANAUS"/>
    <s v="AM"/>
    <s v="CLI184"/>
    <s v="MARACANAU"/>
    <s v="CE"/>
    <n v="3026.293353"/>
    <n v="0"/>
    <n v="1441.5450940000001"/>
    <n v="7000"/>
    <n v="0"/>
    <x v="0"/>
    <x v="2"/>
    <s v="BRMAOTK01"/>
    <s v="BRMAOCHI"/>
    <n v="11.436796000000001"/>
    <n v="48.618000000000002"/>
    <n v="150"/>
    <n v="798.72888908544007"/>
    <n v="0"/>
    <n v="832"/>
    <n v="7"/>
    <n v="0"/>
    <n v="0"/>
    <n v="832"/>
    <m/>
    <m/>
    <n v="0"/>
    <x v="3"/>
    <s v="BRPECTK01"/>
    <s v="BRPECAPM"/>
    <n v="52.945568000000002"/>
    <n v="48.618000000000002"/>
    <n v="150"/>
    <n v="1413.74942065152"/>
    <n v="254.4748957172736"/>
    <n v="768"/>
    <n v="7"/>
    <n v="0"/>
    <n v="0"/>
    <n v="768"/>
    <s v="BRMAODP01"/>
    <n v="120"/>
    <n v="55"/>
    <n v="0"/>
    <n v="0"/>
    <n v="0"/>
    <n v="120"/>
    <n v="295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13"/>
    <n v="9723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026.293353"/>
    <n v="291.70800000000003"/>
    <n v="21262.553108488883"/>
    <n v="2551.5063730186657"/>
    <n v="110"/>
    <n v="150"/>
    <n v="1E-3"/>
    <n v="97.236000000000004"/>
    <n v="14883.787175942216"/>
    <n v="15241.023175942217"/>
    <n v="3180.9641611183101"/>
    <n v="7952.5807050869462"/>
    <n v="0.08"/>
    <n v="1021.9255976390386"/>
    <n v="0.12"/>
    <n v="1828.9227811130659"/>
    <n v="15"/>
    <n v="2"/>
  </r>
  <r>
    <n v="957"/>
    <d v="2022-12-31T00:00:00"/>
    <x v="2"/>
    <s v="CLI472"/>
    <s v="CLI472"/>
    <s v="MANAUS"/>
    <s v="AM"/>
    <s v="CLI227"/>
    <s v="JOAO PESSOA"/>
    <s v="PB"/>
    <n v="3511.0566020000001"/>
    <n v="0"/>
    <n v="2026.6121250000001"/>
    <n v="7000"/>
    <n v="0"/>
    <x v="0"/>
    <x v="2"/>
    <s v="BRMAOTK01"/>
    <s v="BRMAOCHI"/>
    <n v="11.436796000000001"/>
    <n v="96.83"/>
    <n v="150"/>
    <n v="846.94088908544006"/>
    <n v="0"/>
    <n v="832"/>
    <n v="7"/>
    <n v="0"/>
    <n v="0"/>
    <n v="832"/>
    <m/>
    <m/>
    <n v="0"/>
    <x v="2"/>
    <s v="BRSUATK01"/>
    <s v="BRSUATCO"/>
    <n v="167.74277900000001"/>
    <n v="96.83"/>
    <n v="150"/>
    <n v="3162.8703690425605"/>
    <n v="379.54444428510726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879"/>
    <n v="193660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511.0566020000001"/>
    <n v="580.98"/>
    <n v="24843.832941917924"/>
    <n v="2981.2599530301509"/>
    <n v="110"/>
    <n v="150"/>
    <n v="1E-3"/>
    <n v="193.66"/>
    <n v="17390.683059342547"/>
    <n v="17844.343059342547"/>
    <n v="3180.9641611183101"/>
    <n v="8182.5676400962366"/>
    <n v="0.08"/>
    <n v="1076.3989885543551"/>
    <n v="0.12"/>
    <n v="2141.3211671211056"/>
    <n v="15"/>
    <n v="2"/>
  </r>
  <r>
    <n v="958"/>
    <d v="2022-12-31T00:00:00"/>
    <x v="2"/>
    <s v="CLI472"/>
    <s v="CLI472"/>
    <s v="MANAUS"/>
    <s v="AM"/>
    <s v="CLI512"/>
    <s v="BELO HORIZONTE"/>
    <s v="MG"/>
    <n v="3716.6623849999996"/>
    <n v="0"/>
    <n v="2662.7475370000002"/>
    <n v="7000"/>
    <n v="0"/>
    <x v="0"/>
    <x v="2"/>
    <s v="BRMAOTK01"/>
    <s v="BRMAOCHI"/>
    <n v="11.436796000000001"/>
    <n v="96.588000000000008"/>
    <n v="150"/>
    <n v="846.69888908543999"/>
    <n v="0"/>
    <n v="832"/>
    <n v="7"/>
    <n v="0"/>
    <n v="0"/>
    <n v="832"/>
    <m/>
    <m/>
    <n v="0"/>
    <x v="4"/>
    <s v="BRIGITK01"/>
    <s v="BRIGITCO"/>
    <n v="452.68132000000003"/>
    <n v="96.588000000000008"/>
    <n v="150"/>
    <n v="7384.4601531648004"/>
    <n v="886.13521837977601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699"/>
    <n v="193176"/>
    <x v="1"/>
    <x v="2"/>
    <x v="0"/>
    <x v="0"/>
    <x v="2"/>
    <x v="2"/>
    <n v="2"/>
    <n v="2"/>
    <n v="2"/>
    <n v="2"/>
    <n v="2"/>
    <n v="2"/>
    <n v="2"/>
    <n v="24"/>
    <n v="7"/>
    <n v="180"/>
    <n v="7"/>
    <n v="180"/>
    <n v="3716.6623849999996"/>
    <n v="579.52800000000002"/>
    <n v="26238.641590039599"/>
    <n v="3148.6369908047518"/>
    <n v="110"/>
    <n v="150"/>
    <n v="1E-3"/>
    <n v="193.17600000000002"/>
    <n v="18367.049113027719"/>
    <n v="18820.225113027718"/>
    <n v="3180.9641611183101"/>
    <n v="5577.1019096591663"/>
    <n v="0.08"/>
    <n v="776.23446819181618"/>
    <n v="0.12"/>
    <n v="2258.427013563326"/>
    <n v="15"/>
    <n v="2"/>
  </r>
  <r>
    <n v="959"/>
    <d v="2022-12-31T00:00:00"/>
    <x v="2"/>
    <s v="CLI472"/>
    <s v="CLI472"/>
    <s v="MANAUS"/>
    <s v="AM"/>
    <s v="CLI1152"/>
    <s v="POMBOS"/>
    <s v="PE"/>
    <n v="3448.761688"/>
    <n v="0"/>
    <n v="1993.8249860000001"/>
    <n v="7000"/>
    <n v="0"/>
    <x v="0"/>
    <x v="2"/>
    <s v="BRMAOTK01"/>
    <s v="BRMAOCHI"/>
    <n v="11.436796000000001"/>
    <n v="107.979"/>
    <n v="150"/>
    <n v="858.08988908544006"/>
    <n v="0"/>
    <n v="832"/>
    <n v="7"/>
    <n v="0"/>
    <n v="0"/>
    <n v="832"/>
    <m/>
    <m/>
    <n v="0"/>
    <x v="2"/>
    <s v="BRSUATK01"/>
    <s v="BRSUATCO"/>
    <n v="85.82329399999999"/>
    <n v="107.979"/>
    <n v="150"/>
    <n v="1960.2478508121599"/>
    <n v="352.84461314618875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640"/>
    <n v="215958"/>
    <x v="1"/>
    <x v="3"/>
    <x v="2"/>
    <x v="2"/>
    <x v="3"/>
    <x v="3"/>
    <n v="2"/>
    <n v="1"/>
    <n v="2"/>
    <n v="2"/>
    <n v="2"/>
    <n v="2"/>
    <n v="2"/>
    <n v="18"/>
    <n v="7"/>
    <n v="180"/>
    <n v="7"/>
    <n v="180"/>
    <n v="3448.761688"/>
    <n v="647.87400000000002"/>
    <n v="24487.684672740481"/>
    <n v="2938.5221607288577"/>
    <n v="110"/>
    <n v="150"/>
    <n v="1E-3"/>
    <n v="215.958"/>
    <n v="17141.379270918336"/>
    <n v="17617.337270918335"/>
    <n v="3180.9641611183101"/>
    <n v="9147.0353699024236"/>
    <n v="0.08"/>
    <n v="1155.6923934299637"/>
    <n v="0.12"/>
    <n v="2114.0804725102003"/>
    <n v="15"/>
    <n v="2"/>
  </r>
  <r>
    <n v="960"/>
    <d v="2022-12-31T00:00:00"/>
    <x v="2"/>
    <s v="CLI472"/>
    <s v="CLI472"/>
    <s v="MANAUS"/>
    <s v="AM"/>
    <s v="CLI767"/>
    <s v="DUQUE DE CAXIAS"/>
    <s v="RJ"/>
    <n v="4126.6281179999996"/>
    <n v="0"/>
    <n v="3072.1998579999999"/>
    <n v="7000"/>
    <n v="0"/>
    <x v="0"/>
    <x v="2"/>
    <s v="BRMAOTK01"/>
    <s v="BRMAOCHI"/>
    <n v="11.436796000000001"/>
    <n v="119.37650000000001"/>
    <n v="150"/>
    <n v="869.48738908543999"/>
    <n v="0"/>
    <n v="832"/>
    <n v="7"/>
    <n v="0"/>
    <n v="0"/>
    <n v="832"/>
    <m/>
    <m/>
    <n v="0"/>
    <x v="4"/>
    <s v="BRIGITK01"/>
    <s v="BRIGITCO"/>
    <n v="68.801226"/>
    <n v="119.37650000000001"/>
    <n v="150"/>
    <n v="1719.4354972006399"/>
    <n v="343.887099440128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052"/>
    <n v="238753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4126.6281179999996"/>
    <n v="716.25900000000001"/>
    <n v="29159.433484213281"/>
    <n v="3499.1320181055935"/>
    <n v="110"/>
    <n v="150"/>
    <n v="1E-3"/>
    <n v="238.75300000000001"/>
    <n v="20411.603438949296"/>
    <n v="20910.356438949297"/>
    <n v="3180.9641611183101"/>
    <n v="13309.469391544906"/>
    <n v="0.08"/>
    <n v="1438.203716257847"/>
    <n v="0.12"/>
    <n v="2509.2427726739156"/>
    <n v="15"/>
    <n v="1"/>
  </r>
  <r>
    <n v="961"/>
    <d v="2022-12-31T00:00:00"/>
    <x v="2"/>
    <s v="CLI472"/>
    <s v="CLI472"/>
    <s v="MANAUS"/>
    <s v="AM"/>
    <s v="CLI899"/>
    <s v="MACEIO"/>
    <s v="AL"/>
    <n v="3499.5766469999999"/>
    <n v="0"/>
    <n v="2045.556644"/>
    <n v="7000"/>
    <n v="0"/>
    <x v="0"/>
    <x v="2"/>
    <s v="BRMAOTK01"/>
    <s v="BRMAOCHI"/>
    <n v="11.436796000000001"/>
    <n v="50.856000000000002"/>
    <n v="150"/>
    <n v="800.96688908544002"/>
    <n v="0"/>
    <n v="832"/>
    <n v="7"/>
    <n v="0"/>
    <n v="0"/>
    <n v="832"/>
    <m/>
    <m/>
    <n v="0"/>
    <x v="2"/>
    <s v="BRSUATK01"/>
    <s v="BRSUATCO"/>
    <n v="208.456062"/>
    <n v="50.856000000000002"/>
    <n v="150"/>
    <n v="3720.1304264716805"/>
    <n v="446.41565117660167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184"/>
    <n v="10171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99.5766469999999"/>
    <n v="305.13600000000002"/>
    <n v="24490.02902671112"/>
    <n v="2938.803483205334"/>
    <n v="110"/>
    <n v="150"/>
    <n v="1E-3"/>
    <n v="101.712"/>
    <n v="17143.020318697781"/>
    <n v="17504.732318697781"/>
    <n v="3180.9641611183101"/>
    <n v="7331.6708420223495"/>
    <n v="0.08"/>
    <n v="1002.9775481571247"/>
    <n v="0.12"/>
    <n v="2100.5678782437335"/>
    <n v="15"/>
    <n v="1"/>
  </r>
  <r>
    <n v="962"/>
    <d v="2022-12-31T00:00:00"/>
    <x v="2"/>
    <s v="CLI472"/>
    <s v="CLI472"/>
    <s v="MANAUS"/>
    <s v="AM"/>
    <s v="CLI1154"/>
    <s v="VITORIA DE SANTO ANTAO"/>
    <s v="PE"/>
    <n v="3460.6920499999997"/>
    <n v="0"/>
    <n v="2005.664865"/>
    <n v="7000"/>
    <n v="0"/>
    <x v="0"/>
    <x v="2"/>
    <s v="BRMAOTK01"/>
    <s v="BRMAOCHI"/>
    <n v="11.436796000000001"/>
    <n v="117.495"/>
    <n v="150"/>
    <n v="867.60588908544003"/>
    <n v="0"/>
    <n v="832"/>
    <n v="7"/>
    <n v="0"/>
    <n v="0"/>
    <n v="832"/>
    <m/>
    <m/>
    <n v="0"/>
    <x v="2"/>
    <s v="BRSUATK01"/>
    <s v="BRSUATCO"/>
    <n v="70.64138899999999"/>
    <n v="117.495"/>
    <n v="150"/>
    <n v="1744.8190299129601"/>
    <n v="314.06742538433281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136"/>
    <n v="23499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460.6920499999997"/>
    <n v="704.97"/>
    <n v="24625.799283868004"/>
    <n v="2955.0959140641603"/>
    <n v="110"/>
    <n v="150"/>
    <n v="1E-3"/>
    <n v="234.99"/>
    <n v="17238.0594987076"/>
    <n v="17733.049498707602"/>
    <n v="3180.9641611183101"/>
    <n v="9468.6604185908909"/>
    <n v="0.08"/>
    <n v="1184.5245723459896"/>
    <n v="0.12"/>
    <n v="2127.9659398449121"/>
    <n v="15"/>
    <n v="1"/>
  </r>
  <r>
    <n v="963"/>
    <d v="2022-12-31T00:00:00"/>
    <x v="2"/>
    <s v="CLI472"/>
    <s v="CLI472"/>
    <s v="MANAUS"/>
    <s v="AM"/>
    <s v="CLI139"/>
    <s v="JOAO PESSOA"/>
    <s v="PB"/>
    <n v="3511.0566020000001"/>
    <n v="0"/>
    <n v="2026.6121250000001"/>
    <n v="7000"/>
    <n v="0"/>
    <x v="0"/>
    <x v="2"/>
    <s v="BRMAOTK01"/>
    <s v="BRMAOCHI"/>
    <n v="11.436796000000001"/>
    <n v="101.998"/>
    <n v="150"/>
    <n v="852.10888908544007"/>
    <n v="0"/>
    <n v="832"/>
    <n v="7"/>
    <n v="0"/>
    <n v="0"/>
    <n v="832"/>
    <m/>
    <m/>
    <n v="0"/>
    <x v="2"/>
    <s v="BRSUATK01"/>
    <s v="BRSUATCO"/>
    <n v="167.74277900000001"/>
    <n v="101.998"/>
    <n v="150"/>
    <n v="3168.0383690425606"/>
    <n v="380.16460428510726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787"/>
    <n v="203996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1.0566020000001"/>
    <n v="611.98800000000006"/>
    <n v="24874.840941917926"/>
    <n v="2984.980913030151"/>
    <n v="110"/>
    <n v="150"/>
    <n v="1E-3"/>
    <n v="203.99600000000001"/>
    <n v="17412.388659342549"/>
    <n v="17876.384659342548"/>
    <n v="3180.9641611183101"/>
    <n v="8204.2732400962359"/>
    <n v="0.08"/>
    <n v="1078.085823754355"/>
    <n v="0.12"/>
    <n v="2145.1661591211055"/>
    <n v="15"/>
    <n v="1"/>
  </r>
  <r>
    <n v="964"/>
    <d v="2022-12-31T00:00:00"/>
    <x v="2"/>
    <s v="CLI472"/>
    <s v="CLI472"/>
    <s v="MANAUS"/>
    <s v="AM"/>
    <s v="CLI593"/>
    <s v="RIBEIRAO DAS NEVES"/>
    <s v="MG"/>
    <n v="3698.7148179999999"/>
    <n v="0"/>
    <n v="2644.9769409999999"/>
    <n v="7000"/>
    <n v="0"/>
    <x v="0"/>
    <x v="2"/>
    <s v="BRMAOTK01"/>
    <s v="BRMAOCHI"/>
    <n v="11.436796000000001"/>
    <n v="74.126000000000005"/>
    <n v="150"/>
    <n v="824.23688908544"/>
    <n v="0"/>
    <n v="832"/>
    <n v="7"/>
    <n v="0"/>
    <n v="0"/>
    <n v="832"/>
    <m/>
    <m/>
    <n v="0"/>
    <x v="4"/>
    <s v="BRIGITK01"/>
    <s v="BRIGITCO"/>
    <n v="462.29315600000001"/>
    <n v="74.126000000000005"/>
    <n v="150"/>
    <n v="7504.4132669158416"/>
    <n v="900.52959202990098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890"/>
    <n v="148252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698.7148179999999"/>
    <n v="444.75600000000003"/>
    <n v="25981.988380445284"/>
    <n v="3117.8386056534341"/>
    <n v="110"/>
    <n v="150"/>
    <n v="1E-3"/>
    <n v="148.25200000000001"/>
    <n v="18187.391866311697"/>
    <n v="18595.643866311697"/>
    <n v="3180.9641611183101"/>
    <n v="5255.0295491921024"/>
    <n v="0.08"/>
    <n v="749.3171294624409"/>
    <n v="0.12"/>
    <n v="2231.4772639574035"/>
    <n v="15"/>
    <n v="1"/>
  </r>
  <r>
    <n v="965"/>
    <d v="2022-12-31T00:00:00"/>
    <x v="2"/>
    <s v="CLI472"/>
    <s v="CLI472"/>
    <s v="MANAUS"/>
    <s v="AM"/>
    <s v="CLI1004"/>
    <s v="ITAQUAQUECETUBA"/>
    <s v="SP"/>
    <n v="3962.8098799999998"/>
    <n v="0"/>
    <n v="2911.4064789999998"/>
    <n v="7000"/>
    <n v="0"/>
    <x v="0"/>
    <x v="2"/>
    <s v="BRMAOTK01"/>
    <s v="BRMAOCHI"/>
    <n v="11.436796000000001"/>
    <n v="40.038499999999999"/>
    <n v="150"/>
    <n v="790.14938908544002"/>
    <n v="0"/>
    <n v="832"/>
    <n v="7"/>
    <n v="0"/>
    <n v="0"/>
    <n v="832"/>
    <m/>
    <m/>
    <n v="0"/>
    <x v="1"/>
    <s v="BRSSZTK01"/>
    <s v="BRSSZTCO"/>
    <n v="105.903558"/>
    <n v="40.038499999999999"/>
    <n v="150"/>
    <n v="2189.82939360512"/>
    <n v="394.16929084892161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640"/>
    <n v="8007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62.8098799999998"/>
    <n v="240.23099999999999"/>
    <n v="27570.922382684803"/>
    <n v="3308.5106859221764"/>
    <n v="110"/>
    <n v="150"/>
    <n v="1E-3"/>
    <n v="80.076999999999998"/>
    <n v="19299.645667879362"/>
    <n v="19639.722667879363"/>
    <n v="3180.9641611183101"/>
    <n v="11711.779724070493"/>
    <n v="0.08"/>
    <n v="1301.2459675471905"/>
    <n v="0.12"/>
    <n v="2356.7667201455233"/>
    <n v="15"/>
    <n v="1"/>
  </r>
  <r>
    <n v="966"/>
    <d v="2022-12-31T00:00:00"/>
    <x v="2"/>
    <s v="CLI472"/>
    <s v="CLI472"/>
    <s v="MANAUS"/>
    <s v="AM"/>
    <s v="CLI1142"/>
    <s v="BELO HORIZONTE"/>
    <s v="MG"/>
    <n v="3716.6623849999996"/>
    <n v="0"/>
    <n v="2662.7475370000002"/>
    <n v="7000"/>
    <n v="0"/>
    <x v="0"/>
    <x v="2"/>
    <s v="BRMAOTK01"/>
    <s v="BRMAOCHI"/>
    <n v="11.436796000000001"/>
    <n v="91.59"/>
    <n v="150"/>
    <n v="841.70088908544005"/>
    <n v="0"/>
    <n v="832"/>
    <n v="7"/>
    <n v="0"/>
    <n v="0"/>
    <n v="832"/>
    <m/>
    <m/>
    <n v="0"/>
    <x v="4"/>
    <s v="BRIGITK01"/>
    <s v="BRIGITCO"/>
    <n v="452.68132000000003"/>
    <n v="91.59"/>
    <n v="150"/>
    <n v="7379.4621531648008"/>
    <n v="885.53545837977606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5543"/>
    <n v="18318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716.6623849999996"/>
    <n v="549.54"/>
    <n v="26208.653590039601"/>
    <n v="3145.0384308047519"/>
    <n v="110"/>
    <n v="150"/>
    <n v="1E-3"/>
    <n v="183.18"/>
    <n v="18346.057513027721"/>
    <n v="18789.237513027721"/>
    <n v="3180.9641611183101"/>
    <n v="5556.1103096591687"/>
    <n v="0.08"/>
    <n v="774.60312099181624"/>
    <n v="0.12"/>
    <n v="2254.7085015633265"/>
    <n v="15"/>
    <n v="1"/>
  </r>
  <r>
    <n v="967"/>
    <d v="2022-12-31T00:00:00"/>
    <x v="2"/>
    <s v="CLI472"/>
    <s v="CLI472"/>
    <s v="MANAUS"/>
    <s v="AM"/>
    <s v="CLI949"/>
    <s v="SAO PAULO"/>
    <s v="SP"/>
    <n v="3929.9226880000001"/>
    <n v="0"/>
    <n v="2877.9279630000001"/>
    <n v="7000"/>
    <n v="0"/>
    <x v="0"/>
    <x v="2"/>
    <s v="BRMAOTK01"/>
    <s v="BRMAOCHI"/>
    <n v="11.436796000000001"/>
    <n v="61.167000000000002"/>
    <n v="150"/>
    <n v="811.27788908544005"/>
    <n v="0"/>
    <n v="832"/>
    <n v="7"/>
    <n v="0"/>
    <n v="0"/>
    <n v="832"/>
    <m/>
    <m/>
    <n v="0"/>
    <x v="1"/>
    <s v="BRSSZTK01"/>
    <s v="BRSSZTCO"/>
    <n v="85.841132000000002"/>
    <n v="61.167000000000002"/>
    <n v="150"/>
    <n v="1913.70015003648"/>
    <n v="344.4660270065663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4633"/>
    <n v="12233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29.9226880000001"/>
    <n v="367.00200000000001"/>
    <n v="27474.357777300484"/>
    <n v="3296.9229332760578"/>
    <n v="110"/>
    <n v="150"/>
    <n v="1E-3"/>
    <n v="122.334"/>
    <n v="19232.050444110337"/>
    <n v="19614.384444110336"/>
    <n v="3180.9641611183101"/>
    <n v="11941.442243870108"/>
    <n v="0.08"/>
    <n v="1323.5952302385483"/>
    <n v="0.12"/>
    <n v="2353.7261332932403"/>
    <n v="15"/>
    <n v="1"/>
  </r>
  <r>
    <n v="968"/>
    <d v="2022-12-31T00:00:00"/>
    <x v="2"/>
    <s v="CLI472"/>
    <s v="CLI472"/>
    <s v="MANAUS"/>
    <s v="AM"/>
    <s v="CLI698"/>
    <s v="SOCORRO"/>
    <s v="SP"/>
    <n v="3881.4129929999999"/>
    <n v="0"/>
    <n v="2826.1738610000002"/>
    <n v="7000"/>
    <n v="0"/>
    <x v="0"/>
    <x v="2"/>
    <s v="BRMAOTK01"/>
    <s v="BRMAOCHI"/>
    <n v="11.436796000000001"/>
    <n v="62.562000000000005"/>
    <n v="150"/>
    <n v="812.67288908544003"/>
    <n v="0"/>
    <n v="832"/>
    <n v="7"/>
    <n v="0"/>
    <n v="0"/>
    <n v="832"/>
    <m/>
    <m/>
    <n v="0"/>
    <x v="1"/>
    <s v="BRSSZTK01"/>
    <s v="BRSSZTCO"/>
    <n v="208.37125700000001"/>
    <n v="62.562000000000005"/>
    <n v="150"/>
    <n v="3730.5799013164806"/>
    <n v="671.5043822369665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6078"/>
    <n v="12512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81.4129929999999"/>
    <n v="375.37200000000001"/>
    <n v="27153.300378943281"/>
    <n v="3258.3960454731937"/>
    <n v="110"/>
    <n v="150"/>
    <n v="1E-3"/>
    <n v="125.12400000000001"/>
    <n v="19007.310265260294"/>
    <n v="19392.434265260294"/>
    <n v="3180.9641611183101"/>
    <n v="9901.2173137400641"/>
    <n v="0.08"/>
    <n v="1134.2141674097127"/>
    <n v="0.12"/>
    <n v="2327.0921118312353"/>
    <n v="15"/>
    <n v="1"/>
  </r>
  <r>
    <n v="969"/>
    <d v="2022-12-31T00:00:00"/>
    <x v="2"/>
    <s v="CLI472"/>
    <s v="CLI472"/>
    <s v="MANAUS"/>
    <s v="AM"/>
    <s v="CLI535"/>
    <s v="SETE LAGOAS"/>
    <s v="MG"/>
    <n v="3659.5024049999997"/>
    <n v="0"/>
    <n v="2606.1658739999998"/>
    <n v="7000"/>
    <n v="0"/>
    <x v="0"/>
    <x v="2"/>
    <s v="BRMAOTK01"/>
    <s v="BRMAOCHI"/>
    <n v="11.436796000000001"/>
    <n v="122.785"/>
    <n v="150"/>
    <n v="872.89588908543999"/>
    <n v="0"/>
    <n v="832"/>
    <n v="7"/>
    <n v="0"/>
    <n v="0"/>
    <n v="832"/>
    <m/>
    <m/>
    <n v="0"/>
    <x v="4"/>
    <s v="BRIGITK01"/>
    <s v="BRIGITCO"/>
    <n v="501.77664099999998"/>
    <n v="122.785"/>
    <n v="150"/>
    <n v="8138.0848501062401"/>
    <n v="976.57018201274877"/>
    <n v="704"/>
    <n v="7"/>
    <n v="0"/>
    <n v="0"/>
    <n v="704"/>
    <s v="BRMAODP01"/>
    <n v="120"/>
    <n v="55"/>
    <n v="0"/>
    <n v="0"/>
    <n v="0"/>
    <n v="120"/>
    <n v="295"/>
    <s v="BRIGI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404"/>
    <n v="2455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659.5024049999997"/>
    <n v="736.71"/>
    <n v="26007.652452258801"/>
    <n v="3120.9182942710559"/>
    <n v="110"/>
    <n v="150"/>
    <n v="1E-3"/>
    <n v="245.57"/>
    <n v="18205.356716581158"/>
    <n v="18710.926716581158"/>
    <n v="3180.9641611183101"/>
    <n v="4687.9818162711672"/>
    <n v="0.08"/>
    <n v="697.87006363013836"/>
    <n v="0.12"/>
    <n v="2245.3112059897389"/>
    <n v="15"/>
    <n v="1"/>
  </r>
  <r>
    <n v="970"/>
    <d v="2022-12-31T00:00:00"/>
    <x v="2"/>
    <s v="CLI472"/>
    <s v="CLI472"/>
    <s v="MANAUS"/>
    <s v="AM"/>
    <s v="CLI619"/>
    <s v="IPOJUCA"/>
    <s v="PE"/>
    <n v="3513.7510560000001"/>
    <n v="0"/>
    <n v="2060.3329469999999"/>
    <n v="7000"/>
    <n v="0"/>
    <x v="0"/>
    <x v="2"/>
    <s v="BRMAOTK01"/>
    <s v="BRMAOCHI"/>
    <n v="11.436796000000001"/>
    <n v="61.884999999999998"/>
    <n v="150"/>
    <n v="811.99588908544001"/>
    <n v="0"/>
    <n v="832"/>
    <n v="7"/>
    <n v="0"/>
    <n v="0"/>
    <n v="832"/>
    <m/>
    <m/>
    <n v="0"/>
    <x v="2"/>
    <s v="BRSUATK01"/>
    <s v="BRSUATCO"/>
    <n v="23.753726"/>
    <n v="61.884999999999998"/>
    <n v="150"/>
    <n v="994.49140680063999"/>
    <n v="0"/>
    <n v="1344"/>
    <n v="7"/>
    <n v="0"/>
    <n v="0"/>
    <n v="1344"/>
    <s v="BRMAODP01"/>
    <n v="120"/>
    <n v="55"/>
    <n v="0"/>
    <n v="0"/>
    <n v="0"/>
    <n v="120"/>
    <n v="295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17581"/>
    <n v="1237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513.7510560000001"/>
    <n v="371.31"/>
    <n v="24652.460871253763"/>
    <n v="2958.2953045504514"/>
    <n v="110"/>
    <n v="150"/>
    <n v="1E-3"/>
    <n v="123.77"/>
    <n v="17256.722609877634"/>
    <n v="17640.492609877634"/>
    <n v="3180.9641611183101"/>
    <n v="10182.041152873244"/>
    <n v="0.08"/>
    <n v="1266.7204251193243"/>
    <n v="0.12"/>
    <n v="2116.8591131853159"/>
    <n v="15"/>
    <n v="1"/>
  </r>
  <r>
    <n v="971"/>
    <d v="2022-12-31T00:00:00"/>
    <x v="2"/>
    <s v="CLI472"/>
    <s v="CLI472"/>
    <s v="MANAUS"/>
    <s v="AM"/>
    <s v="CLI498"/>
    <s v="MAUA"/>
    <s v="SP"/>
    <n v="3955.585587"/>
    <n v="0"/>
    <n v="2903.857426"/>
    <n v="7000"/>
    <n v="0"/>
    <x v="0"/>
    <x v="2"/>
    <s v="BRMAOTK01"/>
    <s v="BRMAOCHI"/>
    <n v="11.436796000000001"/>
    <n v="46.243500000000004"/>
    <n v="150"/>
    <n v="796.35438908544006"/>
    <n v="0"/>
    <n v="832"/>
    <n v="7"/>
    <n v="0"/>
    <n v="0"/>
    <n v="832"/>
    <m/>
    <m/>
    <n v="0"/>
    <x v="1"/>
    <s v="BRSSZTK01"/>
    <s v="BRSSZTCO"/>
    <n v="77.880668999999997"/>
    <n v="46.243500000000004"/>
    <n v="150"/>
    <n v="1780.82933553216"/>
    <n v="320.5492803957888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7160"/>
    <n v="92487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955.585587"/>
    <n v="277.46100000000001"/>
    <n v="27559.092497893522"/>
    <n v="3307.0910997472224"/>
    <n v="110"/>
    <n v="150"/>
    <n v="1E-3"/>
    <n v="92.487000000000009"/>
    <n v="19291.364748525462"/>
    <n v="19643.851748525463"/>
    <n v="3180.9641611183101"/>
    <n v="12118.703862789553"/>
    <n v="0.08"/>
    <n v="1339.6894994809659"/>
    <n v="0.12"/>
    <n v="2357.2622098230554"/>
    <n v="15"/>
    <n v="1"/>
  </r>
  <r>
    <n v="972"/>
    <d v="2022-12-31T00:00:00"/>
    <x v="1"/>
    <s v="CLI476"/>
    <s v="CLI476"/>
    <s v="SAO PAULO"/>
    <s v="SP"/>
    <s v="CLI261"/>
    <s v="GOIANA"/>
    <s v="PE"/>
    <n v="2621.7180410000001"/>
    <n v="0"/>
    <n v="0"/>
    <n v="0"/>
    <n v="0"/>
    <x v="0"/>
    <x v="0"/>
    <s v="BRSSZTK01S"/>
    <s v="BRSSZTCO"/>
    <n v="85.841132000000002"/>
    <n v="117.602"/>
    <n v="150"/>
    <n v="1970.1351500364801"/>
    <n v="354.62432700656643"/>
    <n v="640"/>
    <n v="7"/>
    <n v="0"/>
    <n v="0"/>
    <n v="640"/>
    <m/>
    <m/>
    <n v="0"/>
    <x v="2"/>
    <s v="BRSUATK01"/>
    <s v="BRSUATCO"/>
    <n v="112.63067699999999"/>
    <n v="117.602"/>
    <n v="150"/>
    <n v="2367.0661940652799"/>
    <n v="426.07191493175037"/>
    <n v="1344"/>
    <n v="7"/>
    <n v="0"/>
    <n v="0"/>
    <n v="1344"/>
    <s v="BRSSZDP01"/>
    <n v="110"/>
    <n v="50"/>
    <n v="0"/>
    <n v="0"/>
    <n v="0"/>
    <n v="110"/>
    <n v="270"/>
    <s v="BRSUA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6425"/>
    <n v="235204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21.7180410000001"/>
    <n v="705.61199999999997"/>
    <n v="18929.002347709364"/>
    <n v="1325.0301643396556"/>
    <n v="110"/>
    <n v="150"/>
    <n v="1E-3"/>
    <n v="235.20400000000001"/>
    <n v="11871.207038371018"/>
    <n v="12366.411038371018"/>
    <n v="3180.9641611183101"/>
    <n v="4564.3806831874281"/>
    <n v="0.08"/>
    <n v="579.8810761864753"/>
    <n v="7.0000000000000007E-2"/>
    <n v="865.64877268597127"/>
    <n v="15"/>
    <n v="1"/>
  </r>
  <r>
    <n v="973"/>
    <d v="2022-12-31T00:00:00"/>
    <x v="2"/>
    <s v="CLI482"/>
    <s v="CLI482"/>
    <s v="RIO CLARO"/>
    <s v="SP"/>
    <s v="CLI1147"/>
    <s v="MARACANAU"/>
    <s v="CE"/>
    <n v="2717.9580839999999"/>
    <n v="0"/>
    <n v="0"/>
    <n v="0"/>
    <n v="0"/>
    <x v="0"/>
    <x v="0"/>
    <s v="BRSSZTK01"/>
    <s v="BRSSZTCO"/>
    <n v="254.22760699999998"/>
    <n v="93.656000000000006"/>
    <n v="150"/>
    <n v="4441.1109309804797"/>
    <n v="799.39996757648635"/>
    <n v="640"/>
    <n v="7"/>
    <n v="0"/>
    <n v="0"/>
    <n v="640"/>
    <m/>
    <m/>
    <n v="0"/>
    <x v="3"/>
    <s v="BRPECTK01"/>
    <s v="BRPECAPM"/>
    <n v="52.945568000000002"/>
    <n v="93.656000000000006"/>
    <n v="150"/>
    <n v="1458.7874206515201"/>
    <n v="262.5817357172736"/>
    <n v="768"/>
    <n v="7"/>
    <n v="0"/>
    <n v="0"/>
    <n v="768"/>
    <s v="BRSSZDP01"/>
    <n v="110"/>
    <n v="50"/>
    <n v="0"/>
    <n v="0"/>
    <n v="0"/>
    <n v="110"/>
    <n v="270"/>
    <s v="BRPEC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0388"/>
    <n v="187312"/>
    <x v="1"/>
    <x v="0"/>
    <x v="5"/>
    <x v="4"/>
    <x v="0"/>
    <x v="0"/>
    <n v="3"/>
    <n v="3"/>
    <n v="4"/>
    <n v="4"/>
    <n v="4"/>
    <n v="3"/>
    <n v="4"/>
    <n v="40"/>
    <n v="7"/>
    <n v="180"/>
    <n v="7"/>
    <n v="180"/>
    <n v="2717.9580839999999"/>
    <n v="561.93600000000004"/>
    <n v="19438.88863012064"/>
    <n v="1360.7222041084449"/>
    <n v="110"/>
    <n v="150"/>
    <n v="1E-3"/>
    <n v="187.31200000000001"/>
    <n v="13607.222041084447"/>
    <n v="14054.534041084447"/>
    <n v="3180.9641611183101"/>
    <n v="3295.6715283341377"/>
    <n v="0.08"/>
    <n v="567.412318892695"/>
    <n v="7.0000000000000007E-2"/>
    <n v="983.81738287591145"/>
    <n v="15"/>
    <n v="4"/>
  </r>
  <r>
    <n v="974"/>
    <d v="2022-12-31T00:00:00"/>
    <x v="2"/>
    <s v="CLI483"/>
    <s v="CLI483"/>
    <s v="CACAPAVA"/>
    <s v="SP"/>
    <s v="CLI1168"/>
    <s v="MANAUS"/>
    <s v="AM"/>
    <n v="2698.4938530477298"/>
    <n v="2960.661267"/>
    <n v="0"/>
    <n v="7000"/>
    <n v="0"/>
    <x v="0"/>
    <x v="0"/>
    <s v="BRSSZTK01"/>
    <s v="BRSSZTCO"/>
    <n v="162.23717400000001"/>
    <n v="94.891000000000005"/>
    <n v="150"/>
    <n v="3079.3568017753605"/>
    <n v="554.28422431956483"/>
    <n v="640"/>
    <n v="7"/>
    <n v="0"/>
    <n v="0"/>
    <n v="640"/>
    <m/>
    <m/>
    <n v="0"/>
    <x v="0"/>
    <s v="BRMAOTK01"/>
    <s v="BRMAOCHI"/>
    <n v="11.436796000000001"/>
    <n v="94.891000000000005"/>
    <n v="150"/>
    <n v="845.00188908543998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960"/>
    <n v="189782"/>
    <x v="1"/>
    <x v="5"/>
    <x v="5"/>
    <x v="5"/>
    <x v="5"/>
    <x v="0"/>
    <n v="4"/>
    <n v="4"/>
    <n v="4"/>
    <n v="4"/>
    <n v="4"/>
    <n v="4"/>
    <n v="4"/>
    <n v="46"/>
    <n v="7"/>
    <n v="180"/>
    <n v="7"/>
    <n v="180"/>
    <n v="2698.4938530477298"/>
    <n v="569.346"/>
    <n v="19314.117816293012"/>
    <n v="1351.988247140511"/>
    <n v="110"/>
    <n v="150"/>
    <n v="1E-3"/>
    <n v="189.78200000000001"/>
    <n v="13519.882471405108"/>
    <n v="13969.664471405107"/>
    <n v="3180.9641611183101"/>
    <n v="5122.3416194259953"/>
    <n v="0.08"/>
    <n v="759.28172449797933"/>
    <n v="7.0000000000000007E-2"/>
    <n v="977.87651299835761"/>
    <n v="15"/>
    <n v="4"/>
  </r>
  <r>
    <n v="975"/>
    <d v="2022-12-31T00:00:00"/>
    <x v="2"/>
    <s v="CLI484"/>
    <s v="CLI484"/>
    <s v="MANAUS"/>
    <s v="AM"/>
    <s v="CLI803"/>
    <s v="SALTO"/>
    <s v="SP"/>
    <n v="3863.2648119999999"/>
    <n v="0"/>
    <n v="2810.096646"/>
    <n v="7000"/>
    <n v="0"/>
    <x v="0"/>
    <x v="2"/>
    <s v="BRMAOTK01"/>
    <s v="BRMAOCHI"/>
    <n v="11.436796000000001"/>
    <n v="65.489500000000007"/>
    <n v="150"/>
    <n v="815.60038908544004"/>
    <n v="0"/>
    <n v="832"/>
    <n v="7"/>
    <n v="0"/>
    <n v="0"/>
    <n v="832"/>
    <m/>
    <m/>
    <n v="0"/>
    <x v="1"/>
    <s v="BRSSZTK01"/>
    <s v="BRSSZTCO"/>
    <n v="180.47000800000001"/>
    <n v="65.489500000000007"/>
    <n v="150"/>
    <n v="3320.1046393331203"/>
    <n v="597.61883507996163"/>
    <n v="640"/>
    <n v="7"/>
    <n v="0"/>
    <n v="0"/>
    <n v="640"/>
    <s v="BRMAODP01"/>
    <n v="120"/>
    <n v="55"/>
    <n v="0"/>
    <n v="0"/>
    <n v="0"/>
    <n v="120"/>
    <n v="295"/>
    <s v="BRSSZ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5633"/>
    <n v="130979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3863.2648119999999"/>
    <n v="392.93700000000001"/>
    <n v="27047.621807699525"/>
    <n v="3245.7146169239427"/>
    <n v="110"/>
    <n v="150"/>
    <n v="1E-3"/>
    <n v="130.97900000000001"/>
    <n v="18933.335265389665"/>
    <n v="19324.314265389665"/>
    <n v="3180.9641611183101"/>
    <n v="10240.645075852794"/>
    <n v="0.08"/>
    <n v="1167.2792321512914"/>
    <n v="0.12"/>
    <n v="2318.9177118467596"/>
    <n v="15"/>
    <n v="1"/>
  </r>
  <r>
    <n v="976"/>
    <d v="2022-12-31T00:00:00"/>
    <x v="2"/>
    <s v="CLI486"/>
    <s v="CLI486"/>
    <s v="GUARULHOS"/>
    <s v="SP"/>
    <s v="CLI743"/>
    <s v="MANAUS"/>
    <s v="AM"/>
    <n v="2680.9932138622717"/>
    <n v="2887.376076"/>
    <n v="0"/>
    <n v="7000"/>
    <n v="0"/>
    <x v="0"/>
    <x v="0"/>
    <s v="BRSSZTK01"/>
    <s v="BRSSZTCO"/>
    <n v="96.951807000000002"/>
    <n v="86.085000000000008"/>
    <n v="150"/>
    <n v="2103.2410216684802"/>
    <n v="378.58338390032645"/>
    <n v="640"/>
    <n v="7"/>
    <n v="0"/>
    <n v="0"/>
    <n v="640"/>
    <m/>
    <m/>
    <n v="0"/>
    <x v="0"/>
    <s v="BRMAOTK01"/>
    <s v="BRMAOCHI"/>
    <n v="11.436796000000001"/>
    <n v="86.085000000000008"/>
    <n v="150"/>
    <n v="836.19588908544006"/>
    <n v="0"/>
    <n v="832"/>
    <n v="7"/>
    <n v="0"/>
    <n v="0"/>
    <n v="832"/>
    <s v="BRSSZDP01"/>
    <n v="110"/>
    <n v="50"/>
    <n v="0"/>
    <n v="0"/>
    <n v="0"/>
    <n v="110"/>
    <n v="270"/>
    <s v="BRMAODP01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642"/>
    <n v="172170"/>
    <x v="1"/>
    <x v="3"/>
    <x v="2"/>
    <x v="2"/>
    <x v="3"/>
    <x v="3"/>
    <n v="1"/>
    <n v="1"/>
    <n v="1"/>
    <n v="1"/>
    <n v="1"/>
    <n v="1"/>
    <n v="1"/>
    <n v="12"/>
    <n v="7"/>
    <n v="180"/>
    <n v="7"/>
    <n v="180"/>
    <n v="2680.9932138622717"/>
    <n v="516.51"/>
    <n v="19142.43567561013"/>
    <n v="1339.9704972927093"/>
    <n v="110"/>
    <n v="150"/>
    <n v="1E-3"/>
    <n v="172.17000000000002"/>
    <n v="13399.704972927089"/>
    <n v="13831.874972927089"/>
    <n v="3180.9641611183101"/>
    <n v="5969.4739010548583"/>
    <n v="0.08"/>
    <n v="841.10837426182741"/>
    <n v="7.0000000000000007E-2"/>
    <n v="968.23124810489639"/>
    <n v="15"/>
    <n v="1"/>
  </r>
  <r>
    <n v="977"/>
    <d v="2022-12-31T00:00:00"/>
    <x v="4"/>
    <s v="CLI1317"/>
    <s v="CLI1317"/>
    <s v="SAO PAULO"/>
    <s v="SP"/>
    <s v="CLI1318"/>
    <s v="VITORIA"/>
    <s v="ES"/>
    <n v="0"/>
    <n v="0"/>
    <n v="0"/>
    <n v="0"/>
    <n v="0"/>
    <x v="1"/>
    <x v="0"/>
    <m/>
    <s v="BRSSZBTP"/>
    <n v="0"/>
    <n v="0"/>
    <n v="0"/>
    <n v="0"/>
    <n v="0"/>
    <n v="0"/>
    <n v="0"/>
    <n v="0"/>
    <n v="0"/>
    <n v="0"/>
    <m/>
    <m/>
    <n v="0"/>
    <x v="6"/>
    <m/>
    <s v="BRVIXTVV"/>
    <n v="0"/>
    <n v="0"/>
    <n v="0"/>
    <n v="0"/>
    <n v="0"/>
    <n v="0"/>
    <n v="0"/>
    <n v="0"/>
    <n v="0"/>
    <n v="0"/>
    <m/>
    <n v="0"/>
    <n v="0"/>
    <n v="0"/>
    <n v="0"/>
    <n v="0"/>
    <n v="0"/>
    <n v="0"/>
    <m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642"/>
    <n v="172170"/>
    <x v="1"/>
    <x v="33"/>
    <x v="30"/>
    <x v="29"/>
    <x v="32"/>
    <x v="31"/>
    <n v="600"/>
    <n v="600"/>
    <n v="600"/>
    <n v="600"/>
    <n v="600"/>
    <n v="600"/>
    <n v="350"/>
    <n v="6650"/>
    <n v="0"/>
    <n v="0"/>
    <n v="0"/>
    <n v="0"/>
    <n v="0"/>
    <n v="0"/>
    <n v="0"/>
    <n v="0"/>
    <n v="0"/>
    <n v="0"/>
    <n v="0"/>
    <n v="0"/>
    <n v="2261.0936746532798"/>
    <n v="2261.0936746532798"/>
    <n v="1130.5468373266399"/>
    <n v="1130.5468373266399"/>
    <n v="0"/>
    <n v="0"/>
    <n v="0"/>
    <n v="0"/>
    <n v="15"/>
    <n v="600"/>
  </r>
  <r>
    <n v="978"/>
    <d v="2022-12-31T00:00:00"/>
    <x v="4"/>
    <s v="CLI1318"/>
    <s v="CLI1318"/>
    <s v="VITORIA"/>
    <s v="ES"/>
    <s v="CLI1317"/>
    <s v="SAO PAULO"/>
    <s v="SP"/>
    <n v="0"/>
    <n v="0"/>
    <n v="0"/>
    <n v="0"/>
    <n v="0"/>
    <x v="1"/>
    <x v="6"/>
    <m/>
    <s v="BRVIXTVV"/>
    <n v="0"/>
    <n v="0"/>
    <n v="0"/>
    <n v="0"/>
    <n v="0"/>
    <n v="0"/>
    <n v="0"/>
    <n v="0"/>
    <n v="0"/>
    <n v="0"/>
    <m/>
    <m/>
    <n v="0"/>
    <x v="1"/>
    <m/>
    <s v="BRSSZBTP"/>
    <n v="0"/>
    <n v="0"/>
    <n v="0"/>
    <n v="0"/>
    <n v="0"/>
    <n v="0"/>
    <n v="0"/>
    <n v="0"/>
    <n v="0"/>
    <n v="0"/>
    <m/>
    <n v="0"/>
    <n v="0"/>
    <n v="0"/>
    <n v="0"/>
    <n v="0"/>
    <n v="0"/>
    <n v="0"/>
    <m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m/>
    <n v="0"/>
    <n v="0"/>
    <n v="0"/>
    <n v="0"/>
    <n v="0"/>
    <n v="0"/>
    <s v="COMMODITY"/>
    <n v="22642"/>
    <n v="172170"/>
    <x v="1"/>
    <x v="33"/>
    <x v="30"/>
    <x v="29"/>
    <x v="32"/>
    <x v="31"/>
    <n v="600"/>
    <n v="600"/>
    <n v="600"/>
    <n v="600"/>
    <n v="600"/>
    <n v="600"/>
    <n v="350"/>
    <n v="6650"/>
    <n v="0"/>
    <n v="0"/>
    <n v="0"/>
    <n v="0"/>
    <n v="0"/>
    <n v="0"/>
    <n v="0"/>
    <n v="0"/>
    <n v="0"/>
    <n v="0"/>
    <n v="0"/>
    <n v="0"/>
    <n v="2261.0936746532798"/>
    <n v="2261.0936746532798"/>
    <n v="1130.5468373266399"/>
    <n v="1130.5468373266399"/>
    <n v="0"/>
    <n v="0"/>
    <n v="0"/>
    <n v="0"/>
    <n v="15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5AFA3-484A-4E24-974B-3575EA92A82F}" name="PivotTable3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3:F39" firstHeaderRow="1" firstDataRow="2" firstDataCol="1" rowPageCount="3" colPageCount="1"/>
  <pivotFields count="149">
    <pivotField showAll="0"/>
    <pivotField numFmtId="14" showAll="0"/>
    <pivotField axis="axisPage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axis="axisPage" showAll="0">
      <items count="3">
        <item x="0"/>
        <item x="1"/>
        <item t="default"/>
      </items>
    </pivotField>
    <pivotField axis="axisRow" showAll="0">
      <items count="8">
        <item x="2"/>
        <item x="1"/>
        <item x="3"/>
        <item x="5"/>
        <item x="4"/>
        <item x="0"/>
        <item h="1" x="6"/>
        <item t="default"/>
      </items>
    </pivotField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showAll="0"/>
    <pivotField showAll="0"/>
    <pivotField numFmtId="43" showAll="0"/>
    <pivotField axis="axisCol" showAll="0">
      <items count="8">
        <item x="0"/>
        <item x="3"/>
        <item x="2"/>
        <item x="5"/>
        <item x="4"/>
        <item x="1"/>
        <item h="1" x="6"/>
        <item t="default"/>
      </items>
    </pivotField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10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9" showAll="0"/>
    <pivotField numFmtId="43" showAll="0"/>
    <pivotField showAll="0"/>
    <pivotField dataField="1" showAll="0"/>
  </pivotFields>
  <rowFields count="1">
    <field x="16"/>
  </rowFields>
  <rowItems count="5">
    <i>
      <x v="1"/>
    </i>
    <i>
      <x v="2"/>
    </i>
    <i>
      <x v="3"/>
    </i>
    <i>
      <x v="5"/>
    </i>
    <i t="grand">
      <x/>
    </i>
  </rowItems>
  <colFields count="1">
    <field x="32"/>
  </colFields>
  <colItems count="5">
    <i>
      <x/>
    </i>
    <i>
      <x v="2"/>
    </i>
    <i>
      <x v="3"/>
    </i>
    <i>
      <x v="5"/>
    </i>
    <i t="grand">
      <x/>
    </i>
  </colItems>
  <pageFields count="3">
    <pageField fld="2" hier="-1"/>
    <pageField fld="15" item="0" hier="-1"/>
    <pageField fld="113" item="2" hier="-1"/>
  </pageFields>
  <dataFields count="1">
    <dataField name="Sum of maxWeek" fld="148" baseField="0" baseItem="0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32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16" type="button" dataOnly="0" labelOnly="1" outline="0" axis="axisRow" fieldPosition="0"/>
    </format>
    <format dxfId="19">
      <pivotArea dataOnly="0" labelOnly="1" fieldPosition="0">
        <references count="1">
          <reference field="16" count="4">
            <x v="1"/>
            <x v="2"/>
            <x v="3"/>
            <x v="5"/>
          </reference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32" count="4">
            <x v="0"/>
            <x v="2"/>
            <x v="3"/>
            <x v="5"/>
          </reference>
        </references>
      </pivotArea>
    </format>
    <format dxfId="16">
      <pivotArea dataOnly="0" labelOnly="1" grandCol="1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32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16" type="button" dataOnly="0" labelOnly="1" outline="0" axis="axisRow" fieldPosition="0"/>
    </format>
    <format dxfId="9">
      <pivotArea dataOnly="0" labelOnly="1" fieldPosition="0">
        <references count="1">
          <reference field="16" count="4">
            <x v="1"/>
            <x v="2"/>
            <x v="3"/>
            <x v="5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32" count="4">
            <x v="0"/>
            <x v="2"/>
            <x v="3"/>
            <x v="5"/>
          </reference>
        </references>
      </pivotArea>
    </format>
    <format dxfId="6">
      <pivotArea dataOnly="0" labelOnly="1" grandCol="1" outline="0" fieldPosition="0"/>
    </format>
    <format dxfId="5">
      <pivotArea outline="0" collapsedLevelsAreSubtotals="1" fieldPosition="0"/>
    </format>
    <format dxfId="4">
      <pivotArea dataOnly="0" labelOnly="1" fieldPosition="0">
        <references count="1">
          <reference field="32" count="4">
            <x v="0"/>
            <x v="2"/>
            <x v="3"/>
            <x v="5"/>
          </reference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32" count="4">
            <x v="0"/>
            <x v="2"/>
            <x v="3"/>
            <x v="5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0D292-3115-45E9-9999-EF455CB7F9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H13" firstHeaderRow="1" firstDataRow="2" firstDataCol="1" rowPageCount="3" colPageCount="1"/>
  <pivotFields count="149">
    <pivotField showAll="0"/>
    <pivotField numFmtId="14" showAll="0"/>
    <pivotField axis="axisPage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axis="axisPage" showAll="0">
      <items count="3">
        <item x="0"/>
        <item x="1"/>
        <item t="default"/>
      </items>
    </pivotField>
    <pivotField axis="axisRow" showAll="0">
      <items count="8">
        <item x="2"/>
        <item x="1"/>
        <item x="3"/>
        <item x="5"/>
        <item x="4"/>
        <item x="0"/>
        <item h="1" x="6"/>
        <item t="default"/>
      </items>
    </pivotField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showAll="0"/>
    <pivotField showAll="0"/>
    <pivotField numFmtId="43" showAll="0"/>
    <pivotField axis="axisCol" showAll="0">
      <items count="8">
        <item x="0"/>
        <item x="3"/>
        <item x="2"/>
        <item x="5"/>
        <item x="4"/>
        <item x="1"/>
        <item h="1" x="6"/>
        <item t="default"/>
      </items>
    </pivotField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3" showAll="0"/>
    <pivotField numFmtId="3" showAll="0"/>
    <pivotField axis="axisPage" multipleItemSelectionAllowed="1" showAll="0">
      <items count="4">
        <item x="0"/>
        <item h="1" x="1"/>
        <item h="1" x="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numFmtId="2" showAll="0"/>
    <pivotField showAll="0"/>
    <pivotField numFmtId="2" showAll="0"/>
    <pivotField numFmtId="43" showAll="0"/>
    <pivotField numFmtId="43" showAll="0"/>
    <pivotField numFmtId="43" showAll="0"/>
    <pivotField numFmtId="43" showAll="0"/>
    <pivotField numFmtId="2" showAll="0"/>
    <pivotField numFmtId="2" showAll="0"/>
    <pivotField numFmtId="2" showAll="0"/>
    <pivotField numFmtId="43" showAll="0"/>
    <pivotField showAll="0"/>
    <pivotField numFmtId="43" showAll="0"/>
    <pivotField showAll="0"/>
    <pivotField numFmtId="43" showAll="0"/>
    <pivotField numFmtId="2" showAll="0"/>
    <pivotField numFmtId="43" showAll="0"/>
    <pivotField showAll="0"/>
    <pivotField numFmtId="43" showAll="0"/>
    <pivotField showAll="0"/>
    <pivotField dataField="1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3">
    <pageField fld="2" hier="-1"/>
    <pageField fld="113" hier="-1"/>
    <pageField fld="15" item="0" hier="-1"/>
  </pageFields>
  <dataFields count="1">
    <dataField name="Sum of maxWeek" fld="148" baseField="0" baseItem="0"/>
  </dataFields>
  <formats count="21"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32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16" type="button" dataOnly="0" labelOnly="1" outline="0" axis="axisRow" fieldPosition="0"/>
    </format>
    <format dxfId="40">
      <pivotArea dataOnly="0" labelOnly="1" fieldPosition="0">
        <references count="1">
          <reference field="16" count="4">
            <x v="1"/>
            <x v="2"/>
            <x v="3"/>
            <x v="5"/>
          </reference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1">
          <reference field="32" count="4">
            <x v="0"/>
            <x v="2"/>
            <x v="3"/>
            <x v="5"/>
          </reference>
        </references>
      </pivotArea>
    </format>
    <format dxfId="37">
      <pivotArea dataOnly="0" labelOnly="1" grandCol="1" outline="0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32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16" type="button" dataOnly="0" labelOnly="1" outline="0" axis="axisRow" fieldPosition="0"/>
    </format>
    <format dxfId="30">
      <pivotArea dataOnly="0" labelOnly="1" fieldPosition="0">
        <references count="1">
          <reference field="16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32" count="0"/>
        </references>
      </pivotArea>
    </format>
    <format dxfId="27">
      <pivotArea dataOnly="0" labelOnly="1" grandCol="1" outline="0" fieldPosition="0"/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89D8B-59CC-45E7-8B0C-A6EFD78D06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H27" firstHeaderRow="1" firstDataRow="2" firstDataCol="1" rowPageCount="3" colPageCount="1"/>
  <pivotFields count="149">
    <pivotField showAll="0"/>
    <pivotField numFmtId="14" showAll="0"/>
    <pivotField axis="axisPage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axis="axisPage" showAll="0">
      <items count="3">
        <item x="0"/>
        <item x="1"/>
        <item t="default"/>
      </items>
    </pivotField>
    <pivotField axis="axisRow" showAll="0">
      <items count="8">
        <item x="2"/>
        <item x="1"/>
        <item x="3"/>
        <item x="5"/>
        <item x="4"/>
        <item x="0"/>
        <item x="6"/>
        <item t="default"/>
      </items>
    </pivotField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showAll="0"/>
    <pivotField showAll="0"/>
    <pivotField numFmtId="43" showAll="0"/>
    <pivotField axis="axisCol" showAll="0">
      <items count="8">
        <item x="0"/>
        <item x="3"/>
        <item x="2"/>
        <item x="5"/>
        <item x="4"/>
        <item x="1"/>
        <item x="6"/>
        <item t="default"/>
      </items>
    </pivotField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10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9" showAll="0"/>
    <pivotField numFmtId="43" showAll="0"/>
    <pivotField showAll="0"/>
    <pivotField dataField="1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3">
    <pageField fld="2" hier="-1"/>
    <pageField fld="15" item="0" hier="-1"/>
    <pageField fld="113" item="1" hier="-1"/>
  </pageFields>
  <dataFields count="1">
    <dataField name="Sum of maxWeek" fld="148" baseField="0" baseItem="0"/>
  </dataFields>
  <formats count="26">
    <format dxfId="72">
      <pivotArea type="all" dataOnly="0" outline="0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field="32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16" type="button" dataOnly="0" labelOnly="1" outline="0" axis="axisRow" fieldPosition="0"/>
    </format>
    <format dxfId="66">
      <pivotArea dataOnly="0" labelOnly="1" fieldPosition="0">
        <references count="1">
          <reference field="16" count="4">
            <x v="1"/>
            <x v="2"/>
            <x v="3"/>
            <x v="5"/>
          </reference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1">
          <reference field="32" count="4">
            <x v="0"/>
            <x v="2"/>
            <x v="3"/>
            <x v="5"/>
          </reference>
        </references>
      </pivotArea>
    </format>
    <format dxfId="63">
      <pivotArea dataOnly="0" labelOnly="1" grandCol="1" outline="0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32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16" type="button" dataOnly="0" labelOnly="1" outline="0" axis="axisRow" fieldPosition="0"/>
    </format>
    <format dxfId="56">
      <pivotArea dataOnly="0" labelOnly="1" fieldPosition="0">
        <references count="1">
          <reference field="16" count="6">
            <x v="0"/>
            <x v="1"/>
            <x v="2"/>
            <x v="3"/>
            <x v="4"/>
            <x v="5"/>
          </reference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1">
          <reference field="32" count="6">
            <x v="0"/>
            <x v="1"/>
            <x v="2"/>
            <x v="3"/>
            <x v="4"/>
            <x v="5"/>
          </reference>
        </references>
      </pivotArea>
    </format>
    <format dxfId="53">
      <pivotArea dataOnly="0" labelOnly="1" grandCol="1" outline="0" fieldPosition="0"/>
    </format>
    <format dxfId="52">
      <pivotArea outline="0" collapsedLevelsAreSubtotals="1" fieldPosition="0"/>
    </format>
    <format dxfId="51">
      <pivotArea dataOnly="0" labelOnly="1" fieldPosition="0">
        <references count="1">
          <reference field="32" count="6">
            <x v="0"/>
            <x v="1"/>
            <x v="2"/>
            <x v="3"/>
            <x v="4"/>
            <x v="5"/>
          </reference>
        </references>
      </pivotArea>
    </format>
    <format dxfId="50">
      <pivotArea dataOnly="0" labelOnly="1" grandCol="1" outline="0" fieldPosition="0"/>
    </format>
    <format dxfId="49">
      <pivotArea outline="0" collapsedLevelsAreSubtotals="1" fieldPosition="0"/>
    </format>
    <format dxfId="48">
      <pivotArea dataOnly="0" labelOnly="1" fieldPosition="0">
        <references count="1">
          <reference field="32" count="6">
            <x v="0"/>
            <x v="1"/>
            <x v="2"/>
            <x v="3"/>
            <x v="4"/>
            <x v="5"/>
          </reference>
        </references>
      </pivotArea>
    </format>
    <format dxfId="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3-01-24T15:15:32.48" personId="{980DB4EA-8595-420D-8604-5A1922B7F600}" id="{B50AD932-712A-44C1-9194-92FD18C9B96C}">
    <text>Utilizado como referência para definição dos parâmetros</text>
  </threadedComment>
  <threadedComment ref="K7" dT="2023-01-31T04:19:21.56" personId="{980DB4EA-8595-420D-8604-5A1922B7F600}" id="{7EB08322-FBDA-4BAB-A4E2-AB93C364036D}">
    <text xml:space="preserve">EMISSÕES VEICULARES NO ESTADO DE SÃO PAULO 2020 APÊNDICE X – FE de CO2 combustíveis 201 APÊNDICE Y - Fator de emissão de CO2 para combustíveis </text>
  </threadedComment>
  <threadedComment ref="G19" dT="2023-02-22T14:49:47.54" personId="{980DB4EA-8595-420D-8604-5A1922B7F600}" id="{0658B589-A0C6-4D3C-976C-1FCBBB76CF68}">
    <text>https://nepis.epa.gov/Exe/ZyPDF.cgi?Dockey=P1001ZA0.pdf</text>
    <extLst>
      <x:ext xmlns:xltc2="http://schemas.microsoft.com/office/spreadsheetml/2020/threadedcomments2" uri="{F7C98A9C-CBB3-438F-8F68-D28B6AF4A901}">
        <xltc2:checksum>2486800548</xltc2:checksum>
        <xltc2:hyperlink startIndex="0" length="55" url="https://nepis.epa.gov/Exe/ZyPDF.cgi?Dockey=P1001ZA0.pdf"/>
      </x:ext>
    </extLst>
  </threadedComment>
  <threadedComment ref="G19" dT="2023-02-22T14:51:30.84" personId="{980DB4EA-8595-420D-8604-5A1922B7F600}" id="{63E205B1-5D57-49EF-85A1-5775374B8EF1}" parentId="{0658B589-A0C6-4D3C-976C-1FCBBB76CF68}">
    <text>EPA - A Comprehensive Analysis of Biodiesel Impacts on Exhaust Emissions</text>
  </threadedComment>
  <threadedComment ref="J27" dT="2023-01-24T15:15:03.12" personId="{980DB4EA-8595-420D-8604-5A1922B7F600}" id="{625A8220-915E-4DAF-9279-0AB1DA0761E3}">
    <text>Utilizado como referência para os parêmetros</text>
  </threadedComment>
  <threadedComment ref="F63" dT="2023-02-22T15:20:38.58" personId="{980DB4EA-8595-420D-8604-5A1922B7F600}" id="{134A15DD-64B1-4359-862E-40467A87470A}">
    <text>https://petrobras.com.br/data/files/02/83/FA/2C/5A39C710E2EF93B7B8E99EA8/Manual_Combustiveis_Maritimos_2021.pdf</text>
    <extLst>
      <x:ext xmlns:xltc2="http://schemas.microsoft.com/office/spreadsheetml/2020/threadedcomments2" uri="{F7C98A9C-CBB3-438F-8F68-D28B6AF4A901}">
        <xltc2:checksum>1060027448</xltc2:checksum>
        <xltc2:hyperlink startIndex="0" length="111" url="https://petrobras.com.br/data/files/02/83/FA/2C/5A39C710E2EF93B7B8E99EA8/Manual_Combustiveis_Maritimos_2021.pdf"/>
      </x:ext>
    </extLst>
  </threadedComment>
  <threadedComment ref="B65" dT="2023-02-22T04:22:16.94" personId="{980DB4EA-8595-420D-8604-5A1922B7F600}" id="{DC139194-A8EC-47E8-9302-7A57433E0AB9}">
    <text xml:space="preserve">Brynolf, S., Fridell, E., &amp; Andersson, K. (2014). Environmental asssessment of marine fuels: liquiefied natural gas, liquefied biogas, methanol and bio-methanol. Journal of cleaner production, 86-95. 
</text>
  </threadedComment>
  <threadedComment ref="K83" dT="2023-02-22T14:49:04.49" personId="{980DB4EA-8595-420D-8604-5A1922B7F600}" id="{A09B7028-1149-43F9-9C75-6DD6FF710B8D}">
    <text>https://nepis.epa.gov/Exe/ZyPDF.cgi?Dockey=P1001ZA0.pdf</text>
    <extLst>
      <x:ext xmlns:xltc2="http://schemas.microsoft.com/office/spreadsheetml/2020/threadedcomments2" uri="{F7C98A9C-CBB3-438F-8F68-D28B6AF4A901}">
        <xltc2:checksum>2486800548</xltc2:checksum>
        <xltc2:hyperlink startIndex="0" length="55" url="https://nepis.epa.gov/Exe/ZyPDF.cgi?Dockey=P1001ZA0.pdf"/>
      </x:ext>
    </extLst>
  </threadedComment>
  <threadedComment ref="K83" dT="2023-02-22T14:49:19.92" personId="{980DB4EA-8595-420D-8604-5A1922B7F600}" id="{73228D2A-3A0E-4E58-980F-A2AAF3CD4E10}" parentId="{A09B7028-1149-43F9-9C75-6DD6FF710B8D}">
    <text>Average Biodiesel</text>
  </threadedComment>
  <threadedComment ref="K83" dT="2023-02-22T14:51:41.99" personId="{980DB4EA-8595-420D-8604-5A1922B7F600}" id="{9709AA07-C69A-414A-9D53-505D4301451C}" parentId="{A09B7028-1149-43F9-9C75-6DD6FF710B8D}">
    <text>EPA - A Comprehensive Analysis of Biodiesel Impacts on Exhaust Emissions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1" dT="2023-01-24T15:15:32.48" personId="{980DB4EA-8595-420D-8604-5A1922B7F600}" id="{F12B2E6B-071A-4BC4-A482-2F18097306A4}">
    <text>Utilizado como referência para definição dos parâmetros</text>
  </threadedComment>
  <threadedComment ref="K21" dT="2023-01-31T04:19:21.56" personId="{980DB4EA-8595-420D-8604-5A1922B7F600}" id="{B157AD7A-FB1D-4DB0-ACB6-A2F9F493142C}">
    <text xml:space="preserve">EMISSÕES VEICULARES NO ESTADO DE SÃO PAULO 2020 APÊNDICE X – FE de CO2 combustíveis 201 APÊNDICE Y - Fator de emissão de CO2 para combustíveis </text>
  </threadedComment>
  <threadedComment ref="G37" dT="2023-02-22T14:49:47.54" personId="{980DB4EA-8595-420D-8604-5A1922B7F600}" id="{5FF4D814-F1CE-4DFA-88B1-2C5A344A476B}">
    <text>https://nepis.epa.gov/Exe/ZyPDF.cgi?Dockey=P1001ZA0.pdf</text>
    <extLst>
      <x:ext xmlns:xltc2="http://schemas.microsoft.com/office/spreadsheetml/2020/threadedcomments2" uri="{F7C98A9C-CBB3-438F-8F68-D28B6AF4A901}">
        <xltc2:checksum>2486800548</xltc2:checksum>
        <xltc2:hyperlink startIndex="0" length="55" url="https://nepis.epa.gov/Exe/ZyPDF.cgi?Dockey=P1001ZA0.pdf"/>
      </x:ext>
    </extLst>
  </threadedComment>
  <threadedComment ref="G37" dT="2023-02-22T14:51:30.84" personId="{980DB4EA-8595-420D-8604-5A1922B7F600}" id="{CA385DB7-7CED-4E63-8921-895EDFFC4113}" parentId="{5FF4D814-F1CE-4DFA-88B1-2C5A344A476B}">
    <text>EPA - A Comprehensive Analysis of Biodiesel Impacts on Exhaust Emissions</text>
  </threadedComment>
  <threadedComment ref="J45" dT="2023-01-24T15:15:03.12" personId="{980DB4EA-8595-420D-8604-5A1922B7F600}" id="{D49B6929-0E86-41E9-9151-074F0205B4AD}">
    <text>Utilizado como referência para os parêmetros</text>
  </threadedComment>
  <threadedComment ref="M81" dT="2023-02-22T15:20:38.58" personId="{980DB4EA-8595-420D-8604-5A1922B7F600}" id="{9586C03C-61D0-4D24-BF2B-2CBB0F21A379}">
    <text>https://petrobras.com.br/data/files/02/83/FA/2C/5A39C710E2EF93B7B8E99EA8/Manual_Combustiveis_Maritimos_2021.pdf</text>
    <extLst>
      <x:ext xmlns:xltc2="http://schemas.microsoft.com/office/spreadsheetml/2020/threadedcomments2" uri="{F7C98A9C-CBB3-438F-8F68-D28B6AF4A901}">
        <xltc2:checksum>1060027448</xltc2:checksum>
        <xltc2:hyperlink startIndex="0" length="111" url="https://petrobras.com.br/data/files/02/83/FA/2C/5A39C710E2EF93B7B8E99EA8/Manual_Combustiveis_Maritimos_2021.pdf"/>
      </x:ext>
    </extLst>
  </threadedComment>
  <threadedComment ref="B83" dT="2023-02-22T04:22:16.94" personId="{980DB4EA-8595-420D-8604-5A1922B7F600}" id="{4D583026-10E4-4DD7-81BE-1E58D27EF4DB}">
    <text xml:space="preserve">Brynolf, S., Fridell, E., &amp; Andersson, K. (2014). Environmental asssessment of marine fuels: liquiefied natural gas, liquefied biogas, methanol and bio-methanol. Journal of cleaner production, 86-95. 
</text>
  </threadedComment>
  <threadedComment ref="K101" dT="2023-02-22T14:49:04.49" personId="{980DB4EA-8595-420D-8604-5A1922B7F600}" id="{C23B101E-66B1-4116-A370-176C5DE2590C}">
    <text>https://nepis.epa.gov/Exe/ZyPDF.cgi?Dockey=P1001ZA0.pdf</text>
    <extLst>
      <x:ext xmlns:xltc2="http://schemas.microsoft.com/office/spreadsheetml/2020/threadedcomments2" uri="{F7C98A9C-CBB3-438F-8F68-D28B6AF4A901}">
        <xltc2:checksum>2486800548</xltc2:checksum>
        <xltc2:hyperlink startIndex="0" length="55" url="https://nepis.epa.gov/Exe/ZyPDF.cgi?Dockey=P1001ZA0.pdf"/>
      </x:ext>
    </extLst>
  </threadedComment>
  <threadedComment ref="K101" dT="2023-02-22T14:49:19.92" personId="{980DB4EA-8595-420D-8604-5A1922B7F600}" id="{CBC760BE-2959-4B7F-BDC1-305B43C850A1}" parentId="{C23B101E-66B1-4116-A370-176C5DE2590C}">
    <text>Average Biodiesel</text>
  </threadedComment>
  <threadedComment ref="K101" dT="2023-02-22T14:51:41.99" personId="{980DB4EA-8595-420D-8604-5A1922B7F600}" id="{4A48407B-355B-4823-821D-6283BEA316D1}" parentId="{C23B101E-66B1-4116-A370-176C5DE2590C}">
    <text>EPA - A Comprehensive Analysis of Biodiesel Impacts on Exhaust Emissions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9" dT="2023-01-24T14:20:17.36" personId="{980DB4EA-8595-420D-8604-5A1922B7F600}" id="{51D27260-64A7-4FDA-8822-6B00461546CE}">
    <text>https://www.dieselduck.info/machine/08%20programs/2010%20Oil%20industry%20conversions.pdf</text>
    <extLst>
      <x:ext xmlns:xltc2="http://schemas.microsoft.com/office/spreadsheetml/2020/threadedcomments2" uri="{F7C98A9C-CBB3-438F-8F68-D28B6AF4A901}">
        <xltc2:checksum>855894471</xltc2:checksum>
        <xltc2:hyperlink startIndex="0" length="89" url="https://www.dieselduck.info/machine/08%20programs/2010%20Oil%20industry%20conversions.pdf"/>
      </x:ext>
    </extLs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9" dT="2023-01-24T14:20:17.36" personId="{980DB4EA-8595-420D-8604-5A1922B7F600}" id="{D25EE95E-814A-46AF-B05E-6487923FDA9E}">
    <text>https://www.dieselduck.info/machine/08%20programs/2010%20Oil%20industry%20conversions.pdf</text>
    <extLst>
      <x:ext xmlns:xltc2="http://schemas.microsoft.com/office/spreadsheetml/2020/threadedcomments2" uri="{F7C98A9C-CBB3-438F-8F68-D28B6AF4A901}">
        <xltc2:checksum>855894471</xltc2:checksum>
        <xltc2:hyperlink startIndex="0" length="89" url="https://www.dieselduck.info/machine/08%20programs/2010%20Oil%20industry%20conversions.pdf"/>
      </x:ext>
    </extLst>
  </threadedComment>
  <threadedComment ref="B14" dT="2023-02-20T20:11:50.34" personId="{980DB4EA-8595-420D-8604-5A1922B7F600}" id="{A5DD7355-224D-4422-956C-DDF7FCCE7EC0}">
    <text>Conversão utilizando Calorific Values -&gt; x IFO/Biodiesel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8" dT="2023-01-25T15:45:31.01" personId="{980DB4EA-8595-420D-8604-5A1922B7F600}" id="{6EDCFB9D-E3C7-400C-91AD-ECAFA3FE5D1C}">
    <text>1 mov na Origem e 1 mov no Destino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5" dT="2023-02-22T05:37:42.83" personId="{980DB4EA-8595-420D-8604-5A1922B7F600}" id="{1748E4D1-1FDB-496E-BF81-676B97E6FF8E}">
    <text>Estimativa considerando o ajuste de Calorific Values</text>
  </threadedComment>
  <threadedComment ref="C5" dT="2023-02-22T14:57:28.49" personId="{980DB4EA-8595-420D-8604-5A1922B7F600}" id="{388D2E93-CB15-4166-9F7D-A8573E20554D}" parentId="{1748E4D1-1FDB-496E-BF81-676B97E6FF8E}">
    <text>e Densidades</text>
  </threadedComment>
  <threadedComment ref="D8" dT="2023-01-25T15:45:31.01" personId="{980DB4EA-8595-420D-8604-5A1922B7F600}" id="{185DF2F8-B610-4138-862E-889876ADC6B8}">
    <text>1 mov na Origem e 1 mov no Destino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7" dT="2023-02-23T14:20:55.70" personId="{980DB4EA-8595-420D-8604-5A1922B7F600}" id="{3C35CEB5-9570-4364-AEC7-A8E34EF173A5}">
    <text>PORTTECHNOLOGY, 2023</text>
  </threadedComment>
  <threadedComment ref="D8" dT="2023-01-25T15:44:28.97" personId="{980DB4EA-8595-420D-8604-5A1922B7F600}" id="{3F11B4E6-8C3D-4B7A-8A61-9428641BC355}">
    <text>2 mov na Origem e 2 mov no Destino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7" dT="2023-02-21T05:02:26.91" personId="{980DB4EA-8595-420D-8604-5A1922B7F600}" id="{635BECD4-D125-4FAB-A6D9-E4AD776EDAE6}">
    <text xml:space="preserve">Estimativa considerando o ajuste de Calorific Values
</text>
  </threadedComment>
  <threadedComment ref="D8" dT="2023-01-25T15:44:28.97" personId="{980DB4EA-8595-420D-8604-5A1922B7F600}" id="{5C475172-0362-4E05-9C1F-262DC61D9684}">
    <text>2 mov na Origem e 2 mov no Destino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C5" dT="2023-02-23T14:21:16.15" personId="{980DB4EA-8595-420D-8604-5A1922B7F600}" id="{1EA467C3-3945-453A-AFB3-A02151927886}">
    <text>SUSTAINABLEWORLDPORTS, 2023</text>
  </threadedComment>
  <threadedComment ref="D8" dT="2023-01-25T15:44:28.97" personId="{980DB4EA-8595-420D-8604-5A1922B7F600}" id="{41E453E0-EDFC-4872-AF8B-B2033081A204}">
    <text>1 mov na Origem e 1 mov no Destino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C5" dT="2023-02-21T12:58:53.91" personId="{980DB4EA-8595-420D-8604-5A1922B7F600}" id="{88DE5772-CBBE-43DA-99A6-1BC7A818CC34}">
    <text>Estimativa considerando o ajuste de Calorific Values</text>
  </threadedComment>
  <threadedComment ref="C5" dT="2023-02-22T14:58:45.66" personId="{980DB4EA-8595-420D-8604-5A1922B7F600}" id="{8ECFFED7-9C8B-4A70-89F6-039038B34AEA}" parentId="{88DE5772-CBBE-43DA-99A6-1BC7A818CC34}">
    <text>E densidades</text>
  </threadedComment>
  <threadedComment ref="D8" dT="2023-01-25T15:44:28.97" personId="{980DB4EA-8595-420D-8604-5A1922B7F600}" id="{A664A682-546C-483F-BAEB-FA9D8F00159C}">
    <text>1 mov na Origem e1 mov no Destino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6" dT="2023-02-21T13:28:15.75" personId="{980DB4EA-8595-420D-8604-5A1922B7F600}" id="{7BBE247A-FA59-4210-9F89-16DDBEC89FC2}">
    <text>Estimativa considerando o ajuste de Calorific Values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F6" dT="2023-02-21T13:28:15.75" personId="{980DB4EA-8595-420D-8604-5A1922B7F600}" id="{C48E1488-3C81-45FD-96D8-12AAD71A01AE}">
    <text>Estimativa considerando o ajuste de Calorific Values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F6" dT="2023-02-21T13:28:15.75" personId="{980DB4EA-8595-420D-8604-5A1922B7F600}" id="{10C44A6B-B5F5-45E0-BC57-B5F15C73AFCC}">
    <text>Estimativa considerando o ajuste de Calorific Values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5" dT="2023-02-21T13:04:14.69" personId="{980DB4EA-8595-420D-8604-5A1922B7F600}" id="{EE255A9E-3627-4F8C-BC5B-A305B11BFF8A}">
    <text>Estimativa considerando o ajuste de Calorific Values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D5" dT="2023-02-21T13:04:14.69" personId="{980DB4EA-8595-420D-8604-5A1922B7F600}" id="{41138F48-90EC-483A-A7CB-37CC47FE47D9}">
    <text>Estimativa considerando o ajuste de Calorific Values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D5" dT="2023-02-21T13:04:14.69" personId="{980DB4EA-8595-420D-8604-5A1922B7F600}" id="{29E2DBD2-9920-44F5-B93F-F7127C1A1131}">
    <text>Estimativa considerando o ajuste de Calorific Values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D9" dT="2023-02-21T13:09:41.61" personId="{980DB4EA-8595-420D-8604-5A1922B7F600}" id="{5B476440-ABF7-41A8-BD05-107151982F09}">
    <text>Estimativa considerando o ajuste de Calorific Values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epa.gov/system/files/documents/2022-04/ghg_emission_factors_hub.pdf" TargetMode="External"/><Relationship Id="rId1" Type="http://schemas.openxmlformats.org/officeDocument/2006/relationships/hyperlink" Target="https://www.epa.gov/system/files/documents/2022-04/ghg_emission_factors_hub.pdf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epa.gov/system/files/documents/2022-04/ghg_emission_factors_hub.pdf" TargetMode="External"/><Relationship Id="rId1" Type="http://schemas.openxmlformats.org/officeDocument/2006/relationships/hyperlink" Target="https://www.epa.gov/system/files/documents/2022-04/ghg_emission_factors_hub.pdf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4.xml"/><Relationship Id="rId4" Type="http://schemas.microsoft.com/office/2017/10/relationships/threadedComment" Target="../threadedComments/threadedComment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5.xml"/><Relationship Id="rId4" Type="http://schemas.microsoft.com/office/2017/10/relationships/threadedComment" Target="../threadedComments/threadedComment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6.xml"/><Relationship Id="rId4" Type="http://schemas.microsoft.com/office/2017/10/relationships/threadedComment" Target="../threadedComments/threadedComment10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8.xml"/><Relationship Id="rId4" Type="http://schemas.microsoft.com/office/2017/10/relationships/threadedComment" Target="../threadedComments/threadedComment1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ntosbrasil.com.br/v2021/conteineres" TargetMode="External"/><Relationship Id="rId13" Type="http://schemas.openxmlformats.org/officeDocument/2006/relationships/hyperlink" Target="https://www.btp.com.br/" TargetMode="External"/><Relationship Id="rId18" Type="http://schemas.openxmlformats.org/officeDocument/2006/relationships/hyperlink" Target="https://www.apmterminals.com/pt/itajai" TargetMode="External"/><Relationship Id="rId3" Type="http://schemas.openxmlformats.org/officeDocument/2006/relationships/hyperlink" Target="https://www.csn.com.br/quem-somos/grupo-csn/sepetiba-tecon/" TargetMode="External"/><Relationship Id="rId7" Type="http://schemas.openxmlformats.org/officeDocument/2006/relationships/hyperlink" Target="https://www.santosbrasil.com.br/v2021/conteineres" TargetMode="External"/><Relationship Id="rId12" Type="http://schemas.openxmlformats.org/officeDocument/2006/relationships/hyperlink" Target="https://www.loginlogistica.com.br/terminal-portuario" TargetMode="External"/><Relationship Id="rId17" Type="http://schemas.openxmlformats.org/officeDocument/2006/relationships/hyperlink" Target="https://www.portonave.com.br/pt/" TargetMode="External"/><Relationship Id="rId2" Type="http://schemas.openxmlformats.org/officeDocument/2006/relationships/hyperlink" Target="https://www.ictsirio.com/" TargetMode="External"/><Relationship Id="rId16" Type="http://schemas.openxmlformats.org/officeDocument/2006/relationships/hyperlink" Target="https://www.portoitapoa.com/" TargetMode="External"/><Relationship Id="rId20" Type="http://schemas.openxmlformats.org/officeDocument/2006/relationships/hyperlink" Target="https://www.portodoitaqui.com/" TargetMode="External"/><Relationship Id="rId1" Type="http://schemas.openxmlformats.org/officeDocument/2006/relationships/hyperlink" Target="https://www.multiterminais.com.br/multirio" TargetMode="External"/><Relationship Id="rId6" Type="http://schemas.openxmlformats.org/officeDocument/2006/relationships/hyperlink" Target="https://www.santosbrasil.com.br/v2021/conteineres" TargetMode="External"/><Relationship Id="rId11" Type="http://schemas.openxmlformats.org/officeDocument/2006/relationships/hyperlink" Target="https://www.wilsonsons.com.br/pt-br/teconsalvador/" TargetMode="External"/><Relationship Id="rId5" Type="http://schemas.openxmlformats.org/officeDocument/2006/relationships/hyperlink" Target="https://superterminais.com.br/" TargetMode="External"/><Relationship Id="rId15" Type="http://schemas.openxmlformats.org/officeDocument/2006/relationships/hyperlink" Target="https://www.tcp.com.br/" TargetMode="External"/><Relationship Id="rId10" Type="http://schemas.openxmlformats.org/officeDocument/2006/relationships/hyperlink" Target="https://www.teconsuape.com/" TargetMode="External"/><Relationship Id="rId19" Type="http://schemas.openxmlformats.org/officeDocument/2006/relationships/hyperlink" Target="https://www.wilsonsons.com.br/pt-br/teconriogrande/" TargetMode="External"/><Relationship Id="rId4" Type="http://schemas.openxmlformats.org/officeDocument/2006/relationships/hyperlink" Target="http://www.grupochibatao.com.br/institucional/porto-chibatao/" TargetMode="External"/><Relationship Id="rId9" Type="http://schemas.openxmlformats.org/officeDocument/2006/relationships/hyperlink" Target="https://www.apmterminals.com/pt/pecem" TargetMode="External"/><Relationship Id="rId14" Type="http://schemas.openxmlformats.org/officeDocument/2006/relationships/hyperlink" Target="https://www.dpworld.com/pt-br/san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7337-B3D3-4161-A1CC-987AD84D615F}">
  <dimension ref="B3:N17"/>
  <sheetViews>
    <sheetView showGridLines="0" topLeftCell="A22" zoomScale="85" zoomScaleNormal="85" workbookViewId="0">
      <selection activeCell="P46" sqref="P46"/>
    </sheetView>
  </sheetViews>
  <sheetFormatPr defaultRowHeight="14.4"/>
  <cols>
    <col min="2" max="2" width="19.05078125" customWidth="1"/>
  </cols>
  <sheetData>
    <row r="3" spans="2:14">
      <c r="B3" s="29" t="s">
        <v>519</v>
      </c>
      <c r="C3" s="29">
        <v>2011</v>
      </c>
      <c r="D3" s="29">
        <v>2012</v>
      </c>
      <c r="E3" s="29">
        <v>2013</v>
      </c>
      <c r="F3" s="29">
        <v>2014</v>
      </c>
      <c r="G3" s="29">
        <v>2015</v>
      </c>
      <c r="H3" s="29">
        <v>2016</v>
      </c>
      <c r="I3" s="29">
        <v>2017</v>
      </c>
      <c r="J3" s="29">
        <v>2018</v>
      </c>
      <c r="K3" s="29">
        <v>2019</v>
      </c>
      <c r="L3" s="29">
        <v>2020</v>
      </c>
      <c r="M3" s="29">
        <v>2021</v>
      </c>
      <c r="N3" s="29">
        <v>2022</v>
      </c>
    </row>
    <row r="4" spans="2:14">
      <c r="B4" s="30" t="s">
        <v>388</v>
      </c>
      <c r="C4" s="236">
        <v>285.39999999999998</v>
      </c>
      <c r="D4" s="236">
        <v>282.7</v>
      </c>
      <c r="E4" s="236">
        <v>402.3</v>
      </c>
      <c r="F4" s="236">
        <v>442.6</v>
      </c>
      <c r="G4" s="236">
        <v>448</v>
      </c>
      <c r="H4" s="236">
        <v>448.2</v>
      </c>
      <c r="I4" s="236">
        <v>507.1</v>
      </c>
      <c r="J4" s="236">
        <v>591.9</v>
      </c>
      <c r="K4" s="236">
        <v>667.8</v>
      </c>
      <c r="L4" s="236">
        <v>659.6</v>
      </c>
      <c r="M4" s="236">
        <v>695</v>
      </c>
      <c r="N4" s="236">
        <v>698.7</v>
      </c>
    </row>
    <row r="5" spans="2:14">
      <c r="B5" s="30" t="s">
        <v>518</v>
      </c>
      <c r="C5" s="236">
        <v>138.4</v>
      </c>
      <c r="D5" s="236">
        <v>262.89999999999998</v>
      </c>
      <c r="E5" s="236">
        <v>293.60000000000002</v>
      </c>
      <c r="F5" s="236">
        <v>327.7</v>
      </c>
      <c r="G5" s="236">
        <v>416.9</v>
      </c>
      <c r="H5" s="236">
        <v>417.2</v>
      </c>
      <c r="I5" s="236">
        <v>454.3</v>
      </c>
      <c r="J5" s="236">
        <v>482.8</v>
      </c>
      <c r="K5" s="236">
        <v>452</v>
      </c>
      <c r="L5" s="236">
        <v>413.3</v>
      </c>
      <c r="M5" s="236">
        <v>527.20000000000005</v>
      </c>
      <c r="N5" s="236">
        <v>552.6</v>
      </c>
    </row>
    <row r="6" spans="2:14">
      <c r="B6" s="30" t="s">
        <v>10</v>
      </c>
      <c r="C6" s="236">
        <f>SUM(C4:C5)</f>
        <v>423.79999999999995</v>
      </c>
      <c r="D6" s="236">
        <f t="shared" ref="D6:N6" si="0">SUM(D4:D5)</f>
        <v>545.59999999999991</v>
      </c>
      <c r="E6" s="236">
        <f t="shared" si="0"/>
        <v>695.90000000000009</v>
      </c>
      <c r="F6" s="236">
        <f t="shared" si="0"/>
        <v>770.3</v>
      </c>
      <c r="G6" s="236">
        <f t="shared" si="0"/>
        <v>864.9</v>
      </c>
      <c r="H6" s="236">
        <f t="shared" si="0"/>
        <v>865.4</v>
      </c>
      <c r="I6" s="236">
        <f t="shared" si="0"/>
        <v>961.40000000000009</v>
      </c>
      <c r="J6" s="236">
        <f t="shared" si="0"/>
        <v>1074.7</v>
      </c>
      <c r="K6" s="236">
        <f t="shared" si="0"/>
        <v>1119.8</v>
      </c>
      <c r="L6" s="236">
        <f t="shared" si="0"/>
        <v>1072.9000000000001</v>
      </c>
      <c r="M6" s="236">
        <f t="shared" si="0"/>
        <v>1222.2</v>
      </c>
      <c r="N6" s="236">
        <f t="shared" si="0"/>
        <v>1251.3000000000002</v>
      </c>
    </row>
    <row r="7" spans="2:14">
      <c r="B7" s="14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</row>
    <row r="8" spans="2:14">
      <c r="B8" s="29" t="s">
        <v>524</v>
      </c>
      <c r="C8" s="29">
        <v>2012</v>
      </c>
      <c r="D8" s="29">
        <v>2013</v>
      </c>
      <c r="E8" s="29">
        <v>2014</v>
      </c>
      <c r="F8" s="29">
        <v>2015</v>
      </c>
      <c r="G8" s="29">
        <v>2016</v>
      </c>
      <c r="H8" s="29">
        <v>2017</v>
      </c>
      <c r="I8" s="29">
        <v>2018</v>
      </c>
      <c r="J8" s="29">
        <v>2019</v>
      </c>
      <c r="K8" s="29">
        <v>2020</v>
      </c>
      <c r="L8" s="29">
        <v>2021</v>
      </c>
      <c r="M8" s="29">
        <v>2022</v>
      </c>
    </row>
    <row r="9" spans="2:14">
      <c r="B9" s="30" t="s">
        <v>520</v>
      </c>
      <c r="C9" s="237">
        <f>D4/C4-1</f>
        <v>-9.4604064470917848E-3</v>
      </c>
      <c r="D9" s="237">
        <f t="shared" ref="D9:M9" si="1">E4/D4-1</f>
        <v>0.42306331800495234</v>
      </c>
      <c r="E9" s="237">
        <f t="shared" si="1"/>
        <v>0.10017399950285855</v>
      </c>
      <c r="F9" s="237">
        <f t="shared" si="1"/>
        <v>1.2200632625395391E-2</v>
      </c>
      <c r="G9" s="237">
        <f t="shared" si="1"/>
        <v>4.4642857142851433E-4</v>
      </c>
      <c r="H9" s="237">
        <f t="shared" si="1"/>
        <v>0.13141454707719769</v>
      </c>
      <c r="I9" s="237">
        <f t="shared" si="1"/>
        <v>0.16722539932952074</v>
      </c>
      <c r="J9" s="237">
        <f t="shared" si="1"/>
        <v>0.12823112012164217</v>
      </c>
      <c r="K9" s="237">
        <f t="shared" si="1"/>
        <v>-1.2279125486672537E-2</v>
      </c>
      <c r="L9" s="237">
        <f t="shared" si="1"/>
        <v>5.3668890236507005E-2</v>
      </c>
      <c r="M9" s="237">
        <f t="shared" si="1"/>
        <v>5.3237410071942382E-3</v>
      </c>
    </row>
    <row r="10" spans="2:14">
      <c r="B10" s="30" t="s">
        <v>521</v>
      </c>
      <c r="C10" s="237">
        <f t="shared" ref="C10:M10" si="2">D5/C5-1</f>
        <v>0.89956647398843903</v>
      </c>
      <c r="D10" s="237">
        <f t="shared" si="2"/>
        <v>0.11677443895017126</v>
      </c>
      <c r="E10" s="237">
        <f t="shared" si="2"/>
        <v>0.11614441416893717</v>
      </c>
      <c r="F10" s="237">
        <f t="shared" si="2"/>
        <v>0.2722001830942935</v>
      </c>
      <c r="G10" s="237">
        <f t="shared" si="2"/>
        <v>7.1959702566570805E-4</v>
      </c>
      <c r="H10" s="237">
        <f t="shared" si="2"/>
        <v>8.8926174496644306E-2</v>
      </c>
      <c r="I10" s="237">
        <f t="shared" si="2"/>
        <v>6.2733876293198376E-2</v>
      </c>
      <c r="J10" s="237">
        <f t="shared" si="2"/>
        <v>-6.3794531897265916E-2</v>
      </c>
      <c r="K10" s="237">
        <f t="shared" si="2"/>
        <v>-8.56194690265486E-2</v>
      </c>
      <c r="L10" s="237">
        <f t="shared" si="2"/>
        <v>0.27558674086619894</v>
      </c>
      <c r="M10" s="237">
        <f t="shared" si="2"/>
        <v>4.8179059180576633E-2</v>
      </c>
    </row>
    <row r="11" spans="2:14">
      <c r="B11" s="30" t="s">
        <v>55</v>
      </c>
      <c r="C11" s="237">
        <f t="shared" ref="C11:M11" si="3">D6/C6-1</f>
        <v>0.28739971684756949</v>
      </c>
      <c r="D11" s="237">
        <f t="shared" si="3"/>
        <v>0.27547653958944318</v>
      </c>
      <c r="E11" s="237">
        <f t="shared" si="3"/>
        <v>0.10691191263112487</v>
      </c>
      <c r="F11" s="237">
        <f t="shared" si="3"/>
        <v>0.12280929507983895</v>
      </c>
      <c r="G11" s="237">
        <f t="shared" si="3"/>
        <v>5.7810151462600601E-4</v>
      </c>
      <c r="H11" s="237">
        <f t="shared" si="3"/>
        <v>0.11093136122024516</v>
      </c>
      <c r="I11" s="237">
        <f t="shared" si="3"/>
        <v>0.11784897025171626</v>
      </c>
      <c r="J11" s="237">
        <f t="shared" si="3"/>
        <v>4.1965199590583424E-2</v>
      </c>
      <c r="K11" s="237">
        <f t="shared" si="3"/>
        <v>-4.1882479014109575E-2</v>
      </c>
      <c r="L11" s="237">
        <f t="shared" si="3"/>
        <v>0.13915555969801474</v>
      </c>
      <c r="M11" s="237">
        <f t="shared" si="3"/>
        <v>2.3809523809523947E-2</v>
      </c>
    </row>
    <row r="12" spans="2:14">
      <c r="B12" s="30" t="s">
        <v>522</v>
      </c>
      <c r="C12" s="237">
        <v>1.9E-2</v>
      </c>
      <c r="D12" s="237">
        <v>0.03</v>
      </c>
      <c r="E12" s="237">
        <v>5.0000000000000001E-3</v>
      </c>
      <c r="F12" s="237">
        <v>-3.5000000000000003E-2</v>
      </c>
      <c r="G12" s="237">
        <v>-3.3000000000000002E-2</v>
      </c>
      <c r="H12" s="237">
        <v>1.2999999999999999E-2</v>
      </c>
      <c r="I12" s="237">
        <v>1.7999999999999999E-2</v>
      </c>
      <c r="J12" s="237">
        <v>1.2E-2</v>
      </c>
      <c r="K12" s="237">
        <v>-3.9E-2</v>
      </c>
      <c r="L12" s="237">
        <v>4.5999999999999999E-2</v>
      </c>
      <c r="M12" s="237">
        <v>3.1E-2</v>
      </c>
    </row>
    <row r="14" spans="2:14">
      <c r="B14" s="29" t="s">
        <v>523</v>
      </c>
      <c r="C14" s="29">
        <v>2011</v>
      </c>
      <c r="D14" s="29">
        <v>2012</v>
      </c>
      <c r="E14" s="29">
        <v>2013</v>
      </c>
      <c r="F14" s="29">
        <v>2014</v>
      </c>
      <c r="G14" s="29">
        <v>2015</v>
      </c>
      <c r="H14" s="29">
        <v>2016</v>
      </c>
      <c r="I14" s="29">
        <v>2017</v>
      </c>
      <c r="J14" s="29">
        <v>2018</v>
      </c>
      <c r="K14" s="29">
        <v>2019</v>
      </c>
      <c r="L14" s="29">
        <v>2020</v>
      </c>
      <c r="M14" s="29">
        <v>2021</v>
      </c>
      <c r="N14" s="29">
        <v>2022</v>
      </c>
    </row>
    <row r="15" spans="2:14">
      <c r="B15" s="30" t="s">
        <v>520</v>
      </c>
      <c r="C15" s="237">
        <f t="shared" ref="C15:N15" si="4">C4/$C$4-1</f>
        <v>0</v>
      </c>
      <c r="D15" s="237">
        <f t="shared" si="4"/>
        <v>-9.4604064470917848E-3</v>
      </c>
      <c r="E15" s="237">
        <f t="shared" si="4"/>
        <v>0.4096005606166786</v>
      </c>
      <c r="F15" s="237">
        <f t="shared" si="4"/>
        <v>0.55080588647512285</v>
      </c>
      <c r="G15" s="237">
        <f t="shared" si="4"/>
        <v>0.56972669936930642</v>
      </c>
      <c r="H15" s="237">
        <f t="shared" si="4"/>
        <v>0.57042747021723894</v>
      </c>
      <c r="I15" s="237">
        <f t="shared" si="4"/>
        <v>0.77680448493342702</v>
      </c>
      <c r="J15" s="237">
        <f t="shared" si="4"/>
        <v>1.0739313244569026</v>
      </c>
      <c r="K15" s="237">
        <f t="shared" si="4"/>
        <v>1.339873861247372</v>
      </c>
      <c r="L15" s="237">
        <f t="shared" si="4"/>
        <v>1.3111422564821305</v>
      </c>
      <c r="M15" s="237">
        <f t="shared" si="4"/>
        <v>1.435178696566223</v>
      </c>
      <c r="N15" s="237">
        <f t="shared" si="4"/>
        <v>1.4481429572529785</v>
      </c>
    </row>
    <row r="16" spans="2:14">
      <c r="B16" s="30" t="s">
        <v>521</v>
      </c>
      <c r="C16" s="237">
        <f t="shared" ref="C16:N16" si="5">C5/$C$5-1</f>
        <v>0</v>
      </c>
      <c r="D16" s="237">
        <f t="shared" si="5"/>
        <v>0.89956647398843903</v>
      </c>
      <c r="E16" s="237">
        <f t="shared" si="5"/>
        <v>1.1213872832369942</v>
      </c>
      <c r="F16" s="237">
        <f t="shared" si="5"/>
        <v>1.3677745664739884</v>
      </c>
      <c r="G16" s="237">
        <f t="shared" si="5"/>
        <v>2.0122832369942194</v>
      </c>
      <c r="H16" s="237">
        <f t="shared" si="5"/>
        <v>2.0144508670520227</v>
      </c>
      <c r="I16" s="237">
        <f t="shared" si="5"/>
        <v>2.2825144508670521</v>
      </c>
      <c r="J16" s="237">
        <f t="shared" si="5"/>
        <v>2.4884393063583814</v>
      </c>
      <c r="K16" s="237">
        <f t="shared" si="5"/>
        <v>2.2658959537572252</v>
      </c>
      <c r="L16" s="237">
        <f t="shared" si="5"/>
        <v>1.9862716763005781</v>
      </c>
      <c r="M16" s="237">
        <f t="shared" si="5"/>
        <v>2.8092485549132951</v>
      </c>
      <c r="N16" s="237">
        <f t="shared" si="5"/>
        <v>2.9927745664739884</v>
      </c>
    </row>
    <row r="17" spans="2:14">
      <c r="B17" s="30" t="s">
        <v>55</v>
      </c>
      <c r="C17" s="237">
        <f t="shared" ref="C17:N17" si="6">C6/$C$6-1</f>
        <v>0</v>
      </c>
      <c r="D17" s="237">
        <f t="shared" si="6"/>
        <v>0.28739971684756949</v>
      </c>
      <c r="E17" s="237">
        <f t="shared" si="6"/>
        <v>0.6420481359131669</v>
      </c>
      <c r="F17" s="237">
        <f t="shared" si="6"/>
        <v>0.81760264275601702</v>
      </c>
      <c r="G17" s="237">
        <f t="shared" si="6"/>
        <v>1.0408211420481361</v>
      </c>
      <c r="H17" s="237">
        <f t="shared" si="6"/>
        <v>1.0420009438414346</v>
      </c>
      <c r="I17" s="237">
        <f t="shared" si="6"/>
        <v>1.2685228881547905</v>
      </c>
      <c r="J17" s="237">
        <f t="shared" si="6"/>
        <v>1.5358659745162817</v>
      </c>
      <c r="K17" s="237">
        <f t="shared" si="6"/>
        <v>1.6422840962718266</v>
      </c>
      <c r="L17" s="237">
        <f t="shared" si="6"/>
        <v>1.5316186880604064</v>
      </c>
      <c r="M17" s="237">
        <f t="shared" si="6"/>
        <v>1.8839075035394059</v>
      </c>
      <c r="N17" s="237">
        <f t="shared" si="6"/>
        <v>1.952571967909392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BA27-8A0C-45BE-8C4A-1C5CAEF78F8D}">
  <dimension ref="A1:AE70"/>
  <sheetViews>
    <sheetView showGridLines="0" topLeftCell="A24" zoomScale="85" zoomScaleNormal="85" workbookViewId="0">
      <selection activeCell="U28" sqref="U28"/>
    </sheetView>
  </sheetViews>
  <sheetFormatPr defaultRowHeight="15.6"/>
  <cols>
    <col min="1" max="1" width="18.3671875" style="1" bestFit="1" customWidth="1"/>
    <col min="2" max="2" width="10.20703125" style="1" customWidth="1"/>
    <col min="3" max="3" width="9.68359375" style="1" customWidth="1"/>
    <col min="4" max="4" width="8.3671875" style="1" customWidth="1"/>
    <col min="5" max="5" width="11.1015625" style="1" bestFit="1" customWidth="1"/>
    <col min="6" max="6" width="9.83984375" style="1" customWidth="1"/>
    <col min="7" max="7" width="7.578125" style="1" customWidth="1"/>
    <col min="8" max="8" width="11.41796875" style="1" customWidth="1"/>
    <col min="9" max="9" width="11.1015625" style="1" bestFit="1" customWidth="1"/>
    <col min="10" max="10" width="17.41796875" style="2" customWidth="1"/>
    <col min="11" max="16" width="8.578125" style="3" customWidth="1"/>
    <col min="17" max="17" width="14.9453125" style="3" customWidth="1"/>
    <col min="18" max="18" width="22.3125" style="1" bestFit="1" customWidth="1"/>
    <col min="19" max="19" width="13.47265625" style="3" customWidth="1"/>
    <col min="20" max="20" width="11.20703125" style="1" customWidth="1"/>
    <col min="21" max="21" width="11.89453125" style="1" customWidth="1"/>
    <col min="22" max="22" width="11.3671875" style="1" customWidth="1"/>
    <col min="23" max="23" width="12" style="1" customWidth="1"/>
    <col min="24" max="24" width="10.68359375" style="1" customWidth="1"/>
    <col min="25" max="26" width="8.578125" style="1" customWidth="1"/>
    <col min="27" max="27" width="9.1015625" style="1" bestFit="1" customWidth="1"/>
    <col min="28" max="28" width="12.7890625" style="1" customWidth="1"/>
    <col min="29" max="29" width="8.83984375" style="1"/>
    <col min="30" max="30" width="11.26171875" style="1" customWidth="1"/>
    <col min="31" max="31" width="11.9453125" style="1" customWidth="1"/>
    <col min="32" max="33" width="8.83984375" style="1"/>
    <col min="34" max="34" width="10.9453125" style="1" customWidth="1"/>
    <col min="35" max="16384" width="8.83984375" style="1"/>
  </cols>
  <sheetData>
    <row r="1" spans="1:31">
      <c r="A1" s="1" t="s">
        <v>0</v>
      </c>
      <c r="B1" s="1" t="s">
        <v>1</v>
      </c>
    </row>
    <row r="2" spans="1:31" ht="31.2">
      <c r="A2" s="1" t="s">
        <v>2</v>
      </c>
      <c r="B2" s="1" t="s">
        <v>3</v>
      </c>
      <c r="J2" s="5" t="s">
        <v>3</v>
      </c>
      <c r="K2" s="5" t="s">
        <v>4</v>
      </c>
      <c r="L2" s="5" t="s">
        <v>5</v>
      </c>
      <c r="M2" s="5" t="s">
        <v>6</v>
      </c>
      <c r="N2" s="5" t="s">
        <v>7</v>
      </c>
      <c r="O2" s="5" t="s">
        <v>8</v>
      </c>
      <c r="P2" s="5" t="s">
        <v>9</v>
      </c>
      <c r="Q2" s="5" t="s">
        <v>47</v>
      </c>
      <c r="S2" s="20" t="s">
        <v>18</v>
      </c>
      <c r="T2" s="21" t="s">
        <v>27</v>
      </c>
      <c r="U2" s="21" t="s">
        <v>28</v>
      </c>
      <c r="V2" s="21" t="s">
        <v>29</v>
      </c>
      <c r="W2" s="21" t="s">
        <v>30</v>
      </c>
      <c r="X2" s="21" t="s">
        <v>31</v>
      </c>
    </row>
    <row r="3" spans="1:31">
      <c r="A3" s="1" t="s">
        <v>11</v>
      </c>
      <c r="B3" s="1" t="s">
        <v>12</v>
      </c>
      <c r="J3" s="6" t="s">
        <v>4</v>
      </c>
      <c r="K3" s="7">
        <f t="shared" ref="K3:P3" si="0">B7</f>
        <v>0</v>
      </c>
      <c r="L3" s="8">
        <f t="shared" si="0"/>
        <v>63</v>
      </c>
      <c r="M3" s="8">
        <f t="shared" si="0"/>
        <v>2</v>
      </c>
      <c r="N3" s="8">
        <f t="shared" si="0"/>
        <v>0</v>
      </c>
      <c r="O3" s="8">
        <f t="shared" si="0"/>
        <v>25</v>
      </c>
      <c r="P3" s="8">
        <f t="shared" si="0"/>
        <v>95</v>
      </c>
      <c r="Q3" s="9">
        <f t="shared" ref="Q3:Q8" si="1">SUM(K3:P3)</f>
        <v>185</v>
      </c>
      <c r="S3" s="22" t="s">
        <v>9</v>
      </c>
      <c r="T3" s="12">
        <f>Q35</f>
        <v>824</v>
      </c>
      <c r="U3" s="12">
        <f>P36</f>
        <v>842</v>
      </c>
      <c r="V3" s="18">
        <f>ABS(T21)</f>
        <v>59</v>
      </c>
      <c r="W3" s="12">
        <f>ABS(U21)+ABS(V21)</f>
        <v>41</v>
      </c>
      <c r="X3" s="12">
        <f>SUM(T3:W3)</f>
        <v>1766</v>
      </c>
      <c r="AB3" s="1">
        <f t="shared" ref="AB3:AB9" si="2">Q30*4</f>
        <v>4820</v>
      </c>
    </row>
    <row r="4" spans="1:31">
      <c r="J4" s="6" t="s">
        <v>5</v>
      </c>
      <c r="K4" s="8">
        <f t="shared" ref="K4:P8" si="3">B8</f>
        <v>28</v>
      </c>
      <c r="L4" s="7">
        <f t="shared" si="3"/>
        <v>0</v>
      </c>
      <c r="M4" s="8">
        <f t="shared" si="3"/>
        <v>0</v>
      </c>
      <c r="N4" s="8">
        <f t="shared" si="3"/>
        <v>0</v>
      </c>
      <c r="O4" s="8">
        <f t="shared" si="3"/>
        <v>20</v>
      </c>
      <c r="P4" s="8">
        <f t="shared" si="3"/>
        <v>96</v>
      </c>
      <c r="Q4" s="9">
        <f t="shared" si="1"/>
        <v>144</v>
      </c>
      <c r="S4" s="22" t="s">
        <v>8</v>
      </c>
      <c r="T4" s="12">
        <f>Q34</f>
        <v>347</v>
      </c>
      <c r="U4" s="12">
        <f>O36</f>
        <v>276</v>
      </c>
      <c r="V4" s="12">
        <f>V20</f>
        <v>0</v>
      </c>
      <c r="W4" s="12">
        <f>ABS(T20)+ABS(U20)</f>
        <v>71</v>
      </c>
      <c r="X4" s="12">
        <f t="shared" ref="X4:X12" si="4">SUM(T4:W4)</f>
        <v>694</v>
      </c>
      <c r="AB4" s="1">
        <f t="shared" si="2"/>
        <v>1664</v>
      </c>
    </row>
    <row r="5" spans="1:31">
      <c r="A5" s="1" t="s">
        <v>13</v>
      </c>
      <c r="B5" s="1" t="s">
        <v>14</v>
      </c>
      <c r="I5" s="14"/>
      <c r="J5" s="6" t="s">
        <v>6</v>
      </c>
      <c r="K5" s="8">
        <f t="shared" si="3"/>
        <v>108</v>
      </c>
      <c r="L5" s="8">
        <f t="shared" si="3"/>
        <v>0</v>
      </c>
      <c r="M5" s="7">
        <f t="shared" si="3"/>
        <v>0</v>
      </c>
      <c r="N5" s="8">
        <f t="shared" si="3"/>
        <v>0</v>
      </c>
      <c r="O5" s="8">
        <f t="shared" si="3"/>
        <v>26</v>
      </c>
      <c r="P5" s="8">
        <f t="shared" si="3"/>
        <v>50</v>
      </c>
      <c r="Q5" s="9">
        <f t="shared" si="1"/>
        <v>184</v>
      </c>
      <c r="S5" s="22" t="s">
        <v>7</v>
      </c>
      <c r="T5" s="12">
        <f>Q33</f>
        <v>96</v>
      </c>
      <c r="U5" s="12">
        <f>N36</f>
        <v>149</v>
      </c>
      <c r="V5" s="12">
        <f>W19</f>
        <v>53</v>
      </c>
      <c r="W5" s="18">
        <f>0</f>
        <v>0</v>
      </c>
      <c r="X5" s="12">
        <f t="shared" si="4"/>
        <v>298</v>
      </c>
      <c r="AB5" s="1">
        <f t="shared" si="2"/>
        <v>1676</v>
      </c>
    </row>
    <row r="6" spans="1:31">
      <c r="A6" s="1" t="s">
        <v>15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16</v>
      </c>
      <c r="I6" s="14"/>
      <c r="J6" s="6" t="s">
        <v>7</v>
      </c>
      <c r="K6" s="8">
        <f t="shared" si="3"/>
        <v>2</v>
      </c>
      <c r="L6" s="8">
        <f t="shared" si="3"/>
        <v>0</v>
      </c>
      <c r="M6" s="8">
        <f t="shared" si="3"/>
        <v>0</v>
      </c>
      <c r="N6" s="7">
        <f t="shared" si="3"/>
        <v>0</v>
      </c>
      <c r="O6" s="8">
        <f t="shared" si="3"/>
        <v>0</v>
      </c>
      <c r="P6" s="8">
        <f t="shared" si="3"/>
        <v>0</v>
      </c>
      <c r="Q6" s="9">
        <f t="shared" si="1"/>
        <v>2</v>
      </c>
      <c r="S6" s="22" t="s">
        <v>22</v>
      </c>
      <c r="T6" s="12">
        <f>K32</f>
        <v>331</v>
      </c>
      <c r="U6" s="12">
        <f>M35+M34+M33</f>
        <v>392</v>
      </c>
      <c r="V6" s="12">
        <f>ABS(U16)-U17</f>
        <v>169</v>
      </c>
      <c r="W6" s="12">
        <f>T21+T20+T19</f>
        <v>54</v>
      </c>
      <c r="X6" s="12">
        <f t="shared" si="4"/>
        <v>946</v>
      </c>
      <c r="AB6" s="1">
        <f t="shared" si="2"/>
        <v>384</v>
      </c>
    </row>
    <row r="7" spans="1:31">
      <c r="A7" s="15" t="s">
        <v>4</v>
      </c>
      <c r="B7" s="2"/>
      <c r="C7" s="2">
        <v>63</v>
      </c>
      <c r="D7" s="2">
        <v>2</v>
      </c>
      <c r="E7" s="2"/>
      <c r="F7" s="2">
        <v>25</v>
      </c>
      <c r="G7" s="2">
        <v>95</v>
      </c>
      <c r="H7" s="2">
        <v>185</v>
      </c>
      <c r="I7" s="14"/>
      <c r="J7" s="6" t="s">
        <v>8</v>
      </c>
      <c r="K7" s="8">
        <f t="shared" si="3"/>
        <v>19</v>
      </c>
      <c r="L7" s="8">
        <f t="shared" si="3"/>
        <v>28</v>
      </c>
      <c r="M7" s="8">
        <f t="shared" si="3"/>
        <v>41</v>
      </c>
      <c r="N7" s="8">
        <f t="shared" si="3"/>
        <v>0</v>
      </c>
      <c r="O7" s="7">
        <f t="shared" si="3"/>
        <v>0</v>
      </c>
      <c r="P7" s="8">
        <f t="shared" si="3"/>
        <v>0</v>
      </c>
      <c r="Q7" s="9">
        <f t="shared" si="1"/>
        <v>88</v>
      </c>
      <c r="S7" s="22" t="s">
        <v>23</v>
      </c>
      <c r="T7" s="12">
        <f>K31</f>
        <v>260</v>
      </c>
      <c r="U7" s="12">
        <f>L33+L34+L35</f>
        <v>350</v>
      </c>
      <c r="V7" s="12">
        <f>U17</f>
        <v>136</v>
      </c>
      <c r="W7" s="18">
        <v>0</v>
      </c>
      <c r="X7" s="12">
        <f t="shared" si="4"/>
        <v>746</v>
      </c>
      <c r="AB7" s="1">
        <f t="shared" si="2"/>
        <v>1388</v>
      </c>
    </row>
    <row r="8" spans="1:31">
      <c r="A8" s="15" t="s">
        <v>5</v>
      </c>
      <c r="B8" s="2">
        <v>28</v>
      </c>
      <c r="C8" s="2"/>
      <c r="D8" s="2"/>
      <c r="E8" s="2"/>
      <c r="F8" s="2">
        <v>20</v>
      </c>
      <c r="G8" s="2">
        <v>96</v>
      </c>
      <c r="H8" s="2">
        <v>144</v>
      </c>
      <c r="I8" s="14"/>
      <c r="J8" s="6" t="s">
        <v>9</v>
      </c>
      <c r="K8" s="8">
        <f t="shared" si="3"/>
        <v>64</v>
      </c>
      <c r="L8" s="8">
        <f t="shared" si="3"/>
        <v>29</v>
      </c>
      <c r="M8" s="8">
        <f t="shared" si="3"/>
        <v>75</v>
      </c>
      <c r="N8" s="8">
        <f t="shared" si="3"/>
        <v>14</v>
      </c>
      <c r="O8" s="8">
        <f t="shared" si="3"/>
        <v>0</v>
      </c>
      <c r="P8" s="7">
        <f t="shared" si="3"/>
        <v>0</v>
      </c>
      <c r="Q8" s="9">
        <f t="shared" si="1"/>
        <v>182</v>
      </c>
      <c r="S8" s="23" t="s">
        <v>32</v>
      </c>
      <c r="T8" s="24"/>
      <c r="U8" s="24"/>
      <c r="V8" s="24"/>
      <c r="W8" s="24"/>
      <c r="X8" s="11">
        <f t="shared" si="4"/>
        <v>0</v>
      </c>
      <c r="AB8" s="1">
        <f t="shared" si="2"/>
        <v>3296</v>
      </c>
      <c r="AD8" s="1">
        <v>2988</v>
      </c>
      <c r="AE8" s="1">
        <f>AB8-AD8</f>
        <v>308</v>
      </c>
    </row>
    <row r="9" spans="1:31">
      <c r="A9" s="15" t="s">
        <v>6</v>
      </c>
      <c r="B9" s="2">
        <v>108</v>
      </c>
      <c r="C9" s="2"/>
      <c r="D9" s="2"/>
      <c r="E9" s="2"/>
      <c r="F9" s="2">
        <v>26</v>
      </c>
      <c r="G9" s="2">
        <v>50</v>
      </c>
      <c r="H9" s="2">
        <v>184</v>
      </c>
      <c r="I9" s="14"/>
      <c r="J9" s="16" t="s">
        <v>48</v>
      </c>
      <c r="K9" s="9">
        <f t="shared" ref="K9:Q9" si="5">SUM(K3:K8)</f>
        <v>221</v>
      </c>
      <c r="L9" s="9">
        <f t="shared" si="5"/>
        <v>120</v>
      </c>
      <c r="M9" s="9">
        <f t="shared" si="5"/>
        <v>118</v>
      </c>
      <c r="N9" s="9">
        <f t="shared" si="5"/>
        <v>14</v>
      </c>
      <c r="O9" s="9">
        <f t="shared" si="5"/>
        <v>71</v>
      </c>
      <c r="P9" s="9">
        <f t="shared" si="5"/>
        <v>241</v>
      </c>
      <c r="Q9" s="9">
        <f t="shared" si="5"/>
        <v>785</v>
      </c>
      <c r="S9" s="22" t="s">
        <v>4</v>
      </c>
      <c r="T9" s="12">
        <f>Q30</f>
        <v>1205</v>
      </c>
      <c r="U9" s="12">
        <f>K36</f>
        <v>967</v>
      </c>
      <c r="V9" s="12">
        <f>T16+V16</f>
        <v>67</v>
      </c>
      <c r="W9" s="18">
        <f>ABS(U16)</f>
        <v>305</v>
      </c>
      <c r="X9" s="12">
        <f t="shared" si="4"/>
        <v>2544</v>
      </c>
      <c r="AB9" s="1">
        <f t="shared" si="2"/>
        <v>13228</v>
      </c>
    </row>
    <row r="10" spans="1:31">
      <c r="A10" s="15" t="s">
        <v>7</v>
      </c>
      <c r="B10" s="2">
        <v>2</v>
      </c>
      <c r="C10" s="2"/>
      <c r="D10" s="2"/>
      <c r="E10" s="2"/>
      <c r="F10" s="2"/>
      <c r="G10" s="2"/>
      <c r="H10" s="2">
        <v>2</v>
      </c>
      <c r="I10" s="14"/>
      <c r="S10" s="23" t="s">
        <v>32</v>
      </c>
      <c r="T10" s="24"/>
      <c r="U10" s="24"/>
      <c r="V10" s="24"/>
      <c r="W10" s="24"/>
      <c r="X10" s="11">
        <f t="shared" si="4"/>
        <v>0</v>
      </c>
    </row>
    <row r="11" spans="1:31">
      <c r="A11" s="15" t="s">
        <v>8</v>
      </c>
      <c r="B11" s="2">
        <v>19</v>
      </c>
      <c r="C11" s="2">
        <v>28</v>
      </c>
      <c r="D11" s="2">
        <v>41</v>
      </c>
      <c r="E11" s="2"/>
      <c r="F11" s="2"/>
      <c r="G11" s="2"/>
      <c r="H11" s="2">
        <v>88</v>
      </c>
      <c r="I11" s="14"/>
      <c r="J11" s="4" t="s">
        <v>17</v>
      </c>
      <c r="K11" s="5" t="s">
        <v>4</v>
      </c>
      <c r="L11" s="5" t="s">
        <v>5</v>
      </c>
      <c r="M11" s="5" t="s">
        <v>6</v>
      </c>
      <c r="N11" s="5" t="s">
        <v>7</v>
      </c>
      <c r="O11" s="5" t="s">
        <v>8</v>
      </c>
      <c r="P11" s="5" t="s">
        <v>9</v>
      </c>
      <c r="Q11" s="5" t="s">
        <v>47</v>
      </c>
      <c r="S11" s="22" t="s">
        <v>24</v>
      </c>
      <c r="T11" s="12">
        <f>O31+P31</f>
        <v>156</v>
      </c>
      <c r="U11" s="12">
        <f>L30</f>
        <v>175</v>
      </c>
      <c r="V11" s="18">
        <v>0</v>
      </c>
      <c r="W11" s="12">
        <f>ABS(T17)+ABS(V17)</f>
        <v>27</v>
      </c>
      <c r="X11" s="12">
        <f t="shared" si="4"/>
        <v>358</v>
      </c>
      <c r="AB11" s="4" t="s">
        <v>18</v>
      </c>
      <c r="AC11" s="4" t="s">
        <v>19</v>
      </c>
      <c r="AD11" s="4" t="s">
        <v>20</v>
      </c>
      <c r="AE11" s="4" t="s">
        <v>21</v>
      </c>
    </row>
    <row r="12" spans="1:31">
      <c r="A12" s="15" t="s">
        <v>9</v>
      </c>
      <c r="B12" s="2">
        <v>64</v>
      </c>
      <c r="C12" s="2">
        <v>29</v>
      </c>
      <c r="D12" s="2">
        <v>75</v>
      </c>
      <c r="E12" s="2">
        <v>14</v>
      </c>
      <c r="F12" s="2"/>
      <c r="G12" s="2"/>
      <c r="H12" s="2">
        <v>182</v>
      </c>
      <c r="I12" s="14"/>
      <c r="J12" s="6" t="s">
        <v>4</v>
      </c>
      <c r="K12" s="7">
        <f t="shared" ref="K12:P12" si="6">B21</f>
        <v>0</v>
      </c>
      <c r="L12" s="8">
        <f t="shared" si="6"/>
        <v>112</v>
      </c>
      <c r="M12" s="8">
        <f t="shared" si="6"/>
        <v>154</v>
      </c>
      <c r="N12" s="8">
        <f t="shared" si="6"/>
        <v>0</v>
      </c>
      <c r="O12" s="8">
        <f t="shared" si="6"/>
        <v>201</v>
      </c>
      <c r="P12" s="8">
        <f t="shared" si="6"/>
        <v>553</v>
      </c>
      <c r="Q12" s="9">
        <f t="shared" ref="Q12:Q17" si="7">SUM(K12:P12)</f>
        <v>1020</v>
      </c>
      <c r="S12" s="22" t="s">
        <v>25</v>
      </c>
      <c r="T12" s="12">
        <f>O32+P32</f>
        <v>88</v>
      </c>
      <c r="U12" s="12">
        <f>M30+M31</f>
        <v>156</v>
      </c>
      <c r="V12" s="12">
        <f>U18-V6</f>
        <v>35</v>
      </c>
      <c r="W12" s="12">
        <f>ABS(T18)-W6+ABS(V18)</f>
        <v>21</v>
      </c>
      <c r="X12" s="12">
        <f t="shared" si="4"/>
        <v>300</v>
      </c>
      <c r="AB12" s="17" t="s">
        <v>9</v>
      </c>
      <c r="AC12" s="12">
        <f>Q44</f>
        <v>1466</v>
      </c>
      <c r="AD12" s="18">
        <v>2240</v>
      </c>
      <c r="AE12" s="19">
        <f t="shared" ref="AE12:AE19" si="8">AC12/AD12</f>
        <v>0.65446428571428572</v>
      </c>
    </row>
    <row r="13" spans="1:31">
      <c r="A13" s="15" t="s">
        <v>16</v>
      </c>
      <c r="B13" s="2">
        <v>221</v>
      </c>
      <c r="C13" s="2">
        <v>120</v>
      </c>
      <c r="D13" s="2">
        <v>118</v>
      </c>
      <c r="E13" s="2">
        <v>14</v>
      </c>
      <c r="F13" s="2">
        <v>71</v>
      </c>
      <c r="G13" s="2">
        <v>241</v>
      </c>
      <c r="H13" s="2">
        <v>785</v>
      </c>
      <c r="I13" s="14"/>
      <c r="J13" s="6" t="s">
        <v>5</v>
      </c>
      <c r="K13" s="8">
        <f t="shared" ref="K13:P17" si="9">B22</f>
        <v>231</v>
      </c>
      <c r="L13" s="7">
        <f t="shared" si="9"/>
        <v>0</v>
      </c>
      <c r="M13" s="8">
        <f t="shared" si="9"/>
        <v>0</v>
      </c>
      <c r="N13" s="8">
        <f t="shared" si="9"/>
        <v>0</v>
      </c>
      <c r="O13" s="8">
        <f t="shared" si="9"/>
        <v>0</v>
      </c>
      <c r="P13" s="8">
        <f t="shared" si="9"/>
        <v>38</v>
      </c>
      <c r="Q13" s="9">
        <f t="shared" si="7"/>
        <v>269</v>
      </c>
      <c r="AB13" s="17" t="s">
        <v>8</v>
      </c>
      <c r="AC13" s="12">
        <f>AC12-O44+Q43</f>
        <v>2072</v>
      </c>
      <c r="AD13" s="18">
        <v>2240</v>
      </c>
      <c r="AE13" s="19">
        <f t="shared" si="8"/>
        <v>0.92500000000000004</v>
      </c>
    </row>
    <row r="14" spans="1:31">
      <c r="A14" s="14"/>
      <c r="B14" s="14"/>
      <c r="C14" s="14"/>
      <c r="D14" s="14"/>
      <c r="E14" s="14"/>
      <c r="F14" s="14"/>
      <c r="G14" s="14"/>
      <c r="H14" s="14"/>
      <c r="I14" s="14"/>
      <c r="J14" s="6" t="s">
        <v>6</v>
      </c>
      <c r="K14" s="8">
        <f t="shared" si="9"/>
        <v>212</v>
      </c>
      <c r="L14" s="8">
        <f t="shared" si="9"/>
        <v>0</v>
      </c>
      <c r="M14" s="7">
        <f t="shared" si="9"/>
        <v>0</v>
      </c>
      <c r="N14" s="8">
        <f t="shared" si="9"/>
        <v>0</v>
      </c>
      <c r="O14" s="8">
        <f t="shared" si="9"/>
        <v>4</v>
      </c>
      <c r="P14" s="8">
        <f t="shared" si="9"/>
        <v>7</v>
      </c>
      <c r="Q14" s="9">
        <f t="shared" si="7"/>
        <v>223</v>
      </c>
      <c r="AB14" s="17" t="s">
        <v>7</v>
      </c>
      <c r="AC14" s="12">
        <f>AC13-N43-N44+Q42</f>
        <v>1978</v>
      </c>
      <c r="AD14" s="18">
        <v>2240</v>
      </c>
      <c r="AE14" s="19">
        <f t="shared" si="8"/>
        <v>0.88303571428571426</v>
      </c>
    </row>
    <row r="15" spans="1:31">
      <c r="A15" s="1" t="s">
        <v>0</v>
      </c>
      <c r="B15" s="1" t="s">
        <v>1</v>
      </c>
      <c r="I15" s="14"/>
      <c r="J15" s="6" t="s">
        <v>7</v>
      </c>
      <c r="K15" s="8">
        <f t="shared" si="9"/>
        <v>82</v>
      </c>
      <c r="L15" s="8">
        <f t="shared" si="9"/>
        <v>9</v>
      </c>
      <c r="M15" s="8">
        <f t="shared" si="9"/>
        <v>1</v>
      </c>
      <c r="N15" s="7">
        <f t="shared" si="9"/>
        <v>0</v>
      </c>
      <c r="O15" s="8">
        <f t="shared" si="9"/>
        <v>0</v>
      </c>
      <c r="P15" s="8">
        <f t="shared" si="9"/>
        <v>0</v>
      </c>
      <c r="Q15" s="9">
        <f t="shared" si="7"/>
        <v>92</v>
      </c>
      <c r="S15" s="4" t="s">
        <v>33</v>
      </c>
      <c r="T15" s="5" t="s">
        <v>3</v>
      </c>
      <c r="U15" s="5" t="s">
        <v>17</v>
      </c>
      <c r="V15" s="5" t="s">
        <v>26</v>
      </c>
      <c r="W15" s="25" t="s">
        <v>10</v>
      </c>
      <c r="AB15" s="17" t="s">
        <v>22</v>
      </c>
      <c r="AC15" s="12">
        <f>AC14-M42-M43-M44+K41+L41</f>
        <v>1864</v>
      </c>
      <c r="AD15" s="18">
        <v>2240</v>
      </c>
      <c r="AE15" s="19">
        <f t="shared" si="8"/>
        <v>0.83214285714285718</v>
      </c>
    </row>
    <row r="16" spans="1:31">
      <c r="A16" s="1" t="s">
        <v>11</v>
      </c>
      <c r="B16" s="1" t="s">
        <v>12</v>
      </c>
      <c r="I16" s="14"/>
      <c r="J16" s="6" t="s">
        <v>8</v>
      </c>
      <c r="K16" s="8">
        <f t="shared" si="9"/>
        <v>42</v>
      </c>
      <c r="L16" s="8">
        <f t="shared" si="9"/>
        <v>92</v>
      </c>
      <c r="M16" s="8">
        <f t="shared" si="9"/>
        <v>78</v>
      </c>
      <c r="N16" s="8">
        <f t="shared" si="9"/>
        <v>47</v>
      </c>
      <c r="O16" s="7">
        <f t="shared" si="9"/>
        <v>0</v>
      </c>
      <c r="P16" s="8">
        <f t="shared" si="9"/>
        <v>0</v>
      </c>
      <c r="Q16" s="9">
        <f t="shared" si="7"/>
        <v>259</v>
      </c>
      <c r="S16" s="6" t="s">
        <v>4</v>
      </c>
      <c r="T16" s="8">
        <f>K9-Q3</f>
        <v>36</v>
      </c>
      <c r="U16" s="8">
        <f>K18-Q12</f>
        <v>-305</v>
      </c>
      <c r="V16" s="8">
        <f>K27-Q21</f>
        <v>31</v>
      </c>
      <c r="W16" s="8">
        <f t="shared" ref="W16:W21" si="10">ABS(T16)+ABS(U16)+ABS(V16)</f>
        <v>372</v>
      </c>
      <c r="AB16" s="17" t="s">
        <v>23</v>
      </c>
      <c r="AC16" s="12">
        <f>AC15-L42-L43-L44+K40</f>
        <v>1713</v>
      </c>
      <c r="AD16" s="18">
        <v>2240</v>
      </c>
      <c r="AE16" s="19">
        <f t="shared" si="8"/>
        <v>0.76473214285714286</v>
      </c>
    </row>
    <row r="17" spans="1:31">
      <c r="A17" s="1" t="s">
        <v>2</v>
      </c>
      <c r="B17" s="1" t="s">
        <v>17</v>
      </c>
      <c r="I17" s="14"/>
      <c r="J17" s="6" t="s">
        <v>9</v>
      </c>
      <c r="K17" s="8">
        <f t="shared" si="9"/>
        <v>148</v>
      </c>
      <c r="L17" s="8">
        <f t="shared" si="9"/>
        <v>192</v>
      </c>
      <c r="M17" s="8">
        <f t="shared" si="9"/>
        <v>194</v>
      </c>
      <c r="N17" s="8">
        <f t="shared" si="9"/>
        <v>80</v>
      </c>
      <c r="O17" s="8">
        <f t="shared" si="9"/>
        <v>0</v>
      </c>
      <c r="P17" s="7">
        <f t="shared" si="9"/>
        <v>0</v>
      </c>
      <c r="Q17" s="9">
        <f t="shared" si="7"/>
        <v>614</v>
      </c>
      <c r="S17" s="6" t="s">
        <v>5</v>
      </c>
      <c r="T17" s="8">
        <f>L9-Q4</f>
        <v>-24</v>
      </c>
      <c r="U17" s="8">
        <f>L18-Q13</f>
        <v>136</v>
      </c>
      <c r="V17" s="8">
        <f>L27-Q22</f>
        <v>-3</v>
      </c>
      <c r="W17" s="8">
        <f t="shared" si="10"/>
        <v>163</v>
      </c>
      <c r="AB17" s="17" t="s">
        <v>4</v>
      </c>
      <c r="AC17" s="12">
        <f>Q39</f>
        <v>2225</v>
      </c>
      <c r="AD17" s="18">
        <v>2240</v>
      </c>
      <c r="AE17" s="19">
        <f t="shared" si="8"/>
        <v>0.9933035714285714</v>
      </c>
    </row>
    <row r="18" spans="1:31">
      <c r="I18" s="14"/>
      <c r="J18" s="16" t="s">
        <v>48</v>
      </c>
      <c r="K18" s="9">
        <f t="shared" ref="K18:Q18" si="11">SUM(K12:K17)</f>
        <v>715</v>
      </c>
      <c r="L18" s="9">
        <f t="shared" si="11"/>
        <v>405</v>
      </c>
      <c r="M18" s="9">
        <f t="shared" si="11"/>
        <v>427</v>
      </c>
      <c r="N18" s="9">
        <f t="shared" si="11"/>
        <v>127</v>
      </c>
      <c r="O18" s="9">
        <f t="shared" si="11"/>
        <v>205</v>
      </c>
      <c r="P18" s="9">
        <f t="shared" si="11"/>
        <v>598</v>
      </c>
      <c r="Q18" s="9">
        <f t="shared" si="11"/>
        <v>2477</v>
      </c>
      <c r="S18" s="6" t="s">
        <v>6</v>
      </c>
      <c r="T18" s="8">
        <f>M9-Q5</f>
        <v>-66</v>
      </c>
      <c r="U18" s="8">
        <f>M18-Q14</f>
        <v>204</v>
      </c>
      <c r="V18" s="8">
        <f>M27-Q23</f>
        <v>-9</v>
      </c>
      <c r="W18" s="8">
        <f t="shared" si="10"/>
        <v>279</v>
      </c>
      <c r="AB18" s="17" t="s">
        <v>24</v>
      </c>
      <c r="AC18" s="12">
        <f>AC17-L39+O40+P40</f>
        <v>2134</v>
      </c>
      <c r="AD18" s="18">
        <v>2240</v>
      </c>
      <c r="AE18" s="19">
        <f t="shared" si="8"/>
        <v>0.95267857142857137</v>
      </c>
    </row>
    <row r="19" spans="1:31">
      <c r="A19" s="1" t="s">
        <v>13</v>
      </c>
      <c r="B19" s="1" t="s">
        <v>14</v>
      </c>
      <c r="S19" s="6" t="s">
        <v>7</v>
      </c>
      <c r="T19" s="8">
        <f>N9-Q6</f>
        <v>12</v>
      </c>
      <c r="U19" s="8">
        <f>N18-Q15</f>
        <v>35</v>
      </c>
      <c r="V19" s="8">
        <f>N27-Q24</f>
        <v>6</v>
      </c>
      <c r="W19" s="8">
        <f t="shared" si="10"/>
        <v>53</v>
      </c>
      <c r="AB19" s="17" t="s">
        <v>25</v>
      </c>
      <c r="AC19" s="12">
        <f>AC18-M39-M40+O41+P41</f>
        <v>1924</v>
      </c>
      <c r="AD19" s="18">
        <v>2240</v>
      </c>
      <c r="AE19" s="19">
        <f t="shared" si="8"/>
        <v>0.85892857142857137</v>
      </c>
    </row>
    <row r="20" spans="1:31">
      <c r="A20" s="1" t="s">
        <v>15</v>
      </c>
      <c r="B20" s="3" t="s">
        <v>4</v>
      </c>
      <c r="C20" s="3" t="s">
        <v>5</v>
      </c>
      <c r="D20" s="3" t="s">
        <v>6</v>
      </c>
      <c r="E20" s="3" t="s">
        <v>7</v>
      </c>
      <c r="F20" s="3" t="s">
        <v>8</v>
      </c>
      <c r="G20" s="3" t="s">
        <v>9</v>
      </c>
      <c r="H20" s="3" t="s">
        <v>16</v>
      </c>
      <c r="J20" s="5" t="s">
        <v>26</v>
      </c>
      <c r="K20" s="5" t="s">
        <v>4</v>
      </c>
      <c r="L20" s="5" t="s">
        <v>5</v>
      </c>
      <c r="M20" s="5" t="s">
        <v>6</v>
      </c>
      <c r="N20" s="5" t="s">
        <v>7</v>
      </c>
      <c r="O20" s="5" t="s">
        <v>8</v>
      </c>
      <c r="P20" s="5" t="s">
        <v>9</v>
      </c>
      <c r="Q20" s="5" t="s">
        <v>47</v>
      </c>
      <c r="S20" s="6" t="s">
        <v>8</v>
      </c>
      <c r="T20" s="8">
        <f>O9-Q7</f>
        <v>-17</v>
      </c>
      <c r="U20" s="8">
        <f>O18-Q16</f>
        <v>-54</v>
      </c>
      <c r="V20" s="8">
        <f>O27-Q25</f>
        <v>0</v>
      </c>
      <c r="W20" s="8">
        <f t="shared" si="10"/>
        <v>71</v>
      </c>
    </row>
    <row r="21" spans="1:31">
      <c r="A21" s="15" t="s">
        <v>4</v>
      </c>
      <c r="B21" s="3"/>
      <c r="C21" s="3">
        <v>112</v>
      </c>
      <c r="D21" s="3">
        <v>154</v>
      </c>
      <c r="E21" s="3"/>
      <c r="F21" s="3">
        <v>201</v>
      </c>
      <c r="G21" s="3">
        <v>553</v>
      </c>
      <c r="H21" s="3">
        <v>1020</v>
      </c>
      <c r="J21" s="6" t="s">
        <v>4</v>
      </c>
      <c r="K21" s="7"/>
      <c r="L21" s="8"/>
      <c r="M21" s="8"/>
      <c r="N21" s="8"/>
      <c r="O21" s="8"/>
      <c r="P21" s="8"/>
      <c r="Q21" s="9">
        <f t="shared" ref="Q21:Q26" si="12">SUM(K21:P21)</f>
        <v>0</v>
      </c>
      <c r="S21" s="6" t="s">
        <v>9</v>
      </c>
      <c r="T21" s="8">
        <f>P9-Q8</f>
        <v>59</v>
      </c>
      <c r="U21" s="8">
        <f>P18-Q17</f>
        <v>-16</v>
      </c>
      <c r="V21" s="8">
        <f>P27-Q26</f>
        <v>-25</v>
      </c>
      <c r="W21" s="8">
        <f t="shared" si="10"/>
        <v>100</v>
      </c>
    </row>
    <row r="22" spans="1:31">
      <c r="A22" s="15" t="s">
        <v>5</v>
      </c>
      <c r="B22" s="3">
        <v>231</v>
      </c>
      <c r="C22" s="3"/>
      <c r="D22" s="3"/>
      <c r="E22" s="3"/>
      <c r="F22" s="3"/>
      <c r="G22" s="3">
        <v>38</v>
      </c>
      <c r="H22" s="3">
        <v>269</v>
      </c>
      <c r="J22" s="6" t="s">
        <v>5</v>
      </c>
      <c r="K22" s="8">
        <f>B35</f>
        <v>1</v>
      </c>
      <c r="L22" s="7"/>
      <c r="M22" s="8"/>
      <c r="N22" s="8"/>
      <c r="O22" s="8"/>
      <c r="P22" s="8">
        <f>E35</f>
        <v>2</v>
      </c>
      <c r="Q22" s="9">
        <f t="shared" si="12"/>
        <v>3</v>
      </c>
      <c r="S22" s="16" t="s">
        <v>10</v>
      </c>
      <c r="T22" s="9">
        <f>SUM(T16:T21)</f>
        <v>0</v>
      </c>
      <c r="U22" s="9">
        <f>SUM(U16:U21)</f>
        <v>0</v>
      </c>
      <c r="V22" s="9">
        <f>SUM(V16:V21)</f>
        <v>0</v>
      </c>
      <c r="W22" s="9">
        <f>SUM(W16:W21)</f>
        <v>1038</v>
      </c>
    </row>
    <row r="23" spans="1:31">
      <c r="A23" s="15" t="s">
        <v>6</v>
      </c>
      <c r="B23" s="3">
        <v>212</v>
      </c>
      <c r="C23" s="3"/>
      <c r="D23" s="3"/>
      <c r="E23" s="3"/>
      <c r="F23" s="3">
        <v>4</v>
      </c>
      <c r="G23" s="3">
        <v>7</v>
      </c>
      <c r="H23" s="3">
        <v>223</v>
      </c>
      <c r="J23" s="6" t="s">
        <v>6</v>
      </c>
      <c r="K23" s="8">
        <f>B36</f>
        <v>11</v>
      </c>
      <c r="L23" s="8"/>
      <c r="M23" s="7"/>
      <c r="N23" s="8"/>
      <c r="O23" s="8"/>
      <c r="P23" s="8">
        <f>E36</f>
        <v>1</v>
      </c>
      <c r="Q23" s="9">
        <f t="shared" si="12"/>
        <v>12</v>
      </c>
    </row>
    <row r="24" spans="1:31">
      <c r="A24" s="15" t="s">
        <v>7</v>
      </c>
      <c r="B24" s="3">
        <v>82</v>
      </c>
      <c r="C24" s="3">
        <v>9</v>
      </c>
      <c r="D24" s="3">
        <v>1</v>
      </c>
      <c r="E24" s="3"/>
      <c r="F24" s="3"/>
      <c r="G24" s="3"/>
      <c r="H24" s="3">
        <v>92</v>
      </c>
      <c r="J24" s="6" t="s">
        <v>7</v>
      </c>
      <c r="K24" s="8">
        <f>B37</f>
        <v>2</v>
      </c>
      <c r="L24" s="8"/>
      <c r="M24" s="8"/>
      <c r="N24" s="7"/>
      <c r="O24" s="8"/>
      <c r="P24" s="8"/>
      <c r="Q24" s="9">
        <f t="shared" si="12"/>
        <v>2</v>
      </c>
    </row>
    <row r="25" spans="1:31">
      <c r="A25" s="15" t="s">
        <v>8</v>
      </c>
      <c r="B25" s="3">
        <v>42</v>
      </c>
      <c r="C25" s="3">
        <v>92</v>
      </c>
      <c r="D25" s="3">
        <v>78</v>
      </c>
      <c r="E25" s="3">
        <v>47</v>
      </c>
      <c r="F25" s="3"/>
      <c r="G25" s="3"/>
      <c r="H25" s="3">
        <v>259</v>
      </c>
      <c r="J25" s="6" t="s">
        <v>8</v>
      </c>
      <c r="K25" s="8"/>
      <c r="L25" s="8"/>
      <c r="M25" s="8"/>
      <c r="N25" s="8"/>
      <c r="O25" s="7"/>
      <c r="P25" s="8"/>
      <c r="Q25" s="9">
        <f t="shared" si="12"/>
        <v>0</v>
      </c>
    </row>
    <row r="26" spans="1:31">
      <c r="A26" s="15" t="s">
        <v>9</v>
      </c>
      <c r="B26" s="3">
        <v>148</v>
      </c>
      <c r="C26" s="3">
        <v>192</v>
      </c>
      <c r="D26" s="3">
        <v>194</v>
      </c>
      <c r="E26" s="3">
        <v>80</v>
      </c>
      <c r="F26" s="3"/>
      <c r="G26" s="3"/>
      <c r="H26" s="3">
        <v>614</v>
      </c>
      <c r="J26" s="6" t="s">
        <v>9</v>
      </c>
      <c r="K26" s="8">
        <f>B38</f>
        <v>17</v>
      </c>
      <c r="L26" s="8"/>
      <c r="M26" s="8">
        <f>C38</f>
        <v>3</v>
      </c>
      <c r="N26" s="8">
        <f>D38</f>
        <v>8</v>
      </c>
      <c r="O26" s="8"/>
      <c r="P26" s="7"/>
      <c r="Q26" s="9">
        <f t="shared" si="12"/>
        <v>28</v>
      </c>
    </row>
    <row r="27" spans="1:31">
      <c r="A27" s="15" t="s">
        <v>16</v>
      </c>
      <c r="B27" s="3">
        <v>715</v>
      </c>
      <c r="C27" s="3">
        <v>405</v>
      </c>
      <c r="D27" s="3">
        <v>427</v>
      </c>
      <c r="E27" s="3">
        <v>127</v>
      </c>
      <c r="F27" s="3">
        <v>205</v>
      </c>
      <c r="G27" s="3">
        <v>598</v>
      </c>
      <c r="H27" s="3">
        <v>2477</v>
      </c>
      <c r="J27" s="16" t="s">
        <v>48</v>
      </c>
      <c r="K27" s="9">
        <f t="shared" ref="K27:Q27" si="13">SUM(K21:K26)</f>
        <v>31</v>
      </c>
      <c r="L27" s="9">
        <f t="shared" si="13"/>
        <v>0</v>
      </c>
      <c r="M27" s="9">
        <f t="shared" si="13"/>
        <v>3</v>
      </c>
      <c r="N27" s="9">
        <f t="shared" si="13"/>
        <v>8</v>
      </c>
      <c r="O27" s="9">
        <f t="shared" si="13"/>
        <v>0</v>
      </c>
      <c r="P27" s="9">
        <f t="shared" si="13"/>
        <v>3</v>
      </c>
      <c r="Q27" s="9">
        <f t="shared" si="13"/>
        <v>45</v>
      </c>
    </row>
    <row r="29" spans="1:31">
      <c r="A29" s="1" t="s">
        <v>0</v>
      </c>
      <c r="B29" s="1" t="s">
        <v>1</v>
      </c>
      <c r="J29" s="5" t="s">
        <v>49</v>
      </c>
      <c r="K29" s="4" t="s">
        <v>4</v>
      </c>
      <c r="L29" s="4" t="s">
        <v>5</v>
      </c>
      <c r="M29" s="4" t="s">
        <v>6</v>
      </c>
      <c r="N29" s="4" t="s">
        <v>7</v>
      </c>
      <c r="O29" s="4" t="s">
        <v>8</v>
      </c>
      <c r="P29" s="4" t="s">
        <v>9</v>
      </c>
      <c r="Q29" s="5" t="s">
        <v>47</v>
      </c>
    </row>
    <row r="30" spans="1:31">
      <c r="A30" s="1" t="s">
        <v>11</v>
      </c>
      <c r="B30" s="1" t="s">
        <v>12</v>
      </c>
      <c r="J30" s="10" t="s">
        <v>4</v>
      </c>
      <c r="K30" s="11">
        <f t="shared" ref="K30:P35" si="14">K3+K12+K21</f>
        <v>0</v>
      </c>
      <c r="L30" s="12">
        <f t="shared" si="14"/>
        <v>175</v>
      </c>
      <c r="M30" s="12">
        <f t="shared" si="14"/>
        <v>156</v>
      </c>
      <c r="N30" s="12">
        <f t="shared" si="14"/>
        <v>0</v>
      </c>
      <c r="O30" s="12">
        <f t="shared" si="14"/>
        <v>226</v>
      </c>
      <c r="P30" s="12">
        <f t="shared" si="14"/>
        <v>648</v>
      </c>
      <c r="Q30" s="13">
        <f t="shared" ref="Q30:Q35" si="15">SUM(K30:P30)</f>
        <v>1205</v>
      </c>
      <c r="S30" s="26"/>
      <c r="T30"/>
      <c r="U30"/>
      <c r="V30"/>
      <c r="W30"/>
      <c r="X30"/>
    </row>
    <row r="31" spans="1:31">
      <c r="A31" s="1" t="s">
        <v>2</v>
      </c>
      <c r="B31" s="1" t="s">
        <v>26</v>
      </c>
      <c r="J31" s="10" t="s">
        <v>5</v>
      </c>
      <c r="K31" s="12">
        <f t="shared" si="14"/>
        <v>260</v>
      </c>
      <c r="L31" s="11">
        <f t="shared" si="14"/>
        <v>0</v>
      </c>
      <c r="M31" s="12">
        <f t="shared" si="14"/>
        <v>0</v>
      </c>
      <c r="N31" s="12">
        <f t="shared" si="14"/>
        <v>0</v>
      </c>
      <c r="O31" s="12">
        <f t="shared" si="14"/>
        <v>20</v>
      </c>
      <c r="P31" s="12">
        <f t="shared" si="14"/>
        <v>136</v>
      </c>
      <c r="Q31" s="13">
        <f t="shared" si="15"/>
        <v>416</v>
      </c>
      <c r="S31" s="26"/>
      <c r="T31"/>
      <c r="U31"/>
      <c r="V31"/>
      <c r="W31"/>
      <c r="X31"/>
    </row>
    <row r="32" spans="1:31">
      <c r="J32" s="10" t="s">
        <v>6</v>
      </c>
      <c r="K32" s="12">
        <f t="shared" si="14"/>
        <v>331</v>
      </c>
      <c r="L32" s="12">
        <f t="shared" si="14"/>
        <v>0</v>
      </c>
      <c r="M32" s="11">
        <f t="shared" si="14"/>
        <v>0</v>
      </c>
      <c r="N32" s="12">
        <f t="shared" si="14"/>
        <v>0</v>
      </c>
      <c r="O32" s="12">
        <f t="shared" si="14"/>
        <v>30</v>
      </c>
      <c r="P32" s="12">
        <f t="shared" si="14"/>
        <v>58</v>
      </c>
      <c r="Q32" s="13">
        <f t="shared" si="15"/>
        <v>419</v>
      </c>
      <c r="S32" s="26"/>
      <c r="T32"/>
      <c r="U32"/>
      <c r="V32"/>
      <c r="W32"/>
      <c r="X32"/>
    </row>
    <row r="33" spans="1:26">
      <c r="A33" s="1" t="s">
        <v>13</v>
      </c>
      <c r="B33" s="1" t="s">
        <v>14</v>
      </c>
      <c r="G33" s="14"/>
      <c r="H33" s="14"/>
      <c r="J33" s="10" t="s">
        <v>7</v>
      </c>
      <c r="K33" s="12">
        <f t="shared" si="14"/>
        <v>86</v>
      </c>
      <c r="L33" s="12">
        <f t="shared" si="14"/>
        <v>9</v>
      </c>
      <c r="M33" s="12">
        <f t="shared" si="14"/>
        <v>1</v>
      </c>
      <c r="N33" s="11">
        <f t="shared" si="14"/>
        <v>0</v>
      </c>
      <c r="O33" s="12">
        <f t="shared" si="14"/>
        <v>0</v>
      </c>
      <c r="P33" s="12">
        <f t="shared" si="14"/>
        <v>0</v>
      </c>
      <c r="Q33" s="13">
        <f t="shared" si="15"/>
        <v>96</v>
      </c>
      <c r="S33" s="26"/>
      <c r="T33"/>
      <c r="U33"/>
      <c r="V33"/>
      <c r="W33"/>
      <c r="X33"/>
    </row>
    <row r="34" spans="1:26">
      <c r="A34" s="1" t="s">
        <v>15</v>
      </c>
      <c r="B34" s="3" t="s">
        <v>4</v>
      </c>
      <c r="C34" s="3" t="s">
        <v>6</v>
      </c>
      <c r="D34" s="3" t="s">
        <v>7</v>
      </c>
      <c r="E34" s="3" t="s">
        <v>9</v>
      </c>
      <c r="F34" s="3" t="s">
        <v>16</v>
      </c>
      <c r="G34" s="14"/>
      <c r="H34" s="14"/>
      <c r="J34" s="10" t="s">
        <v>8</v>
      </c>
      <c r="K34" s="12">
        <f t="shared" si="14"/>
        <v>61</v>
      </c>
      <c r="L34" s="12">
        <f t="shared" si="14"/>
        <v>120</v>
      </c>
      <c r="M34" s="12">
        <f t="shared" si="14"/>
        <v>119</v>
      </c>
      <c r="N34" s="12">
        <f t="shared" si="14"/>
        <v>47</v>
      </c>
      <c r="O34" s="11">
        <f t="shared" si="14"/>
        <v>0</v>
      </c>
      <c r="P34" s="12">
        <f t="shared" si="14"/>
        <v>0</v>
      </c>
      <c r="Q34" s="13">
        <f t="shared" si="15"/>
        <v>347</v>
      </c>
      <c r="S34" s="26"/>
      <c r="T34"/>
      <c r="U34"/>
      <c r="V34"/>
      <c r="W34"/>
      <c r="X34"/>
    </row>
    <row r="35" spans="1:26">
      <c r="A35" s="15" t="s">
        <v>5</v>
      </c>
      <c r="B35" s="3">
        <v>1</v>
      </c>
      <c r="C35" s="3">
        <v>0</v>
      </c>
      <c r="D35" s="3">
        <v>0</v>
      </c>
      <c r="E35" s="3">
        <v>2</v>
      </c>
      <c r="F35" s="3">
        <v>3</v>
      </c>
      <c r="G35" s="14"/>
      <c r="H35" s="14"/>
      <c r="J35" s="10" t="s">
        <v>9</v>
      </c>
      <c r="K35" s="12">
        <f t="shared" si="14"/>
        <v>229</v>
      </c>
      <c r="L35" s="12">
        <f t="shared" si="14"/>
        <v>221</v>
      </c>
      <c r="M35" s="12">
        <f t="shared" si="14"/>
        <v>272</v>
      </c>
      <c r="N35" s="12">
        <f t="shared" si="14"/>
        <v>102</v>
      </c>
      <c r="O35" s="12">
        <f t="shared" si="14"/>
        <v>0</v>
      </c>
      <c r="P35" s="11">
        <f t="shared" si="14"/>
        <v>0</v>
      </c>
      <c r="Q35" s="13">
        <f t="shared" si="15"/>
        <v>824</v>
      </c>
      <c r="S35" s="26"/>
      <c r="T35"/>
      <c r="U35"/>
      <c r="V35"/>
      <c r="W35"/>
      <c r="X35"/>
    </row>
    <row r="36" spans="1:26">
      <c r="A36" s="15" t="s">
        <v>6</v>
      </c>
      <c r="B36" s="3">
        <v>11</v>
      </c>
      <c r="C36" s="3">
        <v>0</v>
      </c>
      <c r="D36" s="3">
        <v>0</v>
      </c>
      <c r="E36" s="3">
        <v>1</v>
      </c>
      <c r="F36" s="3">
        <v>12</v>
      </c>
      <c r="G36" s="14"/>
      <c r="H36" s="14"/>
      <c r="J36" s="16" t="s">
        <v>48</v>
      </c>
      <c r="K36" s="13">
        <f t="shared" ref="K36:Q36" si="16">SUM(K30:K35)</f>
        <v>967</v>
      </c>
      <c r="L36" s="13">
        <f t="shared" si="16"/>
        <v>525</v>
      </c>
      <c r="M36" s="13">
        <f t="shared" si="16"/>
        <v>548</v>
      </c>
      <c r="N36" s="13">
        <f t="shared" si="16"/>
        <v>149</v>
      </c>
      <c r="O36" s="13">
        <f t="shared" si="16"/>
        <v>276</v>
      </c>
      <c r="P36" s="13">
        <f t="shared" si="16"/>
        <v>842</v>
      </c>
      <c r="Q36" s="13">
        <f t="shared" si="16"/>
        <v>3307</v>
      </c>
      <c r="S36" s="26"/>
      <c r="T36"/>
      <c r="U36"/>
      <c r="V36"/>
      <c r="W36"/>
    </row>
    <row r="37" spans="1:26">
      <c r="A37" s="15" t="s">
        <v>7</v>
      </c>
      <c r="B37" s="3">
        <v>2</v>
      </c>
      <c r="C37" s="3">
        <v>0</v>
      </c>
      <c r="D37" s="3">
        <v>0</v>
      </c>
      <c r="E37" s="3">
        <v>0</v>
      </c>
      <c r="F37" s="3">
        <v>2</v>
      </c>
      <c r="G37" s="14"/>
      <c r="H37" s="14"/>
      <c r="J37" s="3"/>
      <c r="K37" s="1"/>
      <c r="L37" s="1"/>
      <c r="M37" s="1"/>
      <c r="N37" s="1"/>
      <c r="O37" s="1"/>
      <c r="P37" s="1"/>
      <c r="Q37" s="1"/>
    </row>
    <row r="38" spans="1:26">
      <c r="A38" s="15" t="s">
        <v>9</v>
      </c>
      <c r="B38" s="3">
        <v>17</v>
      </c>
      <c r="C38" s="3">
        <v>3</v>
      </c>
      <c r="D38" s="3">
        <v>8</v>
      </c>
      <c r="E38" s="3">
        <v>0</v>
      </c>
      <c r="F38" s="3">
        <v>28</v>
      </c>
      <c r="G38" s="14"/>
      <c r="H38" s="14"/>
      <c r="J38" s="5" t="s">
        <v>50</v>
      </c>
      <c r="K38" s="4" t="s">
        <v>4</v>
      </c>
      <c r="L38" s="4" t="s">
        <v>5</v>
      </c>
      <c r="M38" s="4" t="s">
        <v>6</v>
      </c>
      <c r="N38" s="4" t="s">
        <v>7</v>
      </c>
      <c r="O38" s="4" t="s">
        <v>8</v>
      </c>
      <c r="P38" s="4" t="s">
        <v>9</v>
      </c>
      <c r="Q38" s="5" t="s">
        <v>47</v>
      </c>
    </row>
    <row r="39" spans="1:26" ht="13.5" customHeight="1">
      <c r="A39" s="15" t="s">
        <v>16</v>
      </c>
      <c r="B39" s="3">
        <v>31</v>
      </c>
      <c r="C39" s="3">
        <v>3</v>
      </c>
      <c r="D39" s="3">
        <v>8</v>
      </c>
      <c r="E39" s="3">
        <v>3</v>
      </c>
      <c r="F39" s="3">
        <v>45</v>
      </c>
      <c r="G39" s="14"/>
      <c r="H39" s="14"/>
      <c r="J39" s="10" t="s">
        <v>4</v>
      </c>
      <c r="K39" s="11">
        <f t="shared" ref="K39:P44" si="17">(K3+2*(K12+K21))</f>
        <v>0</v>
      </c>
      <c r="L39" s="12">
        <f t="shared" si="17"/>
        <v>287</v>
      </c>
      <c r="M39" s="12">
        <f t="shared" si="17"/>
        <v>310</v>
      </c>
      <c r="N39" s="12">
        <f t="shared" si="17"/>
        <v>0</v>
      </c>
      <c r="O39" s="12">
        <f t="shared" si="17"/>
        <v>427</v>
      </c>
      <c r="P39" s="12">
        <f t="shared" si="17"/>
        <v>1201</v>
      </c>
      <c r="Q39" s="13">
        <f t="shared" ref="Q39:Q44" si="18">SUM(K39:P39)</f>
        <v>2225</v>
      </c>
    </row>
    <row r="40" spans="1:26">
      <c r="A40" s="14"/>
      <c r="B40" s="14"/>
      <c r="C40" s="14"/>
      <c r="D40" s="14"/>
      <c r="E40" s="14"/>
      <c r="F40" s="14"/>
      <c r="G40" s="14"/>
      <c r="H40" s="14"/>
      <c r="J40" s="10" t="s">
        <v>5</v>
      </c>
      <c r="K40" s="12">
        <f t="shared" si="17"/>
        <v>492</v>
      </c>
      <c r="L40" s="11">
        <f t="shared" si="17"/>
        <v>0</v>
      </c>
      <c r="M40" s="12">
        <f t="shared" si="17"/>
        <v>0</v>
      </c>
      <c r="N40" s="12">
        <f t="shared" si="17"/>
        <v>0</v>
      </c>
      <c r="O40" s="12">
        <f t="shared" si="17"/>
        <v>20</v>
      </c>
      <c r="P40" s="12">
        <f t="shared" si="17"/>
        <v>176</v>
      </c>
      <c r="Q40" s="13">
        <f t="shared" si="18"/>
        <v>688</v>
      </c>
    </row>
    <row r="41" spans="1:26">
      <c r="A41" s="14"/>
      <c r="B41" s="14"/>
      <c r="C41" s="14"/>
      <c r="D41" s="14"/>
      <c r="E41" s="14"/>
      <c r="F41" s="14"/>
      <c r="G41" s="14"/>
      <c r="H41" s="14"/>
      <c r="J41" s="10" t="s">
        <v>6</v>
      </c>
      <c r="K41" s="12">
        <f t="shared" si="17"/>
        <v>554</v>
      </c>
      <c r="L41" s="12">
        <f t="shared" si="17"/>
        <v>0</v>
      </c>
      <c r="M41" s="11">
        <f t="shared" si="17"/>
        <v>0</v>
      </c>
      <c r="N41" s="12">
        <f t="shared" si="17"/>
        <v>0</v>
      </c>
      <c r="O41" s="12">
        <f t="shared" si="17"/>
        <v>34</v>
      </c>
      <c r="P41" s="12">
        <f t="shared" si="17"/>
        <v>66</v>
      </c>
      <c r="Q41" s="13">
        <f t="shared" si="18"/>
        <v>654</v>
      </c>
    </row>
    <row r="42" spans="1:26">
      <c r="J42" s="10" t="s">
        <v>7</v>
      </c>
      <c r="K42" s="12">
        <f t="shared" si="17"/>
        <v>170</v>
      </c>
      <c r="L42" s="12">
        <f t="shared" si="17"/>
        <v>18</v>
      </c>
      <c r="M42" s="12">
        <f t="shared" si="17"/>
        <v>2</v>
      </c>
      <c r="N42" s="11">
        <f t="shared" si="17"/>
        <v>0</v>
      </c>
      <c r="O42" s="12">
        <f t="shared" si="17"/>
        <v>0</v>
      </c>
      <c r="P42" s="12">
        <f t="shared" si="17"/>
        <v>0</v>
      </c>
      <c r="Q42" s="13">
        <f t="shared" si="18"/>
        <v>190</v>
      </c>
    </row>
    <row r="43" spans="1:26">
      <c r="J43" s="10" t="s">
        <v>8</v>
      </c>
      <c r="K43" s="12">
        <f t="shared" si="17"/>
        <v>103</v>
      </c>
      <c r="L43" s="12">
        <f t="shared" si="17"/>
        <v>212</v>
      </c>
      <c r="M43" s="12">
        <f t="shared" si="17"/>
        <v>197</v>
      </c>
      <c r="N43" s="12">
        <f t="shared" si="17"/>
        <v>94</v>
      </c>
      <c r="O43" s="11">
        <f t="shared" si="17"/>
        <v>0</v>
      </c>
      <c r="P43" s="12">
        <f t="shared" si="17"/>
        <v>0</v>
      </c>
      <c r="Q43" s="13">
        <f t="shared" si="18"/>
        <v>606</v>
      </c>
    </row>
    <row r="44" spans="1:26">
      <c r="J44" s="10" t="s">
        <v>9</v>
      </c>
      <c r="K44" s="12">
        <f t="shared" si="17"/>
        <v>394</v>
      </c>
      <c r="L44" s="12">
        <f t="shared" si="17"/>
        <v>413</v>
      </c>
      <c r="M44" s="12">
        <f t="shared" si="17"/>
        <v>469</v>
      </c>
      <c r="N44" s="12">
        <f t="shared" si="17"/>
        <v>190</v>
      </c>
      <c r="O44" s="12">
        <f t="shared" si="17"/>
        <v>0</v>
      </c>
      <c r="P44" s="11">
        <f t="shared" si="17"/>
        <v>0</v>
      </c>
      <c r="Q44" s="13">
        <f t="shared" si="18"/>
        <v>1466</v>
      </c>
    </row>
    <row r="45" spans="1:26">
      <c r="J45" s="16" t="s">
        <v>48</v>
      </c>
      <c r="K45" s="13">
        <f t="shared" ref="K45:Q45" si="19">SUM(K39:K44)</f>
        <v>1713</v>
      </c>
      <c r="L45" s="13">
        <f t="shared" si="19"/>
        <v>930</v>
      </c>
      <c r="M45" s="13">
        <f t="shared" si="19"/>
        <v>978</v>
      </c>
      <c r="N45" s="13">
        <f t="shared" si="19"/>
        <v>284</v>
      </c>
      <c r="O45" s="13">
        <f t="shared" si="19"/>
        <v>481</v>
      </c>
      <c r="P45" s="13">
        <f t="shared" si="19"/>
        <v>1443</v>
      </c>
      <c r="Q45" s="13">
        <f t="shared" si="19"/>
        <v>5829</v>
      </c>
    </row>
    <row r="48" spans="1:26">
      <c r="A48"/>
      <c r="B48"/>
      <c r="C48"/>
      <c r="D48"/>
      <c r="E48"/>
      <c r="F48"/>
      <c r="G48"/>
      <c r="H48"/>
      <c r="I48"/>
      <c r="J48"/>
      <c r="K48" s="26"/>
      <c r="L48" s="26"/>
      <c r="M48" s="26"/>
      <c r="N48" s="26"/>
      <c r="O48" s="26"/>
      <c r="P48" s="26"/>
      <c r="Q48" s="26"/>
      <c r="R48"/>
      <c r="Y48"/>
      <c r="Z48"/>
    </row>
    <row r="49" spans="1:26">
      <c r="A49"/>
      <c r="B49"/>
      <c r="C49"/>
      <c r="D49"/>
      <c r="E49"/>
      <c r="F49"/>
      <c r="G49"/>
      <c r="H49"/>
      <c r="I49"/>
      <c r="J49"/>
      <c r="K49" s="26"/>
      <c r="L49" s="26"/>
      <c r="M49" s="26"/>
      <c r="N49" s="26"/>
      <c r="O49" s="26"/>
      <c r="P49" s="26"/>
      <c r="Q49" s="26"/>
      <c r="R49"/>
      <c r="Y49"/>
      <c r="Z49"/>
    </row>
    <row r="50" spans="1:26">
      <c r="A50"/>
      <c r="B50"/>
      <c r="C50"/>
      <c r="D50"/>
      <c r="E50"/>
      <c r="F50"/>
      <c r="G50"/>
      <c r="H50"/>
      <c r="I50"/>
      <c r="J50"/>
      <c r="K50" s="26"/>
      <c r="L50" s="26"/>
      <c r="M50" s="26"/>
      <c r="N50" s="26"/>
      <c r="O50" s="26"/>
      <c r="P50" s="26"/>
      <c r="Q50" s="26"/>
      <c r="R50"/>
      <c r="Y50"/>
      <c r="Z50"/>
    </row>
    <row r="51" spans="1:26">
      <c r="A51"/>
      <c r="B51"/>
      <c r="C51"/>
      <c r="D51"/>
      <c r="E51"/>
      <c r="F51"/>
      <c r="G51"/>
      <c r="H51"/>
      <c r="I51"/>
      <c r="J51"/>
      <c r="K51" s="26"/>
      <c r="L51" s="26"/>
      <c r="M51" s="26"/>
      <c r="N51" s="26"/>
      <c r="O51" s="26"/>
      <c r="P51" s="26"/>
      <c r="Q51" s="26"/>
      <c r="R51"/>
      <c r="Y51"/>
      <c r="Z51"/>
    </row>
    <row r="52" spans="1:26">
      <c r="A52"/>
      <c r="B52"/>
      <c r="C52"/>
      <c r="D52"/>
      <c r="E52"/>
      <c r="F52"/>
      <c r="G52"/>
      <c r="H52"/>
      <c r="I52"/>
      <c r="J52"/>
      <c r="K52" s="26"/>
      <c r="L52" s="26"/>
      <c r="M52" s="26"/>
      <c r="N52" s="26"/>
      <c r="O52" s="26"/>
      <c r="P52" s="26"/>
      <c r="Q52" s="26"/>
      <c r="R52"/>
      <c r="Y52"/>
      <c r="Z52"/>
    </row>
    <row r="53" spans="1:26">
      <c r="A53"/>
      <c r="B53"/>
      <c r="C53"/>
      <c r="D53"/>
      <c r="E53"/>
      <c r="F53"/>
      <c r="G53"/>
      <c r="H53"/>
      <c r="I53"/>
      <c r="J53"/>
      <c r="K53" s="26"/>
      <c r="L53" s="26"/>
      <c r="M53" s="26"/>
      <c r="N53" s="26"/>
      <c r="O53" s="26"/>
      <c r="P53" s="26"/>
      <c r="Q53" s="26"/>
      <c r="R53"/>
      <c r="Y53"/>
      <c r="Z53"/>
    </row>
    <row r="54" spans="1:26">
      <c r="A54"/>
      <c r="B54"/>
      <c r="C54"/>
      <c r="D54"/>
      <c r="E54"/>
      <c r="F54"/>
      <c r="G54"/>
      <c r="H54"/>
      <c r="I54"/>
      <c r="J54"/>
      <c r="K54" s="26"/>
      <c r="L54" s="26"/>
      <c r="M54" s="26"/>
      <c r="N54" s="26"/>
      <c r="O54" s="26"/>
      <c r="P54" s="26"/>
      <c r="Q54" s="26"/>
      <c r="R54"/>
    </row>
    <row r="55" spans="1:26">
      <c r="A55"/>
      <c r="B55"/>
      <c r="C55"/>
      <c r="D55"/>
      <c r="E55"/>
      <c r="F55"/>
      <c r="G55"/>
      <c r="H55"/>
      <c r="I55"/>
      <c r="J55"/>
      <c r="K55" s="26"/>
      <c r="L55" s="26"/>
      <c r="M55" s="26"/>
      <c r="N55" s="26"/>
    </row>
    <row r="56" spans="1:26">
      <c r="A56"/>
      <c r="B56"/>
      <c r="C56"/>
      <c r="D56"/>
      <c r="E56"/>
      <c r="F56"/>
      <c r="G56"/>
      <c r="H56"/>
      <c r="I56"/>
      <c r="J56"/>
      <c r="K56" s="26"/>
      <c r="L56" s="26"/>
      <c r="M56" s="26"/>
      <c r="N56" s="26"/>
    </row>
    <row r="57" spans="1:26">
      <c r="A57"/>
      <c r="B57"/>
      <c r="C57"/>
      <c r="D57"/>
      <c r="E57"/>
      <c r="F57"/>
      <c r="G57"/>
      <c r="H57"/>
      <c r="I57"/>
      <c r="J57"/>
      <c r="K57" s="26"/>
      <c r="L57" s="26"/>
      <c r="M57" s="26"/>
      <c r="N57" s="26"/>
    </row>
    <row r="58" spans="1:26">
      <c r="A58"/>
      <c r="B58"/>
      <c r="C58"/>
      <c r="D58"/>
      <c r="E58"/>
      <c r="F58"/>
      <c r="G58"/>
      <c r="H58"/>
      <c r="I58"/>
      <c r="J58"/>
      <c r="K58" s="26"/>
      <c r="L58" s="26"/>
      <c r="M58" s="26"/>
      <c r="N58" s="26"/>
    </row>
    <row r="59" spans="1:26">
      <c r="A59"/>
      <c r="B59"/>
      <c r="C59"/>
      <c r="D59"/>
      <c r="E59"/>
      <c r="F59"/>
      <c r="G59"/>
      <c r="H59"/>
      <c r="I59"/>
      <c r="J59"/>
      <c r="K59" s="26"/>
      <c r="L59" s="26"/>
      <c r="M59" s="26"/>
      <c r="N59" s="26"/>
    </row>
    <row r="60" spans="1:26">
      <c r="A60"/>
      <c r="B60"/>
      <c r="C60"/>
      <c r="D60"/>
      <c r="E60"/>
      <c r="F60"/>
      <c r="G60"/>
      <c r="H60"/>
      <c r="I60"/>
    </row>
    <row r="61" spans="1:26">
      <c r="A61"/>
      <c r="B61"/>
      <c r="C61"/>
      <c r="D61"/>
      <c r="E61"/>
      <c r="F61"/>
      <c r="G61"/>
      <c r="H61"/>
      <c r="I61"/>
    </row>
    <row r="62" spans="1:26">
      <c r="A62"/>
      <c r="B62"/>
      <c r="C62"/>
      <c r="D62"/>
      <c r="E62"/>
      <c r="F62"/>
      <c r="G62"/>
      <c r="H62"/>
      <c r="I62"/>
    </row>
    <row r="63" spans="1:26">
      <c r="A63"/>
      <c r="B63"/>
      <c r="C63"/>
      <c r="D63"/>
      <c r="E63"/>
    </row>
    <row r="64" spans="1:26">
      <c r="A64"/>
      <c r="B64"/>
      <c r="C64"/>
      <c r="D64"/>
      <c r="E64"/>
    </row>
    <row r="65" spans="1:5">
      <c r="A65"/>
      <c r="B65"/>
      <c r="C65"/>
      <c r="D65"/>
      <c r="E65"/>
    </row>
    <row r="66" spans="1:5">
      <c r="A66"/>
      <c r="B66"/>
      <c r="C66"/>
      <c r="D66"/>
      <c r="E66"/>
    </row>
    <row r="67" spans="1:5">
      <c r="A67"/>
    </row>
    <row r="68" spans="1:5">
      <c r="A68"/>
    </row>
    <row r="69" spans="1:5">
      <c r="A69"/>
    </row>
    <row r="70" spans="1:5">
      <c r="A70"/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F312-8020-4CF7-BCC2-4EEA2A053D6F}">
  <dimension ref="B3:M39"/>
  <sheetViews>
    <sheetView showGridLines="0" zoomScale="85" zoomScaleNormal="85" workbookViewId="0">
      <selection activeCell="J19" sqref="J19"/>
    </sheetView>
  </sheetViews>
  <sheetFormatPr defaultRowHeight="14.4"/>
  <cols>
    <col min="2" max="2" width="17.9453125" customWidth="1"/>
    <col min="3" max="3" width="18.9453125" customWidth="1"/>
    <col min="4" max="4" width="17" customWidth="1"/>
    <col min="5" max="5" width="21.7890625" customWidth="1"/>
    <col min="6" max="6" width="15.83984375" customWidth="1"/>
    <col min="7" max="7" width="23.05078125" customWidth="1"/>
    <col min="8" max="8" width="23.62890625" customWidth="1"/>
    <col min="9" max="9" width="5.68359375" customWidth="1"/>
    <col min="10" max="10" width="19.47265625" customWidth="1"/>
    <col min="11" max="11" width="20.15625" customWidth="1"/>
    <col min="12" max="12" width="16.1015625" customWidth="1"/>
    <col min="13" max="13" width="16.9453125" customWidth="1"/>
    <col min="14" max="14" width="11.15625" customWidth="1"/>
    <col min="15" max="15" width="13.41796875" customWidth="1"/>
    <col min="16" max="16" width="12.15625" customWidth="1"/>
  </cols>
  <sheetData>
    <row r="3" spans="2:13" ht="28.8">
      <c r="B3" s="168" t="s">
        <v>36</v>
      </c>
      <c r="C3" s="168" t="s">
        <v>34</v>
      </c>
      <c r="D3" s="168" t="s">
        <v>37</v>
      </c>
      <c r="E3" s="168" t="s">
        <v>263</v>
      </c>
      <c r="F3" s="168" t="s">
        <v>264</v>
      </c>
      <c r="G3" s="168" t="s">
        <v>265</v>
      </c>
      <c r="H3" s="168" t="s">
        <v>270</v>
      </c>
      <c r="K3" s="168" t="s">
        <v>36</v>
      </c>
      <c r="L3" s="168" t="s">
        <v>34</v>
      </c>
      <c r="M3" s="168" t="s">
        <v>37</v>
      </c>
    </row>
    <row r="4" spans="2:13">
      <c r="B4" s="31" t="s">
        <v>35</v>
      </c>
      <c r="C4" s="31" t="s">
        <v>35</v>
      </c>
      <c r="D4" s="31" t="s">
        <v>4</v>
      </c>
      <c r="E4" s="110">
        <v>10</v>
      </c>
      <c r="F4" s="110">
        <v>5</v>
      </c>
      <c r="G4" s="110">
        <v>5</v>
      </c>
      <c r="H4" s="110">
        <f>2*E4+F4+G4</f>
        <v>30</v>
      </c>
      <c r="K4" s="154" t="s">
        <v>35</v>
      </c>
      <c r="L4" s="154" t="s">
        <v>35</v>
      </c>
      <c r="M4" s="154" t="s">
        <v>4</v>
      </c>
    </row>
    <row r="5" spans="2:13">
      <c r="B5" s="31" t="s">
        <v>38</v>
      </c>
      <c r="C5" s="31" t="s">
        <v>39</v>
      </c>
      <c r="D5" s="31" t="s">
        <v>5</v>
      </c>
      <c r="E5" s="110">
        <v>51</v>
      </c>
      <c r="F5" s="110">
        <v>5</v>
      </c>
      <c r="G5" s="110">
        <v>5</v>
      </c>
      <c r="H5" s="110">
        <f t="shared" ref="H5:H9" si="0">2*E5+F5+G5</f>
        <v>112</v>
      </c>
      <c r="K5" s="154" t="s">
        <v>38</v>
      </c>
      <c r="L5" s="154" t="s">
        <v>39</v>
      </c>
      <c r="M5" s="154" t="s">
        <v>5</v>
      </c>
    </row>
    <row r="6" spans="2:13">
      <c r="B6" s="31" t="s">
        <v>40</v>
      </c>
      <c r="C6" s="31" t="s">
        <v>41</v>
      </c>
      <c r="D6" s="31" t="s">
        <v>6</v>
      </c>
      <c r="E6" s="110">
        <v>50.3</v>
      </c>
      <c r="F6" s="110">
        <v>5</v>
      </c>
      <c r="G6" s="110">
        <v>5</v>
      </c>
      <c r="H6" s="110">
        <f t="shared" si="0"/>
        <v>110.6</v>
      </c>
      <c r="K6" s="154" t="s">
        <v>40</v>
      </c>
      <c r="L6" s="154" t="s">
        <v>41</v>
      </c>
      <c r="M6" s="154" t="s">
        <v>6</v>
      </c>
    </row>
    <row r="7" spans="2:13">
      <c r="B7" s="31" t="s">
        <v>42</v>
      </c>
      <c r="C7" s="31" t="s">
        <v>42</v>
      </c>
      <c r="D7" s="31" t="s">
        <v>7</v>
      </c>
      <c r="E7" s="110">
        <v>12</v>
      </c>
      <c r="F7" s="110">
        <v>5</v>
      </c>
      <c r="G7" s="110">
        <v>5</v>
      </c>
      <c r="H7" s="110">
        <f t="shared" si="0"/>
        <v>34</v>
      </c>
      <c r="K7" s="154" t="s">
        <v>42</v>
      </c>
      <c r="L7" s="154" t="s">
        <v>42</v>
      </c>
      <c r="M7" s="154" t="s">
        <v>7</v>
      </c>
    </row>
    <row r="8" spans="2:13">
      <c r="B8" s="31" t="s">
        <v>43</v>
      </c>
      <c r="C8" s="31" t="s">
        <v>44</v>
      </c>
      <c r="D8" s="31" t="s">
        <v>8</v>
      </c>
      <c r="E8" s="110">
        <v>85.9</v>
      </c>
      <c r="F8" s="110">
        <v>5</v>
      </c>
      <c r="G8" s="110">
        <v>5</v>
      </c>
      <c r="H8" s="110">
        <f t="shared" si="0"/>
        <v>181.8</v>
      </c>
      <c r="K8" s="154" t="s">
        <v>43</v>
      </c>
      <c r="L8" s="154" t="s">
        <v>44</v>
      </c>
      <c r="M8" s="154" t="s">
        <v>8</v>
      </c>
    </row>
    <row r="9" spans="2:13">
      <c r="B9" s="31" t="s">
        <v>45</v>
      </c>
      <c r="C9" s="31" t="s">
        <v>46</v>
      </c>
      <c r="D9" s="31" t="s">
        <v>9</v>
      </c>
      <c r="E9" s="110">
        <v>96</v>
      </c>
      <c r="F9" s="110">
        <v>5</v>
      </c>
      <c r="G9" s="110">
        <v>5</v>
      </c>
      <c r="H9" s="110">
        <f t="shared" si="0"/>
        <v>202</v>
      </c>
      <c r="K9" s="154" t="s">
        <v>45</v>
      </c>
      <c r="L9" s="154" t="s">
        <v>46</v>
      </c>
      <c r="M9" s="154" t="s">
        <v>9</v>
      </c>
    </row>
    <row r="10" spans="2:13">
      <c r="B10" s="27"/>
      <c r="C10" s="27"/>
      <c r="D10" s="27"/>
      <c r="E10" s="167"/>
      <c r="F10" s="167"/>
      <c r="G10" s="167"/>
      <c r="H10" s="167"/>
    </row>
    <row r="11" spans="2:13">
      <c r="B11" s="185" t="s">
        <v>320</v>
      </c>
      <c r="C11" s="27"/>
      <c r="D11" s="27"/>
      <c r="E11" s="167"/>
      <c r="F11" s="167"/>
      <c r="G11" s="167"/>
      <c r="H11" s="167"/>
    </row>
    <row r="13" spans="2:13">
      <c r="B13" s="29" t="s">
        <v>184</v>
      </c>
      <c r="C13" s="168" t="s">
        <v>35</v>
      </c>
      <c r="D13" s="168" t="s">
        <v>38</v>
      </c>
      <c r="E13" s="168" t="s">
        <v>40</v>
      </c>
      <c r="F13" s="168" t="s">
        <v>42</v>
      </c>
      <c r="G13" s="168" t="s">
        <v>43</v>
      </c>
      <c r="H13" s="168" t="s">
        <v>45</v>
      </c>
    </row>
    <row r="14" spans="2:13">
      <c r="B14" s="31" t="s">
        <v>35</v>
      </c>
      <c r="C14" s="146"/>
      <c r="D14" s="108">
        <f>H4+H5</f>
        <v>142</v>
      </c>
      <c r="E14" s="108">
        <f>H4+H6</f>
        <v>140.6</v>
      </c>
      <c r="F14" s="108">
        <f>H4+H7</f>
        <v>64</v>
      </c>
      <c r="G14" s="108">
        <f>H4+H8</f>
        <v>211.8</v>
      </c>
      <c r="H14" s="108">
        <f>H4+H9</f>
        <v>232</v>
      </c>
    </row>
    <row r="15" spans="2:13">
      <c r="B15" s="31" t="s">
        <v>38</v>
      </c>
      <c r="C15" s="108">
        <f>D14</f>
        <v>142</v>
      </c>
      <c r="D15" s="146"/>
      <c r="E15" s="108">
        <f>H5+H6</f>
        <v>222.6</v>
      </c>
      <c r="F15" s="108">
        <f>H5+H7</f>
        <v>146</v>
      </c>
      <c r="G15" s="108">
        <f>H5+H8</f>
        <v>293.8</v>
      </c>
      <c r="H15" s="108">
        <f>H5+H9</f>
        <v>314</v>
      </c>
    </row>
    <row r="16" spans="2:13">
      <c r="B16" s="31" t="s">
        <v>40</v>
      </c>
      <c r="C16" s="108">
        <f>E14</f>
        <v>140.6</v>
      </c>
      <c r="D16" s="108">
        <f>E15</f>
        <v>222.6</v>
      </c>
      <c r="E16" s="146"/>
      <c r="F16" s="108">
        <f>H6+H7</f>
        <v>144.6</v>
      </c>
      <c r="G16" s="108">
        <f>H6+H8</f>
        <v>292.39999999999998</v>
      </c>
      <c r="H16" s="108">
        <f>H6+H9</f>
        <v>312.60000000000002</v>
      </c>
    </row>
    <row r="17" spans="2:8">
      <c r="B17" s="31" t="s">
        <v>42</v>
      </c>
      <c r="C17" s="108">
        <f>F14</f>
        <v>64</v>
      </c>
      <c r="D17" s="108">
        <f>F15</f>
        <v>146</v>
      </c>
      <c r="E17" s="108">
        <f>F16</f>
        <v>144.6</v>
      </c>
      <c r="F17" s="146"/>
      <c r="G17" s="108">
        <f>H7+H8</f>
        <v>215.8</v>
      </c>
      <c r="H17" s="108">
        <f>+H7+H9</f>
        <v>236</v>
      </c>
    </row>
    <row r="18" spans="2:8">
      <c r="B18" s="31" t="s">
        <v>43</v>
      </c>
      <c r="C18" s="108">
        <f>G14</f>
        <v>211.8</v>
      </c>
      <c r="D18" s="108">
        <f>G15</f>
        <v>293.8</v>
      </c>
      <c r="E18" s="108">
        <f>G16</f>
        <v>292.39999999999998</v>
      </c>
      <c r="F18" s="108">
        <f>G17</f>
        <v>215.8</v>
      </c>
      <c r="G18" s="146"/>
      <c r="H18" s="108">
        <f>H8+H9</f>
        <v>383.8</v>
      </c>
    </row>
    <row r="19" spans="2:8">
      <c r="B19" s="31" t="s">
        <v>45</v>
      </c>
      <c r="C19" s="108">
        <f>H14</f>
        <v>232</v>
      </c>
      <c r="D19" s="108">
        <f>H15</f>
        <v>314</v>
      </c>
      <c r="E19" s="108">
        <f>H16</f>
        <v>312.60000000000002</v>
      </c>
      <c r="F19" s="108">
        <f>H17</f>
        <v>236</v>
      </c>
      <c r="G19" s="108">
        <f>H18</f>
        <v>383.8</v>
      </c>
      <c r="H19" s="146"/>
    </row>
    <row r="21" spans="2:8">
      <c r="B21" s="184" t="s">
        <v>319</v>
      </c>
    </row>
    <row r="23" spans="2:8">
      <c r="B23" s="183" t="s">
        <v>184</v>
      </c>
      <c r="C23" s="183" t="s">
        <v>185</v>
      </c>
      <c r="D23" s="183" t="s">
        <v>38</v>
      </c>
      <c r="E23" s="183" t="s">
        <v>40</v>
      </c>
      <c r="F23" s="183" t="s">
        <v>42</v>
      </c>
      <c r="G23" s="183" t="s">
        <v>43</v>
      </c>
      <c r="H23" s="183" t="s">
        <v>45</v>
      </c>
    </row>
    <row r="24" spans="2:8">
      <c r="B24" s="30" t="s">
        <v>185</v>
      </c>
      <c r="C24" s="109"/>
      <c r="D24" s="110">
        <v>1513</v>
      </c>
      <c r="E24" s="110">
        <v>2032</v>
      </c>
      <c r="F24" s="110">
        <v>2059</v>
      </c>
      <c r="G24" s="110">
        <v>3112</v>
      </c>
      <c r="H24" s="110">
        <v>2896</v>
      </c>
    </row>
    <row r="25" spans="2:8">
      <c r="B25" s="30" t="s">
        <v>38</v>
      </c>
      <c r="C25" s="110">
        <f>D24</f>
        <v>1513</v>
      </c>
      <c r="D25" s="109"/>
      <c r="E25" s="110">
        <v>782</v>
      </c>
      <c r="F25" s="110">
        <v>1183</v>
      </c>
      <c r="G25" s="110">
        <v>2582</v>
      </c>
      <c r="H25" s="110">
        <v>3085</v>
      </c>
    </row>
    <row r="26" spans="2:8">
      <c r="B26" s="30" t="s">
        <v>40</v>
      </c>
      <c r="C26" s="110">
        <f>E24</f>
        <v>2032</v>
      </c>
      <c r="D26" s="110">
        <f>E25</f>
        <v>782</v>
      </c>
      <c r="E26" s="109"/>
      <c r="F26" s="110">
        <v>847</v>
      </c>
      <c r="G26" s="110">
        <v>2320</v>
      </c>
      <c r="H26" s="110">
        <v>2648</v>
      </c>
    </row>
    <row r="27" spans="2:8">
      <c r="B27" s="30" t="s">
        <v>42</v>
      </c>
      <c r="C27" s="110">
        <f>F24</f>
        <v>2059</v>
      </c>
      <c r="D27" s="110">
        <f>F25</f>
        <v>1183</v>
      </c>
      <c r="E27" s="110">
        <f>F26</f>
        <v>847</v>
      </c>
      <c r="F27" s="109"/>
      <c r="G27" s="110">
        <v>1633</v>
      </c>
      <c r="H27" s="110">
        <v>1929</v>
      </c>
    </row>
    <row r="28" spans="2:8">
      <c r="B28" s="30" t="s">
        <v>43</v>
      </c>
      <c r="C28" s="110">
        <f>G24</f>
        <v>3112</v>
      </c>
      <c r="D28" s="110">
        <f>G25</f>
        <v>2582</v>
      </c>
      <c r="E28" s="110">
        <f>G26</f>
        <v>2320</v>
      </c>
      <c r="F28" s="110">
        <f>G27</f>
        <v>1633</v>
      </c>
      <c r="G28" s="109"/>
      <c r="H28" s="110">
        <v>434</v>
      </c>
    </row>
    <row r="29" spans="2:8">
      <c r="B29" s="30" t="s">
        <v>45</v>
      </c>
      <c r="C29" s="110">
        <f>H24</f>
        <v>2896</v>
      </c>
      <c r="D29" s="110">
        <f>H25</f>
        <v>3085</v>
      </c>
      <c r="E29" s="110">
        <f>H26</f>
        <v>2648</v>
      </c>
      <c r="F29" s="110">
        <f>H27</f>
        <v>1929</v>
      </c>
      <c r="G29" s="110">
        <v>434</v>
      </c>
      <c r="H29" s="109"/>
    </row>
    <row r="31" spans="2:8">
      <c r="B31" s="184" t="s">
        <v>318</v>
      </c>
    </row>
    <row r="33" spans="2:8">
      <c r="B33" s="29" t="s">
        <v>184</v>
      </c>
      <c r="C33" s="29" t="s">
        <v>186</v>
      </c>
      <c r="D33" s="29" t="s">
        <v>38</v>
      </c>
      <c r="E33" s="29" t="s">
        <v>40</v>
      </c>
      <c r="F33" s="29" t="s">
        <v>42</v>
      </c>
      <c r="G33" s="29" t="s">
        <v>43</v>
      </c>
      <c r="H33" s="29" t="s">
        <v>45</v>
      </c>
    </row>
    <row r="34" spans="2:8">
      <c r="B34" s="30" t="s">
        <v>186</v>
      </c>
      <c r="C34" s="109"/>
      <c r="D34" s="111">
        <f>D24+10</f>
        <v>1523</v>
      </c>
      <c r="E34" s="111">
        <f>E24+10</f>
        <v>2042</v>
      </c>
      <c r="F34" s="111">
        <f>F24+10</f>
        <v>2069</v>
      </c>
      <c r="G34" s="111">
        <f>G24+10</f>
        <v>3122</v>
      </c>
      <c r="H34" s="111">
        <f>H24+10</f>
        <v>2906</v>
      </c>
    </row>
    <row r="35" spans="2:8">
      <c r="B35" s="30" t="s">
        <v>38</v>
      </c>
      <c r="C35" s="111">
        <f>C25+10</f>
        <v>1523</v>
      </c>
      <c r="D35" s="109"/>
      <c r="E35" s="111">
        <f>E25</f>
        <v>782</v>
      </c>
      <c r="F35" s="111">
        <f>F25</f>
        <v>1183</v>
      </c>
      <c r="G35" s="111">
        <f>G25</f>
        <v>2582</v>
      </c>
      <c r="H35" s="111">
        <f>H25</f>
        <v>3085</v>
      </c>
    </row>
    <row r="36" spans="2:8">
      <c r="B36" s="30" t="s">
        <v>40</v>
      </c>
      <c r="C36" s="111">
        <f>C26+10</f>
        <v>2042</v>
      </c>
      <c r="D36" s="111">
        <f>D26</f>
        <v>782</v>
      </c>
      <c r="E36" s="109"/>
      <c r="F36" s="111">
        <f>F26</f>
        <v>847</v>
      </c>
      <c r="G36" s="111">
        <f>G26</f>
        <v>2320</v>
      </c>
      <c r="H36" s="111">
        <f>H26</f>
        <v>2648</v>
      </c>
    </row>
    <row r="37" spans="2:8">
      <c r="B37" s="30" t="s">
        <v>42</v>
      </c>
      <c r="C37" s="111">
        <f>C27+10</f>
        <v>2069</v>
      </c>
      <c r="D37" s="111">
        <f>D27</f>
        <v>1183</v>
      </c>
      <c r="E37" s="111">
        <f>E27</f>
        <v>847</v>
      </c>
      <c r="F37" s="109"/>
      <c r="G37" s="111">
        <f>G27</f>
        <v>1633</v>
      </c>
      <c r="H37" s="111">
        <f>H27</f>
        <v>1929</v>
      </c>
    </row>
    <row r="38" spans="2:8">
      <c r="B38" s="30" t="s">
        <v>43</v>
      </c>
      <c r="C38" s="111">
        <f>C28+10</f>
        <v>3122</v>
      </c>
      <c r="D38" s="111">
        <f>D28</f>
        <v>2582</v>
      </c>
      <c r="E38" s="111">
        <f>E28</f>
        <v>2320</v>
      </c>
      <c r="F38" s="111">
        <f>F28</f>
        <v>1633</v>
      </c>
      <c r="G38" s="109"/>
      <c r="H38" s="111">
        <f>H28</f>
        <v>434</v>
      </c>
    </row>
    <row r="39" spans="2:8">
      <c r="B39" s="30" t="s">
        <v>45</v>
      </c>
      <c r="C39" s="111">
        <f>C29+10</f>
        <v>2906</v>
      </c>
      <c r="D39" s="111">
        <f>D29</f>
        <v>3085</v>
      </c>
      <c r="E39" s="111">
        <f>E29</f>
        <v>2648</v>
      </c>
      <c r="F39" s="111">
        <f>F29</f>
        <v>1929</v>
      </c>
      <c r="G39" s="111">
        <f>G29</f>
        <v>434</v>
      </c>
      <c r="H39" s="109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A521-964B-440A-86BD-E37FBBF4C81A}">
  <dimension ref="A2:O117"/>
  <sheetViews>
    <sheetView showGridLines="0" workbookViewId="0">
      <selection activeCell="D103" sqref="D103"/>
    </sheetView>
  </sheetViews>
  <sheetFormatPr defaultRowHeight="14.4"/>
  <cols>
    <col min="1" max="1" width="3.5234375" style="14" customWidth="1"/>
    <col min="2" max="2" width="18.20703125" style="14" customWidth="1"/>
    <col min="3" max="3" width="14.20703125" style="27" customWidth="1"/>
    <col min="4" max="4" width="11.47265625" style="14" customWidth="1"/>
    <col min="5" max="5" width="12.62890625" style="14" customWidth="1"/>
    <col min="6" max="6" width="19.1015625" style="14" customWidth="1"/>
    <col min="7" max="7" width="32.41796875" style="14" customWidth="1"/>
    <col min="8" max="8" width="8.83984375" style="14"/>
    <col min="9" max="9" width="13.68359375" style="14" customWidth="1"/>
    <col min="10" max="10" width="11.20703125" style="14" customWidth="1"/>
    <col min="11" max="11" width="9.3125" style="14" customWidth="1"/>
    <col min="12" max="12" width="8.83984375" style="14"/>
    <col min="13" max="13" width="12.734375" style="14" customWidth="1"/>
    <col min="14" max="14" width="20.68359375" style="14" customWidth="1"/>
    <col min="15" max="15" width="14.3125" style="14" customWidth="1"/>
    <col min="16" max="16384" width="8.83984375" style="14"/>
  </cols>
  <sheetData>
    <row r="2" spans="2:15" s="188" customFormat="1" ht="20.7">
      <c r="B2" s="254" t="s">
        <v>504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14"/>
      <c r="N2" s="251" t="s">
        <v>323</v>
      </c>
      <c r="O2" s="251"/>
    </row>
    <row r="3" spans="2:15">
      <c r="B3" s="184" t="s">
        <v>322</v>
      </c>
    </row>
    <row r="5" spans="2:15" ht="30" customHeight="1">
      <c r="B5" s="256" t="s">
        <v>191</v>
      </c>
      <c r="C5" s="257"/>
      <c r="D5" s="115" t="s">
        <v>192</v>
      </c>
      <c r="E5" s="115" t="s">
        <v>193</v>
      </c>
      <c r="F5" s="115" t="s">
        <v>194</v>
      </c>
      <c r="G5" s="115" t="s">
        <v>195</v>
      </c>
      <c r="H5" s="115" t="s">
        <v>196</v>
      </c>
      <c r="I5" s="115" t="s">
        <v>197</v>
      </c>
      <c r="J5" s="115" t="s">
        <v>198</v>
      </c>
      <c r="K5" s="115" t="s">
        <v>228</v>
      </c>
      <c r="L5" s="115" t="s">
        <v>228</v>
      </c>
      <c r="N5" s="115" t="s">
        <v>236</v>
      </c>
      <c r="O5" s="115" t="s">
        <v>235</v>
      </c>
    </row>
    <row r="6" spans="2:15" ht="15">
      <c r="B6" s="116" t="s">
        <v>199</v>
      </c>
      <c r="C6" s="116" t="s">
        <v>200</v>
      </c>
      <c r="D6" s="116" t="s">
        <v>201</v>
      </c>
      <c r="E6" s="116" t="s">
        <v>201</v>
      </c>
      <c r="F6" s="116" t="s">
        <v>201</v>
      </c>
      <c r="G6" s="116" t="s">
        <v>201</v>
      </c>
      <c r="H6" s="116" t="s">
        <v>201</v>
      </c>
      <c r="I6" s="116" t="s">
        <v>201</v>
      </c>
      <c r="J6" s="116" t="s">
        <v>202</v>
      </c>
      <c r="K6" s="116" t="s">
        <v>280</v>
      </c>
      <c r="L6" s="116" t="s">
        <v>278</v>
      </c>
      <c r="N6" s="189" t="s">
        <v>324</v>
      </c>
      <c r="O6" s="189">
        <v>1</v>
      </c>
    </row>
    <row r="7" spans="2:15" ht="15">
      <c r="B7" s="239">
        <v>2016</v>
      </c>
      <c r="C7" s="239" t="s">
        <v>212</v>
      </c>
      <c r="D7" s="240">
        <v>0.29243216373622016</v>
      </c>
      <c r="E7" s="240">
        <v>3.2638078229037984E-2</v>
      </c>
      <c r="F7" s="241">
        <v>0.06</v>
      </c>
      <c r="G7" s="240">
        <v>1.6895825193693166</v>
      </c>
      <c r="H7" s="240">
        <v>1.5589920805533472E-2</v>
      </c>
      <c r="I7" s="241">
        <v>0.03</v>
      </c>
      <c r="J7" s="242">
        <v>3.61</v>
      </c>
      <c r="K7" s="240">
        <v>2.6030000000000002</v>
      </c>
      <c r="L7" s="240">
        <f>K7/J7</f>
        <v>0.7210526315789475</v>
      </c>
      <c r="N7" s="190" t="s">
        <v>325</v>
      </c>
      <c r="O7" s="190">
        <v>28</v>
      </c>
    </row>
    <row r="8" spans="2:15" ht="15">
      <c r="N8" s="189" t="s">
        <v>326</v>
      </c>
      <c r="O8" s="189">
        <v>265</v>
      </c>
    </row>
    <row r="10" spans="2:15" ht="18.3">
      <c r="B10" s="254" t="s">
        <v>505</v>
      </c>
      <c r="C10" s="254"/>
      <c r="D10" s="254"/>
      <c r="E10" s="254"/>
      <c r="F10" s="254"/>
      <c r="G10" s="254"/>
      <c r="H10" s="254"/>
      <c r="I10" s="254"/>
      <c r="J10" s="254"/>
      <c r="K10" s="254"/>
      <c r="L10" s="254"/>
    </row>
    <row r="12" spans="2:15" ht="15.6">
      <c r="B12" s="223" t="s">
        <v>487</v>
      </c>
    </row>
    <row r="13" spans="2:15" ht="15.6">
      <c r="B13" s="223"/>
    </row>
    <row r="14" spans="2:15">
      <c r="C14" s="249" t="s">
        <v>541</v>
      </c>
      <c r="D14" s="249"/>
      <c r="E14" s="249"/>
    </row>
    <row r="15" spans="2:15" ht="16.8">
      <c r="C15" s="183" t="s">
        <v>228</v>
      </c>
      <c r="D15" s="221" t="s">
        <v>194</v>
      </c>
      <c r="E15" s="221" t="s">
        <v>197</v>
      </c>
      <c r="G15" s="31" t="s">
        <v>222</v>
      </c>
      <c r="H15" s="233">
        <v>10.210000000000001</v>
      </c>
      <c r="I15" s="31" t="s">
        <v>491</v>
      </c>
    </row>
    <row r="16" spans="2:15" ht="16.8">
      <c r="B16" s="29" t="s">
        <v>345</v>
      </c>
      <c r="C16" s="29" t="s">
        <v>280</v>
      </c>
      <c r="D16" s="234" t="s">
        <v>506</v>
      </c>
      <c r="E16" s="234" t="s">
        <v>506</v>
      </c>
      <c r="G16" s="31" t="s">
        <v>223</v>
      </c>
      <c r="H16" s="233">
        <v>0.56999999999999995</v>
      </c>
      <c r="I16" s="31" t="s">
        <v>500</v>
      </c>
    </row>
    <row r="17" spans="2:12" ht="16.8">
      <c r="B17" s="154" t="s">
        <v>305</v>
      </c>
      <c r="C17" s="152">
        <f>H15/H18</f>
        <v>2.6971979257200673</v>
      </c>
      <c r="D17" s="152">
        <f>H16/H18</f>
        <v>0.15057814080905368</v>
      </c>
      <c r="E17" s="222">
        <f>H17/H18</f>
        <v>6.8684765983077128E-2</v>
      </c>
      <c r="G17" s="31" t="s">
        <v>224</v>
      </c>
      <c r="H17" s="233">
        <v>0.26</v>
      </c>
      <c r="I17" s="31" t="s">
        <v>500</v>
      </c>
    </row>
    <row r="18" spans="2:12">
      <c r="G18" s="31" t="s">
        <v>488</v>
      </c>
      <c r="H18" s="233">
        <v>3.7854100000000002</v>
      </c>
      <c r="I18" s="31" t="s">
        <v>501</v>
      </c>
    </row>
    <row r="19" spans="2:12">
      <c r="G19" s="31" t="s">
        <v>497</v>
      </c>
      <c r="H19" s="233">
        <v>0.85</v>
      </c>
      <c r="I19" s="31" t="s">
        <v>280</v>
      </c>
    </row>
    <row r="23" spans="2:12" ht="15" customHeight="1">
      <c r="B23" s="254" t="s">
        <v>344</v>
      </c>
      <c r="C23" s="254"/>
      <c r="D23" s="254"/>
      <c r="E23" s="254"/>
      <c r="F23" s="254"/>
      <c r="G23" s="254"/>
      <c r="H23" s="254"/>
      <c r="I23" s="254"/>
      <c r="J23" s="254"/>
      <c r="K23" s="254"/>
      <c r="L23" s="254"/>
    </row>
    <row r="24" spans="2:12">
      <c r="B24" s="184" t="s">
        <v>510</v>
      </c>
    </row>
    <row r="25" spans="2:12">
      <c r="B25" s="184"/>
    </row>
    <row r="26" spans="2:12">
      <c r="B26" s="253" t="s">
        <v>346</v>
      </c>
      <c r="C26" s="253"/>
      <c r="D26" s="253"/>
      <c r="E26" s="253"/>
      <c r="F26" s="253"/>
      <c r="G26" s="253"/>
      <c r="H26" s="253"/>
      <c r="I26" s="253"/>
      <c r="J26" s="253"/>
    </row>
    <row r="27" spans="2:12">
      <c r="B27" s="28" t="s">
        <v>220</v>
      </c>
      <c r="C27" s="28" t="s">
        <v>221</v>
      </c>
      <c r="D27" s="28">
        <v>2012</v>
      </c>
      <c r="E27" s="28" t="s">
        <v>213</v>
      </c>
      <c r="F27" s="28">
        <v>2014</v>
      </c>
      <c r="G27" s="28">
        <v>2015</v>
      </c>
      <c r="H27" s="28">
        <v>2016</v>
      </c>
      <c r="I27" s="28">
        <v>2017</v>
      </c>
      <c r="J27" s="186">
        <v>2018</v>
      </c>
    </row>
    <row r="28" spans="2:12">
      <c r="B28" s="252" t="s">
        <v>222</v>
      </c>
      <c r="C28" s="30" t="s">
        <v>214</v>
      </c>
      <c r="D28" s="108">
        <v>3114</v>
      </c>
      <c r="E28" s="108">
        <v>3114</v>
      </c>
      <c r="F28" s="108">
        <v>3114</v>
      </c>
      <c r="G28" s="108">
        <v>3114</v>
      </c>
      <c r="H28" s="108">
        <v>3114</v>
      </c>
      <c r="I28" s="108">
        <v>3114</v>
      </c>
      <c r="J28" s="108">
        <v>3114</v>
      </c>
    </row>
    <row r="29" spans="2:12">
      <c r="B29" s="252"/>
      <c r="C29" s="30" t="s">
        <v>215</v>
      </c>
      <c r="D29" s="108">
        <v>3206</v>
      </c>
      <c r="E29" s="108">
        <v>3206</v>
      </c>
      <c r="F29" s="108">
        <v>3206</v>
      </c>
      <c r="G29" s="108">
        <v>3206</v>
      </c>
      <c r="H29" s="108">
        <v>3206</v>
      </c>
      <c r="I29" s="108">
        <v>3206</v>
      </c>
      <c r="J29" s="108">
        <v>3206</v>
      </c>
    </row>
    <row r="30" spans="2:12">
      <c r="B30" s="252"/>
      <c r="C30" s="30" t="s">
        <v>216</v>
      </c>
      <c r="D30" s="108">
        <v>2750</v>
      </c>
      <c r="E30" s="108">
        <v>2750</v>
      </c>
      <c r="F30" s="108">
        <v>2750</v>
      </c>
      <c r="G30" s="108">
        <v>2750</v>
      </c>
      <c r="H30" s="108">
        <v>2750</v>
      </c>
      <c r="I30" s="108">
        <v>2750</v>
      </c>
      <c r="J30" s="108">
        <v>2750</v>
      </c>
    </row>
    <row r="31" spans="2:12">
      <c r="B31" s="255" t="s">
        <v>223</v>
      </c>
      <c r="C31" s="146" t="s">
        <v>214</v>
      </c>
      <c r="D31" s="147">
        <v>0.05</v>
      </c>
      <c r="E31" s="147">
        <v>0.05</v>
      </c>
      <c r="F31" s="147">
        <v>0.05</v>
      </c>
      <c r="G31" s="147">
        <v>0.05</v>
      </c>
      <c r="H31" s="147">
        <v>0.05</v>
      </c>
      <c r="I31" s="147">
        <v>0.05</v>
      </c>
      <c r="J31" s="147">
        <v>0.05</v>
      </c>
    </row>
    <row r="32" spans="2:12">
      <c r="B32" s="255"/>
      <c r="C32" s="146" t="s">
        <v>215</v>
      </c>
      <c r="D32" s="147">
        <v>0.05</v>
      </c>
      <c r="E32" s="147">
        <v>0.05</v>
      </c>
      <c r="F32" s="147">
        <v>0.05</v>
      </c>
      <c r="G32" s="147">
        <v>0.05</v>
      </c>
      <c r="H32" s="147">
        <v>0.05</v>
      </c>
      <c r="I32" s="147">
        <v>0.05</v>
      </c>
      <c r="J32" s="147">
        <v>0.05</v>
      </c>
    </row>
    <row r="33" spans="2:10">
      <c r="B33" s="255"/>
      <c r="C33" s="146" t="s">
        <v>216</v>
      </c>
      <c r="D33" s="147">
        <v>5.31</v>
      </c>
      <c r="E33" s="147">
        <v>6</v>
      </c>
      <c r="F33" s="147">
        <v>7.35</v>
      </c>
      <c r="G33" s="147">
        <v>8.48</v>
      </c>
      <c r="H33" s="147">
        <v>10.199999999999999</v>
      </c>
      <c r="I33" s="147">
        <v>11.22</v>
      </c>
      <c r="J33" s="147">
        <v>11.96</v>
      </c>
    </row>
    <row r="34" spans="2:10">
      <c r="B34" s="252" t="s">
        <v>224</v>
      </c>
      <c r="C34" s="30" t="s">
        <v>214</v>
      </c>
      <c r="D34" s="148">
        <v>0.17</v>
      </c>
      <c r="E34" s="148">
        <v>0.17</v>
      </c>
      <c r="F34" s="148">
        <v>0.17</v>
      </c>
      <c r="G34" s="148">
        <v>0.17</v>
      </c>
      <c r="H34" s="148">
        <v>0.18</v>
      </c>
      <c r="I34" s="148">
        <v>0.18</v>
      </c>
      <c r="J34" s="148">
        <v>0.18</v>
      </c>
    </row>
    <row r="35" spans="2:10">
      <c r="B35" s="252"/>
      <c r="C35" s="30" t="s">
        <v>215</v>
      </c>
      <c r="D35" s="148">
        <v>0.18</v>
      </c>
      <c r="E35" s="148">
        <v>0.18</v>
      </c>
      <c r="F35" s="148">
        <v>0.18</v>
      </c>
      <c r="G35" s="148">
        <v>0.18</v>
      </c>
      <c r="H35" s="148">
        <v>0.18</v>
      </c>
      <c r="I35" s="148">
        <v>0.18</v>
      </c>
      <c r="J35" s="148">
        <v>0.18</v>
      </c>
    </row>
    <row r="36" spans="2:10">
      <c r="B36" s="252"/>
      <c r="C36" s="30" t="s">
        <v>216</v>
      </c>
      <c r="D36" s="148">
        <v>0.08</v>
      </c>
      <c r="E36" s="148">
        <v>0.08</v>
      </c>
      <c r="F36" s="148">
        <v>0.08</v>
      </c>
      <c r="G36" s="148">
        <v>0.09</v>
      </c>
      <c r="H36" s="148">
        <v>0.09</v>
      </c>
      <c r="I36" s="148">
        <v>0.1</v>
      </c>
      <c r="J36" s="148">
        <v>0.1</v>
      </c>
    </row>
    <row r="37" spans="2:10">
      <c r="B37" s="255" t="s">
        <v>225</v>
      </c>
      <c r="C37" s="146" t="s">
        <v>214</v>
      </c>
      <c r="D37" s="149">
        <v>78.61</v>
      </c>
      <c r="E37" s="149">
        <v>77.180000000000007</v>
      </c>
      <c r="F37" s="149">
        <v>76.19</v>
      </c>
      <c r="G37" s="149">
        <v>76.98</v>
      </c>
      <c r="H37" s="149">
        <v>76.709999999999994</v>
      </c>
      <c r="I37" s="149">
        <v>76.67</v>
      </c>
      <c r="J37" s="149">
        <v>75.900000000000006</v>
      </c>
    </row>
    <row r="38" spans="2:10">
      <c r="B38" s="255"/>
      <c r="C38" s="146" t="s">
        <v>215</v>
      </c>
      <c r="D38" s="149">
        <v>53.12</v>
      </c>
      <c r="E38" s="149">
        <v>52.51</v>
      </c>
      <c r="F38" s="149">
        <v>52.14</v>
      </c>
      <c r="G38" s="149">
        <v>57.68</v>
      </c>
      <c r="H38" s="149">
        <v>57.45</v>
      </c>
      <c r="I38" s="149">
        <v>57.62</v>
      </c>
      <c r="J38" s="149">
        <v>56.71</v>
      </c>
    </row>
    <row r="39" spans="2:10">
      <c r="B39" s="255"/>
      <c r="C39" s="146" t="s">
        <v>216</v>
      </c>
      <c r="D39" s="149">
        <v>5.6</v>
      </c>
      <c r="E39" s="149">
        <v>5.9</v>
      </c>
      <c r="F39" s="149">
        <v>5.82</v>
      </c>
      <c r="G39" s="149">
        <v>5.99</v>
      </c>
      <c r="H39" s="149">
        <v>7.46</v>
      </c>
      <c r="I39" s="149">
        <v>10.95</v>
      </c>
      <c r="J39" s="149">
        <v>13.44</v>
      </c>
    </row>
    <row r="40" spans="2:10">
      <c r="B40" s="252" t="s">
        <v>192</v>
      </c>
      <c r="C40" s="30" t="s">
        <v>214</v>
      </c>
      <c r="D40" s="148">
        <v>2.84</v>
      </c>
      <c r="E40" s="148">
        <v>2.83</v>
      </c>
      <c r="F40" s="148">
        <v>2.84</v>
      </c>
      <c r="G40" s="148">
        <v>2.86</v>
      </c>
      <c r="H40" s="148">
        <v>2.86</v>
      </c>
      <c r="I40" s="148">
        <v>2.87</v>
      </c>
      <c r="J40" s="148">
        <v>2.88</v>
      </c>
    </row>
    <row r="41" spans="2:10">
      <c r="B41" s="252"/>
      <c r="C41" s="30" t="s">
        <v>215</v>
      </c>
      <c r="D41" s="148">
        <v>2.48</v>
      </c>
      <c r="E41" s="148">
        <v>2.4700000000000002</v>
      </c>
      <c r="F41" s="148">
        <v>2.4700000000000002</v>
      </c>
      <c r="G41" s="148">
        <v>2.58</v>
      </c>
      <c r="H41" s="148">
        <v>2.58</v>
      </c>
      <c r="I41" s="148">
        <v>2.6</v>
      </c>
      <c r="J41" s="148">
        <v>2.59</v>
      </c>
    </row>
    <row r="42" spans="2:10">
      <c r="B42" s="252"/>
      <c r="C42" s="30" t="s">
        <v>216</v>
      </c>
      <c r="D42" s="148">
        <v>1.88</v>
      </c>
      <c r="E42" s="148">
        <v>2.0699999999999998</v>
      </c>
      <c r="F42" s="148">
        <v>2.38</v>
      </c>
      <c r="G42" s="148">
        <v>2.64</v>
      </c>
      <c r="H42" s="148">
        <v>3.1</v>
      </c>
      <c r="I42" s="148">
        <v>3.57</v>
      </c>
      <c r="J42" s="148">
        <v>3.97</v>
      </c>
    </row>
    <row r="43" spans="2:10">
      <c r="B43" s="255" t="s">
        <v>217</v>
      </c>
      <c r="C43" s="146" t="s">
        <v>214</v>
      </c>
      <c r="D43" s="149">
        <v>3.14</v>
      </c>
      <c r="E43" s="149">
        <v>3.13</v>
      </c>
      <c r="F43" s="149">
        <v>3.13</v>
      </c>
      <c r="G43" s="149">
        <v>3.17</v>
      </c>
      <c r="H43" s="149">
        <v>3.18</v>
      </c>
      <c r="I43" s="149">
        <v>3.19</v>
      </c>
      <c r="J43" s="149">
        <v>3.2</v>
      </c>
    </row>
    <row r="44" spans="2:10">
      <c r="B44" s="255"/>
      <c r="C44" s="146" t="s">
        <v>215</v>
      </c>
      <c r="D44" s="149">
        <v>2.16</v>
      </c>
      <c r="E44" s="149">
        <v>2.15</v>
      </c>
      <c r="F44" s="149">
        <v>2.15</v>
      </c>
      <c r="G44" s="149">
        <v>2.39</v>
      </c>
      <c r="H44" s="149">
        <v>2.39</v>
      </c>
      <c r="I44" s="149">
        <v>2.42</v>
      </c>
      <c r="J44" s="149">
        <v>2.4</v>
      </c>
    </row>
    <row r="45" spans="2:10">
      <c r="B45" s="255"/>
      <c r="C45" s="146" t="s">
        <v>216</v>
      </c>
      <c r="D45" s="149">
        <v>0.81</v>
      </c>
      <c r="E45" s="149">
        <v>0.88</v>
      </c>
      <c r="F45" s="149">
        <v>0.99</v>
      </c>
      <c r="G45" s="149">
        <v>1.0900000000000001</v>
      </c>
      <c r="H45" s="149">
        <v>1.26</v>
      </c>
      <c r="I45" s="149">
        <v>1.44</v>
      </c>
      <c r="J45" s="149">
        <v>1.59</v>
      </c>
    </row>
    <row r="46" spans="2:10">
      <c r="B46" s="252" t="s">
        <v>226</v>
      </c>
      <c r="C46" s="30" t="s">
        <v>214</v>
      </c>
      <c r="D46" s="148">
        <v>46.63</v>
      </c>
      <c r="E46" s="148">
        <v>44.8</v>
      </c>
      <c r="F46" s="148">
        <v>45.31</v>
      </c>
      <c r="G46" s="148">
        <v>47.9</v>
      </c>
      <c r="H46" s="148">
        <v>50.44</v>
      </c>
      <c r="I46" s="148">
        <v>50.83</v>
      </c>
      <c r="J46" s="148">
        <v>50.83</v>
      </c>
    </row>
    <row r="47" spans="2:10">
      <c r="B47" s="252"/>
      <c r="C47" s="30" t="s">
        <v>215</v>
      </c>
      <c r="D47" s="148">
        <v>2.74</v>
      </c>
      <c r="E47" s="148">
        <v>2.54</v>
      </c>
      <c r="F47" s="148">
        <v>2.35</v>
      </c>
      <c r="G47" s="148">
        <v>1.56</v>
      </c>
      <c r="H47" s="148">
        <v>1.56</v>
      </c>
      <c r="I47" s="148">
        <v>1.56</v>
      </c>
      <c r="J47" s="148">
        <v>1.37</v>
      </c>
    </row>
    <row r="48" spans="2:10">
      <c r="B48" s="252"/>
      <c r="C48" s="30" t="s">
        <v>216</v>
      </c>
      <c r="D48" s="148">
        <v>0.03</v>
      </c>
      <c r="E48" s="148">
        <v>0.03</v>
      </c>
      <c r="F48" s="148">
        <v>0.03</v>
      </c>
      <c r="G48" s="148">
        <v>0.03</v>
      </c>
      <c r="H48" s="148">
        <v>0.03</v>
      </c>
      <c r="I48" s="148">
        <v>0.03</v>
      </c>
      <c r="J48" s="148">
        <v>0.03</v>
      </c>
    </row>
    <row r="49" spans="2:10">
      <c r="B49" s="255" t="s">
        <v>218</v>
      </c>
      <c r="C49" s="146" t="s">
        <v>214</v>
      </c>
      <c r="D49" s="149">
        <v>7.11</v>
      </c>
      <c r="E49" s="149">
        <v>6.96</v>
      </c>
      <c r="F49" s="149">
        <v>7.01</v>
      </c>
      <c r="G49" s="149">
        <v>7.26</v>
      </c>
      <c r="H49" s="149">
        <v>7.48</v>
      </c>
      <c r="I49" s="149">
        <v>7.53</v>
      </c>
      <c r="J49" s="149">
        <v>7.55</v>
      </c>
    </row>
    <row r="50" spans="2:10">
      <c r="B50" s="255"/>
      <c r="C50" s="146" t="s">
        <v>215</v>
      </c>
      <c r="D50" s="149">
        <v>0.97</v>
      </c>
      <c r="E50" s="149">
        <v>0.96</v>
      </c>
      <c r="F50" s="149">
        <v>0.94</v>
      </c>
      <c r="G50" s="149">
        <v>0.92</v>
      </c>
      <c r="H50" s="149">
        <v>0.92</v>
      </c>
      <c r="I50" s="149">
        <v>0.92</v>
      </c>
      <c r="J50" s="149">
        <v>0.9</v>
      </c>
    </row>
    <row r="51" spans="2:10">
      <c r="B51" s="255"/>
      <c r="C51" s="146" t="s">
        <v>216</v>
      </c>
      <c r="D51" s="149">
        <v>0.11</v>
      </c>
      <c r="E51" s="149">
        <v>0.11</v>
      </c>
      <c r="F51" s="149">
        <v>0.11</v>
      </c>
      <c r="G51" s="149">
        <v>0.11</v>
      </c>
      <c r="H51" s="149">
        <v>0.11</v>
      </c>
      <c r="I51" s="149">
        <v>0.11</v>
      </c>
      <c r="J51" s="149">
        <v>0.11</v>
      </c>
    </row>
    <row r="52" spans="2:10">
      <c r="B52" s="252" t="s">
        <v>227</v>
      </c>
      <c r="C52" s="30" t="s">
        <v>214</v>
      </c>
      <c r="D52" s="148">
        <v>6.54</v>
      </c>
      <c r="E52" s="148">
        <v>6.41</v>
      </c>
      <c r="F52" s="148">
        <v>6.45</v>
      </c>
      <c r="G52" s="148">
        <v>6.68</v>
      </c>
      <c r="H52" s="148">
        <v>6.88</v>
      </c>
      <c r="I52" s="148">
        <v>6.93</v>
      </c>
      <c r="J52" s="148">
        <v>6.94</v>
      </c>
    </row>
    <row r="53" spans="2:10">
      <c r="B53" s="252"/>
      <c r="C53" s="30" t="s">
        <v>215</v>
      </c>
      <c r="D53" s="148">
        <v>0.9</v>
      </c>
      <c r="E53" s="148">
        <v>0.88</v>
      </c>
      <c r="F53" s="148">
        <v>0.87</v>
      </c>
      <c r="G53" s="148">
        <v>0.84</v>
      </c>
      <c r="H53" s="148">
        <v>0.84</v>
      </c>
      <c r="I53" s="148">
        <v>0.85</v>
      </c>
      <c r="J53" s="148">
        <v>0.83</v>
      </c>
    </row>
    <row r="54" spans="2:10">
      <c r="B54" s="252"/>
      <c r="C54" s="30" t="s">
        <v>216</v>
      </c>
      <c r="D54" s="148">
        <v>0.1</v>
      </c>
      <c r="E54" s="148">
        <v>0.1</v>
      </c>
      <c r="F54" s="148">
        <v>0.1</v>
      </c>
      <c r="G54" s="148">
        <v>0.1</v>
      </c>
      <c r="H54" s="148">
        <v>0.1</v>
      </c>
      <c r="I54" s="148">
        <v>0.1</v>
      </c>
      <c r="J54" s="148">
        <v>0.1</v>
      </c>
    </row>
    <row r="55" spans="2:10">
      <c r="B55" s="255" t="s">
        <v>219</v>
      </c>
      <c r="C55" s="146" t="s">
        <v>214</v>
      </c>
      <c r="D55" s="149">
        <v>0.26</v>
      </c>
      <c r="E55" s="149">
        <v>0.27</v>
      </c>
      <c r="F55" s="149">
        <v>0.27</v>
      </c>
      <c r="G55" s="149">
        <v>0.26</v>
      </c>
      <c r="H55" s="149">
        <v>0.26</v>
      </c>
      <c r="I55" s="149">
        <v>0.26</v>
      </c>
      <c r="J55" s="149">
        <v>0.26</v>
      </c>
    </row>
    <row r="56" spans="2:10">
      <c r="B56" s="255"/>
      <c r="C56" s="146" t="s">
        <v>215</v>
      </c>
      <c r="D56" s="149">
        <v>0.43</v>
      </c>
      <c r="E56" s="149">
        <v>0.43</v>
      </c>
      <c r="F56" s="149">
        <v>0.43</v>
      </c>
      <c r="G56" s="149">
        <v>0.37</v>
      </c>
      <c r="H56" s="149">
        <v>0.37</v>
      </c>
      <c r="I56" s="149">
        <v>0.37</v>
      </c>
      <c r="J56" s="149">
        <v>0.38</v>
      </c>
    </row>
    <row r="57" spans="2:10">
      <c r="B57" s="255"/>
      <c r="C57" s="146" t="s">
        <v>216</v>
      </c>
      <c r="D57" s="150">
        <v>1.9E-2</v>
      </c>
      <c r="E57" s="150">
        <v>1.9E-2</v>
      </c>
      <c r="F57" s="150">
        <v>1.9E-2</v>
      </c>
      <c r="G57" s="150">
        <v>1.9E-2</v>
      </c>
      <c r="H57" s="150">
        <v>1.9E-2</v>
      </c>
      <c r="I57" s="150">
        <v>1.9E-2</v>
      </c>
      <c r="J57" s="150">
        <v>1.9E-2</v>
      </c>
    </row>
    <row r="60" spans="2:10">
      <c r="C60" s="258" t="s">
        <v>346</v>
      </c>
      <c r="D60" s="259"/>
      <c r="E60" s="259"/>
    </row>
    <row r="61" spans="2:10" ht="16.8">
      <c r="B61" s="28" t="s">
        <v>345</v>
      </c>
      <c r="C61" s="151" t="s">
        <v>228</v>
      </c>
      <c r="D61" s="151" t="s">
        <v>229</v>
      </c>
      <c r="E61" s="151" t="s">
        <v>230</v>
      </c>
      <c r="F61" s="151" t="s">
        <v>517</v>
      </c>
    </row>
    <row r="62" spans="2:10">
      <c r="B62" s="154" t="s">
        <v>306</v>
      </c>
      <c r="C62" s="111">
        <v>3114</v>
      </c>
      <c r="D62" s="152">
        <v>0.05</v>
      </c>
      <c r="E62" s="153">
        <v>0.18</v>
      </c>
      <c r="F62" s="30"/>
    </row>
    <row r="63" spans="2:10">
      <c r="B63" s="154" t="s">
        <v>215</v>
      </c>
      <c r="C63" s="111">
        <f>'Fatores Emissao'!J29</f>
        <v>3206</v>
      </c>
      <c r="D63" s="152">
        <f>'Fatores Emissao'!J32</f>
        <v>0.05</v>
      </c>
      <c r="E63" s="153">
        <f>'Fatores Emissao'!J35</f>
        <v>0.18</v>
      </c>
      <c r="F63" s="31">
        <v>0.877</v>
      </c>
    </row>
    <row r="64" spans="2:10">
      <c r="B64" s="31" t="s">
        <v>216</v>
      </c>
      <c r="C64" s="110">
        <f>J30</f>
        <v>2750</v>
      </c>
      <c r="D64" s="232">
        <f>J33</f>
        <v>11.96</v>
      </c>
      <c r="E64" s="196">
        <f>J36</f>
        <v>0.1</v>
      </c>
      <c r="F64" s="30"/>
    </row>
    <row r="65" spans="1:13">
      <c r="B65" s="31" t="s">
        <v>513</v>
      </c>
      <c r="C65" s="110">
        <v>1375</v>
      </c>
      <c r="D65" s="110">
        <v>0</v>
      </c>
      <c r="E65" s="110">
        <v>0</v>
      </c>
      <c r="F65" s="30"/>
    </row>
    <row r="67" spans="1:13" ht="18.3">
      <c r="B67" s="254" t="s">
        <v>404</v>
      </c>
      <c r="C67" s="254"/>
      <c r="D67" s="254"/>
      <c r="E67" s="254"/>
      <c r="F67" s="254"/>
      <c r="G67" s="254"/>
      <c r="H67" s="254"/>
      <c r="I67" s="254"/>
      <c r="J67" s="254"/>
      <c r="K67" s="254"/>
      <c r="L67" s="254"/>
    </row>
    <row r="68" spans="1:13" ht="18.3">
      <c r="A68" s="220"/>
      <c r="B68" s="223" t="s">
        <v>487</v>
      </c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20"/>
    </row>
    <row r="70" spans="1:13" ht="16.8">
      <c r="C70" s="183" t="s">
        <v>228</v>
      </c>
      <c r="D70" s="221" t="s">
        <v>194</v>
      </c>
      <c r="E70" s="221" t="s">
        <v>197</v>
      </c>
      <c r="G70" s="229" t="s">
        <v>486</v>
      </c>
    </row>
    <row r="71" spans="1:13">
      <c r="B71" s="29" t="s">
        <v>345</v>
      </c>
      <c r="C71" s="29" t="s">
        <v>278</v>
      </c>
      <c r="D71" s="234" t="s">
        <v>201</v>
      </c>
      <c r="E71" s="234" t="s">
        <v>201</v>
      </c>
    </row>
    <row r="72" spans="1:13">
      <c r="B72" s="154" t="s">
        <v>405</v>
      </c>
      <c r="C72" s="222">
        <f>550/1000</f>
        <v>0.55000000000000004</v>
      </c>
      <c r="D72" s="152">
        <v>3.7</v>
      </c>
      <c r="E72" s="222">
        <v>1E-3</v>
      </c>
    </row>
    <row r="75" spans="1:13" ht="18.3">
      <c r="B75" s="254" t="s">
        <v>586</v>
      </c>
      <c r="C75" s="254"/>
      <c r="D75" s="254"/>
      <c r="E75" s="254"/>
      <c r="F75" s="254"/>
      <c r="G75" s="254"/>
      <c r="H75" s="254"/>
      <c r="I75" s="254"/>
      <c r="J75" s="254"/>
      <c r="K75" s="254"/>
      <c r="L75" s="254"/>
    </row>
    <row r="76" spans="1:13" ht="18.3">
      <c r="A76" s="220"/>
      <c r="B76" s="223" t="s">
        <v>487</v>
      </c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20"/>
    </row>
    <row r="78" spans="1:13" ht="16.8">
      <c r="C78" s="183" t="s">
        <v>228</v>
      </c>
      <c r="D78" s="221" t="s">
        <v>194</v>
      </c>
      <c r="E78" s="221" t="s">
        <v>197</v>
      </c>
      <c r="G78" s="229" t="s">
        <v>486</v>
      </c>
    </row>
    <row r="79" spans="1:13">
      <c r="B79" s="29" t="s">
        <v>345</v>
      </c>
      <c r="C79" s="29" t="s">
        <v>278</v>
      </c>
      <c r="D79" s="234" t="s">
        <v>279</v>
      </c>
      <c r="E79" s="234" t="s">
        <v>279</v>
      </c>
    </row>
    <row r="80" spans="1:13" ht="16.8">
      <c r="B80" s="154" t="s">
        <v>403</v>
      </c>
      <c r="C80" s="222">
        <f>H83</f>
        <v>0.69345196425222089</v>
      </c>
      <c r="D80" s="152">
        <f>H85</f>
        <v>5.5923546298482603E-3</v>
      </c>
      <c r="E80" s="222">
        <f>H87</f>
        <v>2.6719027675941687E-2</v>
      </c>
      <c r="G80" s="30" t="s">
        <v>492</v>
      </c>
      <c r="H80" s="233">
        <v>1.60934</v>
      </c>
      <c r="I80" s="30" t="s">
        <v>493</v>
      </c>
      <c r="K80" s="31" t="s">
        <v>222</v>
      </c>
      <c r="L80" s="233">
        <v>9.4499999999999993</v>
      </c>
      <c r="M80" s="31" t="s">
        <v>491</v>
      </c>
    </row>
    <row r="81" spans="1:13" ht="16.8">
      <c r="G81" s="30" t="s">
        <v>488</v>
      </c>
      <c r="H81" s="233">
        <v>3.7854100000000002</v>
      </c>
      <c r="I81" s="30" t="s">
        <v>501</v>
      </c>
      <c r="K81" s="31" t="s">
        <v>223</v>
      </c>
      <c r="L81" s="233">
        <v>0.56999999999999995</v>
      </c>
      <c r="M81" s="31" t="s">
        <v>500</v>
      </c>
    </row>
    <row r="82" spans="1:13" ht="16.8">
      <c r="C82" s="183" t="s">
        <v>228</v>
      </c>
      <c r="D82" s="221" t="s">
        <v>194</v>
      </c>
      <c r="E82" s="221" t="s">
        <v>197</v>
      </c>
      <c r="G82" s="30" t="s">
        <v>198</v>
      </c>
      <c r="H82" s="233">
        <v>3.6</v>
      </c>
      <c r="I82" s="30" t="s">
        <v>275</v>
      </c>
      <c r="K82" s="31" t="s">
        <v>224</v>
      </c>
      <c r="L82" s="233">
        <v>0.26</v>
      </c>
      <c r="M82" s="31" t="s">
        <v>500</v>
      </c>
    </row>
    <row r="83" spans="1:13" ht="16.8">
      <c r="B83" s="29" t="s">
        <v>345</v>
      </c>
      <c r="C83" s="29" t="s">
        <v>498</v>
      </c>
      <c r="D83" s="234" t="s">
        <v>498</v>
      </c>
      <c r="E83" s="234" t="s">
        <v>498</v>
      </c>
      <c r="G83" s="30" t="s">
        <v>222</v>
      </c>
      <c r="H83" s="233">
        <f>L80/H82/H81</f>
        <v>0.69345196425222089</v>
      </c>
      <c r="I83" s="30" t="s">
        <v>278</v>
      </c>
      <c r="K83" s="31" t="s">
        <v>497</v>
      </c>
      <c r="L83" s="233">
        <v>0.88</v>
      </c>
      <c r="M83" s="31" t="s">
        <v>280</v>
      </c>
    </row>
    <row r="84" spans="1:13" ht="16.8">
      <c r="B84" s="154" t="s">
        <v>403</v>
      </c>
      <c r="C84" s="111">
        <f>L80/H81/L83*1000</f>
        <v>2836.8489446681765</v>
      </c>
      <c r="D84" s="152">
        <f>L81/H81/L83</f>
        <v>0.17111152364665191</v>
      </c>
      <c r="E84" s="222">
        <f>L82/H81/L83</f>
        <v>7.8050870435314917E-2</v>
      </c>
      <c r="G84" s="30" t="s">
        <v>223</v>
      </c>
      <c r="H84" s="233">
        <v>8.9999999999999993E-3</v>
      </c>
      <c r="I84" s="30" t="s">
        <v>490</v>
      </c>
    </row>
    <row r="85" spans="1:13" ht="16.8">
      <c r="G85" s="30" t="s">
        <v>223</v>
      </c>
      <c r="H85" s="233">
        <f>H84/H80</f>
        <v>5.5923546298482603E-3</v>
      </c>
      <c r="I85" s="30" t="s">
        <v>279</v>
      </c>
    </row>
    <row r="86" spans="1:13" ht="16.8">
      <c r="C86" s="183" t="s">
        <v>228</v>
      </c>
      <c r="D86" s="221" t="s">
        <v>194</v>
      </c>
      <c r="E86" s="221" t="s">
        <v>197</v>
      </c>
      <c r="G86" s="30" t="s">
        <v>224</v>
      </c>
      <c r="H86" s="233">
        <v>4.2999999999999997E-2</v>
      </c>
      <c r="I86" s="30" t="s">
        <v>490</v>
      </c>
    </row>
    <row r="87" spans="1:13" s="220" customFormat="1" ht="16.8">
      <c r="A87" s="14"/>
      <c r="B87" s="29" t="s">
        <v>345</v>
      </c>
      <c r="C87" s="29" t="s">
        <v>280</v>
      </c>
      <c r="D87" s="234" t="s">
        <v>503</v>
      </c>
      <c r="E87" s="234" t="s">
        <v>503</v>
      </c>
      <c r="F87" s="14"/>
      <c r="G87" s="30" t="s">
        <v>224</v>
      </c>
      <c r="H87" s="233">
        <f>H86/H80</f>
        <v>2.6719027675941687E-2</v>
      </c>
      <c r="I87" s="30" t="s">
        <v>279</v>
      </c>
      <c r="J87" s="14"/>
      <c r="K87" s="14"/>
      <c r="L87" s="14"/>
      <c r="M87" s="14"/>
    </row>
    <row r="88" spans="1:13">
      <c r="B88" s="154" t="s">
        <v>403</v>
      </c>
      <c r="C88" s="152">
        <f>L80/H81</f>
        <v>2.4964270713079952</v>
      </c>
      <c r="D88" s="152">
        <f>L81/H81</f>
        <v>0.15057814080905368</v>
      </c>
      <c r="E88" s="222">
        <f>L82/H81</f>
        <v>6.8684765983077128E-2</v>
      </c>
    </row>
    <row r="91" spans="1:13" ht="18.3">
      <c r="B91" s="254" t="s">
        <v>495</v>
      </c>
      <c r="C91" s="254"/>
      <c r="D91" s="254"/>
      <c r="E91" s="254"/>
      <c r="F91" s="254"/>
      <c r="G91" s="254"/>
      <c r="H91" s="254"/>
      <c r="I91" s="254"/>
      <c r="J91" s="254"/>
      <c r="K91" s="254"/>
      <c r="L91" s="254"/>
    </row>
    <row r="93" spans="1:13">
      <c r="B93" s="248" t="s">
        <v>590</v>
      </c>
      <c r="C93" s="248"/>
      <c r="D93" s="248"/>
      <c r="E93" s="248"/>
    </row>
    <row r="94" spans="1:13">
      <c r="B94" s="29" t="s">
        <v>221</v>
      </c>
      <c r="C94" s="183" t="s">
        <v>494</v>
      </c>
      <c r="D94" s="249" t="s">
        <v>582</v>
      </c>
      <c r="E94" s="249"/>
    </row>
    <row r="95" spans="1:13">
      <c r="B95" s="154" t="s">
        <v>306</v>
      </c>
      <c r="C95" s="152">
        <v>41.7</v>
      </c>
      <c r="D95" s="250" t="s">
        <v>588</v>
      </c>
      <c r="E95" s="250"/>
    </row>
    <row r="96" spans="1:13" s="220" customFormat="1">
      <c r="A96" s="14"/>
      <c r="B96" s="154" t="s">
        <v>215</v>
      </c>
      <c r="C96" s="152">
        <v>42.7</v>
      </c>
      <c r="D96" s="250" t="s">
        <v>589</v>
      </c>
      <c r="E96" s="250"/>
      <c r="F96" s="14"/>
      <c r="G96" s="14"/>
      <c r="H96" s="14"/>
      <c r="I96" s="14"/>
      <c r="J96" s="14"/>
      <c r="K96" s="14"/>
      <c r="L96" s="14"/>
      <c r="M96" s="14"/>
    </row>
    <row r="97" spans="2:7">
      <c r="B97" s="31" t="s">
        <v>305</v>
      </c>
      <c r="C97" s="196">
        <v>42.63</v>
      </c>
      <c r="D97" s="250" t="s">
        <v>587</v>
      </c>
      <c r="E97" s="250"/>
    </row>
    <row r="98" spans="2:7">
      <c r="B98" s="31" t="s">
        <v>403</v>
      </c>
      <c r="C98" s="196">
        <v>40</v>
      </c>
      <c r="D98" s="250" t="s">
        <v>587</v>
      </c>
      <c r="E98" s="250"/>
    </row>
    <row r="99" spans="2:7">
      <c r="B99" s="31" t="s">
        <v>216</v>
      </c>
      <c r="C99" s="196">
        <v>48</v>
      </c>
      <c r="D99" s="250" t="s">
        <v>589</v>
      </c>
      <c r="E99" s="250"/>
    </row>
    <row r="100" spans="2:7">
      <c r="B100" s="31" t="s">
        <v>513</v>
      </c>
      <c r="C100" s="196">
        <v>19.899999999999999</v>
      </c>
      <c r="D100" s="250" t="s">
        <v>589</v>
      </c>
      <c r="E100" s="250"/>
    </row>
    <row r="106" spans="2:7">
      <c r="B106" s="14" t="s">
        <v>579</v>
      </c>
    </row>
    <row r="108" spans="2:7" ht="16.8">
      <c r="B108" s="248" t="s">
        <v>585</v>
      </c>
      <c r="C108" s="248"/>
      <c r="D108" s="248"/>
      <c r="E108" s="248"/>
      <c r="F108" s="248"/>
      <c r="G108" s="248"/>
    </row>
    <row r="109" spans="2:7" ht="16.8">
      <c r="B109" s="29" t="s">
        <v>221</v>
      </c>
      <c r="C109" s="183" t="s">
        <v>228</v>
      </c>
      <c r="D109" s="183" t="s">
        <v>229</v>
      </c>
      <c r="E109" s="183" t="s">
        <v>230</v>
      </c>
      <c r="F109" s="183" t="s">
        <v>580</v>
      </c>
      <c r="G109" s="183" t="s">
        <v>582</v>
      </c>
    </row>
    <row r="110" spans="2:7">
      <c r="B110" s="154" t="s">
        <v>306</v>
      </c>
      <c r="C110" s="111">
        <f>C62</f>
        <v>3114</v>
      </c>
      <c r="D110" s="152">
        <f t="shared" ref="D110:E110" si="0">D62</f>
        <v>0.05</v>
      </c>
      <c r="E110" s="152">
        <f t="shared" si="0"/>
        <v>0.18</v>
      </c>
      <c r="F110" s="31" t="s">
        <v>581</v>
      </c>
      <c r="G110" s="31" t="s">
        <v>583</v>
      </c>
    </row>
    <row r="111" spans="2:7">
      <c r="B111" s="154" t="s">
        <v>215</v>
      </c>
      <c r="C111" s="111">
        <f t="shared" ref="C111:E113" si="1">C63</f>
        <v>3206</v>
      </c>
      <c r="D111" s="152">
        <f t="shared" si="1"/>
        <v>0.05</v>
      </c>
      <c r="E111" s="152">
        <f t="shared" si="1"/>
        <v>0.18</v>
      </c>
      <c r="F111" s="31" t="s">
        <v>581</v>
      </c>
      <c r="G111" s="31" t="s">
        <v>583</v>
      </c>
    </row>
    <row r="112" spans="2:7">
      <c r="B112" s="31" t="s">
        <v>216</v>
      </c>
      <c r="C112" s="111">
        <f t="shared" si="1"/>
        <v>2750</v>
      </c>
      <c r="D112" s="152">
        <f t="shared" si="1"/>
        <v>11.96</v>
      </c>
      <c r="E112" s="152">
        <f t="shared" si="1"/>
        <v>0.1</v>
      </c>
      <c r="F112" s="31" t="s">
        <v>581</v>
      </c>
      <c r="G112" s="31" t="s">
        <v>583</v>
      </c>
    </row>
    <row r="113" spans="2:7">
      <c r="B113" s="31" t="s">
        <v>481</v>
      </c>
      <c r="C113" s="111">
        <f t="shared" si="1"/>
        <v>1375</v>
      </c>
      <c r="D113" s="152">
        <f t="shared" si="1"/>
        <v>0</v>
      </c>
      <c r="E113" s="152">
        <f t="shared" si="1"/>
        <v>0</v>
      </c>
      <c r="F113" s="31" t="s">
        <v>581</v>
      </c>
      <c r="G113" s="30" t="s">
        <v>584</v>
      </c>
    </row>
    <row r="114" spans="2:7">
      <c r="B114" s="31" t="s">
        <v>403</v>
      </c>
      <c r="C114" s="111">
        <f>C84</f>
        <v>2836.8489446681765</v>
      </c>
      <c r="D114" s="152">
        <f t="shared" ref="D114:E114" si="2">D84</f>
        <v>0.17111152364665191</v>
      </c>
      <c r="E114" s="152">
        <f t="shared" si="2"/>
        <v>7.8050870435314917E-2</v>
      </c>
      <c r="F114" s="31" t="s">
        <v>581</v>
      </c>
      <c r="G114" s="31" t="s">
        <v>583</v>
      </c>
    </row>
    <row r="115" spans="2:7">
      <c r="B115" s="31" t="s">
        <v>403</v>
      </c>
      <c r="C115" s="152">
        <f>C80*1000</f>
        <v>693.45196425222093</v>
      </c>
      <c r="D115" s="152">
        <f t="shared" ref="D115:E115" si="3">D80</f>
        <v>5.5923546298482603E-3</v>
      </c>
      <c r="E115" s="152">
        <f t="shared" si="3"/>
        <v>2.6719027675941687E-2</v>
      </c>
      <c r="F115" s="31" t="s">
        <v>279</v>
      </c>
      <c r="G115" s="31" t="s">
        <v>583</v>
      </c>
    </row>
    <row r="116" spans="2:7">
      <c r="B116" s="31" t="s">
        <v>403</v>
      </c>
      <c r="C116" s="152">
        <f>C88*1000</f>
        <v>2496.4270713079954</v>
      </c>
      <c r="D116" s="152">
        <f t="shared" ref="D116:E116" si="4">D88</f>
        <v>0.15057814080905368</v>
      </c>
      <c r="E116" s="152">
        <f t="shared" si="4"/>
        <v>6.8684765983077128E-2</v>
      </c>
      <c r="F116" s="31" t="s">
        <v>503</v>
      </c>
      <c r="G116" s="31" t="s">
        <v>583</v>
      </c>
    </row>
    <row r="117" spans="2:7">
      <c r="B117" s="31" t="s">
        <v>405</v>
      </c>
      <c r="C117" s="152">
        <f>C72*1000</f>
        <v>550</v>
      </c>
      <c r="D117" s="152">
        <f t="shared" ref="D117:E117" si="5">D72</f>
        <v>3.7</v>
      </c>
      <c r="E117" s="152">
        <f t="shared" si="5"/>
        <v>1E-3</v>
      </c>
      <c r="F117" s="31" t="s">
        <v>279</v>
      </c>
      <c r="G117" s="31" t="s">
        <v>583</v>
      </c>
    </row>
  </sheetData>
  <mergeCells count="30">
    <mergeCell ref="B75:L75"/>
    <mergeCell ref="B91:L91"/>
    <mergeCell ref="B5:C5"/>
    <mergeCell ref="B67:L67"/>
    <mergeCell ref="C14:E14"/>
    <mergeCell ref="C60:E60"/>
    <mergeCell ref="B49:B51"/>
    <mergeCell ref="B52:B54"/>
    <mergeCell ref="B55:B57"/>
    <mergeCell ref="B28:B30"/>
    <mergeCell ref="B31:B33"/>
    <mergeCell ref="B34:B36"/>
    <mergeCell ref="B37:B39"/>
    <mergeCell ref="B40:B42"/>
    <mergeCell ref="B43:B45"/>
    <mergeCell ref="N2:O2"/>
    <mergeCell ref="B46:B48"/>
    <mergeCell ref="B26:J26"/>
    <mergeCell ref="B2:L2"/>
    <mergeCell ref="B23:L23"/>
    <mergeCell ref="B10:L10"/>
    <mergeCell ref="B93:E93"/>
    <mergeCell ref="B108:G108"/>
    <mergeCell ref="D94:E94"/>
    <mergeCell ref="D95:E95"/>
    <mergeCell ref="D96:E96"/>
    <mergeCell ref="D97:E97"/>
    <mergeCell ref="D98:E98"/>
    <mergeCell ref="D99:E99"/>
    <mergeCell ref="D100:E100"/>
  </mergeCells>
  <hyperlinks>
    <hyperlink ref="G70" r:id="rId1" xr:uid="{6CF5D45F-CF41-4115-BDD7-9443651675FF}"/>
    <hyperlink ref="G78" r:id="rId2" xr:uid="{52DEA786-A14D-495E-BCC6-2A50BF55874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6A82-C8C9-4505-AD65-53FE8D6AD63D}">
  <dimension ref="B2:O117"/>
  <sheetViews>
    <sheetView showGridLines="0" workbookViewId="0">
      <selection activeCell="B7" sqref="B7:L20"/>
    </sheetView>
  </sheetViews>
  <sheetFormatPr defaultRowHeight="14.4"/>
  <cols>
    <col min="1" max="1" width="3.5234375" style="14" customWidth="1"/>
    <col min="2" max="2" width="12.68359375" style="14" customWidth="1"/>
    <col min="3" max="3" width="14.20703125" style="27" customWidth="1"/>
    <col min="4" max="4" width="11.47265625" style="14" customWidth="1"/>
    <col min="5" max="5" width="12.62890625" style="14" customWidth="1"/>
    <col min="6" max="6" width="13.26171875" style="14" customWidth="1"/>
    <col min="7" max="7" width="10.68359375" style="14" customWidth="1"/>
    <col min="8" max="8" width="8.83984375" style="14"/>
    <col min="9" max="9" width="13.68359375" style="14" customWidth="1"/>
    <col min="10" max="10" width="11.20703125" style="14" customWidth="1"/>
    <col min="11" max="11" width="9.3125" style="14" customWidth="1"/>
    <col min="12" max="12" width="8.83984375" style="14"/>
    <col min="13" max="13" width="12.734375" style="14" customWidth="1"/>
    <col min="14" max="14" width="20.68359375" style="14" customWidth="1"/>
    <col min="15" max="15" width="14.3125" style="14" customWidth="1"/>
    <col min="16" max="16384" width="8.83984375" style="14"/>
  </cols>
  <sheetData>
    <row r="2" spans="2:15" s="188" customFormat="1" ht="20.7">
      <c r="B2" s="254" t="s">
        <v>504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14"/>
      <c r="N2" s="251" t="s">
        <v>323</v>
      </c>
      <c r="O2" s="251"/>
    </row>
    <row r="3" spans="2:15">
      <c r="B3" s="184" t="s">
        <v>322</v>
      </c>
    </row>
    <row r="5" spans="2:15" ht="30" customHeight="1">
      <c r="B5" s="256" t="s">
        <v>191</v>
      </c>
      <c r="C5" s="257"/>
      <c r="D5" s="115" t="s">
        <v>192</v>
      </c>
      <c r="E5" s="115" t="s">
        <v>193</v>
      </c>
      <c r="F5" s="115" t="s">
        <v>194</v>
      </c>
      <c r="G5" s="115" t="s">
        <v>195</v>
      </c>
      <c r="H5" s="115" t="s">
        <v>196</v>
      </c>
      <c r="I5" s="115" t="s">
        <v>197</v>
      </c>
      <c r="J5" s="115" t="s">
        <v>198</v>
      </c>
      <c r="K5" s="115" t="s">
        <v>228</v>
      </c>
      <c r="L5" s="115" t="s">
        <v>228</v>
      </c>
      <c r="N5" s="115" t="s">
        <v>236</v>
      </c>
      <c r="O5" s="115" t="s">
        <v>235</v>
      </c>
    </row>
    <row r="6" spans="2:15" ht="15">
      <c r="B6" s="116" t="s">
        <v>199</v>
      </c>
      <c r="C6" s="116" t="s">
        <v>200</v>
      </c>
      <c r="D6" s="116" t="s">
        <v>201</v>
      </c>
      <c r="E6" s="116" t="s">
        <v>201</v>
      </c>
      <c r="F6" s="116" t="s">
        <v>201</v>
      </c>
      <c r="G6" s="116" t="s">
        <v>201</v>
      </c>
      <c r="H6" s="116" t="s">
        <v>201</v>
      </c>
      <c r="I6" s="116" t="s">
        <v>201</v>
      </c>
      <c r="J6" s="116" t="s">
        <v>202</v>
      </c>
      <c r="K6" s="116" t="s">
        <v>280</v>
      </c>
      <c r="L6" s="116" t="s">
        <v>278</v>
      </c>
      <c r="N6" s="189" t="s">
        <v>324</v>
      </c>
      <c r="O6" s="189">
        <v>1</v>
      </c>
    </row>
    <row r="7" spans="2:15" ht="15">
      <c r="B7" s="117" t="s">
        <v>203</v>
      </c>
      <c r="C7" s="118" t="s">
        <v>204</v>
      </c>
      <c r="D7" s="119">
        <v>2.01376</v>
      </c>
      <c r="E7" s="119">
        <v>0.73621333333333339</v>
      </c>
      <c r="F7" s="120">
        <v>0.06</v>
      </c>
      <c r="G7" s="119">
        <v>11.584533333333333</v>
      </c>
      <c r="H7" s="119">
        <v>0.71456000000000008</v>
      </c>
      <c r="I7" s="120">
        <v>0.03</v>
      </c>
      <c r="J7" s="121">
        <v>3.45</v>
      </c>
      <c r="K7" s="30"/>
      <c r="L7" s="30"/>
      <c r="N7" s="190" t="s">
        <v>325</v>
      </c>
      <c r="O7" s="190">
        <v>28</v>
      </c>
    </row>
    <row r="8" spans="2:15" ht="15">
      <c r="B8" s="117" t="s">
        <v>205</v>
      </c>
      <c r="C8" s="122" t="s">
        <v>206</v>
      </c>
      <c r="D8" s="123">
        <v>1.810238532110092</v>
      </c>
      <c r="E8" s="123">
        <v>0.60341284403669726</v>
      </c>
      <c r="F8" s="124">
        <v>0.06</v>
      </c>
      <c r="G8" s="123">
        <v>7.3191743119266057</v>
      </c>
      <c r="H8" s="123">
        <v>0.35534311926605505</v>
      </c>
      <c r="I8" s="124">
        <v>0.03</v>
      </c>
      <c r="J8" s="125">
        <v>3.45</v>
      </c>
      <c r="K8" s="30"/>
      <c r="L8" s="30"/>
      <c r="N8" s="189" t="s">
        <v>326</v>
      </c>
      <c r="O8" s="189">
        <v>265</v>
      </c>
    </row>
    <row r="9" spans="2:15">
      <c r="B9" s="117" t="s">
        <v>207</v>
      </c>
      <c r="C9" s="118" t="s">
        <v>208</v>
      </c>
      <c r="D9" s="119">
        <v>0.98599999999999999</v>
      </c>
      <c r="E9" s="119">
        <v>0.33639999999999998</v>
      </c>
      <c r="F9" s="120">
        <v>0.06</v>
      </c>
      <c r="G9" s="119">
        <v>7.1456000000000008</v>
      </c>
      <c r="H9" s="119">
        <v>0.13919999999999999</v>
      </c>
      <c r="I9" s="120">
        <v>0.03</v>
      </c>
      <c r="J9" s="121">
        <v>3.45</v>
      </c>
      <c r="K9" s="30"/>
      <c r="L9" s="30"/>
    </row>
    <row r="10" spans="2:15">
      <c r="B10" s="117" t="s">
        <v>209</v>
      </c>
      <c r="C10" s="122" t="s">
        <v>210</v>
      </c>
      <c r="D10" s="123">
        <v>0.94</v>
      </c>
      <c r="E10" s="123">
        <v>0.25</v>
      </c>
      <c r="F10" s="124">
        <v>0.06</v>
      </c>
      <c r="G10" s="123">
        <v>6</v>
      </c>
      <c r="H10" s="123">
        <v>0.111</v>
      </c>
      <c r="I10" s="124">
        <v>0.03</v>
      </c>
      <c r="J10" s="125">
        <v>3.45</v>
      </c>
      <c r="K10" s="30"/>
      <c r="L10" s="30"/>
    </row>
    <row r="11" spans="2:15">
      <c r="B11" s="117">
        <v>2006</v>
      </c>
      <c r="C11" s="118" t="s">
        <v>210</v>
      </c>
      <c r="D11" s="119">
        <v>0.80847321037512809</v>
      </c>
      <c r="E11" s="119">
        <v>0.21769263217891638</v>
      </c>
      <c r="F11" s="120">
        <v>0.06</v>
      </c>
      <c r="G11" s="119">
        <v>5.2086481903414796</v>
      </c>
      <c r="H11" s="119">
        <v>9.3560548511757602E-2</v>
      </c>
      <c r="I11" s="120">
        <v>0.03</v>
      </c>
      <c r="J11" s="121">
        <v>3.4482758620689653</v>
      </c>
      <c r="K11" s="30"/>
      <c r="L11" s="30"/>
    </row>
    <row r="12" spans="2:15">
      <c r="B12" s="117">
        <v>2007</v>
      </c>
      <c r="C12" s="122" t="s">
        <v>210</v>
      </c>
      <c r="D12" s="123">
        <v>0.80847321037512809</v>
      </c>
      <c r="E12" s="123">
        <v>0.21769263217891638</v>
      </c>
      <c r="F12" s="124">
        <v>0.06</v>
      </c>
      <c r="G12" s="123">
        <v>5.2086481903414796</v>
      </c>
      <c r="H12" s="123">
        <v>9.3560548511757602E-2</v>
      </c>
      <c r="I12" s="124">
        <v>0.03</v>
      </c>
      <c r="J12" s="125">
        <v>3.4482758620689653</v>
      </c>
      <c r="K12" s="30"/>
      <c r="L12" s="30"/>
    </row>
    <row r="13" spans="2:15">
      <c r="B13" s="117">
        <v>2008</v>
      </c>
      <c r="C13" s="118" t="s">
        <v>211</v>
      </c>
      <c r="D13" s="119">
        <v>0.71298620528929058</v>
      </c>
      <c r="E13" s="119">
        <v>0.14900799836085404</v>
      </c>
      <c r="F13" s="120">
        <v>0.06</v>
      </c>
      <c r="G13" s="119">
        <v>5.3971802703458387</v>
      </c>
      <c r="H13" s="119">
        <v>8.5397580090496777E-2</v>
      </c>
      <c r="I13" s="120">
        <v>0.03</v>
      </c>
      <c r="J13" s="121">
        <v>3.4482758620689653</v>
      </c>
      <c r="K13" s="30"/>
      <c r="L13" s="30"/>
    </row>
    <row r="14" spans="2:15">
      <c r="B14" s="117">
        <v>2009</v>
      </c>
      <c r="C14" s="122" t="s">
        <v>211</v>
      </c>
      <c r="D14" s="123">
        <v>0.90559320953562816</v>
      </c>
      <c r="E14" s="123">
        <v>0.11666120047407366</v>
      </c>
      <c r="F14" s="124">
        <v>0.06</v>
      </c>
      <c r="G14" s="123">
        <v>5.3488061934515496</v>
      </c>
      <c r="H14" s="123">
        <v>8.039902401272836E-2</v>
      </c>
      <c r="I14" s="124">
        <v>0.03</v>
      </c>
      <c r="J14" s="125">
        <v>3.4482758620689653</v>
      </c>
      <c r="K14" s="30"/>
      <c r="L14" s="30"/>
    </row>
    <row r="15" spans="2:15">
      <c r="B15" s="117">
        <v>2010</v>
      </c>
      <c r="C15" s="118" t="s">
        <v>211</v>
      </c>
      <c r="D15" s="119">
        <v>0.64286924057853079</v>
      </c>
      <c r="E15" s="119">
        <v>0.16787389650829093</v>
      </c>
      <c r="F15" s="120">
        <v>0.06</v>
      </c>
      <c r="G15" s="119">
        <v>5.3118643742374863</v>
      </c>
      <c r="H15" s="119">
        <v>6.6322904655483253E-2</v>
      </c>
      <c r="I15" s="120">
        <v>0.03</v>
      </c>
      <c r="J15" s="121">
        <v>3.4482758620689653</v>
      </c>
      <c r="K15" s="30"/>
      <c r="L15" s="30"/>
    </row>
    <row r="16" spans="2:15">
      <c r="B16" s="117">
        <v>2011</v>
      </c>
      <c r="C16" s="122" t="s">
        <v>211</v>
      </c>
      <c r="D16" s="123">
        <v>0.78881959619513931</v>
      </c>
      <c r="E16" s="123">
        <v>0.15728411588166516</v>
      </c>
      <c r="F16" s="124">
        <v>0.06</v>
      </c>
      <c r="G16" s="123">
        <v>5.1879746175925945</v>
      </c>
      <c r="H16" s="123">
        <v>7.1427254086049885E-2</v>
      </c>
      <c r="I16" s="124">
        <v>0.03</v>
      </c>
      <c r="J16" s="125">
        <v>3.4482758620689653</v>
      </c>
      <c r="K16" s="30"/>
      <c r="L16" s="30"/>
    </row>
    <row r="17" spans="2:12">
      <c r="B17" s="117">
        <v>2012</v>
      </c>
      <c r="C17" s="118" t="s">
        <v>212</v>
      </c>
      <c r="D17" s="126">
        <v>0.25617854876019347</v>
      </c>
      <c r="E17" s="126">
        <v>2.9793416269034933E-2</v>
      </c>
      <c r="F17" s="127">
        <v>0.06</v>
      </c>
      <c r="G17" s="126">
        <v>1.5901287243480255</v>
      </c>
      <c r="H17" s="126">
        <v>1.4981873006085993E-2</v>
      </c>
      <c r="I17" s="127">
        <v>0.03</v>
      </c>
      <c r="J17" s="128">
        <v>3.61</v>
      </c>
      <c r="K17" s="30"/>
      <c r="L17" s="30"/>
    </row>
    <row r="18" spans="2:12">
      <c r="B18" s="117">
        <v>2013</v>
      </c>
      <c r="C18" s="122" t="s">
        <v>212</v>
      </c>
      <c r="D18" s="129">
        <v>0.28093545294177436</v>
      </c>
      <c r="E18" s="129">
        <v>2.853339043963516E-2</v>
      </c>
      <c r="F18" s="130">
        <v>0.06</v>
      </c>
      <c r="G18" s="129">
        <v>1.5416629831976782</v>
      </c>
      <c r="H18" s="129">
        <v>1.6157334457563836E-2</v>
      </c>
      <c r="I18" s="130">
        <v>0.03</v>
      </c>
      <c r="J18" s="131">
        <v>3.61</v>
      </c>
      <c r="K18" s="30"/>
      <c r="L18" s="30"/>
    </row>
    <row r="19" spans="2:12">
      <c r="B19" s="117">
        <v>2014</v>
      </c>
      <c r="C19" s="118" t="s">
        <v>212</v>
      </c>
      <c r="D19" s="126">
        <v>0.28093545294177436</v>
      </c>
      <c r="E19" s="126">
        <v>2.853339043963516E-2</v>
      </c>
      <c r="F19" s="127">
        <v>0.06</v>
      </c>
      <c r="G19" s="126">
        <v>1.5416629831976782</v>
      </c>
      <c r="H19" s="126">
        <v>1.6157334457563836E-2</v>
      </c>
      <c r="I19" s="127">
        <v>0.03</v>
      </c>
      <c r="J19" s="128">
        <v>3.61</v>
      </c>
      <c r="K19" s="30"/>
      <c r="L19" s="30"/>
    </row>
    <row r="20" spans="2:12">
      <c r="B20" s="117">
        <v>2015</v>
      </c>
      <c r="C20" s="122" t="s">
        <v>212</v>
      </c>
      <c r="D20" s="129">
        <v>0.27453219724803962</v>
      </c>
      <c r="E20" s="129">
        <v>2.8584564140825233E-2</v>
      </c>
      <c r="F20" s="130">
        <v>0.06</v>
      </c>
      <c r="G20" s="129">
        <v>1.6325498213669569</v>
      </c>
      <c r="H20" s="129">
        <v>1.6417891954732946E-2</v>
      </c>
      <c r="I20" s="130">
        <v>0.03</v>
      </c>
      <c r="J20" s="131">
        <v>3.61</v>
      </c>
      <c r="K20" s="30"/>
      <c r="L20" s="30"/>
    </row>
    <row r="21" spans="2:12">
      <c r="B21" s="132">
        <v>2016</v>
      </c>
      <c r="C21" s="132" t="s">
        <v>212</v>
      </c>
      <c r="D21" s="133">
        <v>0.29243216373622016</v>
      </c>
      <c r="E21" s="133">
        <v>3.2638078229037984E-2</v>
      </c>
      <c r="F21" s="134">
        <v>0.06</v>
      </c>
      <c r="G21" s="133">
        <v>1.6895825193693166</v>
      </c>
      <c r="H21" s="133">
        <v>1.5589920805533472E-2</v>
      </c>
      <c r="I21" s="134">
        <v>0.03</v>
      </c>
      <c r="J21" s="135">
        <v>3.61</v>
      </c>
      <c r="K21" s="133">
        <v>2.6030000000000002</v>
      </c>
      <c r="L21" s="133">
        <f>K21/J21</f>
        <v>0.7210526315789475</v>
      </c>
    </row>
    <row r="22" spans="2:12" ht="15" customHeight="1">
      <c r="B22" s="117">
        <v>2017</v>
      </c>
      <c r="C22" s="122" t="s">
        <v>212</v>
      </c>
      <c r="D22" s="123">
        <v>0.23306510260231583</v>
      </c>
      <c r="E22" s="123">
        <v>2.4702350725315458E-2</v>
      </c>
      <c r="F22" s="124">
        <v>0.06</v>
      </c>
      <c r="G22" s="123">
        <v>1.6304326423970692</v>
      </c>
      <c r="H22" s="123">
        <v>1.4045894102256986E-2</v>
      </c>
      <c r="I22" s="124">
        <v>0.03</v>
      </c>
      <c r="J22" s="125">
        <v>3.61</v>
      </c>
    </row>
    <row r="23" spans="2:12">
      <c r="B23" s="136">
        <v>2018</v>
      </c>
      <c r="C23" s="137" t="s">
        <v>212</v>
      </c>
      <c r="D23" s="138">
        <v>0.28887894819866755</v>
      </c>
      <c r="E23" s="138">
        <v>2.2701439272535595E-2</v>
      </c>
      <c r="F23" s="139">
        <v>0.06</v>
      </c>
      <c r="G23" s="138">
        <v>1.5979442465942177</v>
      </c>
      <c r="H23" s="138">
        <v>1.430140230961913E-2</v>
      </c>
      <c r="I23" s="139">
        <v>0.03</v>
      </c>
      <c r="J23" s="140">
        <v>3.61</v>
      </c>
    </row>
    <row r="24" spans="2:12">
      <c r="B24" s="136">
        <v>2019</v>
      </c>
      <c r="C24" s="141" t="s">
        <v>212</v>
      </c>
      <c r="D24" s="142">
        <v>0.1862619201971954</v>
      </c>
      <c r="E24" s="142">
        <v>1.2974945535945664E-2</v>
      </c>
      <c r="F24" s="143">
        <v>0.06</v>
      </c>
      <c r="G24" s="142">
        <v>1.4615692335359287</v>
      </c>
      <c r="H24" s="142">
        <v>1.2981239206632016E-2</v>
      </c>
      <c r="I24" s="143">
        <v>0.03</v>
      </c>
      <c r="J24" s="144">
        <v>3.61</v>
      </c>
    </row>
    <row r="25" spans="2:12">
      <c r="B25" s="136">
        <v>2020</v>
      </c>
      <c r="C25" s="137" t="s">
        <v>212</v>
      </c>
      <c r="D25" s="138">
        <v>0.19139347786790512</v>
      </c>
      <c r="E25" s="138">
        <v>1.275334030215807E-2</v>
      </c>
      <c r="F25" s="139">
        <v>0.06</v>
      </c>
      <c r="G25" s="138">
        <v>1.6482531506760247</v>
      </c>
      <c r="H25" s="138">
        <v>1.4123315916904629E-2</v>
      </c>
      <c r="I25" s="139">
        <v>0.03</v>
      </c>
      <c r="J25" s="140">
        <v>3.61</v>
      </c>
    </row>
    <row r="26" spans="2:12">
      <c r="B26" s="136">
        <v>2021</v>
      </c>
      <c r="C26" s="141" t="s">
        <v>212</v>
      </c>
      <c r="D26" s="145">
        <v>0.19346642938585148</v>
      </c>
      <c r="E26" s="145">
        <v>1.5768970348310984E-2</v>
      </c>
      <c r="F26" s="143">
        <v>0.06</v>
      </c>
      <c r="G26" s="145">
        <v>1.5712549741592217</v>
      </c>
      <c r="H26" s="145">
        <v>1.2490735497694151E-2</v>
      </c>
      <c r="I26" s="143">
        <v>0.03</v>
      </c>
      <c r="J26" s="144">
        <v>3.61</v>
      </c>
    </row>
    <row r="29" spans="2:12" ht="18.3">
      <c r="B29" s="254" t="s">
        <v>505</v>
      </c>
      <c r="C29" s="254"/>
      <c r="D29" s="254"/>
      <c r="E29" s="254"/>
      <c r="F29" s="254"/>
      <c r="G29" s="254"/>
      <c r="H29" s="254"/>
      <c r="I29" s="254"/>
      <c r="J29" s="254"/>
      <c r="K29" s="254"/>
      <c r="L29" s="254"/>
    </row>
    <row r="31" spans="2:12" ht="15.6">
      <c r="B31" s="223" t="s">
        <v>487</v>
      </c>
    </row>
    <row r="33" spans="2:12" ht="16.8">
      <c r="C33" s="183" t="s">
        <v>228</v>
      </c>
      <c r="D33" s="221" t="s">
        <v>194</v>
      </c>
      <c r="E33" s="221" t="s">
        <v>197</v>
      </c>
      <c r="G33" s="31" t="s">
        <v>222</v>
      </c>
      <c r="H33" s="233">
        <v>10.210000000000001</v>
      </c>
      <c r="I33" s="31" t="s">
        <v>491</v>
      </c>
    </row>
    <row r="34" spans="2:12" ht="16.8">
      <c r="B34" s="29" t="s">
        <v>345</v>
      </c>
      <c r="C34" s="29" t="s">
        <v>280</v>
      </c>
      <c r="D34" s="234" t="s">
        <v>506</v>
      </c>
      <c r="E34" s="234" t="s">
        <v>506</v>
      </c>
      <c r="G34" s="31" t="s">
        <v>223</v>
      </c>
      <c r="H34" s="233">
        <v>0.56999999999999995</v>
      </c>
      <c r="I34" s="31" t="s">
        <v>500</v>
      </c>
    </row>
    <row r="35" spans="2:12" ht="16.8">
      <c r="B35" s="154" t="s">
        <v>305</v>
      </c>
      <c r="C35" s="152">
        <f>H33/H36</f>
        <v>2.6971979257200673</v>
      </c>
      <c r="D35" s="152">
        <f>H34/H36</f>
        <v>0.15057814080905368</v>
      </c>
      <c r="E35" s="222">
        <f>H35/H36</f>
        <v>6.8684765983077128E-2</v>
      </c>
      <c r="G35" s="31" t="s">
        <v>224</v>
      </c>
      <c r="H35" s="233">
        <v>0.26</v>
      </c>
      <c r="I35" s="31" t="s">
        <v>500</v>
      </c>
    </row>
    <row r="36" spans="2:12">
      <c r="G36" s="31" t="s">
        <v>488</v>
      </c>
      <c r="H36" s="233">
        <v>3.7854100000000002</v>
      </c>
      <c r="I36" s="31" t="s">
        <v>501</v>
      </c>
    </row>
    <row r="37" spans="2:12">
      <c r="G37" s="31" t="s">
        <v>497</v>
      </c>
      <c r="H37" s="233">
        <v>0.85</v>
      </c>
      <c r="I37" s="31" t="s">
        <v>280</v>
      </c>
    </row>
    <row r="41" spans="2:12" ht="18.3">
      <c r="B41" s="254" t="s">
        <v>344</v>
      </c>
      <c r="C41" s="254"/>
      <c r="D41" s="254"/>
      <c r="E41" s="254"/>
      <c r="F41" s="254"/>
      <c r="G41" s="254"/>
      <c r="H41" s="254"/>
      <c r="I41" s="254"/>
      <c r="J41" s="254"/>
      <c r="K41" s="254"/>
      <c r="L41" s="254"/>
    </row>
    <row r="42" spans="2:12">
      <c r="B42" s="184" t="s">
        <v>510</v>
      </c>
    </row>
    <row r="43" spans="2:12">
      <c r="B43" s="184"/>
    </row>
    <row r="44" spans="2:12">
      <c r="B44" s="253" t="s">
        <v>346</v>
      </c>
      <c r="C44" s="253"/>
      <c r="D44" s="253"/>
      <c r="E44" s="253"/>
      <c r="F44" s="253"/>
      <c r="G44" s="253"/>
      <c r="H44" s="253"/>
      <c r="I44" s="253"/>
      <c r="J44" s="253"/>
    </row>
    <row r="45" spans="2:12">
      <c r="B45" s="28" t="s">
        <v>220</v>
      </c>
      <c r="C45" s="28" t="s">
        <v>221</v>
      </c>
      <c r="D45" s="28">
        <v>2012</v>
      </c>
      <c r="E45" s="28" t="s">
        <v>213</v>
      </c>
      <c r="F45" s="28">
        <v>2014</v>
      </c>
      <c r="G45" s="28">
        <v>2015</v>
      </c>
      <c r="H45" s="28">
        <v>2016</v>
      </c>
      <c r="I45" s="28">
        <v>2017</v>
      </c>
      <c r="J45" s="186">
        <v>2018</v>
      </c>
    </row>
    <row r="46" spans="2:12">
      <c r="B46" s="252" t="s">
        <v>222</v>
      </c>
      <c r="C46" s="30" t="s">
        <v>214</v>
      </c>
      <c r="D46" s="108">
        <v>3114</v>
      </c>
      <c r="E46" s="108">
        <v>3114</v>
      </c>
      <c r="F46" s="108">
        <v>3114</v>
      </c>
      <c r="G46" s="108">
        <v>3114</v>
      </c>
      <c r="H46" s="108">
        <v>3114</v>
      </c>
      <c r="I46" s="108">
        <v>3114</v>
      </c>
      <c r="J46" s="108">
        <v>3114</v>
      </c>
    </row>
    <row r="47" spans="2:12">
      <c r="B47" s="252"/>
      <c r="C47" s="30" t="s">
        <v>215</v>
      </c>
      <c r="D47" s="108">
        <v>3206</v>
      </c>
      <c r="E47" s="108">
        <v>3206</v>
      </c>
      <c r="F47" s="108">
        <v>3206</v>
      </c>
      <c r="G47" s="108">
        <v>3206</v>
      </c>
      <c r="H47" s="108">
        <v>3206</v>
      </c>
      <c r="I47" s="108">
        <v>3206</v>
      </c>
      <c r="J47" s="108">
        <v>3206</v>
      </c>
    </row>
    <row r="48" spans="2:12">
      <c r="B48" s="252"/>
      <c r="C48" s="30" t="s">
        <v>216</v>
      </c>
      <c r="D48" s="108">
        <v>2750</v>
      </c>
      <c r="E48" s="108">
        <v>2750</v>
      </c>
      <c r="F48" s="108">
        <v>2750</v>
      </c>
      <c r="G48" s="108">
        <v>2750</v>
      </c>
      <c r="H48" s="108">
        <v>2750</v>
      </c>
      <c r="I48" s="108">
        <v>2750</v>
      </c>
      <c r="J48" s="108">
        <v>2750</v>
      </c>
    </row>
    <row r="49" spans="2:10">
      <c r="B49" s="255" t="s">
        <v>223</v>
      </c>
      <c r="C49" s="146" t="s">
        <v>214</v>
      </c>
      <c r="D49" s="147">
        <v>0.05</v>
      </c>
      <c r="E49" s="147">
        <v>0.05</v>
      </c>
      <c r="F49" s="147">
        <v>0.05</v>
      </c>
      <c r="G49" s="147">
        <v>0.05</v>
      </c>
      <c r="H49" s="147">
        <v>0.05</v>
      </c>
      <c r="I49" s="147">
        <v>0.05</v>
      </c>
      <c r="J49" s="147">
        <v>0.05</v>
      </c>
    </row>
    <row r="50" spans="2:10">
      <c r="B50" s="255"/>
      <c r="C50" s="146" t="s">
        <v>215</v>
      </c>
      <c r="D50" s="147">
        <v>0.05</v>
      </c>
      <c r="E50" s="147">
        <v>0.05</v>
      </c>
      <c r="F50" s="147">
        <v>0.05</v>
      </c>
      <c r="G50" s="147">
        <v>0.05</v>
      </c>
      <c r="H50" s="147">
        <v>0.05</v>
      </c>
      <c r="I50" s="147">
        <v>0.05</v>
      </c>
      <c r="J50" s="147">
        <v>0.05</v>
      </c>
    </row>
    <row r="51" spans="2:10">
      <c r="B51" s="255"/>
      <c r="C51" s="146" t="s">
        <v>216</v>
      </c>
      <c r="D51" s="147">
        <v>5.31</v>
      </c>
      <c r="E51" s="147">
        <v>6</v>
      </c>
      <c r="F51" s="147">
        <v>7.35</v>
      </c>
      <c r="G51" s="147">
        <v>8.48</v>
      </c>
      <c r="H51" s="147">
        <v>10.199999999999999</v>
      </c>
      <c r="I51" s="147">
        <v>11.22</v>
      </c>
      <c r="J51" s="147">
        <v>11.96</v>
      </c>
    </row>
    <row r="52" spans="2:10">
      <c r="B52" s="252" t="s">
        <v>224</v>
      </c>
      <c r="C52" s="30" t="s">
        <v>214</v>
      </c>
      <c r="D52" s="148">
        <v>0.17</v>
      </c>
      <c r="E52" s="148">
        <v>0.17</v>
      </c>
      <c r="F52" s="148">
        <v>0.17</v>
      </c>
      <c r="G52" s="148">
        <v>0.17</v>
      </c>
      <c r="H52" s="148">
        <v>0.18</v>
      </c>
      <c r="I52" s="148">
        <v>0.18</v>
      </c>
      <c r="J52" s="148">
        <v>0.18</v>
      </c>
    </row>
    <row r="53" spans="2:10">
      <c r="B53" s="252"/>
      <c r="C53" s="30" t="s">
        <v>215</v>
      </c>
      <c r="D53" s="148">
        <v>0.18</v>
      </c>
      <c r="E53" s="148">
        <v>0.18</v>
      </c>
      <c r="F53" s="148">
        <v>0.18</v>
      </c>
      <c r="G53" s="148">
        <v>0.18</v>
      </c>
      <c r="H53" s="148">
        <v>0.18</v>
      </c>
      <c r="I53" s="148">
        <v>0.18</v>
      </c>
      <c r="J53" s="148">
        <v>0.18</v>
      </c>
    </row>
    <row r="54" spans="2:10">
      <c r="B54" s="252"/>
      <c r="C54" s="30" t="s">
        <v>216</v>
      </c>
      <c r="D54" s="148">
        <v>0.08</v>
      </c>
      <c r="E54" s="148">
        <v>0.08</v>
      </c>
      <c r="F54" s="148">
        <v>0.08</v>
      </c>
      <c r="G54" s="148">
        <v>0.09</v>
      </c>
      <c r="H54" s="148">
        <v>0.09</v>
      </c>
      <c r="I54" s="148">
        <v>0.1</v>
      </c>
      <c r="J54" s="148">
        <v>0.1</v>
      </c>
    </row>
    <row r="55" spans="2:10">
      <c r="B55" s="255" t="s">
        <v>225</v>
      </c>
      <c r="C55" s="146" t="s">
        <v>214</v>
      </c>
      <c r="D55" s="149">
        <v>78.61</v>
      </c>
      <c r="E55" s="149">
        <v>77.180000000000007</v>
      </c>
      <c r="F55" s="149">
        <v>76.19</v>
      </c>
      <c r="G55" s="149">
        <v>76.98</v>
      </c>
      <c r="H55" s="149">
        <v>76.709999999999994</v>
      </c>
      <c r="I55" s="149">
        <v>76.67</v>
      </c>
      <c r="J55" s="149">
        <v>75.900000000000006</v>
      </c>
    </row>
    <row r="56" spans="2:10">
      <c r="B56" s="255"/>
      <c r="C56" s="146" t="s">
        <v>215</v>
      </c>
      <c r="D56" s="149">
        <v>53.12</v>
      </c>
      <c r="E56" s="149">
        <v>52.51</v>
      </c>
      <c r="F56" s="149">
        <v>52.14</v>
      </c>
      <c r="G56" s="149">
        <v>57.68</v>
      </c>
      <c r="H56" s="149">
        <v>57.45</v>
      </c>
      <c r="I56" s="149">
        <v>57.62</v>
      </c>
      <c r="J56" s="149">
        <v>56.71</v>
      </c>
    </row>
    <row r="57" spans="2:10">
      <c r="B57" s="255"/>
      <c r="C57" s="146" t="s">
        <v>216</v>
      </c>
      <c r="D57" s="149">
        <v>5.6</v>
      </c>
      <c r="E57" s="149">
        <v>5.9</v>
      </c>
      <c r="F57" s="149">
        <v>5.82</v>
      </c>
      <c r="G57" s="149">
        <v>5.99</v>
      </c>
      <c r="H57" s="149">
        <v>7.46</v>
      </c>
      <c r="I57" s="149">
        <v>10.95</v>
      </c>
      <c r="J57" s="149">
        <v>13.44</v>
      </c>
    </row>
    <row r="58" spans="2:10">
      <c r="B58" s="252" t="s">
        <v>192</v>
      </c>
      <c r="C58" s="30" t="s">
        <v>214</v>
      </c>
      <c r="D58" s="148">
        <v>2.84</v>
      </c>
      <c r="E58" s="148">
        <v>2.83</v>
      </c>
      <c r="F58" s="148">
        <v>2.84</v>
      </c>
      <c r="G58" s="148">
        <v>2.86</v>
      </c>
      <c r="H58" s="148">
        <v>2.86</v>
      </c>
      <c r="I58" s="148">
        <v>2.87</v>
      </c>
      <c r="J58" s="148">
        <v>2.88</v>
      </c>
    </row>
    <row r="59" spans="2:10">
      <c r="B59" s="252"/>
      <c r="C59" s="30" t="s">
        <v>215</v>
      </c>
      <c r="D59" s="148">
        <v>2.48</v>
      </c>
      <c r="E59" s="148">
        <v>2.4700000000000002</v>
      </c>
      <c r="F59" s="148">
        <v>2.4700000000000002</v>
      </c>
      <c r="G59" s="148">
        <v>2.58</v>
      </c>
      <c r="H59" s="148">
        <v>2.58</v>
      </c>
      <c r="I59" s="148">
        <v>2.6</v>
      </c>
      <c r="J59" s="148">
        <v>2.59</v>
      </c>
    </row>
    <row r="60" spans="2:10">
      <c r="B60" s="252"/>
      <c r="C60" s="30" t="s">
        <v>216</v>
      </c>
      <c r="D60" s="148">
        <v>1.88</v>
      </c>
      <c r="E60" s="148">
        <v>2.0699999999999998</v>
      </c>
      <c r="F60" s="148">
        <v>2.38</v>
      </c>
      <c r="G60" s="148">
        <v>2.64</v>
      </c>
      <c r="H60" s="148">
        <v>3.1</v>
      </c>
      <c r="I60" s="148">
        <v>3.57</v>
      </c>
      <c r="J60" s="148">
        <v>3.97</v>
      </c>
    </row>
    <row r="61" spans="2:10">
      <c r="B61" s="255" t="s">
        <v>217</v>
      </c>
      <c r="C61" s="146" t="s">
        <v>214</v>
      </c>
      <c r="D61" s="149">
        <v>3.14</v>
      </c>
      <c r="E61" s="149">
        <v>3.13</v>
      </c>
      <c r="F61" s="149">
        <v>3.13</v>
      </c>
      <c r="G61" s="149">
        <v>3.17</v>
      </c>
      <c r="H61" s="149">
        <v>3.18</v>
      </c>
      <c r="I61" s="149">
        <v>3.19</v>
      </c>
      <c r="J61" s="149">
        <v>3.2</v>
      </c>
    </row>
    <row r="62" spans="2:10">
      <c r="B62" s="255"/>
      <c r="C62" s="146" t="s">
        <v>215</v>
      </c>
      <c r="D62" s="149">
        <v>2.16</v>
      </c>
      <c r="E62" s="149">
        <v>2.15</v>
      </c>
      <c r="F62" s="149">
        <v>2.15</v>
      </c>
      <c r="G62" s="149">
        <v>2.39</v>
      </c>
      <c r="H62" s="149">
        <v>2.39</v>
      </c>
      <c r="I62" s="149">
        <v>2.42</v>
      </c>
      <c r="J62" s="149">
        <v>2.4</v>
      </c>
    </row>
    <row r="63" spans="2:10">
      <c r="B63" s="255"/>
      <c r="C63" s="146" t="s">
        <v>216</v>
      </c>
      <c r="D63" s="149">
        <v>0.81</v>
      </c>
      <c r="E63" s="149">
        <v>0.88</v>
      </c>
      <c r="F63" s="149">
        <v>0.99</v>
      </c>
      <c r="G63" s="149">
        <v>1.0900000000000001</v>
      </c>
      <c r="H63" s="149">
        <v>1.26</v>
      </c>
      <c r="I63" s="149">
        <v>1.44</v>
      </c>
      <c r="J63" s="149">
        <v>1.59</v>
      </c>
    </row>
    <row r="64" spans="2:10">
      <c r="B64" s="252" t="s">
        <v>226</v>
      </c>
      <c r="C64" s="30" t="s">
        <v>214</v>
      </c>
      <c r="D64" s="148">
        <v>46.63</v>
      </c>
      <c r="E64" s="148">
        <v>44.8</v>
      </c>
      <c r="F64" s="148">
        <v>45.31</v>
      </c>
      <c r="G64" s="148">
        <v>47.9</v>
      </c>
      <c r="H64" s="148">
        <v>50.44</v>
      </c>
      <c r="I64" s="148">
        <v>50.83</v>
      </c>
      <c r="J64" s="148">
        <v>50.83</v>
      </c>
    </row>
    <row r="65" spans="2:13">
      <c r="B65" s="252"/>
      <c r="C65" s="30" t="s">
        <v>215</v>
      </c>
      <c r="D65" s="148">
        <v>2.74</v>
      </c>
      <c r="E65" s="148">
        <v>2.54</v>
      </c>
      <c r="F65" s="148">
        <v>2.35</v>
      </c>
      <c r="G65" s="148">
        <v>1.56</v>
      </c>
      <c r="H65" s="148">
        <v>1.56</v>
      </c>
      <c r="I65" s="148">
        <v>1.56</v>
      </c>
      <c r="J65" s="148">
        <v>1.37</v>
      </c>
    </row>
    <row r="66" spans="2:13">
      <c r="B66" s="252"/>
      <c r="C66" s="30" t="s">
        <v>216</v>
      </c>
      <c r="D66" s="148">
        <v>0.03</v>
      </c>
      <c r="E66" s="148">
        <v>0.03</v>
      </c>
      <c r="F66" s="148">
        <v>0.03</v>
      </c>
      <c r="G66" s="148">
        <v>0.03</v>
      </c>
      <c r="H66" s="148">
        <v>0.03</v>
      </c>
      <c r="I66" s="148">
        <v>0.03</v>
      </c>
      <c r="J66" s="148">
        <v>0.03</v>
      </c>
    </row>
    <row r="67" spans="2:13">
      <c r="B67" s="255" t="s">
        <v>218</v>
      </c>
      <c r="C67" s="146" t="s">
        <v>214</v>
      </c>
      <c r="D67" s="149">
        <v>7.11</v>
      </c>
      <c r="E67" s="149">
        <v>6.96</v>
      </c>
      <c r="F67" s="149">
        <v>7.01</v>
      </c>
      <c r="G67" s="149">
        <v>7.26</v>
      </c>
      <c r="H67" s="149">
        <v>7.48</v>
      </c>
      <c r="I67" s="149">
        <v>7.53</v>
      </c>
      <c r="J67" s="149">
        <v>7.55</v>
      </c>
    </row>
    <row r="68" spans="2:13">
      <c r="B68" s="255"/>
      <c r="C68" s="146" t="s">
        <v>215</v>
      </c>
      <c r="D68" s="149">
        <v>0.97</v>
      </c>
      <c r="E68" s="149">
        <v>0.96</v>
      </c>
      <c r="F68" s="149">
        <v>0.94</v>
      </c>
      <c r="G68" s="149">
        <v>0.92</v>
      </c>
      <c r="H68" s="149">
        <v>0.92</v>
      </c>
      <c r="I68" s="149">
        <v>0.92</v>
      </c>
      <c r="J68" s="149">
        <v>0.9</v>
      </c>
    </row>
    <row r="69" spans="2:13">
      <c r="B69" s="255"/>
      <c r="C69" s="146" t="s">
        <v>216</v>
      </c>
      <c r="D69" s="149">
        <v>0.11</v>
      </c>
      <c r="E69" s="149">
        <v>0.11</v>
      </c>
      <c r="F69" s="149">
        <v>0.11</v>
      </c>
      <c r="G69" s="149">
        <v>0.11</v>
      </c>
      <c r="H69" s="149">
        <v>0.11</v>
      </c>
      <c r="I69" s="149">
        <v>0.11</v>
      </c>
      <c r="J69" s="149">
        <v>0.11</v>
      </c>
    </row>
    <row r="70" spans="2:13">
      <c r="B70" s="252" t="s">
        <v>227</v>
      </c>
      <c r="C70" s="30" t="s">
        <v>214</v>
      </c>
      <c r="D70" s="148">
        <v>6.54</v>
      </c>
      <c r="E70" s="148">
        <v>6.41</v>
      </c>
      <c r="F70" s="148">
        <v>6.45</v>
      </c>
      <c r="G70" s="148">
        <v>6.68</v>
      </c>
      <c r="H70" s="148">
        <v>6.88</v>
      </c>
      <c r="I70" s="148">
        <v>6.93</v>
      </c>
      <c r="J70" s="148">
        <v>6.94</v>
      </c>
    </row>
    <row r="71" spans="2:13">
      <c r="B71" s="252"/>
      <c r="C71" s="30" t="s">
        <v>215</v>
      </c>
      <c r="D71" s="148">
        <v>0.9</v>
      </c>
      <c r="E71" s="148">
        <v>0.88</v>
      </c>
      <c r="F71" s="148">
        <v>0.87</v>
      </c>
      <c r="G71" s="148">
        <v>0.84</v>
      </c>
      <c r="H71" s="148">
        <v>0.84</v>
      </c>
      <c r="I71" s="148">
        <v>0.85</v>
      </c>
      <c r="J71" s="148">
        <v>0.83</v>
      </c>
    </row>
    <row r="72" spans="2:13">
      <c r="B72" s="252"/>
      <c r="C72" s="30" t="s">
        <v>216</v>
      </c>
      <c r="D72" s="148">
        <v>0.1</v>
      </c>
      <c r="E72" s="148">
        <v>0.1</v>
      </c>
      <c r="F72" s="148">
        <v>0.1</v>
      </c>
      <c r="G72" s="148">
        <v>0.1</v>
      </c>
      <c r="H72" s="148">
        <v>0.1</v>
      </c>
      <c r="I72" s="148">
        <v>0.1</v>
      </c>
      <c r="J72" s="148">
        <v>0.1</v>
      </c>
    </row>
    <row r="73" spans="2:13">
      <c r="B73" s="255" t="s">
        <v>219</v>
      </c>
      <c r="C73" s="146" t="s">
        <v>214</v>
      </c>
      <c r="D73" s="149">
        <v>0.26</v>
      </c>
      <c r="E73" s="149">
        <v>0.27</v>
      </c>
      <c r="F73" s="149">
        <v>0.27</v>
      </c>
      <c r="G73" s="149">
        <v>0.26</v>
      </c>
      <c r="H73" s="149">
        <v>0.26</v>
      </c>
      <c r="I73" s="149">
        <v>0.26</v>
      </c>
      <c r="J73" s="149">
        <v>0.26</v>
      </c>
    </row>
    <row r="74" spans="2:13">
      <c r="B74" s="255"/>
      <c r="C74" s="146" t="s">
        <v>215</v>
      </c>
      <c r="D74" s="149">
        <v>0.43</v>
      </c>
      <c r="E74" s="149">
        <v>0.43</v>
      </c>
      <c r="F74" s="149">
        <v>0.43</v>
      </c>
      <c r="G74" s="149">
        <v>0.37</v>
      </c>
      <c r="H74" s="149">
        <v>0.37</v>
      </c>
      <c r="I74" s="149">
        <v>0.37</v>
      </c>
      <c r="J74" s="149">
        <v>0.38</v>
      </c>
    </row>
    <row r="75" spans="2:13">
      <c r="B75" s="255"/>
      <c r="C75" s="146" t="s">
        <v>216</v>
      </c>
      <c r="D75" s="150">
        <v>1.9E-2</v>
      </c>
      <c r="E75" s="150">
        <v>1.9E-2</v>
      </c>
      <c r="F75" s="150">
        <v>1.9E-2</v>
      </c>
      <c r="G75" s="150">
        <v>1.9E-2</v>
      </c>
      <c r="H75" s="150">
        <v>1.9E-2</v>
      </c>
      <c r="I75" s="150">
        <v>1.9E-2</v>
      </c>
      <c r="J75" s="150">
        <v>1.9E-2</v>
      </c>
    </row>
    <row r="78" spans="2:13">
      <c r="C78" s="248" t="s">
        <v>346</v>
      </c>
      <c r="D78" s="248"/>
      <c r="E78" s="248"/>
      <c r="F78" s="248"/>
      <c r="G78" s="248"/>
      <c r="H78" s="248"/>
      <c r="I78" s="248"/>
      <c r="J78" s="248"/>
      <c r="K78" s="248"/>
      <c r="L78" s="248"/>
    </row>
    <row r="79" spans="2:13" ht="16.8">
      <c r="B79" s="28" t="s">
        <v>345</v>
      </c>
      <c r="C79" s="151" t="s">
        <v>228</v>
      </c>
      <c r="D79" s="151" t="s">
        <v>229</v>
      </c>
      <c r="E79" s="151" t="s">
        <v>230</v>
      </c>
      <c r="F79" s="151" t="s">
        <v>231</v>
      </c>
      <c r="G79" s="151" t="s">
        <v>192</v>
      </c>
      <c r="H79" s="151" t="s">
        <v>217</v>
      </c>
      <c r="I79" s="151" t="s">
        <v>232</v>
      </c>
      <c r="J79" s="151" t="s">
        <v>218</v>
      </c>
      <c r="K79" s="151" t="s">
        <v>233</v>
      </c>
      <c r="L79" s="151" t="s">
        <v>219</v>
      </c>
      <c r="M79" s="151" t="s">
        <v>517</v>
      </c>
    </row>
    <row r="80" spans="2:13">
      <c r="B80" s="154" t="s">
        <v>306</v>
      </c>
      <c r="C80" s="111">
        <v>3114</v>
      </c>
      <c r="D80" s="152">
        <v>0.05</v>
      </c>
      <c r="E80" s="153">
        <v>0.18</v>
      </c>
      <c r="F80" s="153">
        <v>75.900000000000006</v>
      </c>
      <c r="G80" s="153">
        <v>2.88</v>
      </c>
      <c r="H80" s="153">
        <v>3.2</v>
      </c>
      <c r="I80" s="153">
        <v>50.83</v>
      </c>
      <c r="J80" s="153">
        <v>7.55</v>
      </c>
      <c r="K80" s="153">
        <v>6.94</v>
      </c>
      <c r="L80" s="153">
        <v>0.26</v>
      </c>
      <c r="M80" s="30"/>
    </row>
    <row r="81" spans="2:13">
      <c r="B81" s="154" t="s">
        <v>215</v>
      </c>
      <c r="C81" s="111">
        <f>'Fatores Emissao (2)'!J47</f>
        <v>3206</v>
      </c>
      <c r="D81" s="152">
        <f>'Fatores Emissao (2)'!J50</f>
        <v>0.05</v>
      </c>
      <c r="E81" s="153">
        <f>'Fatores Emissao (2)'!J53</f>
        <v>0.18</v>
      </c>
      <c r="F81" s="153">
        <f>'Fatores Emissao (2)'!J56</f>
        <v>56.71</v>
      </c>
      <c r="G81" s="153">
        <f>'Fatores Emissao (2)'!J59</f>
        <v>2.59</v>
      </c>
      <c r="H81" s="153">
        <f>'Fatores Emissao (2)'!J62</f>
        <v>2.4</v>
      </c>
      <c r="I81" s="153">
        <f>'Fatores Emissao (2)'!J65</f>
        <v>1.37</v>
      </c>
      <c r="J81" s="153">
        <f>'Fatores Emissao (2)'!J68</f>
        <v>0.9</v>
      </c>
      <c r="K81" s="153">
        <f>'Fatores Emissao (2)'!J71</f>
        <v>0.83</v>
      </c>
      <c r="L81" s="153">
        <f>'Fatores Emissao (2)'!J74</f>
        <v>0.38</v>
      </c>
      <c r="M81" s="31">
        <v>0.877</v>
      </c>
    </row>
    <row r="82" spans="2:13">
      <c r="B82" s="31" t="s">
        <v>216</v>
      </c>
      <c r="C82" s="110">
        <f>J48</f>
        <v>2750</v>
      </c>
      <c r="D82" s="232">
        <f>J51</f>
        <v>11.96</v>
      </c>
      <c r="E82" s="196">
        <f>J54</f>
        <v>0.1</v>
      </c>
      <c r="F82" s="196">
        <f>J57</f>
        <v>13.44</v>
      </c>
      <c r="G82" s="196">
        <f>J60</f>
        <v>3.97</v>
      </c>
      <c r="H82" s="196">
        <f>J63</f>
        <v>1.59</v>
      </c>
      <c r="I82" s="196">
        <f>J66</f>
        <v>0.03</v>
      </c>
      <c r="J82" s="196">
        <f>J69</f>
        <v>0.11</v>
      </c>
      <c r="K82" s="196">
        <f>J72</f>
        <v>0.1</v>
      </c>
      <c r="L82" s="233">
        <f>J75</f>
        <v>1.9E-2</v>
      </c>
      <c r="M82" s="30"/>
    </row>
    <row r="83" spans="2:13">
      <c r="B83" s="31" t="s">
        <v>513</v>
      </c>
      <c r="C83" s="110">
        <v>1375</v>
      </c>
      <c r="D83" s="110">
        <v>0</v>
      </c>
      <c r="E83" s="110">
        <v>0</v>
      </c>
      <c r="F83" s="30"/>
      <c r="G83" s="30"/>
      <c r="H83" s="30"/>
      <c r="I83" s="30"/>
      <c r="J83" s="30"/>
      <c r="K83" s="30"/>
      <c r="L83" s="30"/>
      <c r="M83" s="30"/>
    </row>
    <row r="85" spans="2:13" ht="18.3">
      <c r="B85" s="254" t="s">
        <v>404</v>
      </c>
      <c r="C85" s="254"/>
      <c r="D85" s="254"/>
      <c r="E85" s="254"/>
      <c r="F85" s="254"/>
      <c r="G85" s="254"/>
      <c r="H85" s="254"/>
      <c r="I85" s="254"/>
      <c r="J85" s="254"/>
      <c r="K85" s="254"/>
      <c r="L85" s="254"/>
    </row>
    <row r="86" spans="2:13" s="220" customFormat="1" ht="18.3">
      <c r="B86" s="223" t="s">
        <v>487</v>
      </c>
      <c r="C86" s="219"/>
      <c r="D86" s="219"/>
      <c r="E86" s="219"/>
      <c r="F86" s="219"/>
      <c r="G86" s="219"/>
      <c r="H86" s="219"/>
      <c r="I86" s="219"/>
      <c r="J86" s="219"/>
      <c r="K86" s="219"/>
      <c r="L86" s="219"/>
    </row>
    <row r="88" spans="2:13" ht="16.8">
      <c r="C88" s="183" t="s">
        <v>228</v>
      </c>
      <c r="D88" s="221" t="s">
        <v>194</v>
      </c>
      <c r="E88" s="221" t="s">
        <v>197</v>
      </c>
      <c r="G88" s="229" t="s">
        <v>486</v>
      </c>
    </row>
    <row r="89" spans="2:13">
      <c r="B89" s="29" t="s">
        <v>345</v>
      </c>
      <c r="C89" s="29" t="s">
        <v>278</v>
      </c>
      <c r="D89" s="234" t="s">
        <v>201</v>
      </c>
      <c r="E89" s="234" t="s">
        <v>201</v>
      </c>
    </row>
    <row r="90" spans="2:13">
      <c r="B90" s="154" t="s">
        <v>405</v>
      </c>
      <c r="C90" s="222">
        <f>550/1000</f>
        <v>0.55000000000000004</v>
      </c>
      <c r="D90" s="152">
        <v>3.7</v>
      </c>
      <c r="E90" s="222">
        <v>1E-3</v>
      </c>
    </row>
    <row r="93" spans="2:13" ht="18.3">
      <c r="B93" s="254" t="s">
        <v>403</v>
      </c>
      <c r="C93" s="254"/>
      <c r="D93" s="254"/>
      <c r="E93" s="254"/>
      <c r="F93" s="254"/>
      <c r="G93" s="254"/>
      <c r="H93" s="254"/>
      <c r="I93" s="254"/>
      <c r="J93" s="254"/>
      <c r="K93" s="254"/>
      <c r="L93" s="254"/>
    </row>
    <row r="94" spans="2:13" s="220" customFormat="1" ht="18.3">
      <c r="B94" s="223" t="s">
        <v>487</v>
      </c>
      <c r="C94" s="219"/>
      <c r="D94" s="219"/>
      <c r="E94" s="219"/>
      <c r="F94" s="219"/>
      <c r="G94" s="219"/>
      <c r="H94" s="219"/>
      <c r="I94" s="219"/>
      <c r="J94" s="219"/>
      <c r="K94" s="219"/>
      <c r="L94" s="219"/>
    </row>
    <row r="96" spans="2:13" ht="16.8">
      <c r="C96" s="183" t="s">
        <v>228</v>
      </c>
      <c r="D96" s="221" t="s">
        <v>194</v>
      </c>
      <c r="E96" s="221" t="s">
        <v>197</v>
      </c>
      <c r="G96" s="229" t="s">
        <v>486</v>
      </c>
    </row>
    <row r="97" spans="2:13">
      <c r="B97" s="29" t="s">
        <v>345</v>
      </c>
      <c r="C97" s="29" t="s">
        <v>278</v>
      </c>
      <c r="D97" s="234" t="s">
        <v>201</v>
      </c>
      <c r="E97" s="234" t="s">
        <v>201</v>
      </c>
    </row>
    <row r="98" spans="2:13" ht="16.8">
      <c r="B98" s="154" t="s">
        <v>403</v>
      </c>
      <c r="C98" s="222">
        <f>H101</f>
        <v>0.69345196425222089</v>
      </c>
      <c r="D98" s="152">
        <f>H103</f>
        <v>5.5923546298482603E-3</v>
      </c>
      <c r="E98" s="222">
        <f>H105</f>
        <v>2.6719027675941687E-2</v>
      </c>
      <c r="G98" s="30" t="s">
        <v>492</v>
      </c>
      <c r="H98" s="233">
        <v>1.60934</v>
      </c>
      <c r="I98" s="30" t="s">
        <v>493</v>
      </c>
      <c r="K98" s="31" t="s">
        <v>222</v>
      </c>
      <c r="L98" s="233">
        <v>9.4499999999999993</v>
      </c>
      <c r="M98" s="31" t="s">
        <v>491</v>
      </c>
    </row>
    <row r="99" spans="2:13" ht="16.8">
      <c r="G99" s="30" t="s">
        <v>488</v>
      </c>
      <c r="H99" s="233">
        <v>3.7854100000000002</v>
      </c>
      <c r="I99" s="30" t="s">
        <v>501</v>
      </c>
      <c r="K99" s="31" t="s">
        <v>223</v>
      </c>
      <c r="L99" s="233">
        <v>0.56999999999999995</v>
      </c>
      <c r="M99" s="31" t="s">
        <v>500</v>
      </c>
    </row>
    <row r="100" spans="2:13" ht="16.8">
      <c r="C100" s="183" t="s">
        <v>228</v>
      </c>
      <c r="D100" s="221" t="s">
        <v>194</v>
      </c>
      <c r="E100" s="221" t="s">
        <v>197</v>
      </c>
      <c r="G100" s="30" t="s">
        <v>198</v>
      </c>
      <c r="H100" s="233">
        <v>3.6</v>
      </c>
      <c r="I100" s="30" t="s">
        <v>275</v>
      </c>
      <c r="K100" s="31" t="s">
        <v>224</v>
      </c>
      <c r="L100" s="233">
        <v>0.26</v>
      </c>
      <c r="M100" s="31" t="s">
        <v>500</v>
      </c>
    </row>
    <row r="101" spans="2:13" ht="16.8">
      <c r="B101" s="29" t="s">
        <v>345</v>
      </c>
      <c r="C101" s="29" t="s">
        <v>498</v>
      </c>
      <c r="D101" s="234" t="s">
        <v>499</v>
      </c>
      <c r="E101" s="234" t="s">
        <v>499</v>
      </c>
      <c r="G101" s="30" t="s">
        <v>222</v>
      </c>
      <c r="H101" s="233">
        <f>L98/H100/H99</f>
        <v>0.69345196425222089</v>
      </c>
      <c r="I101" s="30" t="s">
        <v>278</v>
      </c>
      <c r="K101" s="31" t="s">
        <v>497</v>
      </c>
      <c r="L101" s="233">
        <v>0.88</v>
      </c>
      <c r="M101" s="31" t="s">
        <v>280</v>
      </c>
    </row>
    <row r="102" spans="2:13" ht="16.8">
      <c r="B102" s="154" t="s">
        <v>403</v>
      </c>
      <c r="C102" s="111">
        <f>L98/H99/L101*1000</f>
        <v>2836.8489446681765</v>
      </c>
      <c r="D102" s="152">
        <f>L99/H99/L101</f>
        <v>0.17111152364665191</v>
      </c>
      <c r="E102" s="222">
        <f>L100/H99/L101</f>
        <v>7.8050870435314917E-2</v>
      </c>
      <c r="G102" s="30" t="s">
        <v>223</v>
      </c>
      <c r="H102" s="233">
        <v>8.9999999999999993E-3</v>
      </c>
      <c r="I102" s="30" t="s">
        <v>490</v>
      </c>
    </row>
    <row r="103" spans="2:13" ht="16.8">
      <c r="G103" s="30" t="s">
        <v>223</v>
      </c>
      <c r="H103" s="233">
        <f>H102/H98</f>
        <v>5.5923546298482603E-3</v>
      </c>
      <c r="I103" s="30" t="s">
        <v>279</v>
      </c>
    </row>
    <row r="104" spans="2:13" ht="16.8">
      <c r="C104" s="183" t="s">
        <v>228</v>
      </c>
      <c r="D104" s="221" t="s">
        <v>194</v>
      </c>
      <c r="E104" s="221" t="s">
        <v>197</v>
      </c>
      <c r="G104" s="30" t="s">
        <v>224</v>
      </c>
      <c r="H104" s="233">
        <v>4.2999999999999997E-2</v>
      </c>
      <c r="I104" s="30" t="s">
        <v>490</v>
      </c>
    </row>
    <row r="105" spans="2:13" ht="16.8">
      <c r="B105" s="29" t="s">
        <v>345</v>
      </c>
      <c r="C105" s="29" t="s">
        <v>280</v>
      </c>
      <c r="D105" s="234" t="s">
        <v>503</v>
      </c>
      <c r="E105" s="234" t="s">
        <v>503</v>
      </c>
      <c r="G105" s="30" t="s">
        <v>224</v>
      </c>
      <c r="H105" s="233">
        <f>H104/H98</f>
        <v>2.6719027675941687E-2</v>
      </c>
      <c r="I105" s="30" t="s">
        <v>279</v>
      </c>
    </row>
    <row r="106" spans="2:13">
      <c r="B106" s="154" t="s">
        <v>403</v>
      </c>
      <c r="C106" s="152">
        <f>L98/H99</f>
        <v>2.4964270713079952</v>
      </c>
      <c r="D106" s="152">
        <f>L99/H99</f>
        <v>0.15057814080905368</v>
      </c>
      <c r="E106" s="222">
        <f>L100/H99</f>
        <v>6.8684765983077128E-2</v>
      </c>
    </row>
    <row r="109" spans="2:13" ht="18.3">
      <c r="B109" s="254" t="s">
        <v>495</v>
      </c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</row>
    <row r="111" spans="2:13">
      <c r="B111" s="28" t="s">
        <v>345</v>
      </c>
      <c r="C111" s="151" t="s">
        <v>494</v>
      </c>
    </row>
    <row r="112" spans="2:13">
      <c r="B112" s="154" t="s">
        <v>306</v>
      </c>
      <c r="C112" s="152">
        <v>41</v>
      </c>
    </row>
    <row r="113" spans="2:4">
      <c r="B113" s="154" t="s">
        <v>215</v>
      </c>
      <c r="C113" s="152">
        <v>44</v>
      </c>
    </row>
    <row r="114" spans="2:4">
      <c r="B114" s="31" t="s">
        <v>305</v>
      </c>
      <c r="C114" s="196">
        <v>42.63</v>
      </c>
    </row>
    <row r="115" spans="2:4">
      <c r="B115" s="31" t="s">
        <v>403</v>
      </c>
      <c r="C115" s="196">
        <v>40</v>
      </c>
    </row>
    <row r="116" spans="2:4">
      <c r="B116" s="31" t="s">
        <v>216</v>
      </c>
      <c r="C116" s="196">
        <v>48</v>
      </c>
      <c r="D116" s="14" t="s">
        <v>509</v>
      </c>
    </row>
    <row r="117" spans="2:4">
      <c r="B117" s="31" t="s">
        <v>513</v>
      </c>
      <c r="C117" s="196">
        <v>19.899999999999999</v>
      </c>
      <c r="D117" s="14" t="s">
        <v>509</v>
      </c>
    </row>
  </sheetData>
  <mergeCells count="20">
    <mergeCell ref="B61:B63"/>
    <mergeCell ref="B2:L2"/>
    <mergeCell ref="N2:O2"/>
    <mergeCell ref="B5:C5"/>
    <mergeCell ref="B29:L29"/>
    <mergeCell ref="B41:L41"/>
    <mergeCell ref="B44:J44"/>
    <mergeCell ref="B46:B48"/>
    <mergeCell ref="B49:B51"/>
    <mergeCell ref="B52:B54"/>
    <mergeCell ref="B55:B57"/>
    <mergeCell ref="B58:B60"/>
    <mergeCell ref="B93:L93"/>
    <mergeCell ref="B109:L109"/>
    <mergeCell ref="B64:B66"/>
    <mergeCell ref="B67:B69"/>
    <mergeCell ref="B70:B72"/>
    <mergeCell ref="B73:B75"/>
    <mergeCell ref="C78:L78"/>
    <mergeCell ref="B85:L85"/>
  </mergeCells>
  <hyperlinks>
    <hyperlink ref="G88" r:id="rId1" xr:uid="{217D7A15-E5E8-4F2C-B9F4-FC3BD8515EE7}"/>
    <hyperlink ref="G96" r:id="rId2" xr:uid="{A17278CB-505B-496B-AB44-CF78FD71FA6F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6DC68-5647-4F58-B8E6-7B45E10D37EA}">
  <dimension ref="C3:O42"/>
  <sheetViews>
    <sheetView showGridLines="0" workbookViewId="0">
      <selection activeCell="J14" sqref="J14"/>
    </sheetView>
  </sheetViews>
  <sheetFormatPr defaultRowHeight="15.6"/>
  <cols>
    <col min="1" max="1" width="4.578125" style="169" customWidth="1"/>
    <col min="2" max="2" width="6.62890625" style="169" customWidth="1"/>
    <col min="3" max="3" width="33.62890625" style="169" customWidth="1"/>
    <col min="4" max="4" width="15.578125" style="2" customWidth="1"/>
    <col min="5" max="5" width="17.578125" style="2" customWidth="1"/>
    <col min="6" max="6" width="21.3125" style="2" customWidth="1"/>
    <col min="7" max="7" width="21.05078125" style="169" customWidth="1"/>
    <col min="8" max="8" width="20.7890625" style="169" customWidth="1"/>
    <col min="9" max="9" width="21.05078125" style="169" customWidth="1"/>
    <col min="10" max="10" width="20.47265625" style="169" customWidth="1"/>
    <col min="11" max="11" width="20.578125" style="169" customWidth="1"/>
    <col min="12" max="12" width="21.26171875" style="169" customWidth="1"/>
    <col min="13" max="13" width="20.83984375" style="169" customWidth="1"/>
    <col min="14" max="16384" width="8.83984375" style="169"/>
  </cols>
  <sheetData>
    <row r="3" spans="3:8">
      <c r="C3" s="34" t="s">
        <v>401</v>
      </c>
      <c r="D3" s="34" t="s">
        <v>406</v>
      </c>
      <c r="E3" s="34" t="s">
        <v>564</v>
      </c>
      <c r="F3" s="34" t="s">
        <v>565</v>
      </c>
      <c r="G3" s="34" t="s">
        <v>566</v>
      </c>
      <c r="H3" s="34" t="s">
        <v>567</v>
      </c>
    </row>
    <row r="4" spans="3:8">
      <c r="C4" s="224" t="s">
        <v>387</v>
      </c>
      <c r="D4" s="6"/>
      <c r="E4" s="6"/>
      <c r="F4" s="6"/>
      <c r="G4" s="6"/>
      <c r="H4" s="6"/>
    </row>
    <row r="5" spans="3:8">
      <c r="C5" s="215" t="s">
        <v>525</v>
      </c>
      <c r="D5" s="6" t="s">
        <v>305</v>
      </c>
      <c r="E5" s="6" t="s">
        <v>407</v>
      </c>
      <c r="F5" s="6" t="s">
        <v>560</v>
      </c>
      <c r="G5" s="6" t="s">
        <v>407</v>
      </c>
      <c r="H5" s="6" t="s">
        <v>407</v>
      </c>
    </row>
    <row r="6" spans="3:8">
      <c r="C6" s="215" t="s">
        <v>526</v>
      </c>
      <c r="D6" s="6" t="s">
        <v>331</v>
      </c>
      <c r="E6" s="6" t="s">
        <v>331</v>
      </c>
      <c r="F6" s="6" t="s">
        <v>560</v>
      </c>
      <c r="G6" s="6" t="s">
        <v>560</v>
      </c>
      <c r="H6" s="6" t="s">
        <v>560</v>
      </c>
    </row>
    <row r="7" spans="3:8">
      <c r="C7" s="224" t="s">
        <v>388</v>
      </c>
      <c r="D7" s="84"/>
      <c r="E7" s="84"/>
      <c r="F7" s="84"/>
      <c r="G7" s="84"/>
      <c r="H7" s="84"/>
    </row>
    <row r="8" spans="3:8">
      <c r="C8" s="215" t="s">
        <v>568</v>
      </c>
      <c r="D8" s="6" t="s">
        <v>305</v>
      </c>
      <c r="E8" s="6" t="s">
        <v>407</v>
      </c>
      <c r="F8" s="6" t="s">
        <v>560</v>
      </c>
      <c r="G8" s="6" t="s">
        <v>407</v>
      </c>
      <c r="H8" s="6" t="s">
        <v>407</v>
      </c>
    </row>
    <row r="9" spans="3:8">
      <c r="C9" s="215" t="s">
        <v>390</v>
      </c>
      <c r="D9" s="6" t="s">
        <v>305</v>
      </c>
      <c r="E9" s="6" t="s">
        <v>305</v>
      </c>
      <c r="F9" s="6" t="s">
        <v>560</v>
      </c>
      <c r="G9" s="6" t="s">
        <v>560</v>
      </c>
      <c r="H9" s="6" t="s">
        <v>560</v>
      </c>
    </row>
    <row r="10" spans="3:8">
      <c r="C10" s="215" t="s">
        <v>391</v>
      </c>
      <c r="D10" s="6" t="s">
        <v>305</v>
      </c>
      <c r="E10" s="6" t="s">
        <v>305</v>
      </c>
      <c r="F10" s="6" t="s">
        <v>560</v>
      </c>
      <c r="G10" s="6" t="s">
        <v>560</v>
      </c>
      <c r="H10" s="6" t="s">
        <v>560</v>
      </c>
    </row>
    <row r="11" spans="3:8">
      <c r="C11" s="215" t="s">
        <v>399</v>
      </c>
      <c r="D11" s="6" t="s">
        <v>215</v>
      </c>
      <c r="E11" s="6" t="s">
        <v>215</v>
      </c>
      <c r="F11" s="6" t="s">
        <v>560</v>
      </c>
      <c r="G11" s="6" t="s">
        <v>216</v>
      </c>
      <c r="H11" s="6" t="s">
        <v>481</v>
      </c>
    </row>
    <row r="12" spans="3:8">
      <c r="C12" s="215" t="s">
        <v>398</v>
      </c>
      <c r="D12" s="6" t="s">
        <v>215</v>
      </c>
      <c r="E12" s="6" t="s">
        <v>215</v>
      </c>
      <c r="F12" s="6" t="s">
        <v>560</v>
      </c>
      <c r="G12" s="6" t="s">
        <v>560</v>
      </c>
      <c r="H12" s="6" t="s">
        <v>560</v>
      </c>
    </row>
    <row r="13" spans="3:8">
      <c r="C13" s="215" t="s">
        <v>591</v>
      </c>
      <c r="D13" s="6" t="s">
        <v>408</v>
      </c>
      <c r="E13" s="6" t="s">
        <v>408</v>
      </c>
      <c r="F13" s="6" t="s">
        <v>561</v>
      </c>
      <c r="G13" s="6" t="s">
        <v>216</v>
      </c>
      <c r="H13" s="6" t="s">
        <v>481</v>
      </c>
    </row>
    <row r="15" spans="3:8" ht="18">
      <c r="D15" s="260" t="s">
        <v>484</v>
      </c>
      <c r="E15" s="260"/>
      <c r="F15" s="260"/>
      <c r="G15" s="260"/>
      <c r="H15" s="260"/>
    </row>
    <row r="16" spans="3:8">
      <c r="C16" s="98" t="s">
        <v>401</v>
      </c>
      <c r="D16" s="34" t="s">
        <v>406</v>
      </c>
      <c r="E16" s="34" t="s">
        <v>564</v>
      </c>
      <c r="F16" s="34" t="s">
        <v>565</v>
      </c>
      <c r="G16" s="34" t="s">
        <v>566</v>
      </c>
      <c r="H16" s="34" t="s">
        <v>567</v>
      </c>
    </row>
    <row r="17" spans="3:15">
      <c r="C17" s="179" t="s">
        <v>387</v>
      </c>
      <c r="D17" s="231">
        <f>SUM(D18:D19)</f>
        <v>7614970.5106528327</v>
      </c>
      <c r="E17" s="231">
        <f t="shared" ref="E17:H17" si="0">SUM(E18:E19)</f>
        <v>6981469.5606478313</v>
      </c>
      <c r="F17" s="231">
        <f t="shared" si="0"/>
        <v>7185134.9885974275</v>
      </c>
      <c r="G17" s="231">
        <f t="shared" si="0"/>
        <v>6798985.2664270606</v>
      </c>
      <c r="H17" s="231">
        <f t="shared" si="0"/>
        <v>6798985.2664270606</v>
      </c>
    </row>
    <row r="18" spans="3:15">
      <c r="C18" s="215" t="s">
        <v>525</v>
      </c>
      <c r="D18" s="192">
        <f>'Rodo Direto Base'!I79</f>
        <v>6025805.9477100018</v>
      </c>
      <c r="E18" s="192">
        <f>'Rodo Direto C1'!I79</f>
        <v>5392304.9977050005</v>
      </c>
      <c r="F18" s="192">
        <f>'Rodo Direto C2'!I79</f>
        <v>5778454.7198753674</v>
      </c>
      <c r="G18" s="192">
        <f>E18</f>
        <v>5392304.9977050005</v>
      </c>
      <c r="H18" s="192">
        <f>E18</f>
        <v>5392304.9977050005</v>
      </c>
      <c r="L18" s="244">
        <f t="shared" ref="L18:O18" si="1">E18/E17</f>
        <v>0.77237391796414745</v>
      </c>
      <c r="M18" s="244">
        <f t="shared" si="1"/>
        <v>0.80422354333573198</v>
      </c>
      <c r="N18" s="244">
        <f t="shared" si="1"/>
        <v>0.79310438049216636</v>
      </c>
      <c r="O18" s="244">
        <f t="shared" si="1"/>
        <v>0.79310438049216636</v>
      </c>
    </row>
    <row r="19" spans="3:15">
      <c r="C19" s="215" t="s">
        <v>526</v>
      </c>
      <c r="D19" s="192">
        <f>'Hidroviario Base C1'!I79</f>
        <v>1589164.5629428306</v>
      </c>
      <c r="E19" s="192">
        <f>D19</f>
        <v>1589164.5629428306</v>
      </c>
      <c r="F19" s="192">
        <f>'Hidroviario C2'!I79</f>
        <v>1406680.2687220601</v>
      </c>
      <c r="G19" s="192">
        <f>F19</f>
        <v>1406680.2687220601</v>
      </c>
      <c r="H19" s="192">
        <f>G19</f>
        <v>1406680.2687220601</v>
      </c>
      <c r="L19" s="245">
        <f t="shared" ref="L19:O19" si="2">1-L18</f>
        <v>0.22762608203585255</v>
      </c>
      <c r="M19" s="245">
        <f t="shared" si="2"/>
        <v>0.19577645666426802</v>
      </c>
      <c r="N19" s="245">
        <f t="shared" si="2"/>
        <v>0.20689561950783364</v>
      </c>
      <c r="O19" s="245">
        <f t="shared" si="2"/>
        <v>0.20689561950783364</v>
      </c>
    </row>
    <row r="20" spans="3:15">
      <c r="C20" s="179" t="s">
        <v>388</v>
      </c>
      <c r="D20" s="231">
        <f>SUM(D21:D26)</f>
        <v>4159789.4541021716</v>
      </c>
      <c r="E20" s="231">
        <f>SUM(E21:E26)</f>
        <v>4103280.4377813297</v>
      </c>
      <c r="F20" s="231">
        <f>SUM(F21:F26)</f>
        <v>4121217.9995323448</v>
      </c>
      <c r="G20" s="231">
        <f t="shared" ref="G20:H20" si="3">SUM(G21:G26)</f>
        <v>3592099.20987743</v>
      </c>
      <c r="H20" s="231">
        <f t="shared" si="3"/>
        <v>3787435.9876842136</v>
      </c>
    </row>
    <row r="21" spans="3:15">
      <c r="C21" s="215" t="s">
        <v>568</v>
      </c>
      <c r="D21" s="192">
        <f>'Rodo Cabotagem Base'!I78</f>
        <v>537508.84926484223</v>
      </c>
      <c r="E21" s="192">
        <f>'Rodo Cabotagem C1'!I78</f>
        <v>480999.83294400014</v>
      </c>
      <c r="F21" s="192">
        <f>'Rodo Cabotagem C2'!I78</f>
        <v>515444.83409552422</v>
      </c>
      <c r="G21" s="192">
        <f>$E$21</f>
        <v>480999.83294400014</v>
      </c>
      <c r="H21" s="192">
        <f>$E$21</f>
        <v>480999.83294400014</v>
      </c>
    </row>
    <row r="22" spans="3:15">
      <c r="C22" s="215" t="s">
        <v>390</v>
      </c>
      <c r="D22" s="192">
        <f>'Depot Base C1'!I88</f>
        <v>19272.361525662251</v>
      </c>
      <c r="E22" s="192">
        <f>D22</f>
        <v>19272.361525662251</v>
      </c>
      <c r="F22" s="192">
        <f>'Depot C2'!I88</f>
        <v>18374.706231518074</v>
      </c>
      <c r="G22" s="192">
        <f>$F$22</f>
        <v>18374.706231518074</v>
      </c>
      <c r="H22" s="192">
        <f>$F$22</f>
        <v>18374.706231518074</v>
      </c>
    </row>
    <row r="23" spans="3:15">
      <c r="C23" s="215" t="s">
        <v>391</v>
      </c>
      <c r="D23" s="192">
        <f>'TC Total'!C14</f>
        <v>67902.953775416652</v>
      </c>
      <c r="E23" s="192">
        <f>D23</f>
        <v>67902.953775416652</v>
      </c>
      <c r="F23" s="192">
        <f>'TC Total'!C28</f>
        <v>64740.214955715361</v>
      </c>
      <c r="G23" s="192">
        <f>$F$23</f>
        <v>64740.214955715361</v>
      </c>
      <c r="H23" s="192">
        <f>$F$23</f>
        <v>64740.214955715361</v>
      </c>
      <c r="J23" s="201"/>
      <c r="K23" s="201"/>
    </row>
    <row r="24" spans="3:15">
      <c r="C24" s="215" t="s">
        <v>399</v>
      </c>
      <c r="D24" s="192">
        <f>'Navio Porto Base C1'!C203</f>
        <v>60674.461203703708</v>
      </c>
      <c r="E24" s="192">
        <f t="shared" ref="E24:E26" si="4">D24</f>
        <v>60674.461203703708</v>
      </c>
      <c r="F24" s="192">
        <f>'Navio Porto C2'!C202</f>
        <v>56954.520583766229</v>
      </c>
      <c r="G24" s="192">
        <f>'Navio Porto C3'!C202</f>
        <v>51591.872035223765</v>
      </c>
      <c r="H24" s="192">
        <f>'Navio Porto C4'!C202</f>
        <v>54994.47875953844</v>
      </c>
    </row>
    <row r="25" spans="3:15">
      <c r="C25" s="215" t="s">
        <v>398</v>
      </c>
      <c r="D25" s="192">
        <f>'Praticagem e Rebocador Base C1'!C130</f>
        <v>68351.891840000011</v>
      </c>
      <c r="E25" s="192">
        <f t="shared" si="4"/>
        <v>68351.891840000011</v>
      </c>
      <c r="F25" s="192">
        <f>'Praticagem e Rebocador C2'!C130</f>
        <v>66199.312501268127</v>
      </c>
      <c r="G25" s="192">
        <f>$F$25</f>
        <v>66199.312501268127</v>
      </c>
      <c r="H25" s="192">
        <f>$F$25</f>
        <v>66199.312501268127</v>
      </c>
    </row>
    <row r="26" spans="3:15">
      <c r="C26" s="215" t="s">
        <v>591</v>
      </c>
      <c r="D26" s="192">
        <f>'Navio Viagem Base C1'!C199</f>
        <v>3406078.9364925469</v>
      </c>
      <c r="E26" s="192">
        <f t="shared" si="4"/>
        <v>3406078.9364925469</v>
      </c>
      <c r="F26" s="192">
        <f>'Navio Viagem C2'!C199</f>
        <v>3399504.4111645524</v>
      </c>
      <c r="G26" s="192">
        <f>'Navio Viagem C3'!C198</f>
        <v>2910193.2712097047</v>
      </c>
      <c r="H26" s="192">
        <f>'Navio Viagem C4'!C198</f>
        <v>3102127.4422921734</v>
      </c>
    </row>
    <row r="27" spans="3:15">
      <c r="D27" s="247">
        <f>D22+D23+D25</f>
        <v>155527.20714107889</v>
      </c>
      <c r="G27" s="247">
        <f>G22+G23+G25</f>
        <v>149314.23368850158</v>
      </c>
    </row>
    <row r="28" spans="3:15">
      <c r="C28" s="179" t="s">
        <v>485</v>
      </c>
      <c r="D28" s="228">
        <f>D20/D17-1</f>
        <v>-0.45373531673131162</v>
      </c>
      <c r="E28" s="228">
        <f t="shared" ref="E28:H28" si="5">E20/E17-1</f>
        <v>-0.41226121490092493</v>
      </c>
      <c r="F28" s="228">
        <f t="shared" si="5"/>
        <v>-0.42642441567589451</v>
      </c>
      <c r="G28" s="228">
        <f>G20/G17-1</f>
        <v>-0.47167127606306514</v>
      </c>
      <c r="H28" s="228">
        <f t="shared" si="5"/>
        <v>-0.44294099203504356</v>
      </c>
    </row>
    <row r="29" spans="3:15">
      <c r="D29" s="169"/>
      <c r="E29" s="169"/>
      <c r="F29" s="169"/>
    </row>
    <row r="31" spans="3:15" ht="18">
      <c r="D31" s="260" t="s">
        <v>484</v>
      </c>
      <c r="E31" s="260"/>
      <c r="F31" s="260"/>
      <c r="G31" s="260"/>
      <c r="H31" s="260"/>
      <c r="I31" s="260"/>
      <c r="J31" s="260"/>
      <c r="K31" s="260"/>
      <c r="L31" s="260"/>
      <c r="M31" s="260"/>
    </row>
    <row r="32" spans="3:15">
      <c r="C32" s="98" t="s">
        <v>401</v>
      </c>
      <c r="D32" s="98" t="s">
        <v>569</v>
      </c>
      <c r="E32" s="98" t="s">
        <v>570</v>
      </c>
      <c r="F32" s="98" t="s">
        <v>571</v>
      </c>
      <c r="G32" s="98" t="s">
        <v>572</v>
      </c>
      <c r="H32" s="98" t="s">
        <v>573</v>
      </c>
      <c r="I32" s="98" t="s">
        <v>574</v>
      </c>
      <c r="J32" s="98" t="s">
        <v>575</v>
      </c>
      <c r="K32" s="98" t="s">
        <v>576</v>
      </c>
      <c r="L32" s="98" t="s">
        <v>577</v>
      </c>
      <c r="M32" s="98" t="s">
        <v>578</v>
      </c>
    </row>
    <row r="33" spans="3:13">
      <c r="C33" s="179" t="s">
        <v>387</v>
      </c>
      <c r="D33" s="231">
        <f>D17</f>
        <v>7614970.5106528327</v>
      </c>
      <c r="E33" s="231"/>
      <c r="F33" s="231">
        <f>E17</f>
        <v>6981469.5606478313</v>
      </c>
      <c r="G33" s="231"/>
      <c r="H33" s="231">
        <f>F17</f>
        <v>7185134.9885974275</v>
      </c>
      <c r="I33" s="231"/>
      <c r="J33" s="231">
        <f>G17</f>
        <v>6798985.2664270606</v>
      </c>
      <c r="K33" s="231"/>
      <c r="L33" s="231">
        <f>H17</f>
        <v>6798985.2664270606</v>
      </c>
      <c r="M33" s="231"/>
    </row>
    <row r="34" spans="3:13">
      <c r="C34" s="215" t="s">
        <v>525</v>
      </c>
      <c r="D34" s="113">
        <f t="shared" ref="D34:D35" si="6">D18</f>
        <v>6025805.9477100018</v>
      </c>
      <c r="E34" s="192"/>
      <c r="F34" s="113">
        <f>E18</f>
        <v>5392304.9977050005</v>
      </c>
      <c r="G34" s="192"/>
      <c r="H34" s="113">
        <f>F18</f>
        <v>5778454.7198753674</v>
      </c>
      <c r="I34" s="192"/>
      <c r="J34" s="113">
        <f>G18</f>
        <v>5392304.9977050005</v>
      </c>
      <c r="K34" s="192"/>
      <c r="L34" s="192">
        <f>H18</f>
        <v>5392304.9977050005</v>
      </c>
      <c r="M34" s="192"/>
    </row>
    <row r="35" spans="3:13">
      <c r="C35" s="215" t="s">
        <v>526</v>
      </c>
      <c r="D35" s="113">
        <f t="shared" si="6"/>
        <v>1589164.5629428306</v>
      </c>
      <c r="E35" s="192"/>
      <c r="F35" s="113">
        <f>E19</f>
        <v>1589164.5629428306</v>
      </c>
      <c r="G35" s="192"/>
      <c r="H35" s="113">
        <f>F19</f>
        <v>1406680.2687220601</v>
      </c>
      <c r="I35" s="192"/>
      <c r="J35" s="113">
        <f>G19</f>
        <v>1406680.2687220601</v>
      </c>
      <c r="K35" s="192"/>
      <c r="L35" s="192">
        <f>H19</f>
        <v>1406680.2687220601</v>
      </c>
      <c r="M35" s="192"/>
    </row>
    <row r="36" spans="3:13">
      <c r="C36" s="179" t="s">
        <v>388</v>
      </c>
      <c r="D36" s="231"/>
      <c r="E36" s="231">
        <f>E20</f>
        <v>4103280.4377813297</v>
      </c>
      <c r="F36" s="231"/>
      <c r="G36" s="231">
        <f>E20</f>
        <v>4103280.4377813297</v>
      </c>
      <c r="H36" s="231"/>
      <c r="I36" s="231">
        <f>F20</f>
        <v>4121217.9995323448</v>
      </c>
      <c r="J36" s="231"/>
      <c r="K36" s="231">
        <f>G20</f>
        <v>3592099.20987743</v>
      </c>
      <c r="L36" s="231"/>
      <c r="M36" s="231">
        <f>H20</f>
        <v>3787435.9876842136</v>
      </c>
    </row>
    <row r="37" spans="3:13">
      <c r="C37" s="215" t="s">
        <v>591</v>
      </c>
      <c r="D37" s="192"/>
      <c r="E37" s="192">
        <f>E26</f>
        <v>3406078.9364925469</v>
      </c>
      <c r="F37" s="192"/>
      <c r="G37" s="192">
        <f>E26</f>
        <v>3406078.9364925469</v>
      </c>
      <c r="H37" s="192"/>
      <c r="I37" s="192">
        <f>F26</f>
        <v>3399504.4111645524</v>
      </c>
      <c r="J37" s="192"/>
      <c r="K37" s="192">
        <f>G26</f>
        <v>2910193.2712097047</v>
      </c>
      <c r="L37" s="192"/>
      <c r="M37" s="192">
        <f>H26</f>
        <v>3102127.4422921734</v>
      </c>
    </row>
    <row r="38" spans="3:13">
      <c r="C38" s="215" t="s">
        <v>568</v>
      </c>
      <c r="D38" s="192"/>
      <c r="E38" s="192">
        <f>E21</f>
        <v>480999.83294400014</v>
      </c>
      <c r="F38" s="192"/>
      <c r="G38" s="192">
        <f>E21</f>
        <v>480999.83294400014</v>
      </c>
      <c r="H38" s="192"/>
      <c r="I38" s="192">
        <f>F21</f>
        <v>515444.83409552422</v>
      </c>
      <c r="J38" s="192"/>
      <c r="K38" s="192">
        <f>G21</f>
        <v>480999.83294400014</v>
      </c>
      <c r="L38" s="192"/>
      <c r="M38" s="192">
        <f>H21</f>
        <v>480999.83294400014</v>
      </c>
    </row>
    <row r="39" spans="3:13">
      <c r="C39" s="215" t="s">
        <v>398</v>
      </c>
      <c r="D39" s="192"/>
      <c r="E39" s="192">
        <f>E25</f>
        <v>68351.891840000011</v>
      </c>
      <c r="F39" s="192"/>
      <c r="G39" s="192">
        <f>E25</f>
        <v>68351.891840000011</v>
      </c>
      <c r="H39" s="192"/>
      <c r="I39" s="192">
        <f>F25</f>
        <v>66199.312501268127</v>
      </c>
      <c r="J39" s="192"/>
      <c r="K39" s="192">
        <f>G25</f>
        <v>66199.312501268127</v>
      </c>
      <c r="L39" s="192"/>
      <c r="M39" s="192">
        <f>H25</f>
        <v>66199.312501268127</v>
      </c>
    </row>
    <row r="40" spans="3:13">
      <c r="C40" s="215" t="s">
        <v>391</v>
      </c>
      <c r="D40" s="192"/>
      <c r="E40" s="192">
        <f>E23</f>
        <v>67902.953775416652</v>
      </c>
      <c r="F40" s="192"/>
      <c r="G40" s="192">
        <f>E23</f>
        <v>67902.953775416652</v>
      </c>
      <c r="H40" s="192"/>
      <c r="I40" s="192">
        <f>F23</f>
        <v>64740.214955715361</v>
      </c>
      <c r="J40" s="192"/>
      <c r="K40" s="192">
        <f>G23</f>
        <v>64740.214955715361</v>
      </c>
      <c r="L40" s="192"/>
      <c r="M40" s="192">
        <f>H23</f>
        <v>64740.214955715361</v>
      </c>
    </row>
    <row r="41" spans="3:13">
      <c r="C41" s="215" t="s">
        <v>399</v>
      </c>
      <c r="D41" s="192"/>
      <c r="E41" s="192">
        <f>E24</f>
        <v>60674.461203703708</v>
      </c>
      <c r="F41" s="192"/>
      <c r="G41" s="192">
        <f>E24</f>
        <v>60674.461203703708</v>
      </c>
      <c r="H41" s="192"/>
      <c r="I41" s="192">
        <f>F24</f>
        <v>56954.520583766229</v>
      </c>
      <c r="J41" s="192"/>
      <c r="K41" s="192">
        <f>G24</f>
        <v>51591.872035223765</v>
      </c>
      <c r="L41" s="192"/>
      <c r="M41" s="192">
        <f>H24</f>
        <v>54994.47875953844</v>
      </c>
    </row>
    <row r="42" spans="3:13">
      <c r="C42" s="215" t="s">
        <v>390</v>
      </c>
      <c r="D42" s="192"/>
      <c r="E42" s="192">
        <f>E22</f>
        <v>19272.361525662251</v>
      </c>
      <c r="F42" s="192"/>
      <c r="G42" s="192">
        <f>E22</f>
        <v>19272.361525662251</v>
      </c>
      <c r="H42" s="192"/>
      <c r="I42" s="192">
        <f>F22</f>
        <v>18374.706231518074</v>
      </c>
      <c r="J42" s="192"/>
      <c r="K42" s="192">
        <f>G22</f>
        <v>18374.706231518074</v>
      </c>
      <c r="L42" s="192"/>
      <c r="M42" s="192">
        <f>H22</f>
        <v>18374.706231518074</v>
      </c>
    </row>
  </sheetData>
  <mergeCells count="2">
    <mergeCell ref="D31:M31"/>
    <mergeCell ref="D15:H15"/>
  </mergeCells>
  <phoneticPr fontId="34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5C8F-56B7-4C83-80E8-7B72AECAF984}">
  <dimension ref="B2:AB111"/>
  <sheetViews>
    <sheetView showGridLines="0" zoomScaleNormal="100" workbookViewId="0">
      <selection activeCell="E55" sqref="E55"/>
    </sheetView>
  </sheetViews>
  <sheetFormatPr defaultRowHeight="14.4"/>
  <cols>
    <col min="2" max="2" width="32.41796875" customWidth="1"/>
    <col min="3" max="3" width="12.62890625" customWidth="1"/>
    <col min="4" max="6" width="12.578125" customWidth="1"/>
    <col min="7" max="7" width="19.47265625" customWidth="1"/>
    <col min="8" max="8" width="12.578125" customWidth="1"/>
    <col min="9" max="9" width="3.5234375" customWidth="1"/>
    <col min="10" max="10" width="24.5234375" customWidth="1"/>
    <col min="11" max="11" width="15" customWidth="1"/>
    <col min="12" max="12" width="14.47265625" customWidth="1"/>
    <col min="13" max="13" width="14.20703125" customWidth="1"/>
    <col min="14" max="14" width="14.47265625" customWidth="1"/>
    <col min="15" max="15" width="16.7890625" customWidth="1"/>
    <col min="16" max="16" width="15.41796875" customWidth="1"/>
    <col min="17" max="17" width="25.3671875" customWidth="1"/>
    <col min="19" max="19" width="12.05078125" bestFit="1" customWidth="1"/>
    <col min="21" max="21" width="19.9453125" customWidth="1"/>
    <col min="22" max="22" width="11" customWidth="1"/>
    <col min="23" max="23" width="11.3671875" customWidth="1"/>
    <col min="24" max="24" width="9.83984375" customWidth="1"/>
    <col min="25" max="25" width="11.1015625" customWidth="1"/>
    <col min="26" max="26" width="14.15625" customWidth="1"/>
    <col min="27" max="27" width="12.3125" customWidth="1"/>
    <col min="28" max="28" width="15.734375" customWidth="1"/>
  </cols>
  <sheetData>
    <row r="2" spans="2:28" ht="18">
      <c r="B2" s="260" t="s">
        <v>534</v>
      </c>
      <c r="C2" s="260"/>
      <c r="D2" s="260"/>
      <c r="E2" s="260"/>
      <c r="F2" s="260"/>
      <c r="G2" s="260"/>
      <c r="H2" s="260"/>
      <c r="J2" s="261" t="s">
        <v>557</v>
      </c>
      <c r="K2" s="262"/>
      <c r="L2" s="262"/>
      <c r="M2" s="262"/>
      <c r="N2" s="262"/>
      <c r="O2" s="262"/>
      <c r="P2" s="262"/>
      <c r="Q2" s="262"/>
      <c r="U2" s="261" t="s">
        <v>537</v>
      </c>
      <c r="V2" s="262"/>
      <c r="W2" s="262"/>
      <c r="X2" s="262"/>
      <c r="Y2" s="262"/>
      <c r="Z2" s="262"/>
      <c r="AA2" s="262"/>
      <c r="AB2" s="262"/>
    </row>
    <row r="3" spans="2:28" ht="18">
      <c r="B3" s="176" t="s">
        <v>348</v>
      </c>
      <c r="C3" s="182" t="s">
        <v>35</v>
      </c>
      <c r="D3" s="182" t="s">
        <v>38</v>
      </c>
      <c r="E3" s="182" t="s">
        <v>40</v>
      </c>
      <c r="F3" s="182" t="s">
        <v>42</v>
      </c>
      <c r="G3" s="182" t="s">
        <v>43</v>
      </c>
      <c r="H3" s="182" t="s">
        <v>45</v>
      </c>
      <c r="J3" s="176" t="s">
        <v>348</v>
      </c>
      <c r="K3" s="98" t="s">
        <v>35</v>
      </c>
      <c r="L3" s="98" t="s">
        <v>38</v>
      </c>
      <c r="M3" s="98" t="s">
        <v>40</v>
      </c>
      <c r="N3" s="98" t="s">
        <v>42</v>
      </c>
      <c r="O3" s="98" t="s">
        <v>43</v>
      </c>
      <c r="P3" s="98" t="s">
        <v>45</v>
      </c>
      <c r="Q3" s="5" t="s">
        <v>257</v>
      </c>
      <c r="U3" s="246" t="s">
        <v>348</v>
      </c>
      <c r="V3" s="98" t="s">
        <v>35</v>
      </c>
      <c r="W3" s="98" t="s">
        <v>38</v>
      </c>
      <c r="X3" s="98" t="s">
        <v>40</v>
      </c>
      <c r="Y3" s="98" t="s">
        <v>42</v>
      </c>
      <c r="Z3" s="98" t="s">
        <v>43</v>
      </c>
      <c r="AA3" s="98" t="s">
        <v>45</v>
      </c>
      <c r="AB3" s="4" t="s">
        <v>47</v>
      </c>
    </row>
    <row r="4" spans="2:28" ht="15.6">
      <c r="B4" s="18" t="s">
        <v>186</v>
      </c>
      <c r="C4" s="11">
        <f>'Rodo Direto Base'!C94+'Hidroviario Base C1'!C94</f>
        <v>0</v>
      </c>
      <c r="D4" s="166">
        <f>'Rodo Direto Base'!D94+'Hidroviario Base C1'!D94</f>
        <v>1733.8881764795542</v>
      </c>
      <c r="E4" s="166">
        <f>'Rodo Direto Base'!E94+'Hidroviario Base C1'!E94</f>
        <v>2113.1124622690277</v>
      </c>
      <c r="F4" s="166">
        <f>'Rodo Direto Base'!F94+'Hidroviario Base C1'!F94</f>
        <v>0</v>
      </c>
      <c r="G4" s="166">
        <f>'Rodo Direto Base'!G94+'Hidroviario Base C1'!G94</f>
        <v>2902.2497043742915</v>
      </c>
      <c r="H4" s="166">
        <f>'Rodo Direto Base'!H94+'Hidroviario Base C1'!H94</f>
        <v>2744.4222559532386</v>
      </c>
      <c r="J4" s="18" t="s">
        <v>35</v>
      </c>
      <c r="K4" s="11">
        <f>C4*'Movimentacao de Conteineres'!K30</f>
        <v>0</v>
      </c>
      <c r="L4" s="12">
        <f>D4*'Movimentacao de Conteineres'!L30</f>
        <v>303430.43088392197</v>
      </c>
      <c r="M4" s="12">
        <f>E4*'Movimentacao de Conteineres'!M30</f>
        <v>329645.54411396832</v>
      </c>
      <c r="N4" s="12">
        <f>F4*'Movimentacao de Conteineres'!N30</f>
        <v>0</v>
      </c>
      <c r="O4" s="12">
        <f>G4*'Movimentacao de Conteineres'!O30</f>
        <v>655908.43318858987</v>
      </c>
      <c r="P4" s="12">
        <f>H4*'Movimentacao de Conteineres'!P30</f>
        <v>1778385.6218576985</v>
      </c>
      <c r="Q4" s="13">
        <f t="shared" ref="Q4:Q9" si="0">SUM(K4:P4)</f>
        <v>3067370.0300441785</v>
      </c>
      <c r="U4" s="18" t="s">
        <v>35</v>
      </c>
      <c r="V4" s="206"/>
      <c r="W4" s="40">
        <f t="shared" ref="W4:W10" si="1">L4/$Q$10</f>
        <v>3.9846566767322768E-2</v>
      </c>
      <c r="X4" s="40">
        <f t="shared" ref="X4:X10" si="2">M4/$Q$10</f>
        <v>4.3289142571572195E-2</v>
      </c>
      <c r="Y4" s="40"/>
      <c r="Z4" s="40">
        <f t="shared" ref="Z4:Z10" si="3">O4/$Q$10</f>
        <v>8.6134073962731456E-2</v>
      </c>
      <c r="AA4" s="40">
        <f t="shared" ref="AA4:AA10" si="4">P4/$Q$10</f>
        <v>0.23353808387962327</v>
      </c>
      <c r="AB4" s="162">
        <f t="shared" ref="AB4:AB10" si="5">Q4/$Q$10</f>
        <v>0.40280786718124967</v>
      </c>
    </row>
    <row r="5" spans="2:28" ht="15.6">
      <c r="B5" s="18" t="s">
        <v>38</v>
      </c>
      <c r="C5" s="166">
        <f>'Rodo Direto Base'!C95+'Hidroviario Base C1'!C95</f>
        <v>1982.3115879134816</v>
      </c>
      <c r="D5" s="11">
        <f>'Rodo Direto Base'!D95+'Hidroviario Base C1'!D95</f>
        <v>0</v>
      </c>
      <c r="E5" s="166">
        <f>'Rodo Direto Base'!E95+'Hidroviario Base C1'!E95</f>
        <v>0</v>
      </c>
      <c r="F5" s="166">
        <f>'Rodo Direto Base'!F95+'Hidroviario Base C1'!F95</f>
        <v>0</v>
      </c>
      <c r="G5" s="166">
        <f>'Rodo Direto Base'!G95+'Hidroviario Base C1'!G95</f>
        <v>1886.6225547368424</v>
      </c>
      <c r="H5" s="166">
        <f>'Rodo Direto Base'!H95+'Hidroviario Base C1'!H95</f>
        <v>2254.1559184210528</v>
      </c>
      <c r="J5" s="18" t="s">
        <v>38</v>
      </c>
      <c r="K5" s="12">
        <f>C5*'Movimentacao de Conteineres'!K31</f>
        <v>515401.01285750524</v>
      </c>
      <c r="L5" s="11">
        <f>D5*'Movimentacao de Conteineres'!L31</f>
        <v>0</v>
      </c>
      <c r="M5" s="12">
        <f>E5*'Movimentacao de Conteineres'!M31</f>
        <v>0</v>
      </c>
      <c r="N5" s="12">
        <f>F5*'Movimentacao de Conteineres'!N31</f>
        <v>0</v>
      </c>
      <c r="O5" s="12">
        <f>G5*'Movimentacao de Conteineres'!O31</f>
        <v>37732.451094736847</v>
      </c>
      <c r="P5" s="12">
        <f>H5*'Movimentacao de Conteineres'!P31</f>
        <v>306565.20490526315</v>
      </c>
      <c r="Q5" s="13">
        <f t="shared" si="0"/>
        <v>859698.6688575052</v>
      </c>
      <c r="U5" s="18" t="s">
        <v>38</v>
      </c>
      <c r="V5" s="40">
        <f t="shared" ref="V5:V10" si="6">K5/$Q$10</f>
        <v>6.7682601283418492E-2</v>
      </c>
      <c r="W5" s="206"/>
      <c r="X5" s="40"/>
      <c r="Y5" s="40"/>
      <c r="Z5" s="40">
        <f t="shared" si="3"/>
        <v>4.9550357472759338E-3</v>
      </c>
      <c r="AA5" s="40">
        <f t="shared" si="4"/>
        <v>4.025822614498626E-2</v>
      </c>
      <c r="AB5" s="162">
        <f t="shared" si="5"/>
        <v>0.11289586317568068</v>
      </c>
    </row>
    <row r="6" spans="2:28" ht="15.6">
      <c r="B6" s="18" t="s">
        <v>40</v>
      </c>
      <c r="C6" s="166">
        <f>'Rodo Direto Base'!C96+'Hidroviario Base C1'!C96</f>
        <v>2361.5358737029555</v>
      </c>
      <c r="D6" s="166">
        <f>'Rodo Direto Base'!D96+'Hidroviario Base C1'!D96</f>
        <v>0</v>
      </c>
      <c r="E6" s="11">
        <f>'Rodo Direto Base'!E96+'Hidroviario Base C1'!E96</f>
        <v>0</v>
      </c>
      <c r="F6" s="166">
        <f>'Rodo Direto Base'!F96+'Hidroviario Base C1'!F96</f>
        <v>0</v>
      </c>
      <c r="G6" s="166">
        <f>'Rodo Direto Base'!G96+'Hidroviario Base C1'!G96</f>
        <v>1695.1837052631583</v>
      </c>
      <c r="H6" s="166">
        <f>'Rodo Direto Base'!H96+'Hidroviario Base C1'!H96</f>
        <v>1934.8476084210531</v>
      </c>
      <c r="J6" s="18" t="s">
        <v>40</v>
      </c>
      <c r="K6" s="12">
        <f>C6*'Movimentacao de Conteineres'!K32</f>
        <v>781668.37419567828</v>
      </c>
      <c r="L6" s="12">
        <f>D6*'Movimentacao de Conteineres'!L32</f>
        <v>0</v>
      </c>
      <c r="M6" s="11">
        <f>E6*'Movimentacao de Conteineres'!M32</f>
        <v>0</v>
      </c>
      <c r="N6" s="12">
        <f>F6*'Movimentacao de Conteineres'!N32</f>
        <v>0</v>
      </c>
      <c r="O6" s="12">
        <f>G6*'Movimentacao de Conteineres'!O32</f>
        <v>50855.511157894747</v>
      </c>
      <c r="P6" s="12">
        <f>H6*'Movimentacao de Conteineres'!P32</f>
        <v>112221.16128842108</v>
      </c>
      <c r="Q6" s="13">
        <f t="shared" si="0"/>
        <v>944745.04664199403</v>
      </c>
      <c r="U6" s="18" t="s">
        <v>40</v>
      </c>
      <c r="V6" s="40">
        <f t="shared" si="6"/>
        <v>0.10264890364344509</v>
      </c>
      <c r="W6" s="40"/>
      <c r="X6" s="206"/>
      <c r="Y6" s="40"/>
      <c r="Z6" s="40">
        <f t="shared" si="3"/>
        <v>6.6783595664292213E-3</v>
      </c>
      <c r="AA6" s="40">
        <f t="shared" si="4"/>
        <v>1.4736913443253816E-2</v>
      </c>
      <c r="AB6" s="162">
        <f t="shared" si="5"/>
        <v>0.12406417665312812</v>
      </c>
    </row>
    <row r="7" spans="2:28" ht="15.6">
      <c r="B7" s="18" t="s">
        <v>42</v>
      </c>
      <c r="C7" s="166">
        <f>'Rodo Direto Base'!C97+'Hidroviario Base C1'!C97</f>
        <v>2381.2643047555866</v>
      </c>
      <c r="D7" s="166">
        <f>'Rodo Direto Base'!D97+'Hidroviario Base C1'!D97</f>
        <v>864.39755315789489</v>
      </c>
      <c r="E7" s="166">
        <f>'Rodo Direto Base'!E97+'Hidroviario Base C1'!E97</f>
        <v>618.88818894736858</v>
      </c>
      <c r="F7" s="11">
        <f>'Rodo Direto Base'!F97+'Hidroviario Base C1'!F97</f>
        <v>0</v>
      </c>
      <c r="G7" s="166">
        <f>'Rodo Direto Base'!G97+'Hidroviario Base C1'!G97</f>
        <v>0</v>
      </c>
      <c r="H7" s="166">
        <f>'Rodo Direto Base'!H97+'Hidroviario Base C1'!H97</f>
        <v>0</v>
      </c>
      <c r="J7" s="18" t="s">
        <v>42</v>
      </c>
      <c r="K7" s="12">
        <f>C7*'Movimentacao de Conteineres'!K33</f>
        <v>204788.73020898044</v>
      </c>
      <c r="L7" s="12">
        <f>D7*'Movimentacao de Conteineres'!L33</f>
        <v>7779.5779784210536</v>
      </c>
      <c r="M7" s="12">
        <f>E7*'Movimentacao de Conteineres'!M33</f>
        <v>618.88818894736858</v>
      </c>
      <c r="N7" s="11">
        <f>F7*'Movimentacao de Conteineres'!N33</f>
        <v>0</v>
      </c>
      <c r="O7" s="12">
        <f>G7*'Movimentacao de Conteineres'!O33</f>
        <v>0</v>
      </c>
      <c r="P7" s="12">
        <f>H7*'Movimentacao de Conteineres'!P33</f>
        <v>0</v>
      </c>
      <c r="Q7" s="13">
        <f t="shared" si="0"/>
        <v>213187.19637634887</v>
      </c>
      <c r="U7" s="18" t="s">
        <v>42</v>
      </c>
      <c r="V7" s="40">
        <f t="shared" si="6"/>
        <v>2.6892911787707491E-2</v>
      </c>
      <c r="W7" s="40">
        <f t="shared" si="1"/>
        <v>1.0216162974679872E-3</v>
      </c>
      <c r="X7" s="40"/>
      <c r="Y7" s="206"/>
      <c r="Z7" s="40"/>
      <c r="AA7" s="40"/>
      <c r="AB7" s="162">
        <f t="shared" si="5"/>
        <v>2.7995800650588779E-2</v>
      </c>
    </row>
    <row r="8" spans="2:28" ht="15.6">
      <c r="B8" s="18" t="s">
        <v>43</v>
      </c>
      <c r="C8" s="166">
        <f>'Rodo Direto Base'!C98+'Hidroviario Base C1'!C98</f>
        <v>3150.6731158082184</v>
      </c>
      <c r="D8" s="166">
        <f>'Rodo Direto Base'!D98+'Hidroviario Base C1'!D98</f>
        <v>1886.6225547368424</v>
      </c>
      <c r="E8" s="166">
        <f>'Rodo Direto Base'!E98+'Hidroviario Base C1'!E98</f>
        <v>1695.1837052631581</v>
      </c>
      <c r="F8" s="166">
        <f>'Rodo Direto Base'!F98+'Hidroviario Base C1'!F98</f>
        <v>1193.2047373684213</v>
      </c>
      <c r="G8" s="11">
        <f>'Rodo Direto Base'!G98+'Hidroviario Base C1'!G98</f>
        <v>0</v>
      </c>
      <c r="H8" s="166">
        <f>'Rodo Direto Base'!H98+'Hidroviario Base C1'!H98</f>
        <v>0</v>
      </c>
      <c r="J8" s="18" t="s">
        <v>43</v>
      </c>
      <c r="K8" s="12">
        <f>C8*'Movimentacao de Conteineres'!K34</f>
        <v>192191.06006430133</v>
      </c>
      <c r="L8" s="12">
        <f>D8*'Movimentacao de Conteineres'!L34</f>
        <v>226394.7065684211</v>
      </c>
      <c r="M8" s="12">
        <f>E8*'Movimentacao de Conteineres'!M34</f>
        <v>201726.86092631583</v>
      </c>
      <c r="N8" s="12">
        <f>F8*'Movimentacao de Conteineres'!N34</f>
        <v>56080.622656315805</v>
      </c>
      <c r="O8" s="11">
        <f>G8*'Movimentacao de Conteineres'!O34</f>
        <v>0</v>
      </c>
      <c r="P8" s="12">
        <f>H8*'Movimentacao de Conteineres'!P34</f>
        <v>0</v>
      </c>
      <c r="Q8" s="13">
        <f t="shared" si="0"/>
        <v>676393.25021535414</v>
      </c>
      <c r="U8" s="18" t="s">
        <v>43</v>
      </c>
      <c r="V8" s="40">
        <f t="shared" si="6"/>
        <v>2.5238582315642456E-2</v>
      </c>
      <c r="W8" s="40">
        <f t="shared" si="1"/>
        <v>2.9730214483655603E-2</v>
      </c>
      <c r="X8" s="40">
        <f t="shared" si="2"/>
        <v>2.6490826280169244E-2</v>
      </c>
      <c r="Y8" s="40">
        <f t="shared" ref="Y8:Y10" si="7">N8/$Q$10</f>
        <v>7.3645226305030058E-3</v>
      </c>
      <c r="Z8" s="206"/>
      <c r="AA8" s="40"/>
      <c r="AB8" s="162">
        <f t="shared" si="5"/>
        <v>8.8824145709970326E-2</v>
      </c>
    </row>
    <row r="9" spans="2:28" ht="15.6">
      <c r="B9" s="18" t="s">
        <v>45</v>
      </c>
      <c r="C9" s="166">
        <f>'Rodo Direto Base'!C99+'Hidroviario Base C1'!C99</f>
        <v>2992.8456673871651</v>
      </c>
      <c r="D9" s="166">
        <f>'Rodo Direto Base'!D99+'Hidroviario Base C1'!D99</f>
        <v>2254.1559184210532</v>
      </c>
      <c r="E9" s="166">
        <f>'Rodo Direto Base'!E99+'Hidroviario Base C1'!E99</f>
        <v>1934.8476084210531</v>
      </c>
      <c r="F9" s="166">
        <f>'Rodo Direto Base'!F99+'Hidroviario Base C1'!F99</f>
        <v>1409.4867963157897</v>
      </c>
      <c r="G9" s="166">
        <f>'Rodo Direto Base'!G99+'Hidroviario Base C1'!G99</f>
        <v>0</v>
      </c>
      <c r="H9" s="11">
        <f>'Rodo Direto Base'!H99+'Hidroviario Base C1'!H99</f>
        <v>0</v>
      </c>
      <c r="J9" s="18" t="s">
        <v>45</v>
      </c>
      <c r="K9" s="12">
        <f>C9*'Movimentacao de Conteineres'!K35</f>
        <v>685361.65783166082</v>
      </c>
      <c r="L9" s="12">
        <f>D9*'Movimentacao de Conteineres'!L35</f>
        <v>498168.45797105279</v>
      </c>
      <c r="M9" s="12">
        <f>E9*'Movimentacao de Conteineres'!M35</f>
        <v>526278.54949052643</v>
      </c>
      <c r="N9" s="12">
        <f>F9*'Movimentacao de Conteineres'!N35</f>
        <v>143767.65322421055</v>
      </c>
      <c r="O9" s="12">
        <f>G9*'Movimentacao de Conteineres'!O35</f>
        <v>0</v>
      </c>
      <c r="P9" s="11">
        <f>H9*'Movimentacao de Conteineres'!P35</f>
        <v>0</v>
      </c>
      <c r="Q9" s="13">
        <f t="shared" si="0"/>
        <v>1853576.3185174505</v>
      </c>
      <c r="U9" s="18" t="s">
        <v>45</v>
      </c>
      <c r="V9" s="40">
        <f t="shared" si="6"/>
        <v>9.0001879439045238E-2</v>
      </c>
      <c r="W9" s="40">
        <f t="shared" si="1"/>
        <v>6.5419617485602696E-2</v>
      </c>
      <c r="X9" s="40">
        <f t="shared" si="2"/>
        <v>6.9111042354569621E-2</v>
      </c>
      <c r="Y9" s="40">
        <f t="shared" si="7"/>
        <v>1.8879607350164952E-2</v>
      </c>
      <c r="Z9" s="40"/>
      <c r="AA9" s="206"/>
      <c r="AB9" s="162">
        <f t="shared" si="5"/>
        <v>0.24341214662938249</v>
      </c>
    </row>
    <row r="10" spans="2:28" ht="18">
      <c r="B10" s="1"/>
      <c r="C10" s="207"/>
      <c r="D10" s="207"/>
      <c r="E10" s="207"/>
      <c r="F10" s="207"/>
      <c r="G10" s="207"/>
      <c r="H10" s="207"/>
      <c r="J10" s="16" t="s">
        <v>258</v>
      </c>
      <c r="K10" s="13">
        <f t="shared" ref="K10:P10" si="8">SUM(K4:K9)</f>
        <v>2379410.835158126</v>
      </c>
      <c r="L10" s="13">
        <f t="shared" si="8"/>
        <v>1035773.173401817</v>
      </c>
      <c r="M10" s="13">
        <f t="shared" si="8"/>
        <v>1058269.8427197579</v>
      </c>
      <c r="N10" s="13">
        <f t="shared" si="8"/>
        <v>199848.27588052634</v>
      </c>
      <c r="O10" s="13">
        <f t="shared" si="8"/>
        <v>744496.39544122142</v>
      </c>
      <c r="P10" s="13">
        <f t="shared" si="8"/>
        <v>2197171.9880513828</v>
      </c>
      <c r="Q10" s="13">
        <f>SUM(Q4:Q9)</f>
        <v>7614970.5106528308</v>
      </c>
      <c r="S10" s="243">
        <f>Q10*52</f>
        <v>395978466.55394721</v>
      </c>
      <c r="U10" s="16" t="s">
        <v>48</v>
      </c>
      <c r="V10" s="162">
        <f t="shared" si="6"/>
        <v>0.31246487846925874</v>
      </c>
      <c r="W10" s="162">
        <f t="shared" si="1"/>
        <v>0.13601801503404906</v>
      </c>
      <c r="X10" s="162">
        <f t="shared" si="2"/>
        <v>0.13897228377172435</v>
      </c>
      <c r="Y10" s="162">
        <f t="shared" si="7"/>
        <v>2.6244129980667958E-2</v>
      </c>
      <c r="Z10" s="162">
        <f t="shared" si="3"/>
        <v>9.7767469276436605E-2</v>
      </c>
      <c r="AA10" s="162">
        <f t="shared" si="4"/>
        <v>0.28853322346786336</v>
      </c>
      <c r="AB10" s="162">
        <f t="shared" si="5"/>
        <v>1</v>
      </c>
    </row>
    <row r="11" spans="2:28" ht="15.6">
      <c r="B11" s="1"/>
      <c r="C11" s="207"/>
      <c r="D11" s="207"/>
      <c r="E11" s="207"/>
      <c r="F11" s="207"/>
      <c r="G11" s="207"/>
      <c r="H11" s="207"/>
      <c r="I11" s="209"/>
      <c r="J11" s="210"/>
      <c r="K11" s="211"/>
      <c r="L11" s="211"/>
      <c r="M11" s="211"/>
      <c r="N11" s="211"/>
      <c r="O11" s="211"/>
      <c r="P11" s="211"/>
      <c r="Q11" s="211"/>
      <c r="R11" s="209"/>
    </row>
    <row r="12" spans="2:28" ht="18">
      <c r="B12" s="260" t="s">
        <v>383</v>
      </c>
      <c r="C12" s="260"/>
      <c r="D12" s="260"/>
      <c r="E12" s="260"/>
      <c r="F12" s="260"/>
      <c r="G12" s="260"/>
      <c r="H12" s="260"/>
      <c r="J12" s="261" t="s">
        <v>558</v>
      </c>
      <c r="K12" s="262"/>
      <c r="L12" s="262"/>
      <c r="M12" s="262"/>
      <c r="N12" s="262"/>
      <c r="O12" s="262"/>
      <c r="P12" s="262"/>
      <c r="Q12" s="262"/>
    </row>
    <row r="13" spans="2:28" ht="18">
      <c r="B13" s="176" t="s">
        <v>348</v>
      </c>
      <c r="C13" s="177" t="s">
        <v>35</v>
      </c>
      <c r="D13" s="177" t="s">
        <v>38</v>
      </c>
      <c r="E13" s="177" t="s">
        <v>40</v>
      </c>
      <c r="F13" s="177" t="s">
        <v>42</v>
      </c>
      <c r="G13" s="177" t="s">
        <v>43</v>
      </c>
      <c r="H13" s="177" t="s">
        <v>45</v>
      </c>
      <c r="J13" s="176" t="s">
        <v>348</v>
      </c>
      <c r="K13" s="98" t="s">
        <v>35</v>
      </c>
      <c r="L13" s="98" t="s">
        <v>38</v>
      </c>
      <c r="M13" s="98" t="s">
        <v>40</v>
      </c>
      <c r="N13" s="98" t="s">
        <v>42</v>
      </c>
      <c r="O13" s="98" t="s">
        <v>43</v>
      </c>
      <c r="P13" s="98" t="s">
        <v>45</v>
      </c>
      <c r="Q13" s="5" t="s">
        <v>257</v>
      </c>
    </row>
    <row r="14" spans="2:28" ht="15.6">
      <c r="B14" s="18" t="s">
        <v>35</v>
      </c>
      <c r="C14" s="171">
        <f>'Cabotagem Total Base'!C6</f>
        <v>0</v>
      </c>
      <c r="D14" s="165">
        <f>'Cabotagem Total Base'!D6</f>
        <v>751.57744612708359</v>
      </c>
      <c r="E14" s="165">
        <f>'Cabotagem Total Base'!E6</f>
        <v>960.1509118045019</v>
      </c>
      <c r="F14" s="165">
        <f>'Cabotagem Total Base'!F6</f>
        <v>0</v>
      </c>
      <c r="G14" s="165">
        <f>'Cabotagem Total Base'!G6</f>
        <v>1705.8306504046473</v>
      </c>
      <c r="H14" s="165">
        <f>'Cabotagem Total Base'!H6</f>
        <v>1639.4122813993281</v>
      </c>
      <c r="J14" s="18" t="s">
        <v>35</v>
      </c>
      <c r="K14" s="11">
        <f>C14*'Movimentacao de Conteineres'!K30</f>
        <v>0</v>
      </c>
      <c r="L14" s="12">
        <f>D14*'Movimentacao de Conteineres'!L30</f>
        <v>131526.05307223962</v>
      </c>
      <c r="M14" s="12">
        <f>E14*'Movimentacao de Conteineres'!M30</f>
        <v>149783.54224150229</v>
      </c>
      <c r="N14" s="12">
        <f>F14*'Movimentacao de Conteineres'!N30</f>
        <v>0</v>
      </c>
      <c r="O14" s="12">
        <f>G14*'Movimentacao de Conteineres'!O30</f>
        <v>385517.7269914503</v>
      </c>
      <c r="P14" s="12">
        <f>H14*'Movimentacao de Conteineres'!P30</f>
        <v>1062339.1583467645</v>
      </c>
      <c r="Q14" s="13">
        <f t="shared" ref="Q14:Q19" si="9">SUM(K14:P14)</f>
        <v>1729166.4806519568</v>
      </c>
    </row>
    <row r="15" spans="2:28" ht="15.6">
      <c r="B15" s="18" t="s">
        <v>38</v>
      </c>
      <c r="C15" s="165">
        <f>'Cabotagem Total Base'!C7</f>
        <v>1019.4830524615143</v>
      </c>
      <c r="D15" s="171">
        <f>'Cabotagem Total Base'!D7</f>
        <v>0</v>
      </c>
      <c r="E15" s="165">
        <f>'Cabotagem Total Base'!E7</f>
        <v>0</v>
      </c>
      <c r="F15" s="165">
        <f>'Cabotagem Total Base'!F7</f>
        <v>0</v>
      </c>
      <c r="G15" s="165">
        <f>'Cabotagem Total Base'!G7</f>
        <v>1151.7538910805808</v>
      </c>
      <c r="H15" s="165">
        <f>'Cabotagem Total Base'!H7</f>
        <v>1085.3355220752619</v>
      </c>
      <c r="J15" s="18" t="s">
        <v>38</v>
      </c>
      <c r="K15" s="12">
        <f>C15*'Movimentacao de Conteineres'!K31</f>
        <v>265065.59363999369</v>
      </c>
      <c r="L15" s="11">
        <f>D15*'Movimentacao de Conteineres'!L31</f>
        <v>0</v>
      </c>
      <c r="M15" s="12">
        <f>E15*'Movimentacao de Conteineres'!M31</f>
        <v>0</v>
      </c>
      <c r="N15" s="12">
        <f>F15*'Movimentacao de Conteineres'!N31</f>
        <v>0</v>
      </c>
      <c r="O15" s="12">
        <f>G15*'Movimentacao de Conteineres'!O31</f>
        <v>23035.077821611616</v>
      </c>
      <c r="P15" s="12">
        <f>H15*'Movimentacao de Conteineres'!P31</f>
        <v>147605.63100223563</v>
      </c>
      <c r="Q15" s="13">
        <f t="shared" si="9"/>
        <v>435706.30246384093</v>
      </c>
    </row>
    <row r="16" spans="2:28" ht="15.6">
      <c r="B16" s="18" t="s">
        <v>40</v>
      </c>
      <c r="C16" s="165">
        <f>'Cabotagem Total Base'!C8</f>
        <v>1255.8618729820155</v>
      </c>
      <c r="D16" s="165">
        <f>'Cabotagem Total Base'!D8</f>
        <v>0</v>
      </c>
      <c r="E16" s="171">
        <f>'Cabotagem Total Base'!E8</f>
        <v>0</v>
      </c>
      <c r="F16" s="165">
        <f>'Cabotagem Total Base'!F8</f>
        <v>0</v>
      </c>
      <c r="G16" s="165">
        <f>'Cabotagem Total Base'!G8</f>
        <v>943.56778721667683</v>
      </c>
      <c r="H16" s="165">
        <f>'Cabotagem Total Base'!H8</f>
        <v>877.1494182113579</v>
      </c>
      <c r="J16" s="18" t="s">
        <v>40</v>
      </c>
      <c r="K16" s="12">
        <f>C16*'Movimentacao de Conteineres'!K32</f>
        <v>415690.27995704714</v>
      </c>
      <c r="L16" s="12">
        <f>D16*'Movimentacao de Conteineres'!L32</f>
        <v>0</v>
      </c>
      <c r="M16" s="11">
        <f>E16*'Movimentacao de Conteineres'!M32</f>
        <v>0</v>
      </c>
      <c r="N16" s="12">
        <f>F16*'Movimentacao de Conteineres'!N32</f>
        <v>0</v>
      </c>
      <c r="O16" s="12">
        <f>G16*'Movimentacao de Conteineres'!O32</f>
        <v>28307.033616500306</v>
      </c>
      <c r="P16" s="12">
        <f>H16*'Movimentacao de Conteineres'!P32</f>
        <v>50874.666256258759</v>
      </c>
      <c r="Q16" s="13">
        <f t="shared" si="9"/>
        <v>494871.97982980625</v>
      </c>
    </row>
    <row r="17" spans="2:17" ht="15.6">
      <c r="B17" s="18" t="s">
        <v>42</v>
      </c>
      <c r="C17" s="165">
        <f>'Cabotagem Total Base'!C9</f>
        <v>1387.6722931261136</v>
      </c>
      <c r="D17" s="165">
        <f>'Cabotagem Total Base'!D9</f>
        <v>567.27131109170443</v>
      </c>
      <c r="E17" s="165">
        <f>'Cabotagem Total Base'!E9</f>
        <v>334.54947514371059</v>
      </c>
      <c r="F17" s="171">
        <f>'Cabotagem Total Base'!F9</f>
        <v>0</v>
      </c>
      <c r="G17" s="165">
        <f>'Cabotagem Total Base'!G9</f>
        <v>0</v>
      </c>
      <c r="H17" s="165">
        <f>'Cabotagem Total Base'!H9</f>
        <v>0</v>
      </c>
      <c r="J17" s="18" t="s">
        <v>42</v>
      </c>
      <c r="K17" s="12">
        <f>C17*'Movimentacao de Conteineres'!K33</f>
        <v>119339.81720884576</v>
      </c>
      <c r="L17" s="12">
        <f>D17*'Movimentacao de Conteineres'!L33</f>
        <v>5105.4417998253402</v>
      </c>
      <c r="M17" s="12">
        <f>E17*'Movimentacao de Conteineres'!M33</f>
        <v>334.54947514371059</v>
      </c>
      <c r="N17" s="11">
        <f>F17*'Movimentacao de Conteineres'!N33</f>
        <v>0</v>
      </c>
      <c r="O17" s="12">
        <f>G17*'Movimentacao de Conteineres'!O33</f>
        <v>0</v>
      </c>
      <c r="P17" s="12">
        <f>H17*'Movimentacao de Conteineres'!P33</f>
        <v>0</v>
      </c>
      <c r="Q17" s="13">
        <f t="shared" si="9"/>
        <v>124779.80848381481</v>
      </c>
    </row>
    <row r="18" spans="2:17" ht="15.6">
      <c r="B18" s="18" t="s">
        <v>43</v>
      </c>
      <c r="C18" s="165">
        <f>'Cabotagem Total Base'!C10</f>
        <v>1863.4900930454651</v>
      </c>
      <c r="D18" s="165">
        <f>'Cabotagem Total Base'!D10</f>
        <v>1043.0891110110558</v>
      </c>
      <c r="E18" s="165">
        <f>'Cabotagem Total Base'!E10</f>
        <v>810.36727506306192</v>
      </c>
      <c r="F18" s="165">
        <f>'Cabotagem Total Base'!F10</f>
        <v>560.73521877115945</v>
      </c>
      <c r="G18" s="171">
        <f>'Cabotagem Total Base'!G10</f>
        <v>0</v>
      </c>
      <c r="H18" s="165">
        <f>'Cabotagem Total Base'!H10</f>
        <v>0</v>
      </c>
      <c r="I18" s="208"/>
      <c r="J18" s="18" t="s">
        <v>43</v>
      </c>
      <c r="K18" s="12">
        <f>C18*'Movimentacao de Conteineres'!K34</f>
        <v>113672.89567577337</v>
      </c>
      <c r="L18" s="12">
        <f>D18*'Movimentacao de Conteineres'!L34</f>
        <v>125170.6933213267</v>
      </c>
      <c r="M18" s="12">
        <f>E18*'Movimentacao de Conteineres'!M34</f>
        <v>96433.705732504372</v>
      </c>
      <c r="N18" s="12">
        <f>F18*'Movimentacao de Conteineres'!N34</f>
        <v>26354.555282244495</v>
      </c>
      <c r="O18" s="11">
        <f>G18*'Movimentacao de Conteineres'!O34</f>
        <v>0</v>
      </c>
      <c r="P18" s="12">
        <f>H18*'Movimentacao de Conteineres'!P34</f>
        <v>0</v>
      </c>
      <c r="Q18" s="13">
        <f t="shared" si="9"/>
        <v>361631.85001184896</v>
      </c>
    </row>
    <row r="19" spans="2:17" ht="15.6">
      <c r="B19" s="18" t="s">
        <v>45</v>
      </c>
      <c r="C19" s="165">
        <f>'Cabotagem Total Base'!C11</f>
        <v>1959.068025919541</v>
      </c>
      <c r="D19" s="165">
        <f>'Cabotagem Total Base'!D11</f>
        <v>1138.667043885132</v>
      </c>
      <c r="E19" s="165">
        <f>'Cabotagem Total Base'!E11</f>
        <v>905.94520793713809</v>
      </c>
      <c r="F19" s="165">
        <f>'Cabotagem Total Base'!F11</f>
        <v>656.31315164523551</v>
      </c>
      <c r="G19" s="165">
        <f>'Cabotagem Total Base'!G11</f>
        <v>0</v>
      </c>
      <c r="H19" s="171">
        <f>'Cabotagem Total Base'!H11</f>
        <v>0</v>
      </c>
      <c r="J19" s="18" t="s">
        <v>45</v>
      </c>
      <c r="K19" s="12">
        <f>C19*'Movimentacao de Conteineres'!K35</f>
        <v>448626.57793557487</v>
      </c>
      <c r="L19" s="12">
        <f>D19*'Movimentacao de Conteineres'!L35</f>
        <v>251645.41669861416</v>
      </c>
      <c r="M19" s="12">
        <f>E19*'Movimentacao de Conteineres'!M35</f>
        <v>246417.09655890157</v>
      </c>
      <c r="N19" s="12">
        <f>F19*'Movimentacao de Conteineres'!N35</f>
        <v>66943.941467814017</v>
      </c>
      <c r="O19" s="12">
        <f>G19*'Movimentacao de Conteineres'!O35</f>
        <v>0</v>
      </c>
      <c r="P19" s="11">
        <f>H19*'Movimentacao de Conteineres'!P35</f>
        <v>0</v>
      </c>
      <c r="Q19" s="13">
        <f t="shared" si="9"/>
        <v>1013633.0326609047</v>
      </c>
    </row>
    <row r="20" spans="2:17" ht="18">
      <c r="B20" s="1"/>
      <c r="C20" s="1"/>
      <c r="D20" s="1"/>
      <c r="E20" s="1"/>
      <c r="F20" s="1"/>
      <c r="G20" s="1"/>
      <c r="H20" s="1"/>
      <c r="J20" s="16" t="s">
        <v>258</v>
      </c>
      <c r="K20" s="13">
        <f t="shared" ref="K20:P20" si="10">SUM(K14:K19)</f>
        <v>1362395.1644172347</v>
      </c>
      <c r="L20" s="13">
        <f t="shared" si="10"/>
        <v>513447.60489200579</v>
      </c>
      <c r="M20" s="13">
        <f t="shared" si="10"/>
        <v>492968.89400805195</v>
      </c>
      <c r="N20" s="13">
        <f t="shared" si="10"/>
        <v>93298.496750058519</v>
      </c>
      <c r="O20" s="13">
        <f t="shared" si="10"/>
        <v>436859.83842956222</v>
      </c>
      <c r="P20" s="13">
        <f t="shared" si="10"/>
        <v>1260819.4556052589</v>
      </c>
      <c r="Q20" s="13">
        <f>SUM(Q14:Q19)</f>
        <v>4159789.4541021725</v>
      </c>
    </row>
    <row r="21" spans="2:17" ht="15.6">
      <c r="B21" s="1"/>
      <c r="C21" s="208"/>
      <c r="D21" s="208"/>
      <c r="E21" s="208"/>
      <c r="F21" s="208"/>
      <c r="G21" s="208"/>
      <c r="H21" s="208"/>
    </row>
    <row r="22" spans="2:17" ht="18">
      <c r="B22" s="263" t="s">
        <v>384</v>
      </c>
      <c r="C22" s="264"/>
      <c r="D22" s="264"/>
      <c r="E22" s="264"/>
      <c r="F22" s="264"/>
      <c r="G22" s="264"/>
      <c r="H22" s="265"/>
      <c r="J22" s="261" t="s">
        <v>385</v>
      </c>
      <c r="K22" s="262"/>
      <c r="L22" s="262"/>
      <c r="M22" s="262"/>
      <c r="N22" s="262"/>
      <c r="O22" s="262"/>
      <c r="P22" s="262"/>
      <c r="Q22" s="262"/>
    </row>
    <row r="23" spans="2:17" ht="18">
      <c r="B23" s="176" t="s">
        <v>348</v>
      </c>
      <c r="C23" s="177" t="s">
        <v>35</v>
      </c>
      <c r="D23" s="177" t="s">
        <v>38</v>
      </c>
      <c r="E23" s="177" t="s">
        <v>40</v>
      </c>
      <c r="F23" s="177" t="s">
        <v>42</v>
      </c>
      <c r="G23" s="177" t="s">
        <v>43</v>
      </c>
      <c r="H23" s="177" t="s">
        <v>45</v>
      </c>
      <c r="J23" s="176" t="s">
        <v>348</v>
      </c>
      <c r="K23" s="177" t="s">
        <v>35</v>
      </c>
      <c r="L23" s="177" t="s">
        <v>38</v>
      </c>
      <c r="M23" s="177" t="s">
        <v>40</v>
      </c>
      <c r="N23" s="177" t="s">
        <v>42</v>
      </c>
      <c r="O23" s="177" t="s">
        <v>43</v>
      </c>
      <c r="P23" s="177" t="s">
        <v>45</v>
      </c>
      <c r="Q23" s="5" t="s">
        <v>257</v>
      </c>
    </row>
    <row r="24" spans="2:17" ht="15.6">
      <c r="B24" s="18" t="s">
        <v>35</v>
      </c>
      <c r="C24" s="171">
        <f t="shared" ref="C24:H29" si="11">C14-C4</f>
        <v>0</v>
      </c>
      <c r="D24" s="165">
        <f t="shared" si="11"/>
        <v>-982.31073035247061</v>
      </c>
      <c r="E24" s="165">
        <f t="shared" si="11"/>
        <v>-1152.9615504645258</v>
      </c>
      <c r="F24" s="165">
        <f t="shared" si="11"/>
        <v>0</v>
      </c>
      <c r="G24" s="165">
        <f t="shared" si="11"/>
        <v>-1196.4190539696442</v>
      </c>
      <c r="H24" s="165">
        <f t="shared" si="11"/>
        <v>-1105.0099745539105</v>
      </c>
      <c r="J24" s="18" t="s">
        <v>35</v>
      </c>
      <c r="K24" s="11">
        <f t="shared" ref="K24:P29" si="12">K14-K4</f>
        <v>0</v>
      </c>
      <c r="L24" s="166">
        <f t="shared" si="12"/>
        <v>-171904.37781168235</v>
      </c>
      <c r="M24" s="166">
        <f t="shared" si="12"/>
        <v>-179862.00187246603</v>
      </c>
      <c r="N24" s="166">
        <f t="shared" si="12"/>
        <v>0</v>
      </c>
      <c r="O24" s="166">
        <f t="shared" si="12"/>
        <v>-270390.70619713957</v>
      </c>
      <c r="P24" s="166">
        <f t="shared" si="12"/>
        <v>-716046.46351093403</v>
      </c>
      <c r="Q24" s="13">
        <f>SUM(K24:P24)</f>
        <v>-1338203.549392222</v>
      </c>
    </row>
    <row r="25" spans="2:17" ht="15.6">
      <c r="B25" s="18" t="s">
        <v>38</v>
      </c>
      <c r="C25" s="165">
        <f t="shared" si="11"/>
        <v>-962.82853545196735</v>
      </c>
      <c r="D25" s="171">
        <f t="shared" si="11"/>
        <v>0</v>
      </c>
      <c r="E25" s="165">
        <f t="shared" si="11"/>
        <v>0</v>
      </c>
      <c r="F25" s="165">
        <f t="shared" si="11"/>
        <v>0</v>
      </c>
      <c r="G25" s="165">
        <f t="shared" si="11"/>
        <v>-734.86866365626156</v>
      </c>
      <c r="H25" s="165">
        <f t="shared" si="11"/>
        <v>-1168.8203963457909</v>
      </c>
      <c r="J25" s="18" t="s">
        <v>38</v>
      </c>
      <c r="K25" s="166">
        <f t="shared" si="12"/>
        <v>-250335.41921751155</v>
      </c>
      <c r="L25" s="11">
        <f t="shared" si="12"/>
        <v>0</v>
      </c>
      <c r="M25" s="166">
        <f t="shared" si="12"/>
        <v>0</v>
      </c>
      <c r="N25" s="166">
        <f t="shared" si="12"/>
        <v>0</v>
      </c>
      <c r="O25" s="166">
        <f t="shared" si="12"/>
        <v>-14697.373273125231</v>
      </c>
      <c r="P25" s="166">
        <f t="shared" si="12"/>
        <v>-158959.57390302751</v>
      </c>
      <c r="Q25" s="13">
        <f t="shared" ref="Q25:Q29" si="13">SUM(K25:P25)</f>
        <v>-423992.36639366427</v>
      </c>
    </row>
    <row r="26" spans="2:17" ht="15.6">
      <c r="B26" s="18" t="s">
        <v>40</v>
      </c>
      <c r="C26" s="165">
        <f t="shared" si="11"/>
        <v>-1105.6740007209401</v>
      </c>
      <c r="D26" s="165">
        <f t="shared" si="11"/>
        <v>0</v>
      </c>
      <c r="E26" s="171">
        <f t="shared" si="11"/>
        <v>0</v>
      </c>
      <c r="F26" s="165">
        <f t="shared" si="11"/>
        <v>0</v>
      </c>
      <c r="G26" s="165">
        <f t="shared" si="11"/>
        <v>-751.61591804648151</v>
      </c>
      <c r="H26" s="165">
        <f t="shared" si="11"/>
        <v>-1057.6981902096952</v>
      </c>
      <c r="J26" s="18" t="s">
        <v>40</v>
      </c>
      <c r="K26" s="166">
        <f t="shared" si="12"/>
        <v>-365978.09423863114</v>
      </c>
      <c r="L26" s="166">
        <f t="shared" si="12"/>
        <v>0</v>
      </c>
      <c r="M26" s="11">
        <f t="shared" si="12"/>
        <v>0</v>
      </c>
      <c r="N26" s="166">
        <f t="shared" si="12"/>
        <v>0</v>
      </c>
      <c r="O26" s="166">
        <f t="shared" si="12"/>
        <v>-22548.477541394441</v>
      </c>
      <c r="P26" s="166">
        <f t="shared" si="12"/>
        <v>-61346.495032162318</v>
      </c>
      <c r="Q26" s="13">
        <f t="shared" si="13"/>
        <v>-449873.0668121879</v>
      </c>
    </row>
    <row r="27" spans="2:17" ht="15.6">
      <c r="B27" s="18" t="s">
        <v>42</v>
      </c>
      <c r="C27" s="165">
        <f t="shared" si="11"/>
        <v>-993.59201162947306</v>
      </c>
      <c r="D27" s="165">
        <f t="shared" si="11"/>
        <v>-297.12624206619046</v>
      </c>
      <c r="E27" s="165">
        <f t="shared" si="11"/>
        <v>-284.33871380365798</v>
      </c>
      <c r="F27" s="171">
        <f t="shared" si="11"/>
        <v>0</v>
      </c>
      <c r="G27" s="165">
        <f t="shared" si="11"/>
        <v>0</v>
      </c>
      <c r="H27" s="165">
        <f t="shared" si="11"/>
        <v>0</v>
      </c>
      <c r="J27" s="18" t="s">
        <v>42</v>
      </c>
      <c r="K27" s="166">
        <f t="shared" si="12"/>
        <v>-85448.913000134678</v>
      </c>
      <c r="L27" s="166">
        <f t="shared" si="12"/>
        <v>-2674.1361785957133</v>
      </c>
      <c r="M27" s="166">
        <f t="shared" si="12"/>
        <v>-284.33871380365798</v>
      </c>
      <c r="N27" s="11">
        <f t="shared" si="12"/>
        <v>0</v>
      </c>
      <c r="O27" s="166">
        <f t="shared" si="12"/>
        <v>0</v>
      </c>
      <c r="P27" s="166">
        <f t="shared" si="12"/>
        <v>0</v>
      </c>
      <c r="Q27" s="13">
        <f t="shared" si="13"/>
        <v>-88407.387892534054</v>
      </c>
    </row>
    <row r="28" spans="2:17" ht="15.6">
      <c r="B28" s="18" t="s">
        <v>43</v>
      </c>
      <c r="C28" s="165">
        <f t="shared" si="11"/>
        <v>-1287.1830227627534</v>
      </c>
      <c r="D28" s="165">
        <f t="shared" si="11"/>
        <v>-843.53344372578658</v>
      </c>
      <c r="E28" s="165">
        <f t="shared" si="11"/>
        <v>-884.81643020009619</v>
      </c>
      <c r="F28" s="165">
        <f t="shared" si="11"/>
        <v>-632.46951859726187</v>
      </c>
      <c r="G28" s="171">
        <f t="shared" si="11"/>
        <v>0</v>
      </c>
      <c r="H28" s="165">
        <f t="shared" si="11"/>
        <v>0</v>
      </c>
      <c r="J28" s="18" t="s">
        <v>43</v>
      </c>
      <c r="K28" s="166">
        <f t="shared" si="12"/>
        <v>-78518.164388527963</v>
      </c>
      <c r="L28" s="166">
        <f t="shared" si="12"/>
        <v>-101224.01324709439</v>
      </c>
      <c r="M28" s="166">
        <f t="shared" si="12"/>
        <v>-105293.15519381146</v>
      </c>
      <c r="N28" s="166">
        <f t="shared" si="12"/>
        <v>-29726.06737407131</v>
      </c>
      <c r="O28" s="11">
        <f t="shared" si="12"/>
        <v>0</v>
      </c>
      <c r="P28" s="166">
        <f t="shared" si="12"/>
        <v>0</v>
      </c>
      <c r="Q28" s="13">
        <f t="shared" si="13"/>
        <v>-314761.40020350518</v>
      </c>
    </row>
    <row r="29" spans="2:17" ht="15.6">
      <c r="B29" s="18" t="s">
        <v>45</v>
      </c>
      <c r="C29" s="165">
        <f t="shared" si="11"/>
        <v>-1033.7776414676241</v>
      </c>
      <c r="D29" s="165">
        <f t="shared" si="11"/>
        <v>-1115.4888745359212</v>
      </c>
      <c r="E29" s="165">
        <f t="shared" si="11"/>
        <v>-1028.902400483915</v>
      </c>
      <c r="F29" s="165">
        <f t="shared" si="11"/>
        <v>-753.17364467055415</v>
      </c>
      <c r="G29" s="165">
        <f t="shared" si="11"/>
        <v>0</v>
      </c>
      <c r="H29" s="171">
        <f t="shared" si="11"/>
        <v>0</v>
      </c>
      <c r="J29" s="18" t="s">
        <v>45</v>
      </c>
      <c r="K29" s="166">
        <f t="shared" si="12"/>
        <v>-236735.07989608595</v>
      </c>
      <c r="L29" s="166">
        <f t="shared" si="12"/>
        <v>-246523.04127243863</v>
      </c>
      <c r="M29" s="166">
        <f t="shared" si="12"/>
        <v>-279861.45293162484</v>
      </c>
      <c r="N29" s="166">
        <f t="shared" si="12"/>
        <v>-76823.711756396529</v>
      </c>
      <c r="O29" s="166">
        <f t="shared" si="12"/>
        <v>0</v>
      </c>
      <c r="P29" s="11">
        <f t="shared" si="12"/>
        <v>0</v>
      </c>
      <c r="Q29" s="13">
        <f t="shared" si="13"/>
        <v>-839943.28585654602</v>
      </c>
    </row>
    <row r="30" spans="2:17" ht="18">
      <c r="B30" s="1"/>
      <c r="C30" s="208"/>
      <c r="D30" s="208"/>
      <c r="E30" s="208"/>
      <c r="F30" s="208"/>
      <c r="G30" s="208"/>
      <c r="H30" s="208"/>
      <c r="J30" s="16" t="s">
        <v>258</v>
      </c>
      <c r="K30" s="13">
        <f>SUM(K24:K29)</f>
        <v>-1017015.6707408912</v>
      </c>
      <c r="L30" s="13">
        <f t="shared" ref="L30:P30" si="14">SUM(L24:L29)</f>
        <v>-522325.56850981107</v>
      </c>
      <c r="M30" s="13">
        <f t="shared" si="14"/>
        <v>-565300.94871170598</v>
      </c>
      <c r="N30" s="13">
        <f t="shared" si="14"/>
        <v>-106549.77913046784</v>
      </c>
      <c r="O30" s="13">
        <f t="shared" si="14"/>
        <v>-307636.5570116592</v>
      </c>
      <c r="P30" s="13">
        <f t="shared" si="14"/>
        <v>-936352.53244612378</v>
      </c>
      <c r="Q30" s="13">
        <f>SUM(Q24:Q29)</f>
        <v>-3455181.0565506592</v>
      </c>
    </row>
    <row r="31" spans="2:17" ht="15.6">
      <c r="B31" s="1"/>
      <c r="C31" s="208"/>
      <c r="D31" s="208"/>
      <c r="E31" s="208"/>
      <c r="F31" s="208"/>
      <c r="G31" s="208"/>
      <c r="H31" s="208"/>
    </row>
    <row r="32" spans="2:17" ht="18">
      <c r="B32" s="260" t="s">
        <v>528</v>
      </c>
      <c r="C32" s="260"/>
      <c r="D32" s="260"/>
      <c r="E32" s="260"/>
      <c r="F32" s="260"/>
      <c r="G32" s="260"/>
      <c r="H32" s="260"/>
      <c r="J32" s="261" t="s">
        <v>559</v>
      </c>
      <c r="K32" s="262"/>
      <c r="L32" s="262"/>
      <c r="M32" s="262"/>
      <c r="N32" s="262"/>
      <c r="O32" s="262"/>
      <c r="P32" s="262"/>
      <c r="Q32" s="262"/>
    </row>
    <row r="33" spans="2:17" ht="18">
      <c r="B33" s="176" t="s">
        <v>348</v>
      </c>
      <c r="C33" s="177" t="s">
        <v>35</v>
      </c>
      <c r="D33" s="177" t="s">
        <v>38</v>
      </c>
      <c r="E33" s="177" t="s">
        <v>40</v>
      </c>
      <c r="F33" s="177" t="s">
        <v>42</v>
      </c>
      <c r="G33" s="177" t="s">
        <v>43</v>
      </c>
      <c r="H33" s="177" t="s">
        <v>45</v>
      </c>
      <c r="J33" s="176" t="s">
        <v>348</v>
      </c>
      <c r="K33" s="177" t="s">
        <v>35</v>
      </c>
      <c r="L33" s="177" t="s">
        <v>38</v>
      </c>
      <c r="M33" s="177" t="s">
        <v>40</v>
      </c>
      <c r="N33" s="177" t="s">
        <v>42</v>
      </c>
      <c r="O33" s="177" t="s">
        <v>43</v>
      </c>
      <c r="P33" s="177" t="s">
        <v>45</v>
      </c>
      <c r="Q33" s="5" t="s">
        <v>257</v>
      </c>
    </row>
    <row r="34" spans="2:17" ht="15.6">
      <c r="B34" s="18" t="s">
        <v>35</v>
      </c>
      <c r="C34" s="206">
        <f>IF(C4=0,0,C14/C4-1)</f>
        <v>0</v>
      </c>
      <c r="D34" s="40">
        <f t="shared" ref="D34:H34" si="15">IF(D4=0,0,D14/D4-1)</f>
        <v>-0.56653637972601634</v>
      </c>
      <c r="E34" s="40">
        <f t="shared" si="15"/>
        <v>-0.54562242713125331</v>
      </c>
      <c r="F34" s="40">
        <f t="shared" si="15"/>
        <v>0</v>
      </c>
      <c r="G34" s="40">
        <f t="shared" si="15"/>
        <v>-0.41223849628320841</v>
      </c>
      <c r="H34" s="40">
        <f t="shared" si="15"/>
        <v>-0.4026384686820359</v>
      </c>
      <c r="J34" s="18" t="s">
        <v>35</v>
      </c>
      <c r="K34" s="206">
        <f t="shared" ref="K34:Q34" si="16">IF(K4=0,0,K14/K4-1)</f>
        <v>0</v>
      </c>
      <c r="L34" s="213">
        <f t="shared" si="16"/>
        <v>-0.56653637972601634</v>
      </c>
      <c r="M34" s="213">
        <f t="shared" si="16"/>
        <v>-0.54562242713125331</v>
      </c>
      <c r="N34" s="213">
        <f t="shared" si="16"/>
        <v>0</v>
      </c>
      <c r="O34" s="213">
        <f t="shared" si="16"/>
        <v>-0.41223849628320841</v>
      </c>
      <c r="P34" s="213">
        <f t="shared" si="16"/>
        <v>-0.40263846868203601</v>
      </c>
      <c r="Q34" s="162">
        <f t="shared" si="16"/>
        <v>-0.43627066062614817</v>
      </c>
    </row>
    <row r="35" spans="2:17" ht="15.6">
      <c r="B35" s="18" t="s">
        <v>38</v>
      </c>
      <c r="C35" s="40">
        <f t="shared" ref="C35:H35" si="17">IF(C5=0,0,C15/C5-1)</f>
        <v>-0.48570998692764045</v>
      </c>
      <c r="D35" s="206">
        <f t="shared" si="17"/>
        <v>0</v>
      </c>
      <c r="E35" s="40">
        <f t="shared" si="17"/>
        <v>0</v>
      </c>
      <c r="F35" s="40">
        <f t="shared" si="17"/>
        <v>0</v>
      </c>
      <c r="G35" s="40">
        <f t="shared" si="17"/>
        <v>-0.38951546604337373</v>
      </c>
      <c r="H35" s="40">
        <f t="shared" si="17"/>
        <v>-0.51851799016835687</v>
      </c>
      <c r="J35" s="18" t="s">
        <v>38</v>
      </c>
      <c r="K35" s="40">
        <f>IF(K5=0,0,K15/K5-1)</f>
        <v>-0.48570998692764056</v>
      </c>
      <c r="L35" s="206">
        <f t="shared" ref="L35:Q35" si="18">IF(L5=0,0,L15/L5-1)</f>
        <v>0</v>
      </c>
      <c r="M35" s="213">
        <f t="shared" si="18"/>
        <v>0</v>
      </c>
      <c r="N35" s="213">
        <f t="shared" si="18"/>
        <v>0</v>
      </c>
      <c r="O35" s="213">
        <f t="shared" si="18"/>
        <v>-0.38951546604337373</v>
      </c>
      <c r="P35" s="213">
        <f t="shared" si="18"/>
        <v>-0.51851799016835676</v>
      </c>
      <c r="Q35" s="162">
        <f t="shared" si="18"/>
        <v>-0.49318718494368274</v>
      </c>
    </row>
    <row r="36" spans="2:17" ht="15.6">
      <c r="B36" s="18" t="s">
        <v>40</v>
      </c>
      <c r="C36" s="40">
        <f t="shared" ref="C36:H36" si="19">IF(C6=0,0,C16/C6-1)</f>
        <v>-0.46820122998479452</v>
      </c>
      <c r="D36" s="40">
        <f t="shared" si="19"/>
        <v>0</v>
      </c>
      <c r="E36" s="206">
        <f t="shared" si="19"/>
        <v>0</v>
      </c>
      <c r="F36" s="40">
        <f t="shared" si="19"/>
        <v>0</v>
      </c>
      <c r="G36" s="40">
        <f t="shared" si="19"/>
        <v>-0.44338316591463556</v>
      </c>
      <c r="H36" s="40">
        <f t="shared" si="19"/>
        <v>-0.54665710395292466</v>
      </c>
      <c r="J36" s="18" t="s">
        <v>40</v>
      </c>
      <c r="K36" s="40">
        <f t="shared" ref="K36:Q36" si="20">IF(K6=0,0,K16/K6-1)</f>
        <v>-0.46820122998479441</v>
      </c>
      <c r="L36" s="40">
        <f t="shared" si="20"/>
        <v>0</v>
      </c>
      <c r="M36" s="206">
        <f t="shared" si="20"/>
        <v>0</v>
      </c>
      <c r="N36" s="213">
        <f t="shared" si="20"/>
        <v>0</v>
      </c>
      <c r="O36" s="213">
        <f t="shared" si="20"/>
        <v>-0.44338316591463545</v>
      </c>
      <c r="P36" s="213">
        <f t="shared" si="20"/>
        <v>-0.54665710395292466</v>
      </c>
      <c r="Q36" s="162">
        <f t="shared" si="20"/>
        <v>-0.47618462611814538</v>
      </c>
    </row>
    <row r="37" spans="2:17" ht="15.6">
      <c r="B37" s="18" t="s">
        <v>42</v>
      </c>
      <c r="C37" s="40">
        <f t="shared" ref="C37:H37" si="21">IF(C7=0,0,C17/C7-1)</f>
        <v>-0.41725398127590696</v>
      </c>
      <c r="D37" s="40">
        <f t="shared" si="21"/>
        <v>-0.34373794902669741</v>
      </c>
      <c r="E37" s="40">
        <f t="shared" si="21"/>
        <v>-0.45943470707895295</v>
      </c>
      <c r="F37" s="206">
        <f t="shared" si="21"/>
        <v>0</v>
      </c>
      <c r="G37" s="40">
        <f t="shared" si="21"/>
        <v>0</v>
      </c>
      <c r="H37" s="40">
        <f t="shared" si="21"/>
        <v>0</v>
      </c>
      <c r="J37" s="18" t="s">
        <v>42</v>
      </c>
      <c r="K37" s="40">
        <f t="shared" ref="K37:Q37" si="22">IF(K7=0,0,K17/K7-1)</f>
        <v>-0.41725398127590696</v>
      </c>
      <c r="L37" s="40">
        <f t="shared" si="22"/>
        <v>-0.3437379490266973</v>
      </c>
      <c r="M37" s="40">
        <f t="shared" si="22"/>
        <v>-0.45943470707895295</v>
      </c>
      <c r="N37" s="206">
        <f t="shared" si="22"/>
        <v>0</v>
      </c>
      <c r="O37" s="213">
        <f t="shared" si="22"/>
        <v>0</v>
      </c>
      <c r="P37" s="213">
        <f t="shared" si="22"/>
        <v>0</v>
      </c>
      <c r="Q37" s="162">
        <f t="shared" si="22"/>
        <v>-0.41469370297672359</v>
      </c>
    </row>
    <row r="38" spans="2:17" ht="15.6">
      <c r="B38" s="18" t="s">
        <v>43</v>
      </c>
      <c r="C38" s="40">
        <f t="shared" ref="C38:H38" si="23">IF(C8=0,0,C18/C8-1)</f>
        <v>-0.40854223064412121</v>
      </c>
      <c r="D38" s="40">
        <f t="shared" si="23"/>
        <v>-0.44711298590588922</v>
      </c>
      <c r="E38" s="40">
        <f t="shared" si="23"/>
        <v>-0.52195902276133455</v>
      </c>
      <c r="F38" s="40">
        <f t="shared" si="23"/>
        <v>-0.53005951014924324</v>
      </c>
      <c r="G38" s="206">
        <f t="shared" si="23"/>
        <v>0</v>
      </c>
      <c r="H38" s="40">
        <f t="shared" si="23"/>
        <v>0</v>
      </c>
      <c r="J38" s="18" t="s">
        <v>43</v>
      </c>
      <c r="K38" s="40">
        <f t="shared" ref="K38:Q38" si="24">IF(K8=0,0,K18/K8-1)</f>
        <v>-0.40854223064412132</v>
      </c>
      <c r="L38" s="40">
        <f t="shared" si="24"/>
        <v>-0.44711298590588922</v>
      </c>
      <c r="M38" s="40">
        <f t="shared" si="24"/>
        <v>-0.52195902276133455</v>
      </c>
      <c r="N38" s="40">
        <f t="shared" si="24"/>
        <v>-0.53005951014924335</v>
      </c>
      <c r="O38" s="206">
        <f t="shared" si="24"/>
        <v>0</v>
      </c>
      <c r="P38" s="213">
        <f t="shared" si="24"/>
        <v>0</v>
      </c>
      <c r="Q38" s="162">
        <f t="shared" si="24"/>
        <v>-0.46535266297126643</v>
      </c>
    </row>
    <row r="39" spans="2:17" ht="15.6">
      <c r="B39" s="18" t="s">
        <v>45</v>
      </c>
      <c r="C39" s="40">
        <f t="shared" ref="C39:H39" si="25">IF(C9=0,0,C19/C9-1)</f>
        <v>-0.34541628816100622</v>
      </c>
      <c r="D39" s="40">
        <f t="shared" si="25"/>
        <v>-0.49485879189638171</v>
      </c>
      <c r="E39" s="40">
        <f t="shared" si="25"/>
        <v>-0.53177438678158151</v>
      </c>
      <c r="F39" s="40">
        <f t="shared" si="25"/>
        <v>-0.53436019878955199</v>
      </c>
      <c r="G39" s="40">
        <f t="shared" si="25"/>
        <v>0</v>
      </c>
      <c r="H39" s="206">
        <f t="shared" si="25"/>
        <v>0</v>
      </c>
      <c r="J39" s="18" t="s">
        <v>45</v>
      </c>
      <c r="K39" s="40">
        <f t="shared" ref="K39:P40" si="26">IF(K9=0,0,K19/K9-1)</f>
        <v>-0.34541628816100634</v>
      </c>
      <c r="L39" s="40">
        <f t="shared" si="26"/>
        <v>-0.49485879189638182</v>
      </c>
      <c r="M39" s="40">
        <f t="shared" si="26"/>
        <v>-0.5317743867815814</v>
      </c>
      <c r="N39" s="40">
        <f t="shared" si="26"/>
        <v>-0.5343601987895521</v>
      </c>
      <c r="O39" s="40">
        <f t="shared" si="26"/>
        <v>0</v>
      </c>
      <c r="P39" s="206">
        <f t="shared" si="26"/>
        <v>0</v>
      </c>
      <c r="Q39" s="162">
        <f t="shared" ref="Q39" si="27">IF(Q9=0,0,Q19/Q9-1)</f>
        <v>-0.45314739806794646</v>
      </c>
    </row>
    <row r="40" spans="2:17" ht="15.6">
      <c r="J40" s="16" t="s">
        <v>48</v>
      </c>
      <c r="K40" s="162">
        <f t="shared" si="26"/>
        <v>-0.42742331660993071</v>
      </c>
      <c r="L40" s="162">
        <f t="shared" si="26"/>
        <v>-0.50428566980000422</v>
      </c>
      <c r="M40" s="162">
        <f t="shared" si="26"/>
        <v>-0.53417467444681233</v>
      </c>
      <c r="N40" s="162">
        <f t="shared" si="26"/>
        <v>-0.53315335677034115</v>
      </c>
      <c r="O40" s="162">
        <f t="shared" si="26"/>
        <v>-0.41321430015700777</v>
      </c>
      <c r="P40" s="162">
        <f t="shared" si="26"/>
        <v>-0.42616260244449577</v>
      </c>
      <c r="Q40" s="162">
        <f t="shared" ref="Q40" si="28">IF(Q10=0,0,Q20/Q10-1)</f>
        <v>-0.4537353167313114</v>
      </c>
    </row>
    <row r="45" spans="2:17" ht="18">
      <c r="B45" s="214" t="s">
        <v>386</v>
      </c>
      <c r="C45" s="98" t="s">
        <v>393</v>
      </c>
      <c r="D45" s="98" t="s">
        <v>58</v>
      </c>
    </row>
    <row r="46" spans="2:17" ht="15.6">
      <c r="B46" s="18" t="s">
        <v>387</v>
      </c>
      <c r="C46" s="12">
        <f>Q10</f>
        <v>7614970.5106528308</v>
      </c>
      <c r="D46" s="216">
        <v>1</v>
      </c>
    </row>
    <row r="47" spans="2:17" ht="15.6">
      <c r="B47" s="18" t="s">
        <v>388</v>
      </c>
      <c r="C47" s="12">
        <f>Q20</f>
        <v>4159789.4541021725</v>
      </c>
      <c r="D47" s="216">
        <v>1</v>
      </c>
    </row>
    <row r="48" spans="2:17" ht="15.6">
      <c r="B48" s="215" t="s">
        <v>389</v>
      </c>
      <c r="C48" s="12">
        <f>'Rodo Cabotagem Base'!I78</f>
        <v>537508.84926484223</v>
      </c>
      <c r="D48" s="19">
        <f>C48/$C$47</f>
        <v>0.12921539784538336</v>
      </c>
    </row>
    <row r="49" spans="2:4" ht="15.6">
      <c r="B49" s="215" t="s">
        <v>390</v>
      </c>
      <c r="C49" s="12">
        <f>'Depot Base C1'!I88</f>
        <v>19272.361525662251</v>
      </c>
      <c r="D49" s="19">
        <f t="shared" ref="D49:D53" si="29">C49/$C$47</f>
        <v>4.6330136989642182E-3</v>
      </c>
    </row>
    <row r="50" spans="2:4" ht="15.6">
      <c r="B50" s="215" t="s">
        <v>391</v>
      </c>
      <c r="C50" s="12">
        <f>'TC Total'!C14</f>
        <v>67902.953775416652</v>
      </c>
      <c r="D50" s="19">
        <f t="shared" si="29"/>
        <v>1.6323651599350592E-2</v>
      </c>
    </row>
    <row r="51" spans="2:4" ht="15.6">
      <c r="B51" s="215" t="s">
        <v>399</v>
      </c>
      <c r="C51" s="12">
        <f>'Navio Porto Base C1'!C203</f>
        <v>60674.461203703708</v>
      </c>
      <c r="D51" s="19">
        <f t="shared" si="29"/>
        <v>1.4585945243904027E-2</v>
      </c>
    </row>
    <row r="52" spans="2:4" ht="15.6">
      <c r="B52" s="215" t="s">
        <v>398</v>
      </c>
      <c r="C52" s="12">
        <f>'Praticagem e Rebocador Base C1'!C130</f>
        <v>68351.891840000011</v>
      </c>
      <c r="D52" s="19">
        <f t="shared" si="29"/>
        <v>1.6431574865548748E-2</v>
      </c>
    </row>
    <row r="53" spans="2:4" ht="15.6">
      <c r="B53" s="215" t="s">
        <v>392</v>
      </c>
      <c r="C53" s="12">
        <f>'Navio Viagem Base C1'!C199</f>
        <v>3406078.9364925469</v>
      </c>
      <c r="D53" s="19">
        <f t="shared" si="29"/>
        <v>0.81881041674684885</v>
      </c>
    </row>
    <row r="56" spans="2:4" ht="18">
      <c r="B56" s="98" t="s">
        <v>388</v>
      </c>
      <c r="C56" s="98" t="s">
        <v>393</v>
      </c>
      <c r="D56" s="98" t="s">
        <v>58</v>
      </c>
    </row>
    <row r="57" spans="2:4" ht="15.6">
      <c r="B57" s="17" t="s">
        <v>389</v>
      </c>
      <c r="C57" s="12">
        <f>C48</f>
        <v>537508.84926484223</v>
      </c>
      <c r="D57" s="40">
        <f>C57/$C$63</f>
        <v>0.12921539784538338</v>
      </c>
    </row>
    <row r="58" spans="2:4" ht="15.6">
      <c r="B58" s="17" t="s">
        <v>390</v>
      </c>
      <c r="C58" s="12">
        <f t="shared" ref="C58:C62" si="30">C49</f>
        <v>19272.361525662251</v>
      </c>
      <c r="D58" s="40">
        <f t="shared" ref="D58:D63" si="31">C58/$C$63</f>
        <v>4.633013698964219E-3</v>
      </c>
    </row>
    <row r="59" spans="2:4" ht="15.6">
      <c r="B59" s="17" t="s">
        <v>391</v>
      </c>
      <c r="C59" s="12">
        <f t="shared" si="30"/>
        <v>67902.953775416652</v>
      </c>
      <c r="D59" s="40">
        <f t="shared" si="31"/>
        <v>1.6323651599350595E-2</v>
      </c>
    </row>
    <row r="60" spans="2:4" ht="15.6">
      <c r="B60" s="17" t="s">
        <v>400</v>
      </c>
      <c r="C60" s="12">
        <f t="shared" si="30"/>
        <v>60674.461203703708</v>
      </c>
      <c r="D60" s="40">
        <f t="shared" si="31"/>
        <v>1.4585945243904028E-2</v>
      </c>
    </row>
    <row r="61" spans="2:4" ht="15.6">
      <c r="B61" s="17" t="s">
        <v>398</v>
      </c>
      <c r="C61" s="12">
        <f t="shared" si="30"/>
        <v>68351.891840000011</v>
      </c>
      <c r="D61" s="40">
        <f t="shared" si="31"/>
        <v>1.6431574865548752E-2</v>
      </c>
    </row>
    <row r="62" spans="2:4" ht="15.6">
      <c r="B62" s="17" t="s">
        <v>392</v>
      </c>
      <c r="C62" s="12">
        <f t="shared" si="30"/>
        <v>3406078.9364925469</v>
      </c>
      <c r="D62" s="40">
        <f t="shared" si="31"/>
        <v>0.81881041674684907</v>
      </c>
    </row>
    <row r="63" spans="2:4" ht="15.6">
      <c r="B63" s="217" t="s">
        <v>10</v>
      </c>
      <c r="C63" s="200">
        <f>SUM(C57:C62)</f>
        <v>4159789.4541021716</v>
      </c>
      <c r="D63" s="218">
        <f t="shared" si="31"/>
        <v>1</v>
      </c>
    </row>
    <row r="66" spans="4:4">
      <c r="D66" s="114">
        <f>C63-C57</f>
        <v>3622280.6048373291</v>
      </c>
    </row>
    <row r="109" spans="2:8" ht="15.6">
      <c r="B109" s="30" t="s">
        <v>401</v>
      </c>
      <c r="C109" s="6" t="s">
        <v>389</v>
      </c>
      <c r="D109" s="6" t="s">
        <v>390</v>
      </c>
      <c r="E109" s="6" t="s">
        <v>391</v>
      </c>
      <c r="F109" s="6" t="s">
        <v>399</v>
      </c>
      <c r="G109" s="6" t="s">
        <v>398</v>
      </c>
      <c r="H109" s="6" t="s">
        <v>392</v>
      </c>
    </row>
    <row r="110" spans="2:8" ht="15.6">
      <c r="B110" s="18" t="s">
        <v>387</v>
      </c>
      <c r="C110" s="108">
        <f>C46</f>
        <v>7614970.5106528308</v>
      </c>
      <c r="D110" s="30">
        <v>0</v>
      </c>
      <c r="E110" s="30">
        <v>0</v>
      </c>
      <c r="F110" s="30">
        <v>0</v>
      </c>
      <c r="G110" s="30">
        <v>0</v>
      </c>
      <c r="H110" s="30">
        <v>0</v>
      </c>
    </row>
    <row r="111" spans="2:8" ht="15.6">
      <c r="B111" s="18" t="s">
        <v>388</v>
      </c>
      <c r="C111" s="108">
        <f>C57</f>
        <v>537508.84926484223</v>
      </c>
      <c r="D111" s="108">
        <f>C58</f>
        <v>19272.361525662251</v>
      </c>
      <c r="E111" s="108">
        <f>C59</f>
        <v>67902.953775416652</v>
      </c>
      <c r="F111" s="108">
        <f>C60</f>
        <v>60674.461203703708</v>
      </c>
      <c r="G111" s="108">
        <f>C61</f>
        <v>68351.891840000011</v>
      </c>
      <c r="H111" s="108">
        <f>C62</f>
        <v>3406078.9364925469</v>
      </c>
    </row>
  </sheetData>
  <mergeCells count="9">
    <mergeCell ref="U2:AB2"/>
    <mergeCell ref="J12:Q12"/>
    <mergeCell ref="J2:Q2"/>
    <mergeCell ref="J32:Q32"/>
    <mergeCell ref="B2:H2"/>
    <mergeCell ref="B12:H12"/>
    <mergeCell ref="B22:H22"/>
    <mergeCell ref="B32:H32"/>
    <mergeCell ref="J22:Q2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7298-B41F-4A8E-AF93-2D05C0D9EDAE}">
  <dimension ref="A2:K100"/>
  <sheetViews>
    <sheetView showGridLines="0" zoomScale="85" zoomScaleNormal="85" workbookViewId="0">
      <selection activeCell="K22" sqref="K22"/>
    </sheetView>
  </sheetViews>
  <sheetFormatPr defaultRowHeight="15.6"/>
  <cols>
    <col min="1" max="1" width="8.83984375" style="169"/>
    <col min="2" max="2" width="24.83984375" style="169" customWidth="1"/>
    <col min="3" max="3" width="20.83984375" style="169" customWidth="1"/>
    <col min="4" max="4" width="12.734375" style="169" customWidth="1"/>
    <col min="5" max="5" width="11.9453125" style="169" customWidth="1"/>
    <col min="6" max="6" width="11.7890625" style="169" customWidth="1"/>
    <col min="7" max="7" width="14" style="169" customWidth="1"/>
    <col min="8" max="8" width="13.15625" style="169" customWidth="1"/>
    <col min="9" max="9" width="22.3671875" style="169" customWidth="1"/>
    <col min="10" max="16384" width="8.83984375" style="169"/>
  </cols>
  <sheetData>
    <row r="2" spans="2:4">
      <c r="B2" s="191" t="s">
        <v>327</v>
      </c>
    </row>
    <row r="4" spans="2:4">
      <c r="B4" s="262" t="s">
        <v>338</v>
      </c>
      <c r="C4" s="262"/>
      <c r="D4" s="262"/>
    </row>
    <row r="5" spans="2:4">
      <c r="B5" s="18" t="s">
        <v>328</v>
      </c>
      <c r="C5" s="274" t="s">
        <v>329</v>
      </c>
      <c r="D5" s="275"/>
    </row>
    <row r="6" spans="2:4">
      <c r="B6" s="18" t="s">
        <v>337</v>
      </c>
      <c r="C6" s="6">
        <v>120</v>
      </c>
      <c r="D6" s="18"/>
    </row>
    <row r="7" spans="2:4">
      <c r="B7" s="18" t="s">
        <v>330</v>
      </c>
      <c r="C7" s="6" t="s">
        <v>331</v>
      </c>
      <c r="D7" s="18"/>
    </row>
    <row r="8" spans="2:4">
      <c r="B8" s="18" t="s">
        <v>315</v>
      </c>
      <c r="C8" s="6">
        <v>209.5</v>
      </c>
      <c r="D8" s="18" t="s">
        <v>334</v>
      </c>
    </row>
    <row r="9" spans="2:4">
      <c r="B9" s="18" t="s">
        <v>333</v>
      </c>
      <c r="C9" s="192">
        <v>1067</v>
      </c>
      <c r="D9" s="18" t="s">
        <v>335</v>
      </c>
    </row>
    <row r="10" spans="2:4">
      <c r="B10" s="18" t="s">
        <v>332</v>
      </c>
      <c r="C10" s="235">
        <f>C8/C9</f>
        <v>0.19634489222118087</v>
      </c>
      <c r="D10" s="18" t="s">
        <v>336</v>
      </c>
    </row>
    <row r="11" spans="2:4">
      <c r="B11" s="18" t="s">
        <v>339</v>
      </c>
      <c r="C11" s="6">
        <v>5</v>
      </c>
      <c r="D11" s="18" t="s">
        <v>341</v>
      </c>
    </row>
    <row r="12" spans="2:4">
      <c r="B12" s="18" t="s">
        <v>340</v>
      </c>
      <c r="C12" s="6">
        <v>7</v>
      </c>
      <c r="D12" s="18" t="s">
        <v>342</v>
      </c>
    </row>
    <row r="14" spans="2:4">
      <c r="B14" s="98" t="s">
        <v>343</v>
      </c>
      <c r="C14" s="98" t="s">
        <v>358</v>
      </c>
    </row>
    <row r="15" spans="2:4">
      <c r="B15" s="18" t="s">
        <v>339</v>
      </c>
      <c r="C15" s="193">
        <f>$C$10*C11*24/$C$6</f>
        <v>0.19634489222118087</v>
      </c>
    </row>
    <row r="16" spans="2:4">
      <c r="B16" s="18" t="s">
        <v>340</v>
      </c>
      <c r="C16" s="193">
        <f>$C$10*C12*24/$C$6</f>
        <v>0.27488284910965327</v>
      </c>
    </row>
    <row r="17" spans="2:9" customFormat="1" ht="14.4"/>
    <row r="18" spans="2:9" customFormat="1">
      <c r="B18" s="5" t="s">
        <v>188</v>
      </c>
      <c r="C18" s="4" t="s">
        <v>4</v>
      </c>
      <c r="D18" s="4" t="s">
        <v>5</v>
      </c>
      <c r="E18" s="4" t="s">
        <v>6</v>
      </c>
      <c r="F18" s="4" t="s">
        <v>7</v>
      </c>
      <c r="G18" s="4" t="s">
        <v>8</v>
      </c>
      <c r="H18" s="4" t="s">
        <v>9</v>
      </c>
      <c r="I18" s="5" t="s">
        <v>47</v>
      </c>
    </row>
    <row r="19" spans="2:9" customFormat="1">
      <c r="B19" s="10" t="s">
        <v>4</v>
      </c>
      <c r="C19" s="11">
        <f>'Movimentacao de Conteineres'!K30</f>
        <v>0</v>
      </c>
      <c r="D19" s="12">
        <f>'Movimentacao de Conteineres'!L30</f>
        <v>175</v>
      </c>
      <c r="E19" s="12">
        <f>'Movimentacao de Conteineres'!M30</f>
        <v>156</v>
      </c>
      <c r="F19" s="12">
        <f>'Movimentacao de Conteineres'!N30</f>
        <v>0</v>
      </c>
      <c r="G19" s="12">
        <f>'Movimentacao de Conteineres'!O30</f>
        <v>226</v>
      </c>
      <c r="H19" s="12">
        <f>'Movimentacao de Conteineres'!P30</f>
        <v>648</v>
      </c>
      <c r="I19" s="13">
        <f t="shared" ref="I19:I24" si="0">SUM(C19:H19)</f>
        <v>1205</v>
      </c>
    </row>
    <row r="20" spans="2:9" customFormat="1">
      <c r="B20" s="10" t="s">
        <v>5</v>
      </c>
      <c r="C20" s="12">
        <f>'Movimentacao de Conteineres'!K31</f>
        <v>260</v>
      </c>
      <c r="D20" s="11">
        <f>'Movimentacao de Conteineres'!L31</f>
        <v>0</v>
      </c>
      <c r="E20" s="12">
        <f>'Movimentacao de Conteineres'!M31</f>
        <v>0</v>
      </c>
      <c r="F20" s="12">
        <f>'Movimentacao de Conteineres'!N31</f>
        <v>0</v>
      </c>
      <c r="G20" s="12">
        <f>'Movimentacao de Conteineres'!O31</f>
        <v>20</v>
      </c>
      <c r="H20" s="12">
        <f>'Movimentacao de Conteineres'!P31</f>
        <v>136</v>
      </c>
      <c r="I20" s="13">
        <f t="shared" si="0"/>
        <v>416</v>
      </c>
    </row>
    <row r="21" spans="2:9" customFormat="1">
      <c r="B21" s="10" t="s">
        <v>6</v>
      </c>
      <c r="C21" s="12">
        <f>'Movimentacao de Conteineres'!K32</f>
        <v>331</v>
      </c>
      <c r="D21" s="12">
        <f>'Movimentacao de Conteineres'!L32</f>
        <v>0</v>
      </c>
      <c r="E21" s="11">
        <f>'Movimentacao de Conteineres'!M32</f>
        <v>0</v>
      </c>
      <c r="F21" s="12">
        <f>'Movimentacao de Conteineres'!N32</f>
        <v>0</v>
      </c>
      <c r="G21" s="12">
        <f>'Movimentacao de Conteineres'!O32</f>
        <v>30</v>
      </c>
      <c r="H21" s="12">
        <f>'Movimentacao de Conteineres'!P32</f>
        <v>58</v>
      </c>
      <c r="I21" s="13">
        <f t="shared" si="0"/>
        <v>419</v>
      </c>
    </row>
    <row r="22" spans="2:9" customFormat="1">
      <c r="B22" s="10" t="s">
        <v>7</v>
      </c>
      <c r="C22" s="12">
        <f>'Movimentacao de Conteineres'!K33</f>
        <v>86</v>
      </c>
      <c r="D22" s="12">
        <f>'Movimentacao de Conteineres'!L33</f>
        <v>9</v>
      </c>
      <c r="E22" s="12">
        <f>'Movimentacao de Conteineres'!M33</f>
        <v>1</v>
      </c>
      <c r="F22" s="11">
        <f>'Movimentacao de Conteineres'!N33</f>
        <v>0</v>
      </c>
      <c r="G22" s="12">
        <f>'Movimentacao de Conteineres'!O33</f>
        <v>0</v>
      </c>
      <c r="H22" s="12">
        <f>'Movimentacao de Conteineres'!P33</f>
        <v>0</v>
      </c>
      <c r="I22" s="13">
        <f t="shared" si="0"/>
        <v>96</v>
      </c>
    </row>
    <row r="23" spans="2:9" customFormat="1">
      <c r="B23" s="10" t="s">
        <v>8</v>
      </c>
      <c r="C23" s="12">
        <f>'Movimentacao de Conteineres'!K34</f>
        <v>61</v>
      </c>
      <c r="D23" s="12">
        <f>'Movimentacao de Conteineres'!L34</f>
        <v>120</v>
      </c>
      <c r="E23" s="12">
        <f>'Movimentacao de Conteineres'!M34</f>
        <v>119</v>
      </c>
      <c r="F23" s="12">
        <f>'Movimentacao de Conteineres'!N34</f>
        <v>47</v>
      </c>
      <c r="G23" s="11">
        <f>'Movimentacao de Conteineres'!O34</f>
        <v>0</v>
      </c>
      <c r="H23" s="12">
        <f>'Movimentacao de Conteineres'!P34</f>
        <v>0</v>
      </c>
      <c r="I23" s="13">
        <f t="shared" si="0"/>
        <v>347</v>
      </c>
    </row>
    <row r="24" spans="2:9" customFormat="1">
      <c r="B24" s="10" t="s">
        <v>9</v>
      </c>
      <c r="C24" s="12">
        <f>'Movimentacao de Conteineres'!K35</f>
        <v>229</v>
      </c>
      <c r="D24" s="12">
        <f>'Movimentacao de Conteineres'!L35</f>
        <v>221</v>
      </c>
      <c r="E24" s="12">
        <f>'Movimentacao de Conteineres'!M35</f>
        <v>272</v>
      </c>
      <c r="F24" s="12">
        <f>'Movimentacao de Conteineres'!N35</f>
        <v>102</v>
      </c>
      <c r="G24" s="12">
        <f>'Movimentacao de Conteineres'!O35</f>
        <v>0</v>
      </c>
      <c r="H24" s="11">
        <f>'Movimentacao de Conteineres'!P35</f>
        <v>0</v>
      </c>
      <c r="I24" s="13">
        <f t="shared" si="0"/>
        <v>824</v>
      </c>
    </row>
    <row r="25" spans="2:9" customFormat="1">
      <c r="B25" s="16" t="s">
        <v>48</v>
      </c>
      <c r="C25" s="13">
        <f t="shared" ref="C25:I25" si="1">SUM(C19:C24)</f>
        <v>967</v>
      </c>
      <c r="D25" s="13">
        <f t="shared" si="1"/>
        <v>525</v>
      </c>
      <c r="E25" s="13">
        <f t="shared" si="1"/>
        <v>548</v>
      </c>
      <c r="F25" s="13">
        <f t="shared" si="1"/>
        <v>149</v>
      </c>
      <c r="G25" s="13">
        <f t="shared" si="1"/>
        <v>276</v>
      </c>
      <c r="H25" s="13">
        <f t="shared" si="1"/>
        <v>842</v>
      </c>
      <c r="I25" s="13">
        <f t="shared" si="1"/>
        <v>3307</v>
      </c>
    </row>
    <row r="26" spans="2:9" customFormat="1" ht="14.4"/>
    <row r="27" spans="2:9">
      <c r="B27" s="1"/>
      <c r="C27" s="197"/>
    </row>
    <row r="28" spans="2:9">
      <c r="B28" s="1"/>
      <c r="C28" s="197"/>
    </row>
    <row r="29" spans="2:9" ht="23.1">
      <c r="B29" s="273" t="s">
        <v>535</v>
      </c>
      <c r="C29" s="273"/>
      <c r="D29" s="273"/>
      <c r="E29" s="273"/>
      <c r="F29" s="273"/>
      <c r="G29" s="273"/>
      <c r="H29" s="273"/>
      <c r="I29" s="273"/>
    </row>
    <row r="31" spans="2:9" ht="18">
      <c r="B31" s="269" t="s">
        <v>248</v>
      </c>
      <c r="C31" s="270"/>
      <c r="D31" s="271"/>
      <c r="E31" s="157">
        <f>'Fatores Emissao'!C62</f>
        <v>3114</v>
      </c>
      <c r="F31" s="164" t="s">
        <v>536</v>
      </c>
    </row>
    <row r="32" spans="2:9" ht="18">
      <c r="B32" s="5" t="s">
        <v>239</v>
      </c>
      <c r="C32" s="98" t="s">
        <v>186</v>
      </c>
      <c r="D32" s="98" t="s">
        <v>38</v>
      </c>
      <c r="E32" s="98" t="s">
        <v>40</v>
      </c>
      <c r="F32" s="98" t="s">
        <v>42</v>
      </c>
      <c r="G32" s="98" t="s">
        <v>43</v>
      </c>
      <c r="H32" s="98" t="s">
        <v>45</v>
      </c>
      <c r="I32" s="5" t="s">
        <v>240</v>
      </c>
    </row>
    <row r="33" spans="2:9">
      <c r="B33" s="18" t="s">
        <v>186</v>
      </c>
      <c r="C33" s="11"/>
      <c r="D33" s="160">
        <f>D19*$C$15*$E$31</f>
        <v>106998.1490159325</v>
      </c>
      <c r="E33" s="160">
        <f t="shared" ref="E33:H33" si="2">E19*$C$15*$E$31</f>
        <v>95381.207122774125</v>
      </c>
      <c r="F33" s="160">
        <f t="shared" si="2"/>
        <v>0</v>
      </c>
      <c r="G33" s="160">
        <f t="shared" si="2"/>
        <v>138180.46672914713</v>
      </c>
      <c r="H33" s="160">
        <f t="shared" si="2"/>
        <v>396198.86035613867</v>
      </c>
      <c r="I33" s="13">
        <f t="shared" ref="I33:I38" si="3">SUM(C33:H33)</f>
        <v>736758.68322399235</v>
      </c>
    </row>
    <row r="34" spans="2:9">
      <c r="B34" s="18" t="s">
        <v>38</v>
      </c>
      <c r="C34" s="160">
        <f>C20*$C$16*$E$31</f>
        <v>222556.14995313965</v>
      </c>
      <c r="D34" s="11"/>
      <c r="E34" s="12">
        <f>'Rodo Direto Base'!N21*'Rodo Direto Base'!$E$31</f>
        <v>0</v>
      </c>
      <c r="F34" s="12">
        <f>'Rodo Direto Base'!O21*'Rodo Direto Base'!$E$31</f>
        <v>0</v>
      </c>
      <c r="G34" s="12">
        <f>'Rodo Direto Base'!P21*'Rodo Direto Base'!$E$31</f>
        <v>0</v>
      </c>
      <c r="H34" s="12">
        <f>'Rodo Direto Base'!Q21*'Rodo Direto Base'!$E$31</f>
        <v>0</v>
      </c>
      <c r="I34" s="13">
        <f t="shared" si="3"/>
        <v>222556.14995313965</v>
      </c>
    </row>
    <row r="35" spans="2:9">
      <c r="B35" s="18" t="s">
        <v>40</v>
      </c>
      <c r="C35" s="160">
        <f t="shared" ref="C35:C38" si="4">C21*$C$16*$E$31</f>
        <v>283331.09859418933</v>
      </c>
      <c r="D35" s="12">
        <f>'Rodo Direto Base'!M22*'Rodo Direto Base'!$E$31</f>
        <v>0</v>
      </c>
      <c r="E35" s="11"/>
      <c r="F35" s="12">
        <f>'Rodo Direto Base'!O22*'Rodo Direto Base'!$E$31</f>
        <v>0</v>
      </c>
      <c r="G35" s="12">
        <f>'Rodo Direto Base'!P22*'Rodo Direto Base'!$E$31</f>
        <v>0</v>
      </c>
      <c r="H35" s="12">
        <f>'Rodo Direto Base'!Q22*'Rodo Direto Base'!$E$31</f>
        <v>0</v>
      </c>
      <c r="I35" s="13">
        <f t="shared" si="3"/>
        <v>283331.09859418933</v>
      </c>
    </row>
    <row r="36" spans="2:9">
      <c r="B36" s="18" t="s">
        <v>42</v>
      </c>
      <c r="C36" s="160">
        <f t="shared" si="4"/>
        <v>73614.726522961588</v>
      </c>
      <c r="D36" s="12">
        <f>'Rodo Direto Base'!M23*'Rodo Direto Base'!$E$31</f>
        <v>0</v>
      </c>
      <c r="E36" s="12">
        <f>'Rodo Direto Base'!N23*'Rodo Direto Base'!$E$31</f>
        <v>0</v>
      </c>
      <c r="F36" s="11"/>
      <c r="G36" s="12">
        <f>'Rodo Direto Base'!P23*'Rodo Direto Base'!$E$31</f>
        <v>0</v>
      </c>
      <c r="H36" s="12">
        <f>'Rodo Direto Base'!Q23*'Rodo Direto Base'!$E$31</f>
        <v>0</v>
      </c>
      <c r="I36" s="13">
        <f t="shared" si="3"/>
        <v>73614.726522961588</v>
      </c>
    </row>
    <row r="37" spans="2:9">
      <c r="B37" s="18" t="s">
        <v>43</v>
      </c>
      <c r="C37" s="160">
        <f t="shared" si="4"/>
        <v>52215.09671977508</v>
      </c>
      <c r="D37" s="12">
        <f>'Rodo Direto Base'!M24*'Rodo Direto Base'!$E$31</f>
        <v>0</v>
      </c>
      <c r="E37" s="12">
        <f>'Rodo Direto Base'!N24*'Rodo Direto Base'!$E$31</f>
        <v>0</v>
      </c>
      <c r="F37" s="12">
        <f>'Rodo Direto Base'!O24*'Rodo Direto Base'!$E$31</f>
        <v>0</v>
      </c>
      <c r="G37" s="11"/>
      <c r="H37" s="12">
        <f>'Rodo Direto Base'!Q24*'Rodo Direto Base'!$E$31</f>
        <v>0</v>
      </c>
      <c r="I37" s="13">
        <f t="shared" si="3"/>
        <v>52215.09671977508</v>
      </c>
    </row>
    <row r="38" spans="2:9">
      <c r="B38" s="18" t="s">
        <v>45</v>
      </c>
      <c r="C38" s="160">
        <f t="shared" si="4"/>
        <v>196020.60899718839</v>
      </c>
      <c r="D38" s="12">
        <f>'Rodo Direto Base'!M25*'Rodo Direto Base'!$E$31</f>
        <v>0</v>
      </c>
      <c r="E38" s="12">
        <f>'Rodo Direto Base'!N25*'Rodo Direto Base'!$E$31</f>
        <v>0</v>
      </c>
      <c r="F38" s="12">
        <f>'Rodo Direto Base'!O25*'Rodo Direto Base'!$E$31</f>
        <v>0</v>
      </c>
      <c r="G38" s="12">
        <f>'Rodo Direto Base'!P25*'Rodo Direto Base'!$E$31</f>
        <v>0</v>
      </c>
      <c r="H38" s="11"/>
      <c r="I38" s="13">
        <f t="shared" si="3"/>
        <v>196020.60899718839</v>
      </c>
    </row>
    <row r="39" spans="2:9" ht="18">
      <c r="B39" s="16" t="s">
        <v>241</v>
      </c>
      <c r="C39" s="13">
        <f t="shared" ref="C39:I39" si="5">SUM(C33:C38)</f>
        <v>827737.68078725412</v>
      </c>
      <c r="D39" s="13">
        <f t="shared" si="5"/>
        <v>106998.1490159325</v>
      </c>
      <c r="E39" s="13">
        <f t="shared" si="5"/>
        <v>95381.207122774125</v>
      </c>
      <c r="F39" s="13">
        <f t="shared" si="5"/>
        <v>0</v>
      </c>
      <c r="G39" s="13">
        <f t="shared" si="5"/>
        <v>138180.46672914713</v>
      </c>
      <c r="H39" s="13">
        <f t="shared" si="5"/>
        <v>396198.86035613867</v>
      </c>
      <c r="I39" s="13">
        <f t="shared" si="5"/>
        <v>1564496.3640112467</v>
      </c>
    </row>
    <row r="42" spans="2:9" ht="18">
      <c r="B42" s="272" t="s">
        <v>249</v>
      </c>
      <c r="C42" s="272"/>
      <c r="D42" s="272"/>
      <c r="E42" s="158">
        <f>'Fatores Emissao'!D62</f>
        <v>0.05</v>
      </c>
      <c r="F42" s="164" t="s">
        <v>536</v>
      </c>
    </row>
    <row r="43" spans="2:9" ht="18">
      <c r="B43" s="5" t="s">
        <v>255</v>
      </c>
      <c r="C43" s="98" t="s">
        <v>186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243</v>
      </c>
    </row>
    <row r="44" spans="2:9">
      <c r="B44" s="18" t="s">
        <v>186</v>
      </c>
      <c r="C44" s="11"/>
      <c r="D44" s="194">
        <f>D19*$C$15*$E$42</f>
        <v>1.7180178069353325</v>
      </c>
      <c r="E44" s="194">
        <f t="shared" ref="E44:H44" si="6">E19*$C$15*$E$42</f>
        <v>1.5314901593252108</v>
      </c>
      <c r="F44" s="194">
        <f t="shared" si="6"/>
        <v>0</v>
      </c>
      <c r="G44" s="194">
        <f t="shared" si="6"/>
        <v>2.218697282099344</v>
      </c>
      <c r="H44" s="194">
        <f t="shared" si="6"/>
        <v>6.3615745079662602</v>
      </c>
      <c r="I44" s="173">
        <f t="shared" ref="I44:I49" si="7">SUM(C44:H44)</f>
        <v>11.829779756326147</v>
      </c>
    </row>
    <row r="45" spans="2:9">
      <c r="B45" s="18" t="s">
        <v>38</v>
      </c>
      <c r="C45" s="194">
        <f>C20*$C$16*$E$42</f>
        <v>3.5734770384254926</v>
      </c>
      <c r="D45" s="172"/>
      <c r="E45" s="39">
        <f>E34*'Rodo Direto Base'!$E$31</f>
        <v>0</v>
      </c>
      <c r="F45" s="39">
        <f>F34*'Rodo Direto Base'!$E$31</f>
        <v>0</v>
      </c>
      <c r="G45" s="39">
        <f>G34*'Rodo Direto Base'!$E$31</f>
        <v>0</v>
      </c>
      <c r="H45" s="39">
        <f>H34*'Rodo Direto Base'!$E$31</f>
        <v>0</v>
      </c>
      <c r="I45" s="173">
        <f t="shared" si="7"/>
        <v>3.5734770384254926</v>
      </c>
    </row>
    <row r="46" spans="2:9">
      <c r="B46" s="18" t="s">
        <v>40</v>
      </c>
      <c r="C46" s="194">
        <f t="shared" ref="C46:C49" si="8">C21*$C$16*$E$42</f>
        <v>4.5493111527647612</v>
      </c>
      <c r="D46" s="39">
        <f>D35*'Rodo Direto Base'!$E$31</f>
        <v>0</v>
      </c>
      <c r="E46" s="172"/>
      <c r="F46" s="39">
        <f>F35*'Rodo Direto Base'!$E$31</f>
        <v>0</v>
      </c>
      <c r="G46" s="39">
        <f>G35*'Rodo Direto Base'!$E$31</f>
        <v>0</v>
      </c>
      <c r="H46" s="39">
        <f>H35*'Rodo Direto Base'!$E$31</f>
        <v>0</v>
      </c>
      <c r="I46" s="173">
        <f t="shared" si="7"/>
        <v>4.5493111527647612</v>
      </c>
    </row>
    <row r="47" spans="2:9">
      <c r="B47" s="18" t="s">
        <v>42</v>
      </c>
      <c r="C47" s="194">
        <f t="shared" si="8"/>
        <v>1.181996251171509</v>
      </c>
      <c r="D47" s="39">
        <f>D36*'Rodo Direto Base'!$E$31</f>
        <v>0</v>
      </c>
      <c r="E47" s="39">
        <f>E36*'Rodo Direto Base'!$E$31</f>
        <v>0</v>
      </c>
      <c r="F47" s="172"/>
      <c r="G47" s="39">
        <f>G36*'Rodo Direto Base'!$E$31</f>
        <v>0</v>
      </c>
      <c r="H47" s="39">
        <f>H36*'Rodo Direto Base'!$E$31</f>
        <v>0</v>
      </c>
      <c r="I47" s="173">
        <f t="shared" si="7"/>
        <v>1.181996251171509</v>
      </c>
    </row>
    <row r="48" spans="2:9">
      <c r="B48" s="18" t="s">
        <v>43</v>
      </c>
      <c r="C48" s="194">
        <f t="shared" si="8"/>
        <v>0.83839268978444259</v>
      </c>
      <c r="D48" s="39">
        <f>D37*'Rodo Direto Base'!$E$31</f>
        <v>0</v>
      </c>
      <c r="E48" s="39">
        <f>E37*'Rodo Direto Base'!$E$31</f>
        <v>0</v>
      </c>
      <c r="F48" s="39">
        <f>F37*'Rodo Direto Base'!$E$31</f>
        <v>0</v>
      </c>
      <c r="G48" s="172"/>
      <c r="H48" s="39">
        <f>H37*'Rodo Direto Base'!$E$31</f>
        <v>0</v>
      </c>
      <c r="I48" s="173">
        <f t="shared" si="7"/>
        <v>0.83839268978444259</v>
      </c>
    </row>
    <row r="49" spans="1:11">
      <c r="B49" s="18" t="s">
        <v>45</v>
      </c>
      <c r="C49" s="194">
        <f t="shared" si="8"/>
        <v>3.1474086223055302</v>
      </c>
      <c r="D49" s="39">
        <f>D38*'Rodo Direto Base'!$E$31</f>
        <v>0</v>
      </c>
      <c r="E49" s="39">
        <f>E38*'Rodo Direto Base'!$E$31</f>
        <v>0</v>
      </c>
      <c r="F49" s="39">
        <f>F38*'Rodo Direto Base'!$E$31</f>
        <v>0</v>
      </c>
      <c r="G49" s="39">
        <f>G38*'Rodo Direto Base'!$E$31</f>
        <v>0</v>
      </c>
      <c r="H49" s="172"/>
      <c r="I49" s="173">
        <f t="shared" si="7"/>
        <v>3.1474086223055302</v>
      </c>
    </row>
    <row r="50" spans="1:11" ht="18">
      <c r="B50" s="16" t="s">
        <v>244</v>
      </c>
      <c r="C50" s="161">
        <f t="shared" ref="C50:I50" si="9">SUM(C44:C49)</f>
        <v>13.290585754451733</v>
      </c>
      <c r="D50" s="173">
        <f t="shared" si="9"/>
        <v>1.7180178069353325</v>
      </c>
      <c r="E50" s="173">
        <f t="shared" si="9"/>
        <v>1.5314901593252108</v>
      </c>
      <c r="F50" s="173">
        <f t="shared" si="9"/>
        <v>0</v>
      </c>
      <c r="G50" s="173">
        <f t="shared" si="9"/>
        <v>2.218697282099344</v>
      </c>
      <c r="H50" s="173">
        <f t="shared" si="9"/>
        <v>6.3615745079662602</v>
      </c>
      <c r="I50" s="173">
        <f t="shared" si="9"/>
        <v>25.12036551077788</v>
      </c>
    </row>
    <row r="53" spans="1:11" ht="18">
      <c r="B53" s="272" t="s">
        <v>250</v>
      </c>
      <c r="C53" s="272"/>
      <c r="D53" s="272"/>
      <c r="E53" s="159">
        <f>'Fatores Emissao'!E62</f>
        <v>0.18</v>
      </c>
      <c r="F53" s="164" t="s">
        <v>536</v>
      </c>
    </row>
    <row r="54" spans="1:11" ht="18">
      <c r="B54" s="5" t="s">
        <v>254</v>
      </c>
      <c r="C54" s="98" t="s">
        <v>186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246</v>
      </c>
    </row>
    <row r="55" spans="1:11">
      <c r="B55" s="18" t="s">
        <v>186</v>
      </c>
      <c r="C55" s="11"/>
      <c r="D55" s="194">
        <f>D19*$C$15*$E$53</f>
        <v>6.1848641049671969</v>
      </c>
      <c r="E55" s="194">
        <f t="shared" ref="E55:H55" si="10">E19*$C$15*$E$53</f>
        <v>5.5133645735707582</v>
      </c>
      <c r="F55" s="194">
        <f t="shared" si="10"/>
        <v>0</v>
      </c>
      <c r="G55" s="194">
        <f t="shared" si="10"/>
        <v>7.9873102155576383</v>
      </c>
      <c r="H55" s="194">
        <f t="shared" si="10"/>
        <v>22.901668228678535</v>
      </c>
      <c r="I55" s="173">
        <f t="shared" ref="I55:I60" si="11">SUM(C55:H55)</f>
        <v>42.587207122774132</v>
      </c>
    </row>
    <row r="56" spans="1:11">
      <c r="B56" s="18" t="s">
        <v>38</v>
      </c>
      <c r="C56" s="194">
        <f>C20*$C$16*$E$53</f>
        <v>12.864517338331771</v>
      </c>
      <c r="D56" s="172"/>
      <c r="E56" s="39">
        <f>E45*'Rodo Direto Base'!$E$31</f>
        <v>0</v>
      </c>
      <c r="F56" s="39">
        <f>F45*'Rodo Direto Base'!$E$31</f>
        <v>0</v>
      </c>
      <c r="G56" s="39">
        <f>G45*'Rodo Direto Base'!$E$31</f>
        <v>0</v>
      </c>
      <c r="H56" s="39">
        <f>H45*'Rodo Direto Base'!$E$31</f>
        <v>0</v>
      </c>
      <c r="I56" s="173">
        <f t="shared" si="11"/>
        <v>12.864517338331771</v>
      </c>
    </row>
    <row r="57" spans="1:11">
      <c r="B57" s="18" t="s">
        <v>40</v>
      </c>
      <c r="C57" s="194">
        <f t="shared" ref="C57:C60" si="12">C21*$C$16*$E$53</f>
        <v>16.377520149953142</v>
      </c>
      <c r="D57" s="39">
        <f>D46*'Rodo Direto Base'!$E$31</f>
        <v>0</v>
      </c>
      <c r="E57" s="172"/>
      <c r="F57" s="39">
        <f>F46*'Rodo Direto Base'!$E$31</f>
        <v>0</v>
      </c>
      <c r="G57" s="39">
        <f>G46*'Rodo Direto Base'!$E$31</f>
        <v>0</v>
      </c>
      <c r="H57" s="39">
        <f>H46*'Rodo Direto Base'!$E$31</f>
        <v>0</v>
      </c>
      <c r="I57" s="173">
        <f t="shared" si="11"/>
        <v>16.377520149953142</v>
      </c>
    </row>
    <row r="58" spans="1:11">
      <c r="B58" s="18" t="s">
        <v>42</v>
      </c>
      <c r="C58" s="194">
        <f t="shared" si="12"/>
        <v>4.2551865042174324</v>
      </c>
      <c r="D58" s="39">
        <f>D47*'Rodo Direto Base'!$E$31</f>
        <v>0</v>
      </c>
      <c r="E58" s="39">
        <f>E47*'Rodo Direto Base'!$E$31</f>
        <v>0</v>
      </c>
      <c r="F58" s="172"/>
      <c r="G58" s="39">
        <f>G47*'Rodo Direto Base'!$E$31</f>
        <v>0</v>
      </c>
      <c r="H58" s="39">
        <f>H47*'Rodo Direto Base'!$E$31</f>
        <v>0</v>
      </c>
      <c r="I58" s="173">
        <f t="shared" si="11"/>
        <v>4.2551865042174324</v>
      </c>
    </row>
    <row r="59" spans="1:11">
      <c r="B59" s="18" t="s">
        <v>43</v>
      </c>
      <c r="C59" s="194">
        <f t="shared" si="12"/>
        <v>3.0182136832239932</v>
      </c>
      <c r="D59" s="39">
        <f>D48*'Rodo Direto Base'!$E$31</f>
        <v>0</v>
      </c>
      <c r="E59" s="39">
        <f>E48*'Rodo Direto Base'!$E$31</f>
        <v>0</v>
      </c>
      <c r="F59" s="39">
        <f>F48*'Rodo Direto Base'!$E$31</f>
        <v>0</v>
      </c>
      <c r="G59" s="172"/>
      <c r="H59" s="39">
        <f>H48*'Rodo Direto Base'!$E$31</f>
        <v>0</v>
      </c>
      <c r="I59" s="173">
        <f t="shared" si="11"/>
        <v>3.0182136832239932</v>
      </c>
    </row>
    <row r="60" spans="1:11">
      <c r="B60" s="18" t="s">
        <v>45</v>
      </c>
      <c r="C60" s="194">
        <f t="shared" si="12"/>
        <v>11.330671040299906</v>
      </c>
      <c r="D60" s="39">
        <f>D49*'Rodo Direto Base'!$E$31</f>
        <v>0</v>
      </c>
      <c r="E60" s="39">
        <f>E49*'Rodo Direto Base'!$E$31</f>
        <v>0</v>
      </c>
      <c r="F60" s="39">
        <f>F49*'Rodo Direto Base'!$E$31</f>
        <v>0</v>
      </c>
      <c r="G60" s="39">
        <f>G49*'Rodo Direto Base'!$E$31</f>
        <v>0</v>
      </c>
      <c r="H60" s="172"/>
      <c r="I60" s="173">
        <f t="shared" si="11"/>
        <v>11.330671040299906</v>
      </c>
    </row>
    <row r="61" spans="1:11" ht="18">
      <c r="B61" s="16" t="s">
        <v>247</v>
      </c>
      <c r="C61" s="173">
        <f t="shared" ref="C61:I61" si="13">SUM(C55:C60)</f>
        <v>47.846108716026244</v>
      </c>
      <c r="D61" s="173">
        <f t="shared" si="13"/>
        <v>6.1848641049671969</v>
      </c>
      <c r="E61" s="173">
        <f t="shared" si="13"/>
        <v>5.5133645735707582</v>
      </c>
      <c r="F61" s="173">
        <f t="shared" si="13"/>
        <v>0</v>
      </c>
      <c r="G61" s="173">
        <f t="shared" si="13"/>
        <v>7.9873102155576383</v>
      </c>
      <c r="H61" s="173">
        <f t="shared" si="13"/>
        <v>22.901668228678535</v>
      </c>
      <c r="I61" s="173">
        <f t="shared" si="13"/>
        <v>90.433315838800368</v>
      </c>
    </row>
    <row r="62" spans="1:11">
      <c r="A62"/>
      <c r="B62"/>
      <c r="C62"/>
      <c r="D62"/>
      <c r="E62"/>
      <c r="F62"/>
      <c r="G62"/>
      <c r="H62"/>
      <c r="I62"/>
      <c r="J62"/>
      <c r="K62"/>
    </row>
    <row r="63" spans="1:11">
      <c r="A63"/>
      <c r="B63"/>
      <c r="C63"/>
      <c r="D63"/>
      <c r="E63"/>
      <c r="F63"/>
      <c r="G63"/>
      <c r="H63"/>
      <c r="I63"/>
      <c r="J63"/>
      <c r="K63"/>
    </row>
    <row r="64" spans="1:11" ht="20.399999999999999">
      <c r="A64"/>
      <c r="B64" s="266" t="s">
        <v>535</v>
      </c>
      <c r="C64" s="266"/>
      <c r="D64" s="266"/>
      <c r="E64" s="266"/>
      <c r="F64" s="266"/>
      <c r="G64" s="266"/>
      <c r="H64" s="266"/>
      <c r="I64" s="266"/>
      <c r="J64"/>
      <c r="K64"/>
    </row>
    <row r="65" spans="1:11">
      <c r="A65"/>
      <c r="B65"/>
      <c r="C65"/>
      <c r="D65"/>
      <c r="E65"/>
      <c r="F65"/>
      <c r="G65"/>
      <c r="H65"/>
      <c r="I65"/>
      <c r="J65"/>
      <c r="K65"/>
    </row>
    <row r="66" spans="1:11">
      <c r="A66"/>
      <c r="B66" s="98" t="s">
        <v>236</v>
      </c>
      <c r="C66" s="98" t="s">
        <v>235</v>
      </c>
      <c r="D66"/>
      <c r="E66"/>
      <c r="F66"/>
      <c r="G66"/>
      <c r="H66"/>
      <c r="I66"/>
      <c r="J66"/>
      <c r="K66"/>
    </row>
    <row r="67" spans="1:11" ht="18">
      <c r="A67"/>
      <c r="B67" s="18" t="s">
        <v>251</v>
      </c>
      <c r="C67" s="18">
        <f>'Fatores Emissao'!O6</f>
        <v>1</v>
      </c>
      <c r="D67"/>
      <c r="E67"/>
      <c r="F67"/>
      <c r="G67"/>
      <c r="H67"/>
      <c r="I67"/>
      <c r="J67"/>
      <c r="K67"/>
    </row>
    <row r="68" spans="1:11" ht="18">
      <c r="A68"/>
      <c r="B68" s="18" t="s">
        <v>252</v>
      </c>
      <c r="C68" s="18">
        <f>'Fatores Emissao'!O7</f>
        <v>28</v>
      </c>
      <c r="D68"/>
      <c r="E68"/>
      <c r="F68"/>
      <c r="G68"/>
      <c r="H68"/>
      <c r="I68"/>
      <c r="J68"/>
      <c r="K68"/>
    </row>
    <row r="69" spans="1:11" ht="18">
      <c r="A69"/>
      <c r="B69" s="18" t="s">
        <v>253</v>
      </c>
      <c r="C69" s="18">
        <f>'Fatores Emissao'!O8</f>
        <v>265</v>
      </c>
      <c r="D69"/>
      <c r="E69"/>
      <c r="F69"/>
      <c r="G69"/>
      <c r="H69"/>
      <c r="I69"/>
      <c r="J69"/>
      <c r="K69"/>
    </row>
    <row r="70" spans="1:11">
      <c r="A70"/>
      <c r="B70"/>
      <c r="C70"/>
      <c r="D70"/>
      <c r="E70"/>
      <c r="F70"/>
      <c r="G70"/>
      <c r="H70"/>
      <c r="I70"/>
      <c r="J70"/>
      <c r="K70"/>
    </row>
    <row r="71" spans="1:11" ht="21" customHeight="1">
      <c r="A71"/>
      <c r="B71" s="267" t="s">
        <v>530</v>
      </c>
      <c r="C71" s="268"/>
      <c r="D71" s="268"/>
      <c r="E71" s="268"/>
      <c r="F71" s="268"/>
      <c r="G71" s="268"/>
      <c r="H71" s="268"/>
      <c r="I71" s="268"/>
      <c r="J71"/>
      <c r="K71"/>
    </row>
    <row r="72" spans="1:11" ht="18">
      <c r="A72"/>
      <c r="B72" s="5" t="s">
        <v>36</v>
      </c>
      <c r="C72" s="98" t="s">
        <v>186</v>
      </c>
      <c r="D72" s="98" t="s">
        <v>38</v>
      </c>
      <c r="E72" s="98" t="s">
        <v>40</v>
      </c>
      <c r="F72" s="98" t="s">
        <v>42</v>
      </c>
      <c r="G72" s="98" t="s">
        <v>43</v>
      </c>
      <c r="H72" s="98" t="s">
        <v>45</v>
      </c>
      <c r="I72" s="5" t="s">
        <v>257</v>
      </c>
      <c r="J72"/>
      <c r="K72"/>
    </row>
    <row r="73" spans="1:11">
      <c r="A73"/>
      <c r="B73" s="18" t="s">
        <v>186</v>
      </c>
      <c r="C73" s="11">
        <f>C33*$C$67+C44*$C$68+C55*$C$69</f>
        <v>0</v>
      </c>
      <c r="D73" s="12">
        <f t="shared" ref="D73:H73" si="14">D33*$C$67+D44*$C$68+D55*$C$69</f>
        <v>108685.242502343</v>
      </c>
      <c r="E73" s="12">
        <f t="shared" si="14"/>
        <v>96885.130459231485</v>
      </c>
      <c r="F73" s="12">
        <f t="shared" si="14"/>
        <v>0</v>
      </c>
      <c r="G73" s="12">
        <f t="shared" si="14"/>
        <v>140359.22746016868</v>
      </c>
      <c r="H73" s="12">
        <f t="shared" si="14"/>
        <v>402445.92652296158</v>
      </c>
      <c r="I73" s="13">
        <f t="shared" ref="I73:I78" si="15">SUM(C73:H73)</f>
        <v>748375.5269447047</v>
      </c>
      <c r="J73"/>
      <c r="K73"/>
    </row>
    <row r="74" spans="1:11">
      <c r="A74"/>
      <c r="B74" s="18" t="s">
        <v>38</v>
      </c>
      <c r="C74" s="12">
        <f t="shared" ref="C74:H74" si="16">C34*$C$67+C45*$C$68+C56*$C$69</f>
        <v>226065.30440487349</v>
      </c>
      <c r="D74" s="11">
        <f t="shared" si="16"/>
        <v>0</v>
      </c>
      <c r="E74" s="12">
        <f t="shared" si="16"/>
        <v>0</v>
      </c>
      <c r="F74" s="12">
        <f t="shared" si="16"/>
        <v>0</v>
      </c>
      <c r="G74" s="12">
        <f t="shared" si="16"/>
        <v>0</v>
      </c>
      <c r="H74" s="12">
        <f t="shared" si="16"/>
        <v>0</v>
      </c>
      <c r="I74" s="13">
        <f t="shared" si="15"/>
        <v>226065.30440487349</v>
      </c>
      <c r="J74"/>
      <c r="K74"/>
    </row>
    <row r="75" spans="1:11">
      <c r="A75"/>
      <c r="B75" s="18" t="s">
        <v>40</v>
      </c>
      <c r="C75" s="12">
        <f t="shared" ref="C75:H75" si="17">C35*$C$67+C46*$C$68+C57*$C$69</f>
        <v>287798.52214620437</v>
      </c>
      <c r="D75" s="12">
        <f t="shared" si="17"/>
        <v>0</v>
      </c>
      <c r="E75" s="11">
        <f t="shared" si="17"/>
        <v>0</v>
      </c>
      <c r="F75" s="12">
        <f t="shared" si="17"/>
        <v>0</v>
      </c>
      <c r="G75" s="12">
        <f t="shared" si="17"/>
        <v>0</v>
      </c>
      <c r="H75" s="12">
        <f t="shared" si="17"/>
        <v>0</v>
      </c>
      <c r="I75" s="13">
        <f t="shared" si="15"/>
        <v>287798.52214620437</v>
      </c>
      <c r="J75"/>
      <c r="K75"/>
    </row>
    <row r="76" spans="1:11">
      <c r="A76"/>
      <c r="B76" s="18" t="s">
        <v>42</v>
      </c>
      <c r="C76" s="12">
        <f t="shared" ref="C76:H76" si="18">C36*$C$67+C47*$C$68+C58*$C$69</f>
        <v>74775.446841612007</v>
      </c>
      <c r="D76" s="12">
        <f t="shared" si="18"/>
        <v>0</v>
      </c>
      <c r="E76" s="12">
        <f t="shared" si="18"/>
        <v>0</v>
      </c>
      <c r="F76" s="11">
        <f t="shared" si="18"/>
        <v>0</v>
      </c>
      <c r="G76" s="12">
        <f t="shared" si="18"/>
        <v>0</v>
      </c>
      <c r="H76" s="12">
        <f t="shared" si="18"/>
        <v>0</v>
      </c>
      <c r="I76" s="13">
        <f t="shared" si="15"/>
        <v>74775.446841612007</v>
      </c>
      <c r="J76"/>
      <c r="K76"/>
    </row>
    <row r="77" spans="1:11">
      <c r="A77"/>
      <c r="B77" s="18" t="s">
        <v>43</v>
      </c>
      <c r="C77" s="12">
        <f t="shared" ref="C77:H77" si="19">C37*$C$67+C48*$C$68+C59*$C$69</f>
        <v>53038.398341143402</v>
      </c>
      <c r="D77" s="12">
        <f t="shared" si="19"/>
        <v>0</v>
      </c>
      <c r="E77" s="12">
        <f t="shared" si="19"/>
        <v>0</v>
      </c>
      <c r="F77" s="12">
        <f t="shared" si="19"/>
        <v>0</v>
      </c>
      <c r="G77" s="11">
        <f t="shared" si="19"/>
        <v>0</v>
      </c>
      <c r="H77" s="12">
        <f t="shared" si="19"/>
        <v>0</v>
      </c>
      <c r="I77" s="13">
        <f t="shared" si="15"/>
        <v>53038.398341143402</v>
      </c>
      <c r="J77"/>
      <c r="K77"/>
    </row>
    <row r="78" spans="1:11">
      <c r="A78"/>
      <c r="B78" s="18" t="s">
        <v>45</v>
      </c>
      <c r="C78" s="12">
        <f t="shared" ref="C78:H78" si="20">C38*$C$67+C49*$C$68+C60*$C$69</f>
        <v>199111.36426429241</v>
      </c>
      <c r="D78" s="12">
        <f t="shared" si="20"/>
        <v>0</v>
      </c>
      <c r="E78" s="12">
        <f t="shared" si="20"/>
        <v>0</v>
      </c>
      <c r="F78" s="12">
        <f t="shared" si="20"/>
        <v>0</v>
      </c>
      <c r="G78" s="12">
        <f t="shared" si="20"/>
        <v>0</v>
      </c>
      <c r="H78" s="11">
        <f t="shared" si="20"/>
        <v>0</v>
      </c>
      <c r="I78" s="13">
        <f t="shared" si="15"/>
        <v>199111.36426429241</v>
      </c>
      <c r="J78"/>
      <c r="K78"/>
    </row>
    <row r="79" spans="1:11" ht="18">
      <c r="A79"/>
      <c r="B79" s="16" t="s">
        <v>258</v>
      </c>
      <c r="C79" s="13">
        <f t="shared" ref="C79:H79" si="21">SUM(C73:C78)</f>
        <v>840789.03599812568</v>
      </c>
      <c r="D79" s="13">
        <f t="shared" si="21"/>
        <v>108685.242502343</v>
      </c>
      <c r="E79" s="13">
        <f t="shared" si="21"/>
        <v>96885.130459231485</v>
      </c>
      <c r="F79" s="13">
        <f t="shared" si="21"/>
        <v>0</v>
      </c>
      <c r="G79" s="13">
        <f t="shared" si="21"/>
        <v>140359.22746016868</v>
      </c>
      <c r="H79" s="13">
        <f t="shared" si="21"/>
        <v>402445.92652296158</v>
      </c>
      <c r="I79" s="13">
        <f>SUM(I73:I78)</f>
        <v>1589164.5629428306</v>
      </c>
      <c r="J79"/>
      <c r="K79" s="212">
        <f>I79*52/1000000</f>
        <v>82.636557273027194</v>
      </c>
    </row>
    <row r="80" spans="1:11">
      <c r="A80"/>
      <c r="B80"/>
      <c r="C80"/>
      <c r="D80"/>
      <c r="E80"/>
      <c r="F80"/>
      <c r="G80"/>
      <c r="H80"/>
      <c r="I80" s="114"/>
      <c r="J80"/>
      <c r="K80"/>
    </row>
    <row r="81" spans="1:11">
      <c r="A81"/>
      <c r="B81"/>
      <c r="C81"/>
      <c r="D81"/>
      <c r="E81"/>
      <c r="F81"/>
      <c r="G81"/>
      <c r="H81"/>
      <c r="I81"/>
      <c r="J81"/>
      <c r="K81"/>
    </row>
    <row r="82" spans="1:11" ht="18">
      <c r="A82"/>
      <c r="B82" s="5" t="s">
        <v>262</v>
      </c>
      <c r="C82" s="98" t="s">
        <v>186</v>
      </c>
      <c r="D82" s="98" t="s">
        <v>38</v>
      </c>
      <c r="E82" s="98" t="s">
        <v>40</v>
      </c>
      <c r="F82" s="98" t="s">
        <v>42</v>
      </c>
      <c r="G82" s="98" t="s">
        <v>43</v>
      </c>
      <c r="H82" s="98" t="s">
        <v>45</v>
      </c>
      <c r="I82" s="5" t="s">
        <v>260</v>
      </c>
      <c r="J82"/>
      <c r="K82"/>
    </row>
    <row r="83" spans="1:11">
      <c r="A83"/>
      <c r="B83" s="18" t="s">
        <v>186</v>
      </c>
      <c r="C83" s="11">
        <f t="shared" ref="C83:H83" si="22">C73/$I$79</f>
        <v>0</v>
      </c>
      <c r="D83" s="40">
        <f t="shared" si="22"/>
        <v>6.8391433484445804E-2</v>
      </c>
      <c r="E83" s="40">
        <f t="shared" si="22"/>
        <v>6.0966077848991704E-2</v>
      </c>
      <c r="F83" s="40">
        <f t="shared" si="22"/>
        <v>0</v>
      </c>
      <c r="G83" s="40">
        <f t="shared" si="22"/>
        <v>8.8322651242770028E-2</v>
      </c>
      <c r="H83" s="40">
        <f t="shared" si="22"/>
        <v>0.2532437079881194</v>
      </c>
      <c r="I83" s="163">
        <f t="shared" ref="I83:I88" si="23">SUM(C83:H83)</f>
        <v>0.47092387056432694</v>
      </c>
      <c r="J83"/>
      <c r="K83"/>
    </row>
    <row r="84" spans="1:11">
      <c r="A84"/>
      <c r="B84" s="18" t="s">
        <v>38</v>
      </c>
      <c r="C84" s="40">
        <f>C74/$I$79</f>
        <v>0.14225418164764733</v>
      </c>
      <c r="D84" s="11">
        <f t="shared" ref="D84:H84" si="24">D74/$I$79</f>
        <v>0</v>
      </c>
      <c r="E84" s="40">
        <f t="shared" si="24"/>
        <v>0</v>
      </c>
      <c r="F84" s="40">
        <f t="shared" si="24"/>
        <v>0</v>
      </c>
      <c r="G84" s="40">
        <f t="shared" si="24"/>
        <v>0</v>
      </c>
      <c r="H84" s="40">
        <f t="shared" si="24"/>
        <v>0</v>
      </c>
      <c r="I84" s="163">
        <f t="shared" si="23"/>
        <v>0.14225418164764733</v>
      </c>
      <c r="J84"/>
      <c r="K84"/>
    </row>
    <row r="85" spans="1:11">
      <c r="A85"/>
      <c r="B85" s="18" t="s">
        <v>40</v>
      </c>
      <c r="C85" s="40">
        <f t="shared" ref="C85:H85" si="25">C75/$I$79</f>
        <v>0.18110051586681258</v>
      </c>
      <c r="D85" s="12">
        <f t="shared" si="25"/>
        <v>0</v>
      </c>
      <c r="E85" s="11">
        <f t="shared" si="25"/>
        <v>0</v>
      </c>
      <c r="F85" s="40">
        <f t="shared" si="25"/>
        <v>0</v>
      </c>
      <c r="G85" s="40">
        <f t="shared" si="25"/>
        <v>0</v>
      </c>
      <c r="H85" s="40">
        <f t="shared" si="25"/>
        <v>0</v>
      </c>
      <c r="I85" s="163">
        <f t="shared" si="23"/>
        <v>0.18110051586681258</v>
      </c>
      <c r="J85"/>
      <c r="K85"/>
    </row>
    <row r="86" spans="1:11">
      <c r="A86"/>
      <c r="B86" s="18" t="s">
        <v>42</v>
      </c>
      <c r="C86" s="40">
        <f t="shared" ref="C86:H86" si="26">C76/$I$79</f>
        <v>4.7053306237298732E-2</v>
      </c>
      <c r="D86" s="40">
        <f t="shared" si="26"/>
        <v>0</v>
      </c>
      <c r="E86" s="40">
        <f t="shared" si="26"/>
        <v>0</v>
      </c>
      <c r="F86" s="11">
        <f t="shared" si="26"/>
        <v>0</v>
      </c>
      <c r="G86" s="40">
        <f t="shared" si="26"/>
        <v>0</v>
      </c>
      <c r="H86" s="40">
        <f t="shared" si="26"/>
        <v>0</v>
      </c>
      <c r="I86" s="163">
        <f t="shared" si="23"/>
        <v>4.7053306237298732E-2</v>
      </c>
      <c r="J86"/>
      <c r="K86"/>
    </row>
    <row r="87" spans="1:11">
      <c r="A87"/>
      <c r="B87" s="18" t="s">
        <v>43</v>
      </c>
      <c r="C87" s="40">
        <f t="shared" ref="C87:H87" si="27">C77/$I$79</f>
        <v>3.337501954040957E-2</v>
      </c>
      <c r="D87" s="40">
        <f t="shared" si="27"/>
        <v>0</v>
      </c>
      <c r="E87" s="40">
        <f t="shared" si="27"/>
        <v>0</v>
      </c>
      <c r="F87" s="40">
        <f t="shared" si="27"/>
        <v>0</v>
      </c>
      <c r="G87" s="11">
        <f t="shared" si="27"/>
        <v>0</v>
      </c>
      <c r="H87" s="40">
        <f t="shared" si="27"/>
        <v>0</v>
      </c>
      <c r="I87" s="163">
        <f t="shared" si="23"/>
        <v>3.337501954040957E-2</v>
      </c>
      <c r="J87"/>
      <c r="K87"/>
    </row>
    <row r="88" spans="1:11">
      <c r="A88"/>
      <c r="B88" s="18" t="s">
        <v>45</v>
      </c>
      <c r="C88" s="40">
        <f t="shared" ref="C88:H88" si="28">C78/$I$79</f>
        <v>0.12529310614350475</v>
      </c>
      <c r="D88" s="40">
        <f t="shared" si="28"/>
        <v>0</v>
      </c>
      <c r="E88" s="40">
        <f t="shared" si="28"/>
        <v>0</v>
      </c>
      <c r="F88" s="40">
        <f t="shared" si="28"/>
        <v>0</v>
      </c>
      <c r="G88" s="40">
        <f t="shared" si="28"/>
        <v>0</v>
      </c>
      <c r="H88" s="11">
        <f t="shared" si="28"/>
        <v>0</v>
      </c>
      <c r="I88" s="163">
        <f t="shared" si="23"/>
        <v>0.12529310614350475</v>
      </c>
      <c r="J88"/>
      <c r="K88"/>
    </row>
    <row r="89" spans="1:11" ht="18">
      <c r="A89"/>
      <c r="B89" s="16" t="s">
        <v>261</v>
      </c>
      <c r="C89" s="162">
        <f t="shared" ref="C89:I89" si="29">SUM(C83:C88)</f>
        <v>0.52907612943567295</v>
      </c>
      <c r="D89" s="162">
        <f t="shared" si="29"/>
        <v>6.8391433484445804E-2</v>
      </c>
      <c r="E89" s="162">
        <f t="shared" si="29"/>
        <v>6.0966077848991704E-2</v>
      </c>
      <c r="F89" s="162">
        <f t="shared" si="29"/>
        <v>0</v>
      </c>
      <c r="G89" s="162">
        <f t="shared" si="29"/>
        <v>8.8322651242770028E-2</v>
      </c>
      <c r="H89" s="162">
        <f t="shared" si="29"/>
        <v>0.2532437079881194</v>
      </c>
      <c r="I89" s="163">
        <f t="shared" si="29"/>
        <v>1</v>
      </c>
      <c r="J89"/>
      <c r="K89"/>
    </row>
    <row r="90" spans="1:11">
      <c r="A90"/>
      <c r="B90"/>
      <c r="C90"/>
      <c r="D90"/>
      <c r="E90"/>
      <c r="F90"/>
      <c r="G90"/>
      <c r="H90"/>
      <c r="I90"/>
      <c r="J90"/>
      <c r="K90"/>
    </row>
    <row r="91" spans="1:11">
      <c r="A91"/>
      <c r="B91"/>
      <c r="C91"/>
      <c r="D91"/>
      <c r="E91"/>
      <c r="F91"/>
      <c r="G91"/>
      <c r="H91"/>
      <c r="I91"/>
      <c r="J91"/>
      <c r="K91"/>
    </row>
    <row r="92" spans="1:11" ht="18">
      <c r="A92"/>
      <c r="B92" s="260" t="s">
        <v>529</v>
      </c>
      <c r="C92" s="260"/>
      <c r="D92" s="260"/>
      <c r="E92" s="260"/>
      <c r="F92" s="260"/>
      <c r="G92" s="260"/>
      <c r="H92" s="260"/>
      <c r="I92"/>
      <c r="J92"/>
      <c r="K92"/>
    </row>
    <row r="93" spans="1:11">
      <c r="A93"/>
      <c r="B93" s="176" t="s">
        <v>36</v>
      </c>
      <c r="C93" s="98" t="s">
        <v>186</v>
      </c>
      <c r="D93" s="98" t="s">
        <v>38</v>
      </c>
      <c r="E93" s="98" t="s">
        <v>40</v>
      </c>
      <c r="F93" s="98" t="s">
        <v>42</v>
      </c>
      <c r="G93" s="98" t="s">
        <v>43</v>
      </c>
      <c r="H93" s="98" t="s">
        <v>45</v>
      </c>
      <c r="I93"/>
      <c r="J93"/>
      <c r="K93"/>
    </row>
    <row r="94" spans="1:11">
      <c r="A94"/>
      <c r="B94" s="18" t="s">
        <v>186</v>
      </c>
      <c r="C94" s="11">
        <f>IF(C19=0,0,C73/C19)</f>
        <v>0</v>
      </c>
      <c r="D94" s="166">
        <f t="shared" ref="D94:H94" si="30">IF(D19=0,0,D73/D19)</f>
        <v>621.05852858481717</v>
      </c>
      <c r="E94" s="166">
        <f t="shared" si="30"/>
        <v>621.05852858481717</v>
      </c>
      <c r="F94" s="166">
        <f t="shared" si="30"/>
        <v>0</v>
      </c>
      <c r="G94" s="166">
        <f t="shared" si="30"/>
        <v>621.05852858481717</v>
      </c>
      <c r="H94" s="166">
        <f t="shared" si="30"/>
        <v>621.05852858481728</v>
      </c>
      <c r="I94"/>
      <c r="J94"/>
      <c r="K94"/>
    </row>
    <row r="95" spans="1:11">
      <c r="A95"/>
      <c r="B95" s="18" t="s">
        <v>38</v>
      </c>
      <c r="C95" s="166">
        <f t="shared" ref="C95:H95" si="31">IF(C20=0,0,C74/C20)</f>
        <v>869.48194001874424</v>
      </c>
      <c r="D95" s="11">
        <f t="shared" si="31"/>
        <v>0</v>
      </c>
      <c r="E95" s="166">
        <f t="shared" si="31"/>
        <v>0</v>
      </c>
      <c r="F95" s="166">
        <f t="shared" si="31"/>
        <v>0</v>
      </c>
      <c r="G95" s="166">
        <f t="shared" si="31"/>
        <v>0</v>
      </c>
      <c r="H95" s="166">
        <f t="shared" si="31"/>
        <v>0</v>
      </c>
      <c r="I95"/>
      <c r="J95"/>
      <c r="K95"/>
    </row>
    <row r="96" spans="1:11">
      <c r="A96"/>
      <c r="B96" s="18" t="s">
        <v>40</v>
      </c>
      <c r="C96" s="166">
        <f t="shared" ref="C96:H96" si="32">IF(C21=0,0,C75/C21)</f>
        <v>869.48194001874435</v>
      </c>
      <c r="D96" s="166">
        <f t="shared" si="32"/>
        <v>0</v>
      </c>
      <c r="E96" s="11">
        <f t="shared" si="32"/>
        <v>0</v>
      </c>
      <c r="F96" s="166">
        <f t="shared" si="32"/>
        <v>0</v>
      </c>
      <c r="G96" s="166">
        <f t="shared" si="32"/>
        <v>0</v>
      </c>
      <c r="H96" s="166">
        <f t="shared" si="32"/>
        <v>0</v>
      </c>
      <c r="I96"/>
      <c r="J96"/>
      <c r="K96"/>
    </row>
    <row r="97" spans="1:11">
      <c r="A97"/>
      <c r="B97" s="18" t="s">
        <v>42</v>
      </c>
      <c r="C97" s="166">
        <f t="shared" ref="C97:H97" si="33">IF(C22=0,0,C76/C22)</f>
        <v>869.48194001874424</v>
      </c>
      <c r="D97" s="166">
        <f t="shared" si="33"/>
        <v>0</v>
      </c>
      <c r="E97" s="166">
        <f t="shared" si="33"/>
        <v>0</v>
      </c>
      <c r="F97" s="11">
        <f t="shared" si="33"/>
        <v>0</v>
      </c>
      <c r="G97" s="166">
        <f t="shared" si="33"/>
        <v>0</v>
      </c>
      <c r="H97" s="166">
        <f t="shared" si="33"/>
        <v>0</v>
      </c>
      <c r="I97"/>
      <c r="J97"/>
      <c r="K97"/>
    </row>
    <row r="98" spans="1:11">
      <c r="A98"/>
      <c r="B98" s="18" t="s">
        <v>43</v>
      </c>
      <c r="C98" s="166">
        <f t="shared" ref="C98:H98" si="34">IF(C23=0,0,C77/C23)</f>
        <v>869.48194001874424</v>
      </c>
      <c r="D98" s="166">
        <f t="shared" si="34"/>
        <v>0</v>
      </c>
      <c r="E98" s="166">
        <f t="shared" si="34"/>
        <v>0</v>
      </c>
      <c r="F98" s="166">
        <f t="shared" si="34"/>
        <v>0</v>
      </c>
      <c r="G98" s="11">
        <f t="shared" si="34"/>
        <v>0</v>
      </c>
      <c r="H98" s="166">
        <f t="shared" si="34"/>
        <v>0</v>
      </c>
      <c r="I98"/>
      <c r="J98"/>
      <c r="K98"/>
    </row>
    <row r="99" spans="1:11">
      <c r="A99"/>
      <c r="B99" s="18" t="s">
        <v>45</v>
      </c>
      <c r="C99" s="166">
        <f t="shared" ref="C99:H99" si="35">IF(C24=0,0,C78/C24)</f>
        <v>869.48194001874413</v>
      </c>
      <c r="D99" s="166">
        <f t="shared" si="35"/>
        <v>0</v>
      </c>
      <c r="E99" s="166">
        <f t="shared" si="35"/>
        <v>0</v>
      </c>
      <c r="F99" s="166">
        <f t="shared" si="35"/>
        <v>0</v>
      </c>
      <c r="G99" s="166">
        <f t="shared" si="35"/>
        <v>0</v>
      </c>
      <c r="H99" s="11">
        <f t="shared" si="35"/>
        <v>0</v>
      </c>
      <c r="I99"/>
      <c r="J99"/>
      <c r="K99"/>
    </row>
    <row r="100" spans="1:11">
      <c r="B100"/>
      <c r="C100"/>
      <c r="D100"/>
      <c r="E100"/>
      <c r="F100"/>
      <c r="G100"/>
      <c r="H100"/>
    </row>
  </sheetData>
  <mergeCells count="9">
    <mergeCell ref="B64:I64"/>
    <mergeCell ref="B92:H92"/>
    <mergeCell ref="B71:I71"/>
    <mergeCell ref="B4:D4"/>
    <mergeCell ref="B31:D31"/>
    <mergeCell ref="B42:D42"/>
    <mergeCell ref="B53:D53"/>
    <mergeCell ref="B29:I29"/>
    <mergeCell ref="C5:D5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A249-F74C-4D77-9290-BB207C356FCE}">
  <dimension ref="A2:K99"/>
  <sheetViews>
    <sheetView showGridLines="0" zoomScale="85" zoomScaleNormal="85" workbookViewId="0">
      <selection activeCell="B65" sqref="B65"/>
    </sheetView>
  </sheetViews>
  <sheetFormatPr defaultRowHeight="15.6"/>
  <cols>
    <col min="1" max="1" width="8.83984375" style="169"/>
    <col min="2" max="2" width="30.41796875" style="169" customWidth="1"/>
    <col min="3" max="3" width="26.47265625" style="169" customWidth="1"/>
    <col min="4" max="4" width="12.734375" style="169" customWidth="1"/>
    <col min="5" max="5" width="11.9453125" style="169" customWidth="1"/>
    <col min="6" max="6" width="14.68359375" style="169" customWidth="1"/>
    <col min="7" max="7" width="14" style="169" customWidth="1"/>
    <col min="8" max="8" width="13.15625" style="169" customWidth="1"/>
    <col min="9" max="9" width="22.3671875" style="169" customWidth="1"/>
    <col min="10" max="16384" width="8.83984375" style="169"/>
  </cols>
  <sheetData>
    <row r="2" spans="2:4">
      <c r="B2" s="191" t="s">
        <v>327</v>
      </c>
    </row>
    <row r="4" spans="2:4">
      <c r="B4" s="262" t="s">
        <v>338</v>
      </c>
      <c r="C4" s="262"/>
      <c r="D4" s="262"/>
    </row>
    <row r="5" spans="2:4">
      <c r="B5" s="18" t="s">
        <v>328</v>
      </c>
      <c r="C5" s="6" t="s">
        <v>329</v>
      </c>
      <c r="D5" s="18"/>
    </row>
    <row r="6" spans="2:4">
      <c r="B6" s="18" t="s">
        <v>337</v>
      </c>
      <c r="C6" s="6">
        <v>120</v>
      </c>
      <c r="D6" s="18"/>
    </row>
    <row r="7" spans="2:4">
      <c r="B7" s="18" t="s">
        <v>330</v>
      </c>
      <c r="C7" s="6" t="s">
        <v>560</v>
      </c>
      <c r="D7" s="18"/>
    </row>
    <row r="8" spans="2:4">
      <c r="B8" s="18" t="s">
        <v>315</v>
      </c>
      <c r="C8" s="6">
        <v>209.5</v>
      </c>
      <c r="D8" s="18" t="s">
        <v>334</v>
      </c>
    </row>
    <row r="9" spans="2:4">
      <c r="B9" s="18" t="s">
        <v>333</v>
      </c>
      <c r="C9" s="192">
        <v>1067</v>
      </c>
      <c r="D9" s="18" t="s">
        <v>335</v>
      </c>
    </row>
    <row r="10" spans="2:4">
      <c r="B10" s="18" t="s">
        <v>332</v>
      </c>
      <c r="C10" s="78">
        <f>C8/C9</f>
        <v>0.19634489222118087</v>
      </c>
      <c r="D10" s="18" t="s">
        <v>336</v>
      </c>
    </row>
    <row r="11" spans="2:4">
      <c r="B11" s="18" t="s">
        <v>339</v>
      </c>
      <c r="C11" s="6">
        <v>5</v>
      </c>
      <c r="D11" s="18" t="s">
        <v>341</v>
      </c>
    </row>
    <row r="12" spans="2:4">
      <c r="B12" s="18" t="s">
        <v>340</v>
      </c>
      <c r="C12" s="6">
        <v>7</v>
      </c>
      <c r="D12" s="18" t="s">
        <v>342</v>
      </c>
    </row>
    <row r="14" spans="2:4">
      <c r="B14" s="98" t="s">
        <v>496</v>
      </c>
      <c r="C14" s="98" t="s">
        <v>358</v>
      </c>
    </row>
    <row r="15" spans="2:4">
      <c r="B15" s="18" t="s">
        <v>339</v>
      </c>
      <c r="C15" s="193">
        <f>$C$10*C11*24/$C$6*'Fatores Emissao'!C95/'Fatores Emissao'!C97</f>
        <v>0.19206150611361114</v>
      </c>
    </row>
    <row r="16" spans="2:4">
      <c r="B16" s="18" t="s">
        <v>340</v>
      </c>
      <c r="C16" s="193">
        <f>$C$10*C12*24/$C$6*'Fatores Emissao'!C95/'Fatores Emissao'!C97</f>
        <v>0.26888610855905565</v>
      </c>
    </row>
    <row r="17" spans="1:9">
      <c r="A17"/>
      <c r="B17"/>
      <c r="C17"/>
      <c r="D17"/>
      <c r="E17"/>
      <c r="F17"/>
      <c r="G17"/>
      <c r="H17"/>
      <c r="I17"/>
    </row>
    <row r="18" spans="1:9">
      <c r="A18"/>
      <c r="B18" s="5" t="s">
        <v>188</v>
      </c>
      <c r="C18" s="4" t="s">
        <v>4</v>
      </c>
      <c r="D18" s="4" t="s">
        <v>5</v>
      </c>
      <c r="E18" s="4" t="s">
        <v>6</v>
      </c>
      <c r="F18" s="4" t="s">
        <v>7</v>
      </c>
      <c r="G18" s="4" t="s">
        <v>8</v>
      </c>
      <c r="H18" s="4" t="s">
        <v>9</v>
      </c>
      <c r="I18" s="5" t="s">
        <v>47</v>
      </c>
    </row>
    <row r="19" spans="1:9">
      <c r="A19"/>
      <c r="B19" s="10" t="s">
        <v>4</v>
      </c>
      <c r="C19" s="11">
        <f>'Movimentacao de Conteineres'!K30</f>
        <v>0</v>
      </c>
      <c r="D19" s="12">
        <f>'Movimentacao de Conteineres'!L30</f>
        <v>175</v>
      </c>
      <c r="E19" s="12">
        <f>'Movimentacao de Conteineres'!M30</f>
        <v>156</v>
      </c>
      <c r="F19" s="12">
        <f>'Movimentacao de Conteineres'!N30</f>
        <v>0</v>
      </c>
      <c r="G19" s="12">
        <f>'Movimentacao de Conteineres'!O30</f>
        <v>226</v>
      </c>
      <c r="H19" s="12">
        <f>'Movimentacao de Conteineres'!P30</f>
        <v>648</v>
      </c>
      <c r="I19" s="13">
        <f t="shared" ref="I19:I24" si="0">SUM(C19:H19)</f>
        <v>1205</v>
      </c>
    </row>
    <row r="20" spans="1:9">
      <c r="A20"/>
      <c r="B20" s="10" t="s">
        <v>5</v>
      </c>
      <c r="C20" s="12">
        <f>'Movimentacao de Conteineres'!K31</f>
        <v>260</v>
      </c>
      <c r="D20" s="11">
        <f>'Movimentacao de Conteineres'!L31</f>
        <v>0</v>
      </c>
      <c r="E20" s="12">
        <f>'Movimentacao de Conteineres'!M31</f>
        <v>0</v>
      </c>
      <c r="F20" s="12">
        <f>'Movimentacao de Conteineres'!N31</f>
        <v>0</v>
      </c>
      <c r="G20" s="12">
        <f>'Movimentacao de Conteineres'!O31</f>
        <v>20</v>
      </c>
      <c r="H20" s="12">
        <f>'Movimentacao de Conteineres'!P31</f>
        <v>136</v>
      </c>
      <c r="I20" s="13">
        <f t="shared" si="0"/>
        <v>416</v>
      </c>
    </row>
    <row r="21" spans="1:9">
      <c r="A21"/>
      <c r="B21" s="10" t="s">
        <v>6</v>
      </c>
      <c r="C21" s="12">
        <f>'Movimentacao de Conteineres'!K32</f>
        <v>331</v>
      </c>
      <c r="D21" s="12">
        <f>'Movimentacao de Conteineres'!L32</f>
        <v>0</v>
      </c>
      <c r="E21" s="11">
        <f>'Movimentacao de Conteineres'!M32</f>
        <v>0</v>
      </c>
      <c r="F21" s="12">
        <f>'Movimentacao de Conteineres'!N32</f>
        <v>0</v>
      </c>
      <c r="G21" s="12">
        <f>'Movimentacao de Conteineres'!O32</f>
        <v>30</v>
      </c>
      <c r="H21" s="12">
        <f>'Movimentacao de Conteineres'!P32</f>
        <v>58</v>
      </c>
      <c r="I21" s="13">
        <f t="shared" si="0"/>
        <v>419</v>
      </c>
    </row>
    <row r="22" spans="1:9">
      <c r="A22"/>
      <c r="B22" s="10" t="s">
        <v>7</v>
      </c>
      <c r="C22" s="12">
        <f>'Movimentacao de Conteineres'!K33</f>
        <v>86</v>
      </c>
      <c r="D22" s="12">
        <f>'Movimentacao de Conteineres'!L33</f>
        <v>9</v>
      </c>
      <c r="E22" s="12">
        <f>'Movimentacao de Conteineres'!M33</f>
        <v>1</v>
      </c>
      <c r="F22" s="11">
        <f>'Movimentacao de Conteineres'!N33</f>
        <v>0</v>
      </c>
      <c r="G22" s="12">
        <f>'Movimentacao de Conteineres'!O33</f>
        <v>0</v>
      </c>
      <c r="H22" s="12">
        <f>'Movimentacao de Conteineres'!P33</f>
        <v>0</v>
      </c>
      <c r="I22" s="13">
        <f t="shared" si="0"/>
        <v>96</v>
      </c>
    </row>
    <row r="23" spans="1:9">
      <c r="A23"/>
      <c r="B23" s="10" t="s">
        <v>8</v>
      </c>
      <c r="C23" s="12">
        <f>'Movimentacao de Conteineres'!K34</f>
        <v>61</v>
      </c>
      <c r="D23" s="12">
        <f>'Movimentacao de Conteineres'!L34</f>
        <v>120</v>
      </c>
      <c r="E23" s="12">
        <f>'Movimentacao de Conteineres'!M34</f>
        <v>119</v>
      </c>
      <c r="F23" s="12">
        <f>'Movimentacao de Conteineres'!N34</f>
        <v>47</v>
      </c>
      <c r="G23" s="11">
        <f>'Movimentacao de Conteineres'!O34</f>
        <v>0</v>
      </c>
      <c r="H23" s="12">
        <f>'Movimentacao de Conteineres'!P34</f>
        <v>0</v>
      </c>
      <c r="I23" s="13">
        <f t="shared" si="0"/>
        <v>347</v>
      </c>
    </row>
    <row r="24" spans="1:9">
      <c r="A24"/>
      <c r="B24" s="10" t="s">
        <v>9</v>
      </c>
      <c r="C24" s="12">
        <f>'Movimentacao de Conteineres'!K35</f>
        <v>229</v>
      </c>
      <c r="D24" s="12">
        <f>'Movimentacao de Conteineres'!L35</f>
        <v>221</v>
      </c>
      <c r="E24" s="12">
        <f>'Movimentacao de Conteineres'!M35</f>
        <v>272</v>
      </c>
      <c r="F24" s="12">
        <f>'Movimentacao de Conteineres'!N35</f>
        <v>102</v>
      </c>
      <c r="G24" s="12">
        <f>'Movimentacao de Conteineres'!O35</f>
        <v>0</v>
      </c>
      <c r="H24" s="11">
        <f>'Movimentacao de Conteineres'!P35</f>
        <v>0</v>
      </c>
      <c r="I24" s="13">
        <f t="shared" si="0"/>
        <v>824</v>
      </c>
    </row>
    <row r="25" spans="1:9">
      <c r="A25"/>
      <c r="B25" s="16" t="s">
        <v>48</v>
      </c>
      <c r="C25" s="13">
        <f t="shared" ref="C25:I25" si="1">SUM(C19:C24)</f>
        <v>967</v>
      </c>
      <c r="D25" s="13">
        <f t="shared" si="1"/>
        <v>525</v>
      </c>
      <c r="E25" s="13">
        <f t="shared" si="1"/>
        <v>548</v>
      </c>
      <c r="F25" s="13">
        <f t="shared" si="1"/>
        <v>149</v>
      </c>
      <c r="G25" s="13">
        <f t="shared" si="1"/>
        <v>276</v>
      </c>
      <c r="H25" s="13">
        <f t="shared" si="1"/>
        <v>842</v>
      </c>
      <c r="I25" s="13">
        <f t="shared" si="1"/>
        <v>3307</v>
      </c>
    </row>
    <row r="26" spans="1:9">
      <c r="A26"/>
      <c r="B26"/>
      <c r="C26"/>
      <c r="D26"/>
      <c r="E26"/>
      <c r="F26"/>
      <c r="G26"/>
      <c r="H26"/>
      <c r="I26"/>
    </row>
    <row r="27" spans="1:9">
      <c r="B27" s="1"/>
      <c r="C27" s="197"/>
    </row>
    <row r="28" spans="1:9">
      <c r="B28" s="1"/>
      <c r="C28" s="197"/>
    </row>
    <row r="29" spans="1:9" ht="23.1">
      <c r="B29" s="273" t="s">
        <v>562</v>
      </c>
      <c r="C29" s="273"/>
      <c r="D29" s="273"/>
      <c r="E29" s="273"/>
      <c r="F29" s="273"/>
      <c r="G29" s="273"/>
      <c r="H29" s="273"/>
      <c r="I29" s="273"/>
    </row>
    <row r="31" spans="1:9" ht="18">
      <c r="B31" s="272" t="s">
        <v>248</v>
      </c>
      <c r="C31" s="272"/>
      <c r="D31" s="272"/>
      <c r="E31" s="157">
        <f>'Fatores Emissao'!C84</f>
        <v>2836.8489446681765</v>
      </c>
      <c r="F31" s="164" t="s">
        <v>502</v>
      </c>
    </row>
    <row r="32" spans="1:9" ht="18">
      <c r="B32" s="5" t="s">
        <v>239</v>
      </c>
      <c r="C32" s="98" t="s">
        <v>186</v>
      </c>
      <c r="D32" s="98" t="s">
        <v>38</v>
      </c>
      <c r="E32" s="98" t="s">
        <v>40</v>
      </c>
      <c r="F32" s="98" t="s">
        <v>42</v>
      </c>
      <c r="G32" s="98" t="s">
        <v>43</v>
      </c>
      <c r="H32" s="98" t="s">
        <v>45</v>
      </c>
      <c r="I32" s="5" t="s">
        <v>240</v>
      </c>
    </row>
    <row r="33" spans="2:9">
      <c r="B33" s="18" t="s">
        <v>186</v>
      </c>
      <c r="C33" s="11"/>
      <c r="D33" s="160">
        <f>'Rodo Direto Base'!D11*$C$15*$E$31</f>
        <v>95348.659162711192</v>
      </c>
      <c r="E33" s="160">
        <f>'Rodo Direto Base'!E11*$C$15*$E$31</f>
        <v>84996.519025045418</v>
      </c>
      <c r="F33" s="160">
        <f>'Rodo Direto Base'!F11*$C$15*$E$31</f>
        <v>0</v>
      </c>
      <c r="G33" s="160">
        <f>'Rodo Direto Base'!G11*$C$15*$E$31</f>
        <v>123135.98269012989</v>
      </c>
      <c r="H33" s="160">
        <f>'Rodo Direto Base'!H11*$C$15*$E$31</f>
        <v>353062.46364249632</v>
      </c>
      <c r="I33" s="13">
        <f t="shared" ref="I33:I38" si="2">SUM(C33:H33)</f>
        <v>656543.62452038284</v>
      </c>
    </row>
    <row r="34" spans="2:9">
      <c r="B34" s="18" t="s">
        <v>38</v>
      </c>
      <c r="C34" s="160">
        <f>'Rodo Direto Base'!C12*$C$16*$E$31</f>
        <v>198325.21105843934</v>
      </c>
      <c r="D34" s="11"/>
      <c r="E34" s="12">
        <f>'Rodo Direto Base'!N21*'Rodo Direto Base'!$E$31</f>
        <v>0</v>
      </c>
      <c r="F34" s="12">
        <f>'Rodo Direto Base'!O21*'Rodo Direto Base'!$E$31</f>
        <v>0</v>
      </c>
      <c r="G34" s="12">
        <f>'Rodo Direto Base'!P21*'Rodo Direto Base'!$E$31</f>
        <v>0</v>
      </c>
      <c r="H34" s="12">
        <f>'Rodo Direto Base'!Q21*'Rodo Direto Base'!$E$31</f>
        <v>0</v>
      </c>
      <c r="I34" s="13">
        <f t="shared" si="2"/>
        <v>198325.21105843934</v>
      </c>
    </row>
    <row r="35" spans="2:9">
      <c r="B35" s="18" t="s">
        <v>40</v>
      </c>
      <c r="C35" s="160">
        <f>'Rodo Direto Base'!C13*$C$16*$E$31</f>
        <v>252483.2494628593</v>
      </c>
      <c r="D35" s="12">
        <f>'Rodo Direto Base'!M22*'Rodo Direto Base'!$E$31</f>
        <v>0</v>
      </c>
      <c r="E35" s="11"/>
      <c r="F35" s="12">
        <f>'Rodo Direto Base'!O22*'Rodo Direto Base'!$E$31</f>
        <v>0</v>
      </c>
      <c r="G35" s="12">
        <f>'Rodo Direto Base'!P22*'Rodo Direto Base'!$E$31</f>
        <v>0</v>
      </c>
      <c r="H35" s="12">
        <f>'Rodo Direto Base'!Q22*'Rodo Direto Base'!$E$31</f>
        <v>0</v>
      </c>
      <c r="I35" s="13">
        <f t="shared" si="2"/>
        <v>252483.2494628593</v>
      </c>
    </row>
    <row r="36" spans="2:9">
      <c r="B36" s="18" t="s">
        <v>42</v>
      </c>
      <c r="C36" s="160">
        <f>'Rodo Direto Base'!C14*$C$16*$E$31</f>
        <v>65599.877503945318</v>
      </c>
      <c r="D36" s="12">
        <f>'Rodo Direto Base'!M23*'Rodo Direto Base'!$E$31</f>
        <v>0</v>
      </c>
      <c r="E36" s="12">
        <f>'Rodo Direto Base'!N23*'Rodo Direto Base'!$E$31</f>
        <v>0</v>
      </c>
      <c r="F36" s="11"/>
      <c r="G36" s="12">
        <f>'Rodo Direto Base'!P23*'Rodo Direto Base'!$E$31</f>
        <v>0</v>
      </c>
      <c r="H36" s="12">
        <f>'Rodo Direto Base'!Q23*'Rodo Direto Base'!$E$31</f>
        <v>0</v>
      </c>
      <c r="I36" s="13">
        <f t="shared" si="2"/>
        <v>65599.877503945318</v>
      </c>
    </row>
    <row r="37" spans="2:9">
      <c r="B37" s="18" t="s">
        <v>43</v>
      </c>
      <c r="C37" s="160">
        <f>'Rodo Direto Base'!C15*$C$16*$E$31</f>
        <v>46530.145671403079</v>
      </c>
      <c r="D37" s="12">
        <f>'Rodo Direto Base'!M24*'Rodo Direto Base'!$E$31</f>
        <v>0</v>
      </c>
      <c r="E37" s="12">
        <f>'Rodo Direto Base'!N24*'Rodo Direto Base'!$E$31</f>
        <v>0</v>
      </c>
      <c r="F37" s="12">
        <f>'Rodo Direto Base'!O24*'Rodo Direto Base'!$E$31</f>
        <v>0</v>
      </c>
      <c r="G37" s="11"/>
      <c r="H37" s="12">
        <f>'Rodo Direto Base'!Q24*'Rodo Direto Base'!$E$31</f>
        <v>0</v>
      </c>
      <c r="I37" s="13">
        <f t="shared" si="2"/>
        <v>46530.145671403079</v>
      </c>
    </row>
    <row r="38" spans="2:9">
      <c r="B38" s="18" t="s">
        <v>45</v>
      </c>
      <c r="C38" s="160">
        <f>'Rodo Direto Base'!C16*$C$16*$E$31</f>
        <v>174678.74358608696</v>
      </c>
      <c r="D38" s="12">
        <f>'Rodo Direto Base'!M25*'Rodo Direto Base'!$E$31</f>
        <v>0</v>
      </c>
      <c r="E38" s="12">
        <f>'Rodo Direto Base'!N25*'Rodo Direto Base'!$E$31</f>
        <v>0</v>
      </c>
      <c r="F38" s="12">
        <f>'Rodo Direto Base'!O25*'Rodo Direto Base'!$E$31</f>
        <v>0</v>
      </c>
      <c r="G38" s="12">
        <f>'Rodo Direto Base'!P25*'Rodo Direto Base'!$E$31</f>
        <v>0</v>
      </c>
      <c r="H38" s="11"/>
      <c r="I38" s="13">
        <f t="shared" si="2"/>
        <v>174678.74358608696</v>
      </c>
    </row>
    <row r="39" spans="2:9" ht="18">
      <c r="B39" s="16" t="s">
        <v>241</v>
      </c>
      <c r="C39" s="13">
        <f t="shared" ref="C39:I39" si="3">SUM(C33:C38)</f>
        <v>737617.22728273389</v>
      </c>
      <c r="D39" s="13">
        <f t="shared" si="3"/>
        <v>95348.659162711192</v>
      </c>
      <c r="E39" s="13">
        <f t="shared" si="3"/>
        <v>84996.519025045418</v>
      </c>
      <c r="F39" s="13">
        <f t="shared" si="3"/>
        <v>0</v>
      </c>
      <c r="G39" s="13">
        <f t="shared" si="3"/>
        <v>123135.98269012989</v>
      </c>
      <c r="H39" s="13">
        <f t="shared" si="3"/>
        <v>353062.46364249632</v>
      </c>
      <c r="I39" s="13">
        <f t="shared" si="3"/>
        <v>1394160.8518031167</v>
      </c>
    </row>
    <row r="42" spans="2:9" ht="18">
      <c r="B42" s="272" t="s">
        <v>249</v>
      </c>
      <c r="C42" s="272"/>
      <c r="D42" s="272"/>
      <c r="E42" s="158">
        <f>'Fatores Emissao'!D84</f>
        <v>0.17111152364665191</v>
      </c>
      <c r="F42" s="164" t="s">
        <v>502</v>
      </c>
    </row>
    <row r="43" spans="2:9" ht="18">
      <c r="B43" s="5" t="s">
        <v>255</v>
      </c>
      <c r="C43" s="98" t="s">
        <v>186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243</v>
      </c>
    </row>
    <row r="44" spans="2:9">
      <c r="B44" s="18" t="s">
        <v>186</v>
      </c>
      <c r="C44" s="11"/>
      <c r="D44" s="194">
        <f>'Rodo Direto Base'!D11*$C$15*$E$42</f>
        <v>5.7511889653698818</v>
      </c>
      <c r="E44" s="194">
        <f>'Rodo Direto Base'!E11*$C$15*$E$42</f>
        <v>5.1267741634154378</v>
      </c>
      <c r="F44" s="194">
        <f>'Rodo Direto Base'!F11*$C$15*$E$42</f>
        <v>0</v>
      </c>
      <c r="G44" s="194">
        <f>'Rodo Direto Base'!G11*$C$15*$E$42</f>
        <v>7.4272497495633907</v>
      </c>
      <c r="H44" s="194">
        <f>'Rodo Direto Base'!H11*$C$15*$E$42</f>
        <v>21.295831140341047</v>
      </c>
      <c r="I44" s="173">
        <f t="shared" ref="I44:I49" si="4">SUM(C44:H44)</f>
        <v>39.601044018689763</v>
      </c>
    </row>
    <row r="45" spans="2:9">
      <c r="B45" s="18" t="s">
        <v>38</v>
      </c>
      <c r="C45" s="194">
        <f>'Rodo Direto Base'!C12*$C$16*$E$42</f>
        <v>11.962473047969356</v>
      </c>
      <c r="D45" s="172"/>
      <c r="E45" s="39">
        <f>E34*'Rodo Direto Base'!$E$31</f>
        <v>0</v>
      </c>
      <c r="F45" s="39">
        <f>F34*'Rodo Direto Base'!$E$31</f>
        <v>0</v>
      </c>
      <c r="G45" s="39">
        <f>G34*'Rodo Direto Base'!$E$31</f>
        <v>0</v>
      </c>
      <c r="H45" s="39">
        <f>H34*'Rodo Direto Base'!$E$31</f>
        <v>0</v>
      </c>
      <c r="I45" s="173">
        <f t="shared" si="4"/>
        <v>11.962473047969356</v>
      </c>
    </row>
    <row r="46" spans="2:9">
      <c r="B46" s="18" t="s">
        <v>40</v>
      </c>
      <c r="C46" s="194">
        <f>'Rodo Direto Base'!C13*$C$16*$E$42</f>
        <v>15.229148380299449</v>
      </c>
      <c r="D46" s="39">
        <f>D35*'Rodo Direto Base'!$E$31</f>
        <v>0</v>
      </c>
      <c r="E46" s="172"/>
      <c r="F46" s="39">
        <f>F35*'Rodo Direto Base'!$E$31</f>
        <v>0</v>
      </c>
      <c r="G46" s="39">
        <f>G35*'Rodo Direto Base'!$E$31</f>
        <v>0</v>
      </c>
      <c r="H46" s="39">
        <f>H35*'Rodo Direto Base'!$E$31</f>
        <v>0</v>
      </c>
      <c r="I46" s="173">
        <f t="shared" si="4"/>
        <v>15.229148380299449</v>
      </c>
    </row>
    <row r="47" spans="2:9">
      <c r="B47" s="18" t="s">
        <v>42</v>
      </c>
      <c r="C47" s="194">
        <f>'Rodo Direto Base'!C14*$C$16*$E$42</f>
        <v>3.9568180081744795</v>
      </c>
      <c r="D47" s="39">
        <f>D36*'Rodo Direto Base'!$E$31</f>
        <v>0</v>
      </c>
      <c r="E47" s="39">
        <f>E36*'Rodo Direto Base'!$E$31</f>
        <v>0</v>
      </c>
      <c r="F47" s="172"/>
      <c r="G47" s="39">
        <f>G36*'Rodo Direto Base'!$E$31</f>
        <v>0</v>
      </c>
      <c r="H47" s="39">
        <f>H36*'Rodo Direto Base'!$E$31</f>
        <v>0</v>
      </c>
      <c r="I47" s="173">
        <f t="shared" si="4"/>
        <v>3.9568180081744795</v>
      </c>
    </row>
    <row r="48" spans="2:9">
      <c r="B48" s="18" t="s">
        <v>43</v>
      </c>
      <c r="C48" s="194">
        <f>'Rodo Direto Base'!C15*$C$16*$E$42</f>
        <v>2.806580215100503</v>
      </c>
      <c r="D48" s="39">
        <f>D37*'Rodo Direto Base'!$E$31</f>
        <v>0</v>
      </c>
      <c r="E48" s="39">
        <f>E37*'Rodo Direto Base'!$E$31</f>
        <v>0</v>
      </c>
      <c r="F48" s="39">
        <f>F37*'Rodo Direto Base'!$E$31</f>
        <v>0</v>
      </c>
      <c r="G48" s="172"/>
      <c r="H48" s="39">
        <f>H37*'Rodo Direto Base'!$E$31</f>
        <v>0</v>
      </c>
      <c r="I48" s="173">
        <f t="shared" si="4"/>
        <v>2.806580215100503</v>
      </c>
    </row>
    <row r="49" spans="1:11">
      <c r="B49" s="18" t="s">
        <v>45</v>
      </c>
      <c r="C49" s="194">
        <f>'Rodo Direto Base'!C16*$C$16*$E$42</f>
        <v>10.536178184557626</v>
      </c>
      <c r="D49" s="39">
        <f>D38*'Rodo Direto Base'!$E$31</f>
        <v>0</v>
      </c>
      <c r="E49" s="39">
        <f>E38*'Rodo Direto Base'!$E$31</f>
        <v>0</v>
      </c>
      <c r="F49" s="39">
        <f>F38*'Rodo Direto Base'!$E$31</f>
        <v>0</v>
      </c>
      <c r="G49" s="39">
        <f>G38*'Rodo Direto Base'!$E$31</f>
        <v>0</v>
      </c>
      <c r="H49" s="172"/>
      <c r="I49" s="173">
        <f t="shared" si="4"/>
        <v>10.536178184557626</v>
      </c>
    </row>
    <row r="50" spans="1:11" ht="18">
      <c r="B50" s="16" t="s">
        <v>244</v>
      </c>
      <c r="C50" s="161">
        <f t="shared" ref="C50:I50" si="5">SUM(C44:C49)</f>
        <v>44.491197836101414</v>
      </c>
      <c r="D50" s="173">
        <f t="shared" si="5"/>
        <v>5.7511889653698818</v>
      </c>
      <c r="E50" s="173">
        <f t="shared" si="5"/>
        <v>5.1267741634154378</v>
      </c>
      <c r="F50" s="173">
        <f t="shared" si="5"/>
        <v>0</v>
      </c>
      <c r="G50" s="173">
        <f t="shared" si="5"/>
        <v>7.4272497495633907</v>
      </c>
      <c r="H50" s="173">
        <f t="shared" si="5"/>
        <v>21.295831140341047</v>
      </c>
      <c r="I50" s="173">
        <f t="shared" si="5"/>
        <v>84.092241854791183</v>
      </c>
    </row>
    <row r="52" spans="1:11">
      <c r="J52"/>
      <c r="K52"/>
    </row>
    <row r="53" spans="1:11" ht="18">
      <c r="B53" s="272" t="s">
        <v>250</v>
      </c>
      <c r="C53" s="272"/>
      <c r="D53" s="272"/>
      <c r="E53" s="159">
        <f>'Fatores Emissao'!E84</f>
        <v>7.8050870435314917E-2</v>
      </c>
      <c r="F53" s="164" t="s">
        <v>502</v>
      </c>
      <c r="J53"/>
      <c r="K53"/>
    </row>
    <row r="54" spans="1:11" ht="18">
      <c r="B54" s="5" t="s">
        <v>254</v>
      </c>
      <c r="C54" s="98" t="s">
        <v>186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246</v>
      </c>
      <c r="J54"/>
      <c r="K54"/>
    </row>
    <row r="55" spans="1:11">
      <c r="B55" s="18" t="s">
        <v>186</v>
      </c>
      <c r="C55" s="11"/>
      <c r="D55" s="194">
        <f>'Rodo Direto Base'!D11*$C$15*$E$53</f>
        <v>2.6233493526248584</v>
      </c>
      <c r="E55" s="194">
        <f>'Rodo Direto Base'!E11*$C$15*$E$53</f>
        <v>2.3385285657684456</v>
      </c>
      <c r="F55" s="194">
        <f>'Rodo Direto Base'!F11*$C$15*$E$53</f>
        <v>0</v>
      </c>
      <c r="G55" s="194">
        <f>'Rodo Direto Base'!G11*$C$15*$E$53</f>
        <v>3.387868306818389</v>
      </c>
      <c r="H55" s="194">
        <f>'Rodo Direto Base'!H11*$C$15*$E$53</f>
        <v>9.71388788857662</v>
      </c>
      <c r="I55" s="173">
        <f t="shared" ref="I55:I60" si="6">SUM(C55:H55)</f>
        <v>18.063634113788311</v>
      </c>
      <c r="J55"/>
      <c r="K55"/>
    </row>
    <row r="56" spans="1:11">
      <c r="B56" s="18" t="s">
        <v>38</v>
      </c>
      <c r="C56" s="194">
        <f>'Rodo Direto Base'!C12*$C$16*$E$53</f>
        <v>5.4565666534597073</v>
      </c>
      <c r="D56" s="172"/>
      <c r="E56" s="39">
        <f>E45*'Rodo Direto Base'!$E$31</f>
        <v>0</v>
      </c>
      <c r="F56" s="39">
        <f>F45*'Rodo Direto Base'!$E$31</f>
        <v>0</v>
      </c>
      <c r="G56" s="39">
        <f>G45*'Rodo Direto Base'!$E$31</f>
        <v>0</v>
      </c>
      <c r="H56" s="39">
        <f>H45*'Rodo Direto Base'!$E$31</f>
        <v>0</v>
      </c>
      <c r="I56" s="173">
        <f t="shared" si="6"/>
        <v>5.4565666534597073</v>
      </c>
      <c r="J56"/>
      <c r="K56"/>
    </row>
    <row r="57" spans="1:11">
      <c r="B57" s="18" t="s">
        <v>40</v>
      </c>
      <c r="C57" s="194">
        <f>'Rodo Direto Base'!C13*$C$16*$E$53</f>
        <v>6.9466290857506268</v>
      </c>
      <c r="D57" s="39">
        <f>D46*'Rodo Direto Base'!$E$31</f>
        <v>0</v>
      </c>
      <c r="E57" s="172"/>
      <c r="F57" s="39">
        <f>F46*'Rodo Direto Base'!$E$31</f>
        <v>0</v>
      </c>
      <c r="G57" s="39">
        <f>G46*'Rodo Direto Base'!$E$31</f>
        <v>0</v>
      </c>
      <c r="H57" s="39">
        <f>H46*'Rodo Direto Base'!$E$31</f>
        <v>0</v>
      </c>
      <c r="I57" s="173">
        <f t="shared" si="6"/>
        <v>6.9466290857506268</v>
      </c>
      <c r="J57"/>
      <c r="K57"/>
    </row>
    <row r="58" spans="1:11">
      <c r="B58" s="18" t="s">
        <v>42</v>
      </c>
      <c r="C58" s="194">
        <f>'Rodo Direto Base'!C14*$C$16*$E$53</f>
        <v>1.8048643546059031</v>
      </c>
      <c r="D58" s="39">
        <f>D47*'Rodo Direto Base'!$E$31</f>
        <v>0</v>
      </c>
      <c r="E58" s="39">
        <f>E47*'Rodo Direto Base'!$E$31</f>
        <v>0</v>
      </c>
      <c r="F58" s="172"/>
      <c r="G58" s="39">
        <f>G47*'Rodo Direto Base'!$E$31</f>
        <v>0</v>
      </c>
      <c r="H58" s="39">
        <f>H47*'Rodo Direto Base'!$E$31</f>
        <v>0</v>
      </c>
      <c r="I58" s="173">
        <f t="shared" si="6"/>
        <v>1.8048643546059031</v>
      </c>
      <c r="J58"/>
      <c r="K58"/>
    </row>
    <row r="59" spans="1:11">
      <c r="B59" s="18" t="s">
        <v>43</v>
      </c>
      <c r="C59" s="194">
        <f>'Rodo Direto Base'!C15*$C$16*$E$53</f>
        <v>1.2801944840809314</v>
      </c>
      <c r="D59" s="39">
        <f>D48*'Rodo Direto Base'!$E$31</f>
        <v>0</v>
      </c>
      <c r="E59" s="39">
        <f>E48*'Rodo Direto Base'!$E$31</f>
        <v>0</v>
      </c>
      <c r="F59" s="39">
        <f>F48*'Rodo Direto Base'!$E$31</f>
        <v>0</v>
      </c>
      <c r="G59" s="172"/>
      <c r="H59" s="39">
        <f>H48*'Rodo Direto Base'!$E$31</f>
        <v>0</v>
      </c>
      <c r="I59" s="173">
        <f t="shared" si="6"/>
        <v>1.2801944840809314</v>
      </c>
      <c r="J59"/>
      <c r="K59"/>
    </row>
    <row r="60" spans="1:11">
      <c r="B60" s="18" t="s">
        <v>45</v>
      </c>
      <c r="C60" s="194">
        <f>'Rodo Direto Base'!C16*$C$16*$E$53</f>
        <v>4.805976014008742</v>
      </c>
      <c r="D60" s="39">
        <f>D49*'Rodo Direto Base'!$E$31</f>
        <v>0</v>
      </c>
      <c r="E60" s="39">
        <f>E49*'Rodo Direto Base'!$E$31</f>
        <v>0</v>
      </c>
      <c r="F60" s="39">
        <f>F49*'Rodo Direto Base'!$E$31</f>
        <v>0</v>
      </c>
      <c r="G60" s="39">
        <f>G49*'Rodo Direto Base'!$E$31</f>
        <v>0</v>
      </c>
      <c r="H60" s="172"/>
      <c r="I60" s="173">
        <f t="shared" si="6"/>
        <v>4.805976014008742</v>
      </c>
      <c r="J60"/>
      <c r="K60"/>
    </row>
    <row r="61" spans="1:11" ht="18">
      <c r="B61" s="16" t="s">
        <v>247</v>
      </c>
      <c r="C61" s="173">
        <f t="shared" ref="C61:I61" si="7">SUM(C55:C60)</f>
        <v>20.294230591905908</v>
      </c>
      <c r="D61" s="173">
        <f t="shared" si="7"/>
        <v>2.6233493526248584</v>
      </c>
      <c r="E61" s="173">
        <f t="shared" si="7"/>
        <v>2.3385285657684456</v>
      </c>
      <c r="F61" s="173">
        <f t="shared" si="7"/>
        <v>0</v>
      </c>
      <c r="G61" s="173">
        <f t="shared" si="7"/>
        <v>3.387868306818389</v>
      </c>
      <c r="H61" s="173">
        <f t="shared" si="7"/>
        <v>9.71388788857662</v>
      </c>
      <c r="I61" s="173">
        <f t="shared" si="7"/>
        <v>38.357864705694219</v>
      </c>
      <c r="J61"/>
      <c r="K61"/>
    </row>
    <row r="62" spans="1:11">
      <c r="A62"/>
      <c r="B62"/>
      <c r="C62"/>
      <c r="D62"/>
      <c r="E62"/>
      <c r="F62"/>
      <c r="G62"/>
      <c r="H62"/>
      <c r="I62"/>
      <c r="J62"/>
      <c r="K62"/>
    </row>
    <row r="63" spans="1:11">
      <c r="A63"/>
      <c r="B63"/>
      <c r="C63"/>
      <c r="D63"/>
      <c r="E63"/>
      <c r="F63"/>
      <c r="G63"/>
      <c r="H63"/>
      <c r="I63"/>
      <c r="J63"/>
      <c r="K63"/>
    </row>
    <row r="64" spans="1:11" ht="23.1">
      <c r="A64"/>
      <c r="B64" s="273" t="s">
        <v>562</v>
      </c>
      <c r="C64" s="273"/>
      <c r="D64" s="273"/>
      <c r="E64" s="273"/>
      <c r="F64" s="273"/>
      <c r="G64" s="273"/>
      <c r="H64" s="273"/>
      <c r="I64" s="273"/>
      <c r="J64"/>
      <c r="K64"/>
    </row>
    <row r="65" spans="1:11">
      <c r="A65"/>
      <c r="B65"/>
      <c r="C65"/>
      <c r="D65"/>
      <c r="E65"/>
      <c r="F65"/>
      <c r="G65"/>
      <c r="H65"/>
      <c r="I65"/>
      <c r="J65"/>
      <c r="K65"/>
    </row>
    <row r="66" spans="1:11">
      <c r="A66"/>
      <c r="B66" s="98" t="s">
        <v>236</v>
      </c>
      <c r="C66" s="98" t="s">
        <v>235</v>
      </c>
      <c r="D66"/>
      <c r="E66"/>
      <c r="F66"/>
      <c r="G66"/>
      <c r="H66"/>
      <c r="I66"/>
      <c r="J66"/>
      <c r="K66"/>
    </row>
    <row r="67" spans="1:11" ht="18">
      <c r="A67"/>
      <c r="B67" s="18" t="s">
        <v>251</v>
      </c>
      <c r="C67" s="18">
        <f>'Fatores Emissao'!O6</f>
        <v>1</v>
      </c>
      <c r="D67"/>
      <c r="E67"/>
      <c r="F67"/>
      <c r="G67"/>
      <c r="H67"/>
      <c r="I67"/>
      <c r="J67"/>
      <c r="K67"/>
    </row>
    <row r="68" spans="1:11" ht="18">
      <c r="A68"/>
      <c r="B68" s="18" t="s">
        <v>252</v>
      </c>
      <c r="C68" s="18">
        <f>'Fatores Emissao'!O7</f>
        <v>28</v>
      </c>
      <c r="D68"/>
      <c r="E68"/>
      <c r="F68"/>
      <c r="G68"/>
      <c r="H68"/>
      <c r="I68"/>
      <c r="J68"/>
      <c r="K68"/>
    </row>
    <row r="69" spans="1:11" ht="18">
      <c r="A69"/>
      <c r="B69" s="18" t="s">
        <v>253</v>
      </c>
      <c r="C69" s="18">
        <f>'Fatores Emissao'!O8</f>
        <v>265</v>
      </c>
      <c r="D69"/>
      <c r="E69"/>
      <c r="F69"/>
      <c r="G69"/>
      <c r="H69"/>
      <c r="I69"/>
      <c r="J69"/>
      <c r="K69" s="212">
        <f>I79*52/1000000</f>
        <v>73.147373973547133</v>
      </c>
    </row>
    <row r="70" spans="1:11">
      <c r="A70"/>
      <c r="B70"/>
      <c r="C70"/>
      <c r="D70"/>
      <c r="E70"/>
      <c r="F70"/>
      <c r="G70"/>
      <c r="H70"/>
      <c r="I70"/>
      <c r="J70"/>
      <c r="K70"/>
    </row>
    <row r="71" spans="1:11">
      <c r="A71"/>
      <c r="B71"/>
      <c r="C71"/>
      <c r="D71"/>
      <c r="E71"/>
      <c r="F71"/>
      <c r="G71"/>
      <c r="H71"/>
      <c r="I71"/>
      <c r="J71"/>
      <c r="K71"/>
    </row>
    <row r="72" spans="1:11" ht="18">
      <c r="A72"/>
      <c r="B72" s="5" t="s">
        <v>256</v>
      </c>
      <c r="C72" s="98" t="s">
        <v>186</v>
      </c>
      <c r="D72" s="98" t="s">
        <v>38</v>
      </c>
      <c r="E72" s="98" t="s">
        <v>40</v>
      </c>
      <c r="F72" s="98" t="s">
        <v>42</v>
      </c>
      <c r="G72" s="98" t="s">
        <v>43</v>
      </c>
      <c r="H72" s="98" t="s">
        <v>45</v>
      </c>
      <c r="I72" s="5" t="s">
        <v>257</v>
      </c>
      <c r="J72"/>
      <c r="K72"/>
    </row>
    <row r="73" spans="1:11">
      <c r="A73"/>
      <c r="B73" s="18" t="s">
        <v>186</v>
      </c>
      <c r="C73" s="11">
        <f>C33*$C$67+C44*$C$68+C55*$C$69</f>
        <v>0</v>
      </c>
      <c r="D73" s="12">
        <f t="shared" ref="D73:H73" si="8">D33*$C$67+D44*$C$68+D55*$C$69</f>
        <v>96204.880032187139</v>
      </c>
      <c r="E73" s="12">
        <f t="shared" si="8"/>
        <v>85759.778771549682</v>
      </c>
      <c r="F73" s="12">
        <f t="shared" si="8"/>
        <v>0</v>
      </c>
      <c r="G73" s="12">
        <f t="shared" si="8"/>
        <v>124241.73078442454</v>
      </c>
      <c r="H73" s="12">
        <f t="shared" si="8"/>
        <v>356232.92720489867</v>
      </c>
      <c r="I73" s="13">
        <f t="shared" ref="I73:I78" si="9">SUM(C73:H73)</f>
        <v>662439.31679306005</v>
      </c>
      <c r="J73"/>
      <c r="K73"/>
    </row>
    <row r="74" spans="1:11">
      <c r="A74"/>
      <c r="B74" s="18" t="s">
        <v>38</v>
      </c>
      <c r="C74" s="12">
        <f t="shared" ref="C74:H78" si="10">C34*$C$67+C45*$C$68+C56*$C$69</f>
        <v>200106.1504669493</v>
      </c>
      <c r="D74" s="11">
        <f t="shared" si="10"/>
        <v>0</v>
      </c>
      <c r="E74" s="12">
        <f t="shared" si="10"/>
        <v>0</v>
      </c>
      <c r="F74" s="12">
        <f t="shared" si="10"/>
        <v>0</v>
      </c>
      <c r="G74" s="12">
        <f t="shared" si="10"/>
        <v>0</v>
      </c>
      <c r="H74" s="12">
        <f t="shared" si="10"/>
        <v>0</v>
      </c>
      <c r="I74" s="13">
        <f t="shared" si="9"/>
        <v>200106.1504669493</v>
      </c>
      <c r="J74"/>
      <c r="K74"/>
    </row>
    <row r="75" spans="1:11">
      <c r="A75"/>
      <c r="B75" s="18" t="s">
        <v>40</v>
      </c>
      <c r="C75" s="12">
        <f t="shared" si="10"/>
        <v>254750.52232523161</v>
      </c>
      <c r="D75" s="12">
        <f t="shared" si="10"/>
        <v>0</v>
      </c>
      <c r="E75" s="11">
        <f t="shared" si="10"/>
        <v>0</v>
      </c>
      <c r="F75" s="12">
        <f t="shared" si="10"/>
        <v>0</v>
      </c>
      <c r="G75" s="12">
        <f t="shared" si="10"/>
        <v>0</v>
      </c>
      <c r="H75" s="12">
        <f t="shared" si="10"/>
        <v>0</v>
      </c>
      <c r="I75" s="13">
        <f t="shared" si="9"/>
        <v>254750.52232523161</v>
      </c>
      <c r="J75"/>
      <c r="K75"/>
    </row>
    <row r="76" spans="1:11">
      <c r="A76"/>
      <c r="B76" s="18" t="s">
        <v>42</v>
      </c>
      <c r="C76" s="12">
        <f t="shared" si="10"/>
        <v>66188.957462144768</v>
      </c>
      <c r="D76" s="12">
        <f t="shared" si="10"/>
        <v>0</v>
      </c>
      <c r="E76" s="12">
        <f t="shared" si="10"/>
        <v>0</v>
      </c>
      <c r="F76" s="11">
        <f t="shared" si="10"/>
        <v>0</v>
      </c>
      <c r="G76" s="12">
        <f t="shared" si="10"/>
        <v>0</v>
      </c>
      <c r="H76" s="12">
        <f t="shared" si="10"/>
        <v>0</v>
      </c>
      <c r="I76" s="13">
        <f t="shared" si="9"/>
        <v>66188.957462144768</v>
      </c>
      <c r="J76"/>
      <c r="K76"/>
    </row>
    <row r="77" spans="1:11">
      <c r="A77"/>
      <c r="B77" s="18" t="s">
        <v>43</v>
      </c>
      <c r="C77" s="12">
        <f t="shared" si="10"/>
        <v>46947.981455707341</v>
      </c>
      <c r="D77" s="12">
        <f t="shared" si="10"/>
        <v>0</v>
      </c>
      <c r="E77" s="12">
        <f t="shared" si="10"/>
        <v>0</v>
      </c>
      <c r="F77" s="12">
        <f t="shared" si="10"/>
        <v>0</v>
      </c>
      <c r="G77" s="11">
        <f t="shared" si="10"/>
        <v>0</v>
      </c>
      <c r="H77" s="12">
        <f t="shared" si="10"/>
        <v>0</v>
      </c>
      <c r="I77" s="13">
        <f t="shared" si="9"/>
        <v>46947.981455707341</v>
      </c>
      <c r="J77"/>
      <c r="K77"/>
    </row>
    <row r="78" spans="1:11">
      <c r="A78"/>
      <c r="B78" s="18" t="s">
        <v>45</v>
      </c>
      <c r="C78" s="12">
        <f t="shared" si="10"/>
        <v>176247.34021896689</v>
      </c>
      <c r="D78" s="12">
        <f t="shared" si="10"/>
        <v>0</v>
      </c>
      <c r="E78" s="12">
        <f t="shared" si="10"/>
        <v>0</v>
      </c>
      <c r="F78" s="12">
        <f t="shared" si="10"/>
        <v>0</v>
      </c>
      <c r="G78" s="12">
        <f t="shared" si="10"/>
        <v>0</v>
      </c>
      <c r="H78" s="11">
        <f t="shared" si="10"/>
        <v>0</v>
      </c>
      <c r="I78" s="13">
        <f t="shared" si="9"/>
        <v>176247.34021896689</v>
      </c>
      <c r="J78"/>
      <c r="K78"/>
    </row>
    <row r="79" spans="1:11" ht="18">
      <c r="A79"/>
      <c r="B79" s="16" t="s">
        <v>258</v>
      </c>
      <c r="C79" s="13">
        <f t="shared" ref="C79:H79" si="11">SUM(C73:C78)</f>
        <v>744240.95192899997</v>
      </c>
      <c r="D79" s="13">
        <f t="shared" si="11"/>
        <v>96204.880032187139</v>
      </c>
      <c r="E79" s="13">
        <f t="shared" si="11"/>
        <v>85759.778771549682</v>
      </c>
      <c r="F79" s="13">
        <f t="shared" si="11"/>
        <v>0</v>
      </c>
      <c r="G79" s="13">
        <f t="shared" si="11"/>
        <v>124241.73078442454</v>
      </c>
      <c r="H79" s="13">
        <f t="shared" si="11"/>
        <v>356232.92720489867</v>
      </c>
      <c r="I79" s="13">
        <f>SUM(I73:I78)</f>
        <v>1406680.2687220601</v>
      </c>
      <c r="J79"/>
      <c r="K79"/>
    </row>
    <row r="80" spans="1:11">
      <c r="A80"/>
      <c r="B80"/>
      <c r="C80"/>
      <c r="D80"/>
      <c r="E80"/>
      <c r="F80"/>
      <c r="G80"/>
      <c r="H80"/>
      <c r="I80" s="114"/>
    </row>
    <row r="81" spans="1:9">
      <c r="A81"/>
      <c r="B81"/>
      <c r="C81"/>
      <c r="D81"/>
      <c r="E81"/>
      <c r="F81"/>
      <c r="G81"/>
      <c r="H81"/>
      <c r="I81"/>
    </row>
    <row r="82" spans="1:9" ht="18">
      <c r="A82"/>
      <c r="B82" s="5" t="s">
        <v>262</v>
      </c>
      <c r="C82" s="98" t="s">
        <v>186</v>
      </c>
      <c r="D82" s="98" t="s">
        <v>38</v>
      </c>
      <c r="E82" s="98" t="s">
        <v>40</v>
      </c>
      <c r="F82" s="98" t="s">
        <v>42</v>
      </c>
      <c r="G82" s="98" t="s">
        <v>43</v>
      </c>
      <c r="H82" s="98" t="s">
        <v>45</v>
      </c>
      <c r="I82" s="5" t="s">
        <v>260</v>
      </c>
    </row>
    <row r="83" spans="1:9">
      <c r="A83"/>
      <c r="B83" s="18" t="s">
        <v>186</v>
      </c>
      <c r="C83" s="11">
        <f t="shared" ref="C83:H84" si="12">C73/$I$79</f>
        <v>0</v>
      </c>
      <c r="D83" s="40">
        <f t="shared" si="12"/>
        <v>6.8391433484445818E-2</v>
      </c>
      <c r="E83" s="40">
        <f t="shared" si="12"/>
        <v>6.0966077848991697E-2</v>
      </c>
      <c r="F83" s="40">
        <f t="shared" si="12"/>
        <v>0</v>
      </c>
      <c r="G83" s="40">
        <f t="shared" si="12"/>
        <v>8.8322651242770028E-2</v>
      </c>
      <c r="H83" s="40">
        <f t="shared" si="12"/>
        <v>0.25324370798811935</v>
      </c>
      <c r="I83" s="163">
        <f t="shared" ref="I83:I88" si="13">SUM(C83:H83)</f>
        <v>0.47092387056432689</v>
      </c>
    </row>
    <row r="84" spans="1:9">
      <c r="A84"/>
      <c r="B84" s="18" t="s">
        <v>38</v>
      </c>
      <c r="C84" s="40">
        <f>C74/$I$79</f>
        <v>0.14225418164764733</v>
      </c>
      <c r="D84" s="11">
        <f t="shared" si="12"/>
        <v>0</v>
      </c>
      <c r="E84" s="40">
        <f t="shared" si="12"/>
        <v>0</v>
      </c>
      <c r="F84" s="40">
        <f t="shared" si="12"/>
        <v>0</v>
      </c>
      <c r="G84" s="40">
        <f t="shared" si="12"/>
        <v>0</v>
      </c>
      <c r="H84" s="40">
        <f t="shared" si="12"/>
        <v>0</v>
      </c>
      <c r="I84" s="163">
        <f t="shared" si="13"/>
        <v>0.14225418164764733</v>
      </c>
    </row>
    <row r="85" spans="1:9">
      <c r="A85"/>
      <c r="B85" s="18" t="s">
        <v>40</v>
      </c>
      <c r="C85" s="40">
        <f t="shared" ref="C85:H88" si="14">C75/$I$79</f>
        <v>0.18110051586681256</v>
      </c>
      <c r="D85" s="12">
        <f t="shared" si="14"/>
        <v>0</v>
      </c>
      <c r="E85" s="11">
        <f t="shared" si="14"/>
        <v>0</v>
      </c>
      <c r="F85" s="40">
        <f t="shared" si="14"/>
        <v>0</v>
      </c>
      <c r="G85" s="40">
        <f t="shared" si="14"/>
        <v>0</v>
      </c>
      <c r="H85" s="40">
        <f t="shared" si="14"/>
        <v>0</v>
      </c>
      <c r="I85" s="163">
        <f t="shared" si="13"/>
        <v>0.18110051586681256</v>
      </c>
    </row>
    <row r="86" spans="1:9">
      <c r="A86"/>
      <c r="B86" s="18" t="s">
        <v>42</v>
      </c>
      <c r="C86" s="40">
        <f t="shared" si="14"/>
        <v>4.7053306237298732E-2</v>
      </c>
      <c r="D86" s="40">
        <f t="shared" si="14"/>
        <v>0</v>
      </c>
      <c r="E86" s="40">
        <f t="shared" si="14"/>
        <v>0</v>
      </c>
      <c r="F86" s="11">
        <f t="shared" si="14"/>
        <v>0</v>
      </c>
      <c r="G86" s="40">
        <f t="shared" si="14"/>
        <v>0</v>
      </c>
      <c r="H86" s="40">
        <f t="shared" si="14"/>
        <v>0</v>
      </c>
      <c r="I86" s="163">
        <f t="shared" si="13"/>
        <v>4.7053306237298732E-2</v>
      </c>
    </row>
    <row r="87" spans="1:9">
      <c r="A87"/>
      <c r="B87" s="18" t="s">
        <v>43</v>
      </c>
      <c r="C87" s="40">
        <f t="shared" si="14"/>
        <v>3.337501954040957E-2</v>
      </c>
      <c r="D87" s="40">
        <f t="shared" si="14"/>
        <v>0</v>
      </c>
      <c r="E87" s="40">
        <f t="shared" si="14"/>
        <v>0</v>
      </c>
      <c r="F87" s="40">
        <f t="shared" si="14"/>
        <v>0</v>
      </c>
      <c r="G87" s="11">
        <f t="shared" si="14"/>
        <v>0</v>
      </c>
      <c r="H87" s="40">
        <f t="shared" si="14"/>
        <v>0</v>
      </c>
      <c r="I87" s="163">
        <f t="shared" si="13"/>
        <v>3.337501954040957E-2</v>
      </c>
    </row>
    <row r="88" spans="1:9">
      <c r="A88"/>
      <c r="B88" s="18" t="s">
        <v>45</v>
      </c>
      <c r="C88" s="40">
        <f t="shared" si="14"/>
        <v>0.12529310614350475</v>
      </c>
      <c r="D88" s="40">
        <f t="shared" si="14"/>
        <v>0</v>
      </c>
      <c r="E88" s="40">
        <f t="shared" si="14"/>
        <v>0</v>
      </c>
      <c r="F88" s="40">
        <f t="shared" si="14"/>
        <v>0</v>
      </c>
      <c r="G88" s="40">
        <f t="shared" si="14"/>
        <v>0</v>
      </c>
      <c r="H88" s="11">
        <f t="shared" si="14"/>
        <v>0</v>
      </c>
      <c r="I88" s="163">
        <f t="shared" si="13"/>
        <v>0.12529310614350475</v>
      </c>
    </row>
    <row r="89" spans="1:9" ht="18">
      <c r="A89"/>
      <c r="B89" s="16" t="s">
        <v>261</v>
      </c>
      <c r="C89" s="162">
        <f t="shared" ref="C89:I89" si="15">SUM(C83:C88)</f>
        <v>0.52907612943567295</v>
      </c>
      <c r="D89" s="162">
        <f t="shared" si="15"/>
        <v>6.8391433484445818E-2</v>
      </c>
      <c r="E89" s="162">
        <f t="shared" si="15"/>
        <v>6.0966077848991697E-2</v>
      </c>
      <c r="F89" s="162">
        <f t="shared" si="15"/>
        <v>0</v>
      </c>
      <c r="G89" s="162">
        <f t="shared" si="15"/>
        <v>8.8322651242770028E-2</v>
      </c>
      <c r="H89" s="162">
        <f t="shared" si="15"/>
        <v>0.25324370798811935</v>
      </c>
      <c r="I89" s="163">
        <f t="shared" si="15"/>
        <v>0.99999999999999978</v>
      </c>
    </row>
    <row r="92" spans="1:9">
      <c r="B92" s="260" t="s">
        <v>527</v>
      </c>
      <c r="C92" s="260"/>
      <c r="D92" s="260"/>
      <c r="E92" s="260"/>
      <c r="F92" s="260"/>
      <c r="G92" s="260"/>
      <c r="H92" s="260"/>
    </row>
    <row r="93" spans="1:9" ht="18">
      <c r="B93" s="176" t="s">
        <v>266</v>
      </c>
      <c r="C93" s="98" t="s">
        <v>186</v>
      </c>
      <c r="D93" s="98" t="s">
        <v>38</v>
      </c>
      <c r="E93" s="98" t="s">
        <v>40</v>
      </c>
      <c r="F93" s="98" t="s">
        <v>42</v>
      </c>
      <c r="G93" s="98" t="s">
        <v>43</v>
      </c>
      <c r="H93" s="98" t="s">
        <v>45</v>
      </c>
    </row>
    <row r="94" spans="1:9">
      <c r="B94" s="18" t="s">
        <v>186</v>
      </c>
      <c r="C94" s="11">
        <f>IF(C19=0,0,C73/C19)</f>
        <v>0</v>
      </c>
      <c r="D94" s="166">
        <f t="shared" ref="D94:H94" si="16">IF(D19=0,0,D73/D19)</f>
        <v>549.74217161249794</v>
      </c>
      <c r="E94" s="166">
        <f t="shared" si="16"/>
        <v>549.74217161249794</v>
      </c>
      <c r="F94" s="166">
        <f t="shared" si="16"/>
        <v>0</v>
      </c>
      <c r="G94" s="166">
        <f t="shared" si="16"/>
        <v>549.74217161249794</v>
      </c>
      <c r="H94" s="166">
        <f t="shared" si="16"/>
        <v>549.74217161249794</v>
      </c>
    </row>
    <row r="95" spans="1:9">
      <c r="B95" s="18" t="s">
        <v>38</v>
      </c>
      <c r="C95" s="166">
        <f t="shared" ref="C95:H99" si="17">IF(C20=0,0,C74/C20)</f>
        <v>769.6390402574973</v>
      </c>
      <c r="D95" s="11">
        <f t="shared" si="17"/>
        <v>0</v>
      </c>
      <c r="E95" s="166">
        <f t="shared" si="17"/>
        <v>0</v>
      </c>
      <c r="F95" s="166">
        <f t="shared" si="17"/>
        <v>0</v>
      </c>
      <c r="G95" s="166">
        <f t="shared" si="17"/>
        <v>0</v>
      </c>
      <c r="H95" s="166">
        <f t="shared" si="17"/>
        <v>0</v>
      </c>
    </row>
    <row r="96" spans="1:9">
      <c r="B96" s="18" t="s">
        <v>40</v>
      </c>
      <c r="C96" s="166">
        <f t="shared" si="17"/>
        <v>769.6390402574973</v>
      </c>
      <c r="D96" s="166">
        <f t="shared" si="17"/>
        <v>0</v>
      </c>
      <c r="E96" s="11">
        <f t="shared" si="17"/>
        <v>0</v>
      </c>
      <c r="F96" s="166">
        <f t="shared" si="17"/>
        <v>0</v>
      </c>
      <c r="G96" s="166">
        <f t="shared" si="17"/>
        <v>0</v>
      </c>
      <c r="H96" s="166">
        <f t="shared" si="17"/>
        <v>0</v>
      </c>
    </row>
    <row r="97" spans="2:8">
      <c r="B97" s="18" t="s">
        <v>42</v>
      </c>
      <c r="C97" s="166">
        <f t="shared" si="17"/>
        <v>769.6390402574973</v>
      </c>
      <c r="D97" s="166">
        <f t="shared" si="17"/>
        <v>0</v>
      </c>
      <c r="E97" s="166">
        <f t="shared" si="17"/>
        <v>0</v>
      </c>
      <c r="F97" s="11">
        <f t="shared" si="17"/>
        <v>0</v>
      </c>
      <c r="G97" s="166">
        <f t="shared" si="17"/>
        <v>0</v>
      </c>
      <c r="H97" s="166">
        <f t="shared" si="17"/>
        <v>0</v>
      </c>
    </row>
    <row r="98" spans="2:8">
      <c r="B98" s="18" t="s">
        <v>43</v>
      </c>
      <c r="C98" s="166">
        <f t="shared" si="17"/>
        <v>769.63904025749741</v>
      </c>
      <c r="D98" s="166">
        <f t="shared" si="17"/>
        <v>0</v>
      </c>
      <c r="E98" s="166">
        <f t="shared" si="17"/>
        <v>0</v>
      </c>
      <c r="F98" s="166">
        <f t="shared" si="17"/>
        <v>0</v>
      </c>
      <c r="G98" s="11">
        <f t="shared" si="17"/>
        <v>0</v>
      </c>
      <c r="H98" s="166">
        <f t="shared" si="17"/>
        <v>0</v>
      </c>
    </row>
    <row r="99" spans="2:8">
      <c r="B99" s="18" t="s">
        <v>45</v>
      </c>
      <c r="C99" s="166">
        <f t="shared" si="17"/>
        <v>769.6390402574973</v>
      </c>
      <c r="D99" s="166">
        <f t="shared" si="17"/>
        <v>0</v>
      </c>
      <c r="E99" s="166">
        <f t="shared" si="17"/>
        <v>0</v>
      </c>
      <c r="F99" s="166">
        <f t="shared" si="17"/>
        <v>0</v>
      </c>
      <c r="G99" s="166">
        <f t="shared" si="17"/>
        <v>0</v>
      </c>
      <c r="H99" s="11">
        <f t="shared" si="17"/>
        <v>0</v>
      </c>
    </row>
  </sheetData>
  <mergeCells count="7">
    <mergeCell ref="B64:I64"/>
    <mergeCell ref="B92:H92"/>
    <mergeCell ref="B4:D4"/>
    <mergeCell ref="B29:I29"/>
    <mergeCell ref="B31:D31"/>
    <mergeCell ref="B42:D42"/>
    <mergeCell ref="B53:D53"/>
  </mergeCells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7C5D-8E02-44C9-8FDB-C3267FC3E15F}">
  <dimension ref="B2:K99"/>
  <sheetViews>
    <sheetView showGridLines="0" topLeftCell="A67" zoomScale="70" zoomScaleNormal="70" workbookViewId="0">
      <selection activeCell="K94" sqref="K94"/>
    </sheetView>
  </sheetViews>
  <sheetFormatPr defaultRowHeight="14.4"/>
  <cols>
    <col min="2" max="2" width="34.26171875" customWidth="1"/>
    <col min="3" max="3" width="19.68359375" customWidth="1"/>
    <col min="4" max="8" width="14.578125" customWidth="1"/>
    <col min="9" max="9" width="22.20703125" customWidth="1"/>
    <col min="11" max="11" width="26" customWidth="1"/>
    <col min="12" max="12" width="20.734375" customWidth="1"/>
    <col min="13" max="13" width="16.89453125" customWidth="1"/>
    <col min="14" max="14" width="15.9453125" customWidth="1"/>
    <col min="15" max="15" width="18.9453125" customWidth="1"/>
    <col min="16" max="16" width="15.3125" customWidth="1"/>
    <col min="17" max="17" width="15.734375" customWidth="1"/>
    <col min="18" max="18" width="20.15625" bestFit="1" customWidth="1"/>
  </cols>
  <sheetData>
    <row r="2" spans="2:9" ht="15.6">
      <c r="B2" s="98" t="s">
        <v>184</v>
      </c>
      <c r="C2" s="98" t="s">
        <v>186</v>
      </c>
      <c r="D2" s="98" t="s">
        <v>38</v>
      </c>
      <c r="E2" s="98" t="s">
        <v>40</v>
      </c>
      <c r="F2" s="98" t="s">
        <v>42</v>
      </c>
      <c r="G2" s="98" t="s">
        <v>43</v>
      </c>
      <c r="H2" s="98" t="s">
        <v>45</v>
      </c>
    </row>
    <row r="3" spans="2:9" ht="15.6">
      <c r="B3" s="18" t="s">
        <v>186</v>
      </c>
      <c r="C3" s="112"/>
      <c r="D3" s="113">
        <f>'Distancia Rodo'!D34</f>
        <v>1523</v>
      </c>
      <c r="E3" s="113">
        <f>'Distancia Rodo'!E34</f>
        <v>2042</v>
      </c>
      <c r="F3" s="113">
        <f>'Distancia Rodo'!F34</f>
        <v>2069</v>
      </c>
      <c r="G3" s="113">
        <f>'Distancia Rodo'!G34</f>
        <v>3122</v>
      </c>
      <c r="H3" s="113">
        <f>'Distancia Rodo'!H34</f>
        <v>2906</v>
      </c>
    </row>
    <row r="4" spans="2:9" ht="15.6">
      <c r="B4" s="18" t="s">
        <v>38</v>
      </c>
      <c r="C4" s="113">
        <f>'Distancia Rodo'!C35</f>
        <v>1523</v>
      </c>
      <c r="D4" s="112"/>
      <c r="E4" s="113">
        <f>'Distancia Rodo'!E35</f>
        <v>782</v>
      </c>
      <c r="F4" s="113">
        <f>'Distancia Rodo'!F35</f>
        <v>1183</v>
      </c>
      <c r="G4" s="113">
        <f>'Distancia Rodo'!G35</f>
        <v>2582</v>
      </c>
      <c r="H4" s="113">
        <f>'Distancia Rodo'!H35</f>
        <v>3085</v>
      </c>
    </row>
    <row r="5" spans="2:9" ht="15.6">
      <c r="B5" s="18" t="s">
        <v>40</v>
      </c>
      <c r="C5" s="113">
        <f>'Distancia Rodo'!C36</f>
        <v>2042</v>
      </c>
      <c r="D5" s="113">
        <f>'Distancia Rodo'!D36</f>
        <v>782</v>
      </c>
      <c r="E5" s="112"/>
      <c r="F5" s="113">
        <f>'Distancia Rodo'!F36</f>
        <v>847</v>
      </c>
      <c r="G5" s="113">
        <f>'Distancia Rodo'!G36</f>
        <v>2320</v>
      </c>
      <c r="H5" s="113">
        <f>'Distancia Rodo'!H36</f>
        <v>2648</v>
      </c>
    </row>
    <row r="6" spans="2:9" ht="15.6">
      <c r="B6" s="18" t="s">
        <v>42</v>
      </c>
      <c r="C6" s="113">
        <f>'Distancia Rodo'!C37</f>
        <v>2069</v>
      </c>
      <c r="D6" s="113">
        <f>'Distancia Rodo'!D37</f>
        <v>1183</v>
      </c>
      <c r="E6" s="113">
        <f>'Distancia Rodo'!E37</f>
        <v>847</v>
      </c>
      <c r="F6" s="112"/>
      <c r="G6" s="113">
        <f>'Distancia Rodo'!G37</f>
        <v>1633</v>
      </c>
      <c r="H6" s="113">
        <f>'Distancia Rodo'!H37</f>
        <v>1929</v>
      </c>
    </row>
    <row r="7" spans="2:9" ht="15.6">
      <c r="B7" s="18" t="s">
        <v>43</v>
      </c>
      <c r="C7" s="113">
        <f>'Distancia Rodo'!C38</f>
        <v>3122</v>
      </c>
      <c r="D7" s="113">
        <f>'Distancia Rodo'!D38</f>
        <v>2582</v>
      </c>
      <c r="E7" s="113">
        <f>'Distancia Rodo'!E38</f>
        <v>2320</v>
      </c>
      <c r="F7" s="113">
        <f>'Distancia Rodo'!F38</f>
        <v>1633</v>
      </c>
      <c r="G7" s="112"/>
      <c r="H7" s="113">
        <f>'Distancia Rodo'!H38</f>
        <v>434</v>
      </c>
    </row>
    <row r="8" spans="2:9" ht="15.6">
      <c r="B8" s="18" t="s">
        <v>45</v>
      </c>
      <c r="C8" s="113">
        <f>'Distancia Rodo'!C39</f>
        <v>2906</v>
      </c>
      <c r="D8" s="113">
        <f>'Distancia Rodo'!D39</f>
        <v>3085</v>
      </c>
      <c r="E8" s="113">
        <f>'Distancia Rodo'!E39</f>
        <v>2648</v>
      </c>
      <c r="F8" s="113">
        <f>'Distancia Rodo'!F39</f>
        <v>1929</v>
      </c>
      <c r="G8" s="113">
        <f>'Distancia Rodo'!G39</f>
        <v>434</v>
      </c>
      <c r="H8" s="112"/>
    </row>
    <row r="10" spans="2:9" ht="15.6">
      <c r="B10" s="5" t="s">
        <v>188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5" t="s">
        <v>47</v>
      </c>
    </row>
    <row r="11" spans="2:9" ht="15.6">
      <c r="B11" s="10" t="s">
        <v>4</v>
      </c>
      <c r="C11" s="11">
        <f>'Movimentacao de Conteineres'!K30</f>
        <v>0</v>
      </c>
      <c r="D11" s="12">
        <f>'Movimentacao de Conteineres'!L30</f>
        <v>175</v>
      </c>
      <c r="E11" s="12">
        <f>'Movimentacao de Conteineres'!M30</f>
        <v>156</v>
      </c>
      <c r="F11" s="12">
        <f>'Movimentacao de Conteineres'!N30</f>
        <v>0</v>
      </c>
      <c r="G11" s="12">
        <f>'Movimentacao de Conteineres'!O30</f>
        <v>226</v>
      </c>
      <c r="H11" s="12">
        <f>'Movimentacao de Conteineres'!P30</f>
        <v>648</v>
      </c>
      <c r="I11" s="13">
        <f t="shared" ref="I11:I16" si="0">SUM(C11:H11)</f>
        <v>1205</v>
      </c>
    </row>
    <row r="12" spans="2:9" ht="15.6">
      <c r="B12" s="10" t="s">
        <v>5</v>
      </c>
      <c r="C12" s="12">
        <f>'Movimentacao de Conteineres'!K31</f>
        <v>260</v>
      </c>
      <c r="D12" s="11">
        <f>'Movimentacao de Conteineres'!L31</f>
        <v>0</v>
      </c>
      <c r="E12" s="12">
        <f>'Movimentacao de Conteineres'!M31</f>
        <v>0</v>
      </c>
      <c r="F12" s="12">
        <f>'Movimentacao de Conteineres'!N31</f>
        <v>0</v>
      </c>
      <c r="G12" s="12">
        <f>'Movimentacao de Conteineres'!O31</f>
        <v>20</v>
      </c>
      <c r="H12" s="12">
        <f>'Movimentacao de Conteineres'!P31</f>
        <v>136</v>
      </c>
      <c r="I12" s="13">
        <f t="shared" si="0"/>
        <v>416</v>
      </c>
    </row>
    <row r="13" spans="2:9" ht="15.6">
      <c r="B13" s="10" t="s">
        <v>6</v>
      </c>
      <c r="C13" s="12">
        <f>'Movimentacao de Conteineres'!K32</f>
        <v>331</v>
      </c>
      <c r="D13" s="12">
        <f>'Movimentacao de Conteineres'!L32</f>
        <v>0</v>
      </c>
      <c r="E13" s="11">
        <f>'Movimentacao de Conteineres'!M32</f>
        <v>0</v>
      </c>
      <c r="F13" s="12">
        <f>'Movimentacao de Conteineres'!N32</f>
        <v>0</v>
      </c>
      <c r="G13" s="12">
        <f>'Movimentacao de Conteineres'!O32</f>
        <v>30</v>
      </c>
      <c r="H13" s="12">
        <f>'Movimentacao de Conteineres'!P32</f>
        <v>58</v>
      </c>
      <c r="I13" s="13">
        <f t="shared" si="0"/>
        <v>419</v>
      </c>
    </row>
    <row r="14" spans="2:9" ht="15.6">
      <c r="B14" s="10" t="s">
        <v>7</v>
      </c>
      <c r="C14" s="12">
        <f>'Movimentacao de Conteineres'!K33</f>
        <v>86</v>
      </c>
      <c r="D14" s="12">
        <f>'Movimentacao de Conteineres'!L33</f>
        <v>9</v>
      </c>
      <c r="E14" s="12">
        <f>'Movimentacao de Conteineres'!M33</f>
        <v>1</v>
      </c>
      <c r="F14" s="11">
        <f>'Movimentacao de Conteineres'!N33</f>
        <v>0</v>
      </c>
      <c r="G14" s="12">
        <f>'Movimentacao de Conteineres'!O33</f>
        <v>0</v>
      </c>
      <c r="H14" s="12">
        <f>'Movimentacao de Conteineres'!P33</f>
        <v>0</v>
      </c>
      <c r="I14" s="13">
        <f t="shared" si="0"/>
        <v>96</v>
      </c>
    </row>
    <row r="15" spans="2:9" ht="15.6">
      <c r="B15" s="10" t="s">
        <v>8</v>
      </c>
      <c r="C15" s="12">
        <f>'Movimentacao de Conteineres'!K34</f>
        <v>61</v>
      </c>
      <c r="D15" s="12">
        <f>'Movimentacao de Conteineres'!L34</f>
        <v>120</v>
      </c>
      <c r="E15" s="12">
        <f>'Movimentacao de Conteineres'!M34</f>
        <v>119</v>
      </c>
      <c r="F15" s="12">
        <f>'Movimentacao de Conteineres'!N34</f>
        <v>47</v>
      </c>
      <c r="G15" s="11">
        <f>'Movimentacao de Conteineres'!O34</f>
        <v>0</v>
      </c>
      <c r="H15" s="12">
        <f>'Movimentacao de Conteineres'!P34</f>
        <v>0</v>
      </c>
      <c r="I15" s="13">
        <f t="shared" si="0"/>
        <v>347</v>
      </c>
    </row>
    <row r="16" spans="2:9" ht="15.6">
      <c r="B16" s="10" t="s">
        <v>9</v>
      </c>
      <c r="C16" s="12">
        <f>'Movimentacao de Conteineres'!K35</f>
        <v>229</v>
      </c>
      <c r="D16" s="12">
        <f>'Movimentacao de Conteineres'!L35</f>
        <v>221</v>
      </c>
      <c r="E16" s="12">
        <f>'Movimentacao de Conteineres'!M35</f>
        <v>272</v>
      </c>
      <c r="F16" s="12">
        <f>'Movimentacao de Conteineres'!N35</f>
        <v>102</v>
      </c>
      <c r="G16" s="12">
        <f>'Movimentacao de Conteineres'!O35</f>
        <v>0</v>
      </c>
      <c r="H16" s="11">
        <f>'Movimentacao de Conteineres'!P35</f>
        <v>0</v>
      </c>
      <c r="I16" s="13">
        <f t="shared" si="0"/>
        <v>824</v>
      </c>
    </row>
    <row r="17" spans="2:9" ht="15.6">
      <c r="B17" s="16" t="s">
        <v>48</v>
      </c>
      <c r="C17" s="13">
        <f t="shared" ref="C17:I17" si="1">SUM(C11:C16)</f>
        <v>967</v>
      </c>
      <c r="D17" s="13">
        <f t="shared" si="1"/>
        <v>525</v>
      </c>
      <c r="E17" s="13">
        <f t="shared" si="1"/>
        <v>548</v>
      </c>
      <c r="F17" s="13">
        <f t="shared" si="1"/>
        <v>149</v>
      </c>
      <c r="G17" s="13">
        <f t="shared" si="1"/>
        <v>276</v>
      </c>
      <c r="H17" s="13">
        <f t="shared" si="1"/>
        <v>842</v>
      </c>
      <c r="I17" s="13">
        <f t="shared" si="1"/>
        <v>3307</v>
      </c>
    </row>
    <row r="19" spans="2:9" ht="15.6">
      <c r="B19" s="5" t="s">
        <v>187</v>
      </c>
      <c r="C19" s="98" t="s">
        <v>186</v>
      </c>
      <c r="D19" s="98" t="s">
        <v>38</v>
      </c>
      <c r="E19" s="98" t="s">
        <v>40</v>
      </c>
      <c r="F19" s="98" t="s">
        <v>42</v>
      </c>
      <c r="G19" s="98" t="s">
        <v>43</v>
      </c>
      <c r="H19" s="98" t="s">
        <v>45</v>
      </c>
      <c r="I19" s="5" t="s">
        <v>189</v>
      </c>
    </row>
    <row r="20" spans="2:9" ht="15.6">
      <c r="B20" s="18" t="s">
        <v>186</v>
      </c>
      <c r="C20" s="11"/>
      <c r="D20" s="12">
        <f>D3*D11</f>
        <v>266525</v>
      </c>
      <c r="E20" s="12">
        <f>E3*E11</f>
        <v>318552</v>
      </c>
      <c r="F20" s="12">
        <f>F3*F11</f>
        <v>0</v>
      </c>
      <c r="G20" s="12">
        <f>G3*G11</f>
        <v>705572</v>
      </c>
      <c r="H20" s="12">
        <f>H3*H11</f>
        <v>1883088</v>
      </c>
      <c r="I20" s="13">
        <f t="shared" ref="I20:I25" si="2">SUM(C20:H20)</f>
        <v>3173737</v>
      </c>
    </row>
    <row r="21" spans="2:9" ht="15.6">
      <c r="B21" s="18" t="s">
        <v>38</v>
      </c>
      <c r="C21" s="12">
        <f t="shared" ref="C21:H21" si="3">C4*C12</f>
        <v>395980</v>
      </c>
      <c r="D21" s="11"/>
      <c r="E21" s="12">
        <f t="shared" si="3"/>
        <v>0</v>
      </c>
      <c r="F21" s="12">
        <f t="shared" si="3"/>
        <v>0</v>
      </c>
      <c r="G21" s="12">
        <f t="shared" si="3"/>
        <v>51640</v>
      </c>
      <c r="H21" s="12">
        <f t="shared" si="3"/>
        <v>419560</v>
      </c>
      <c r="I21" s="13">
        <f t="shared" si="2"/>
        <v>867180</v>
      </c>
    </row>
    <row r="22" spans="2:9" ht="15.6">
      <c r="B22" s="18" t="s">
        <v>40</v>
      </c>
      <c r="C22" s="12">
        <f t="shared" ref="C22:H22" si="4">C5*C13</f>
        <v>675902</v>
      </c>
      <c r="D22" s="12">
        <f t="shared" si="4"/>
        <v>0</v>
      </c>
      <c r="E22" s="11"/>
      <c r="F22" s="12">
        <f t="shared" si="4"/>
        <v>0</v>
      </c>
      <c r="G22" s="12">
        <f t="shared" si="4"/>
        <v>69600</v>
      </c>
      <c r="H22" s="12">
        <f t="shared" si="4"/>
        <v>153584</v>
      </c>
      <c r="I22" s="13">
        <f t="shared" si="2"/>
        <v>899086</v>
      </c>
    </row>
    <row r="23" spans="2:9" ht="15.6">
      <c r="B23" s="18" t="s">
        <v>42</v>
      </c>
      <c r="C23" s="12">
        <f t="shared" ref="C23:H23" si="5">C6*C14</f>
        <v>177934</v>
      </c>
      <c r="D23" s="12">
        <f t="shared" si="5"/>
        <v>10647</v>
      </c>
      <c r="E23" s="12">
        <f t="shared" si="5"/>
        <v>847</v>
      </c>
      <c r="F23" s="11"/>
      <c r="G23" s="12">
        <f t="shared" si="5"/>
        <v>0</v>
      </c>
      <c r="H23" s="12">
        <f t="shared" si="5"/>
        <v>0</v>
      </c>
      <c r="I23" s="13">
        <f t="shared" si="2"/>
        <v>189428</v>
      </c>
    </row>
    <row r="24" spans="2:9" ht="15.6">
      <c r="B24" s="18" t="s">
        <v>43</v>
      </c>
      <c r="C24" s="12">
        <f t="shared" ref="C24:H24" si="6">C7*C15</f>
        <v>190442</v>
      </c>
      <c r="D24" s="12">
        <f t="shared" si="6"/>
        <v>309840</v>
      </c>
      <c r="E24" s="12">
        <f t="shared" si="6"/>
        <v>276080</v>
      </c>
      <c r="F24" s="12">
        <f t="shared" si="6"/>
        <v>76751</v>
      </c>
      <c r="G24" s="11"/>
      <c r="H24" s="12">
        <f t="shared" si="6"/>
        <v>0</v>
      </c>
      <c r="I24" s="13">
        <f t="shared" si="2"/>
        <v>853113</v>
      </c>
    </row>
    <row r="25" spans="2:9" ht="15.6">
      <c r="B25" s="18" t="s">
        <v>45</v>
      </c>
      <c r="C25" s="12">
        <f>C8*C16</f>
        <v>665474</v>
      </c>
      <c r="D25" s="12">
        <f>D8*D16</f>
        <v>681785</v>
      </c>
      <c r="E25" s="12">
        <f>E8*E16</f>
        <v>720256</v>
      </c>
      <c r="F25" s="12">
        <f>F8*F16</f>
        <v>196758</v>
      </c>
      <c r="G25" s="12">
        <f>G8*G16</f>
        <v>0</v>
      </c>
      <c r="H25" s="11"/>
      <c r="I25" s="13">
        <f t="shared" si="2"/>
        <v>2264273</v>
      </c>
    </row>
    <row r="26" spans="2:9" ht="15.6">
      <c r="B26" s="16" t="s">
        <v>190</v>
      </c>
      <c r="C26" s="13">
        <f t="shared" ref="C26:H26" si="7">SUM(C20:C25)</f>
        <v>2105732</v>
      </c>
      <c r="D26" s="13">
        <f t="shared" si="7"/>
        <v>1268797</v>
      </c>
      <c r="E26" s="13">
        <f t="shared" si="7"/>
        <v>1315735</v>
      </c>
      <c r="F26" s="13">
        <f t="shared" si="7"/>
        <v>273509</v>
      </c>
      <c r="G26" s="13">
        <f t="shared" si="7"/>
        <v>826812</v>
      </c>
      <c r="H26" s="13">
        <f t="shared" si="7"/>
        <v>2456232</v>
      </c>
      <c r="I26" s="13">
        <f>SUM(I20:I25)</f>
        <v>8246817</v>
      </c>
    </row>
    <row r="29" spans="2:9" ht="23.1">
      <c r="B29" s="273" t="s">
        <v>483</v>
      </c>
      <c r="C29" s="273"/>
      <c r="D29" s="273"/>
      <c r="E29" s="273"/>
      <c r="F29" s="273"/>
      <c r="G29" s="273"/>
      <c r="H29" s="273"/>
      <c r="I29" s="273"/>
    </row>
    <row r="31" spans="2:9" ht="18">
      <c r="B31" s="272" t="s">
        <v>238</v>
      </c>
      <c r="C31" s="272"/>
      <c r="D31" s="272"/>
      <c r="E31" s="187">
        <f>'Fatores Emissao'!$L$7</f>
        <v>0.7210526315789475</v>
      </c>
      <c r="F31" s="164" t="s">
        <v>237</v>
      </c>
    </row>
    <row r="32" spans="2:9" ht="18">
      <c r="B32" s="5" t="s">
        <v>239</v>
      </c>
      <c r="C32" s="98" t="s">
        <v>186</v>
      </c>
      <c r="D32" s="98" t="s">
        <v>38</v>
      </c>
      <c r="E32" s="98" t="s">
        <v>40</v>
      </c>
      <c r="F32" s="98" t="s">
        <v>42</v>
      </c>
      <c r="G32" s="98" t="s">
        <v>43</v>
      </c>
      <c r="H32" s="98" t="s">
        <v>45</v>
      </c>
      <c r="I32" s="5" t="s">
        <v>240</v>
      </c>
    </row>
    <row r="33" spans="2:9" ht="15.6">
      <c r="B33" s="18" t="s">
        <v>186</v>
      </c>
      <c r="C33" s="11"/>
      <c r="D33" s="12">
        <f>D20*$E$31</f>
        <v>192178.55263157899</v>
      </c>
      <c r="E33" s="12">
        <f>E20*$E$31</f>
        <v>229692.75789473689</v>
      </c>
      <c r="F33" s="12">
        <f>F20*$E$31</f>
        <v>0</v>
      </c>
      <c r="G33" s="12">
        <f>G20*$E$31</f>
        <v>508754.54736842116</v>
      </c>
      <c r="H33" s="12">
        <f>H20*$E$31</f>
        <v>1357805.557894737</v>
      </c>
      <c r="I33" s="13">
        <f t="shared" ref="I33:I38" si="8">SUM(C33:H33)</f>
        <v>2288431.4157894738</v>
      </c>
    </row>
    <row r="34" spans="2:9" ht="15.6">
      <c r="B34" s="18" t="s">
        <v>38</v>
      </c>
      <c r="C34" s="12">
        <f>C21*$E$31</f>
        <v>285522.42105263163</v>
      </c>
      <c r="D34" s="11"/>
      <c r="E34" s="12">
        <f>E21*$E$31</f>
        <v>0</v>
      </c>
      <c r="F34" s="12">
        <f>F21*$E$31</f>
        <v>0</v>
      </c>
      <c r="G34" s="12">
        <f>G21*$E$31</f>
        <v>37235.157894736847</v>
      </c>
      <c r="H34" s="12">
        <f>H21*$E$31</f>
        <v>302524.8421052632</v>
      </c>
      <c r="I34" s="13">
        <f t="shared" si="8"/>
        <v>625282.42105263169</v>
      </c>
    </row>
    <row r="35" spans="2:9" ht="15.6">
      <c r="B35" s="18" t="s">
        <v>40</v>
      </c>
      <c r="C35" s="12">
        <f>C22*$E$31</f>
        <v>487360.9157894738</v>
      </c>
      <c r="D35" s="12">
        <f>D22*$E$31</f>
        <v>0</v>
      </c>
      <c r="E35" s="11"/>
      <c r="F35" s="12">
        <f>F22*$E$31</f>
        <v>0</v>
      </c>
      <c r="G35" s="12">
        <f>G22*$E$31</f>
        <v>50185.263157894748</v>
      </c>
      <c r="H35" s="12">
        <f>H22*$E$31</f>
        <v>110742.14736842108</v>
      </c>
      <c r="I35" s="13">
        <f t="shared" si="8"/>
        <v>648288.3263157896</v>
      </c>
    </row>
    <row r="36" spans="2:9" ht="15.6">
      <c r="B36" s="18" t="s">
        <v>42</v>
      </c>
      <c r="C36" s="12">
        <f>C23*$E$31</f>
        <v>128299.77894736844</v>
      </c>
      <c r="D36" s="12">
        <f>D23*$E$31</f>
        <v>7677.0473684210538</v>
      </c>
      <c r="E36" s="12">
        <f>E23*$E$31</f>
        <v>610.73157894736858</v>
      </c>
      <c r="F36" s="11"/>
      <c r="G36" s="12">
        <f>G23*$E$31</f>
        <v>0</v>
      </c>
      <c r="H36" s="12">
        <f>H23*$E$31</f>
        <v>0</v>
      </c>
      <c r="I36" s="13">
        <f t="shared" si="8"/>
        <v>136587.55789473685</v>
      </c>
    </row>
    <row r="37" spans="2:9" ht="15.6">
      <c r="B37" s="18" t="s">
        <v>43</v>
      </c>
      <c r="C37" s="12">
        <f>C24*$E$31</f>
        <v>137318.70526315793</v>
      </c>
      <c r="D37" s="12">
        <f>D24*$E$31</f>
        <v>223410.9473684211</v>
      </c>
      <c r="E37" s="12">
        <f>E24*$E$31</f>
        <v>199068.21052631582</v>
      </c>
      <c r="F37" s="12">
        <f>F24*$E$31</f>
        <v>55341.510526315797</v>
      </c>
      <c r="G37" s="11"/>
      <c r="H37" s="12">
        <f>H24*$E$31</f>
        <v>0</v>
      </c>
      <c r="I37" s="13">
        <f t="shared" si="8"/>
        <v>615139.37368421059</v>
      </c>
    </row>
    <row r="38" spans="2:9" ht="15.6">
      <c r="B38" s="18" t="s">
        <v>45</v>
      </c>
      <c r="C38" s="12">
        <f>C25*$E$31</f>
        <v>479841.7789473685</v>
      </c>
      <c r="D38" s="12">
        <f>D25*$E$31</f>
        <v>491602.8684210527</v>
      </c>
      <c r="E38" s="12">
        <f>E25*$E$31</f>
        <v>519342.4842105264</v>
      </c>
      <c r="F38" s="12">
        <f>F25*$E$31</f>
        <v>141872.87368421056</v>
      </c>
      <c r="G38" s="12">
        <f>G25*$E$31</f>
        <v>0</v>
      </c>
      <c r="H38" s="11"/>
      <c r="I38" s="13">
        <f t="shared" si="8"/>
        <v>1632660.0052631581</v>
      </c>
    </row>
    <row r="39" spans="2:9" ht="18">
      <c r="B39" s="16" t="s">
        <v>241</v>
      </c>
      <c r="C39" s="13">
        <f t="shared" ref="C39:H39" si="9">SUM(C33:C38)</f>
        <v>1518343.6000000006</v>
      </c>
      <c r="D39" s="13">
        <f t="shared" si="9"/>
        <v>914869.4157894738</v>
      </c>
      <c r="E39" s="13">
        <f t="shared" si="9"/>
        <v>948714.18421052652</v>
      </c>
      <c r="F39" s="13">
        <f t="shared" si="9"/>
        <v>197214.38421052636</v>
      </c>
      <c r="G39" s="13">
        <f t="shared" si="9"/>
        <v>596174.96842105268</v>
      </c>
      <c r="H39" s="13">
        <f t="shared" si="9"/>
        <v>1771072.5473684212</v>
      </c>
      <c r="I39" s="13">
        <f>SUM(I33:I38)</f>
        <v>5946389.1000000006</v>
      </c>
    </row>
    <row r="42" spans="2:9" ht="18">
      <c r="B42" s="272" t="s">
        <v>242</v>
      </c>
      <c r="C42" s="272"/>
      <c r="D42" s="272"/>
      <c r="E42" s="159">
        <f>'Fatores Emissao'!$F$7</f>
        <v>0.06</v>
      </c>
      <c r="F42" s="164" t="s">
        <v>281</v>
      </c>
    </row>
    <row r="43" spans="2:9" ht="18">
      <c r="B43" s="5" t="s">
        <v>255</v>
      </c>
      <c r="C43" s="98" t="s">
        <v>186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243</v>
      </c>
    </row>
    <row r="44" spans="2:9" ht="15.6">
      <c r="B44" s="18" t="s">
        <v>186</v>
      </c>
      <c r="C44" s="11"/>
      <c r="D44" s="12">
        <f>D20*$E$42/1000</f>
        <v>15.9915</v>
      </c>
      <c r="E44" s="12">
        <f>E20*$E$42/1000</f>
        <v>19.113119999999999</v>
      </c>
      <c r="F44" s="12">
        <f>F20*$E$42/1000</f>
        <v>0</v>
      </c>
      <c r="G44" s="12">
        <f>G20*$E$42/1000</f>
        <v>42.334319999999998</v>
      </c>
      <c r="H44" s="12">
        <f>H20*$E$42/1000</f>
        <v>112.98528</v>
      </c>
      <c r="I44" s="13">
        <f t="shared" ref="I44:I49" si="10">SUM(C44:H44)</f>
        <v>190.42421999999999</v>
      </c>
    </row>
    <row r="45" spans="2:9" ht="15.6">
      <c r="B45" s="18" t="s">
        <v>38</v>
      </c>
      <c r="C45" s="12">
        <f>C21*$E$42/1000</f>
        <v>23.758800000000001</v>
      </c>
      <c r="D45" s="11"/>
      <c r="E45" s="12">
        <f>E21*$E$42/1000</f>
        <v>0</v>
      </c>
      <c r="F45" s="12">
        <f>F21*$E$42/1000</f>
        <v>0</v>
      </c>
      <c r="G45" s="12">
        <f>G21*$E$42/1000</f>
        <v>3.0984000000000003</v>
      </c>
      <c r="H45" s="12">
        <f>H21*$E$42/1000</f>
        <v>25.173599999999997</v>
      </c>
      <c r="I45" s="13">
        <f t="shared" si="10"/>
        <v>52.030799999999999</v>
      </c>
    </row>
    <row r="46" spans="2:9" ht="15.6">
      <c r="B46" s="18" t="s">
        <v>40</v>
      </c>
      <c r="C46" s="12">
        <f>C22*$E$42/1000</f>
        <v>40.554119999999998</v>
      </c>
      <c r="D46" s="12">
        <f>D22*$E$42/1000</f>
        <v>0</v>
      </c>
      <c r="E46" s="11"/>
      <c r="F46" s="12">
        <f>F22*$E$42/1000</f>
        <v>0</v>
      </c>
      <c r="G46" s="12">
        <f>G22*$E$42/1000</f>
        <v>4.1760000000000002</v>
      </c>
      <c r="H46" s="12">
        <f>H22*$E$42/1000</f>
        <v>9.2150399999999983</v>
      </c>
      <c r="I46" s="13">
        <f t="shared" si="10"/>
        <v>53.945160000000001</v>
      </c>
    </row>
    <row r="47" spans="2:9" ht="15.6">
      <c r="B47" s="18" t="s">
        <v>42</v>
      </c>
      <c r="C47" s="12">
        <f>C23*$E$42/1000</f>
        <v>10.676039999999999</v>
      </c>
      <c r="D47" s="12">
        <f>D23*$E$42/1000</f>
        <v>0.63881999999999994</v>
      </c>
      <c r="E47" s="12">
        <f>E23*$E$42/1000</f>
        <v>5.0819999999999997E-2</v>
      </c>
      <c r="F47" s="11"/>
      <c r="G47" s="12">
        <f>G23*$E$42/1000</f>
        <v>0</v>
      </c>
      <c r="H47" s="12">
        <f>H23*$E$42/1000</f>
        <v>0</v>
      </c>
      <c r="I47" s="13">
        <f t="shared" si="10"/>
        <v>11.365679999999999</v>
      </c>
    </row>
    <row r="48" spans="2:9" ht="15.6">
      <c r="B48" s="18" t="s">
        <v>43</v>
      </c>
      <c r="C48" s="12">
        <f>C24*$E$42/1000</f>
        <v>11.42652</v>
      </c>
      <c r="D48" s="12">
        <f>D24*$E$42/1000</f>
        <v>18.590399999999999</v>
      </c>
      <c r="E48" s="12">
        <f>E24*$E$42/1000</f>
        <v>16.564799999999998</v>
      </c>
      <c r="F48" s="12">
        <f>F24*$E$42/1000</f>
        <v>4.6050599999999999</v>
      </c>
      <c r="G48" s="11"/>
      <c r="H48" s="12">
        <f>H24*$E$42/1000</f>
        <v>0</v>
      </c>
      <c r="I48" s="13">
        <f t="shared" si="10"/>
        <v>51.186779999999999</v>
      </c>
    </row>
    <row r="49" spans="2:9" ht="15.6">
      <c r="B49" s="18" t="s">
        <v>45</v>
      </c>
      <c r="C49" s="12">
        <f>C25*$E$42/1000</f>
        <v>39.928439999999995</v>
      </c>
      <c r="D49" s="12">
        <f>D25*$E$42/1000</f>
        <v>40.9071</v>
      </c>
      <c r="E49" s="12">
        <f>E25*$E$42/1000</f>
        <v>43.215360000000004</v>
      </c>
      <c r="F49" s="12">
        <f>F25*$E$42/1000</f>
        <v>11.805479999999999</v>
      </c>
      <c r="G49" s="12">
        <f>G25*$E$42/1000</f>
        <v>0</v>
      </c>
      <c r="H49" s="11"/>
      <c r="I49" s="13">
        <f t="shared" si="10"/>
        <v>135.85638</v>
      </c>
    </row>
    <row r="50" spans="2:9" ht="18">
      <c r="B50" s="16" t="s">
        <v>244</v>
      </c>
      <c r="C50" s="13">
        <f t="shared" ref="C50:H50" si="11">SUM(C44:C49)</f>
        <v>126.34391999999998</v>
      </c>
      <c r="D50" s="13">
        <f t="shared" si="11"/>
        <v>76.12782</v>
      </c>
      <c r="E50" s="13">
        <f t="shared" si="11"/>
        <v>78.944100000000006</v>
      </c>
      <c r="F50" s="13">
        <f t="shared" si="11"/>
        <v>16.410539999999997</v>
      </c>
      <c r="G50" s="13">
        <f t="shared" si="11"/>
        <v>49.608719999999998</v>
      </c>
      <c r="H50" s="13">
        <f t="shared" si="11"/>
        <v>147.37392</v>
      </c>
      <c r="I50" s="13">
        <f>SUM(I44:I49)</f>
        <v>494.80901999999998</v>
      </c>
    </row>
    <row r="53" spans="2:9" ht="18">
      <c r="B53" s="272" t="s">
        <v>245</v>
      </c>
      <c r="C53" s="272"/>
      <c r="D53" s="272"/>
      <c r="E53" s="159">
        <f>'Fatores Emissao'!$I$7</f>
        <v>0.03</v>
      </c>
      <c r="F53" s="164" t="s">
        <v>282</v>
      </c>
    </row>
    <row r="54" spans="2:9" ht="18">
      <c r="B54" s="5" t="s">
        <v>254</v>
      </c>
      <c r="C54" s="98" t="s">
        <v>186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246</v>
      </c>
    </row>
    <row r="55" spans="2:9" ht="15.6">
      <c r="B55" s="18" t="s">
        <v>186</v>
      </c>
      <c r="C55" s="11"/>
      <c r="D55" s="12">
        <f>D20*$E$53/1000</f>
        <v>7.9957500000000001</v>
      </c>
      <c r="E55" s="12">
        <f>E20*$E$53/1000</f>
        <v>9.5565599999999993</v>
      </c>
      <c r="F55" s="12">
        <f>F20*$E$53/1000</f>
        <v>0</v>
      </c>
      <c r="G55" s="12">
        <f>G20*$E$53/1000</f>
        <v>21.167159999999999</v>
      </c>
      <c r="H55" s="12">
        <f>H20*$E$53/1000</f>
        <v>56.492640000000002</v>
      </c>
      <c r="I55" s="13">
        <f t="shared" ref="I55:I60" si="12">SUM(C55:H55)</f>
        <v>95.212109999999996</v>
      </c>
    </row>
    <row r="56" spans="2:9" ht="15.6">
      <c r="B56" s="18" t="s">
        <v>38</v>
      </c>
      <c r="C56" s="12">
        <f>C21*$E$53/1000</f>
        <v>11.8794</v>
      </c>
      <c r="D56" s="11"/>
      <c r="E56" s="12">
        <f>E21*$E$53/1000</f>
        <v>0</v>
      </c>
      <c r="F56" s="12">
        <f>F21*$E$53/1000</f>
        <v>0</v>
      </c>
      <c r="G56" s="12">
        <f>G21*$E$53/1000</f>
        <v>1.5492000000000001</v>
      </c>
      <c r="H56" s="12">
        <f>H21*$E$53/1000</f>
        <v>12.586799999999998</v>
      </c>
      <c r="I56" s="13">
        <f t="shared" si="12"/>
        <v>26.0154</v>
      </c>
    </row>
    <row r="57" spans="2:9" ht="15.6">
      <c r="B57" s="18" t="s">
        <v>40</v>
      </c>
      <c r="C57" s="12">
        <f>C22*$E$53/1000</f>
        <v>20.277059999999999</v>
      </c>
      <c r="D57" s="12">
        <f>D22*$E$53/1000</f>
        <v>0</v>
      </c>
      <c r="E57" s="11"/>
      <c r="F57" s="12">
        <f>F22*$E$53/1000</f>
        <v>0</v>
      </c>
      <c r="G57" s="12">
        <f>G22*$E$53/1000</f>
        <v>2.0880000000000001</v>
      </c>
      <c r="H57" s="12">
        <f>H22*$E$53/1000</f>
        <v>4.6075199999999992</v>
      </c>
      <c r="I57" s="13">
        <f t="shared" si="12"/>
        <v>26.972580000000001</v>
      </c>
    </row>
    <row r="58" spans="2:9" ht="15.6">
      <c r="B58" s="18" t="s">
        <v>42</v>
      </c>
      <c r="C58" s="12">
        <f>C23*$E$53/1000</f>
        <v>5.3380199999999993</v>
      </c>
      <c r="D58" s="12">
        <f>D23*$E$53/1000</f>
        <v>0.31940999999999997</v>
      </c>
      <c r="E58" s="12">
        <f>E23*$E$53/1000</f>
        <v>2.5409999999999999E-2</v>
      </c>
      <c r="F58" s="11"/>
      <c r="G58" s="12">
        <f>G23*$E$53/1000</f>
        <v>0</v>
      </c>
      <c r="H58" s="12">
        <f>H23*$E$53/1000</f>
        <v>0</v>
      </c>
      <c r="I58" s="13">
        <f t="shared" si="12"/>
        <v>5.6828399999999997</v>
      </c>
    </row>
    <row r="59" spans="2:9" ht="15.6">
      <c r="B59" s="18" t="s">
        <v>43</v>
      </c>
      <c r="C59" s="12">
        <f>C24*$E$53/1000</f>
        <v>5.71326</v>
      </c>
      <c r="D59" s="12">
        <f>D24*$E$53/1000</f>
        <v>9.2951999999999995</v>
      </c>
      <c r="E59" s="12">
        <f>E24*$E$53/1000</f>
        <v>8.2823999999999991</v>
      </c>
      <c r="F59" s="12">
        <f>F24*$E$53/1000</f>
        <v>2.30253</v>
      </c>
      <c r="G59" s="11"/>
      <c r="H59" s="12">
        <f>H24*$E$53/1000</f>
        <v>0</v>
      </c>
      <c r="I59" s="13">
        <f t="shared" si="12"/>
        <v>25.593389999999999</v>
      </c>
    </row>
    <row r="60" spans="2:9" ht="15.6">
      <c r="B60" s="18" t="s">
        <v>45</v>
      </c>
      <c r="C60" s="12">
        <f>C25*$E$53/1000</f>
        <v>19.964219999999997</v>
      </c>
      <c r="D60" s="12">
        <f>D25*$E$53/1000</f>
        <v>20.45355</v>
      </c>
      <c r="E60" s="12">
        <f>E25*$E$53/1000</f>
        <v>21.607680000000002</v>
      </c>
      <c r="F60" s="12">
        <f>F25*$E$53/1000</f>
        <v>5.9027399999999997</v>
      </c>
      <c r="G60" s="12">
        <f>G25*$E$53/1000</f>
        <v>0</v>
      </c>
      <c r="H60" s="11"/>
      <c r="I60" s="13">
        <f t="shared" si="12"/>
        <v>67.928190000000001</v>
      </c>
    </row>
    <row r="61" spans="2:9" ht="18">
      <c r="B61" s="16" t="s">
        <v>247</v>
      </c>
      <c r="C61" s="13">
        <f t="shared" ref="C61:H61" si="13">SUM(C55:C60)</f>
        <v>63.171959999999991</v>
      </c>
      <c r="D61" s="13">
        <f t="shared" si="13"/>
        <v>38.06391</v>
      </c>
      <c r="E61" s="13">
        <f t="shared" si="13"/>
        <v>39.472050000000003</v>
      </c>
      <c r="F61" s="13">
        <f t="shared" si="13"/>
        <v>8.2052699999999987</v>
      </c>
      <c r="G61" s="13">
        <f t="shared" si="13"/>
        <v>24.804359999999999</v>
      </c>
      <c r="H61" s="13">
        <f t="shared" si="13"/>
        <v>73.686959999999999</v>
      </c>
      <c r="I61" s="13">
        <f>SUM(I55:I60)</f>
        <v>247.40450999999999</v>
      </c>
    </row>
    <row r="64" spans="2:9" ht="20.399999999999999">
      <c r="B64" s="266" t="s">
        <v>483</v>
      </c>
      <c r="C64" s="266"/>
      <c r="D64" s="266"/>
      <c r="E64" s="266"/>
      <c r="F64" s="266"/>
      <c r="G64" s="266"/>
      <c r="H64" s="266"/>
      <c r="I64" s="266"/>
    </row>
    <row r="66" spans="2:11" ht="15.6">
      <c r="B66" s="98" t="s">
        <v>236</v>
      </c>
      <c r="C66" s="98" t="s">
        <v>235</v>
      </c>
    </row>
    <row r="67" spans="2:11" ht="18">
      <c r="B67" s="18" t="s">
        <v>251</v>
      </c>
      <c r="C67" s="18">
        <f>'Fatores Emissao'!O6</f>
        <v>1</v>
      </c>
    </row>
    <row r="68" spans="2:11" ht="18">
      <c r="B68" s="18" t="s">
        <v>252</v>
      </c>
      <c r="C68" s="18">
        <f>'Fatores Emissao'!O7</f>
        <v>28</v>
      </c>
    </row>
    <row r="69" spans="2:11" ht="18">
      <c r="B69" s="18" t="s">
        <v>253</v>
      </c>
      <c r="C69" s="18">
        <f>'Fatores Emissao'!O8</f>
        <v>265</v>
      </c>
    </row>
    <row r="71" spans="2:11" ht="15.6">
      <c r="B71" s="267" t="s">
        <v>531</v>
      </c>
      <c r="C71" s="268"/>
      <c r="D71" s="268"/>
      <c r="E71" s="268"/>
      <c r="F71" s="268"/>
      <c r="G71" s="268"/>
      <c r="H71" s="268"/>
      <c r="I71" s="268"/>
    </row>
    <row r="72" spans="2:11" ht="18">
      <c r="B72" s="5" t="s">
        <v>36</v>
      </c>
      <c r="C72" s="98" t="s">
        <v>186</v>
      </c>
      <c r="D72" s="98" t="s">
        <v>38</v>
      </c>
      <c r="E72" s="98" t="s">
        <v>40</v>
      </c>
      <c r="F72" s="98" t="s">
        <v>42</v>
      </c>
      <c r="G72" s="98" t="s">
        <v>43</v>
      </c>
      <c r="H72" s="98" t="s">
        <v>45</v>
      </c>
      <c r="I72" s="5" t="s">
        <v>257</v>
      </c>
    </row>
    <row r="73" spans="2:11" ht="15.6">
      <c r="B73" s="18" t="s">
        <v>186</v>
      </c>
      <c r="C73" s="11">
        <f>C33*$C$67+C44*$C$68+C55*$C$69</f>
        <v>0</v>
      </c>
      <c r="D73" s="12">
        <f t="shared" ref="D73:H73" si="14">D33*$C$67+D44*$C$68+D55*$C$69</f>
        <v>194745.18838157898</v>
      </c>
      <c r="E73" s="12">
        <f t="shared" si="14"/>
        <v>232760.41365473688</v>
      </c>
      <c r="F73" s="12">
        <f t="shared" si="14"/>
        <v>0</v>
      </c>
      <c r="G73" s="12">
        <f t="shared" si="14"/>
        <v>515549.20572842116</v>
      </c>
      <c r="H73" s="12">
        <f t="shared" si="14"/>
        <v>1375939.695334737</v>
      </c>
      <c r="I73" s="13">
        <f t="shared" ref="I73:I78" si="15">SUM(C73:H73)</f>
        <v>2318994.5030994741</v>
      </c>
    </row>
    <row r="74" spans="2:11" ht="15.6">
      <c r="B74" s="18" t="s">
        <v>38</v>
      </c>
      <c r="C74" s="12">
        <f t="shared" ref="C74:H74" si="16">C34*$C$67+C45*$C$68+C56*$C$69</f>
        <v>289335.70845263166</v>
      </c>
      <c r="D74" s="11">
        <f t="shared" si="16"/>
        <v>0</v>
      </c>
      <c r="E74" s="12">
        <f t="shared" si="16"/>
        <v>0</v>
      </c>
      <c r="F74" s="12">
        <f t="shared" si="16"/>
        <v>0</v>
      </c>
      <c r="G74" s="12">
        <f t="shared" si="16"/>
        <v>37732.451094736847</v>
      </c>
      <c r="H74" s="12">
        <f t="shared" si="16"/>
        <v>306565.20490526321</v>
      </c>
      <c r="I74" s="13">
        <f t="shared" si="15"/>
        <v>633633.36445263168</v>
      </c>
    </row>
    <row r="75" spans="2:11" ht="15.6">
      <c r="B75" s="18" t="s">
        <v>40</v>
      </c>
      <c r="C75" s="12">
        <f t="shared" ref="C75:H75" si="17">C35*$C$67+C46*$C$68+C57*$C$69</f>
        <v>493869.85204947385</v>
      </c>
      <c r="D75" s="12">
        <f t="shared" si="17"/>
        <v>0</v>
      </c>
      <c r="E75" s="11">
        <f t="shared" si="17"/>
        <v>0</v>
      </c>
      <c r="F75" s="12">
        <f t="shared" si="17"/>
        <v>0</v>
      </c>
      <c r="G75" s="12">
        <f t="shared" si="17"/>
        <v>50855.511157894747</v>
      </c>
      <c r="H75" s="12">
        <f t="shared" si="17"/>
        <v>112221.16128842108</v>
      </c>
      <c r="I75" s="13">
        <f t="shared" si="15"/>
        <v>656946.52449578978</v>
      </c>
    </row>
    <row r="76" spans="2:11" ht="15.6">
      <c r="B76" s="18" t="s">
        <v>42</v>
      </c>
      <c r="C76" s="12">
        <f t="shared" ref="C76:H76" si="18">C36*$C$67+C47*$C$68+C58*$C$69</f>
        <v>130013.28336736844</v>
      </c>
      <c r="D76" s="12">
        <f t="shared" si="18"/>
        <v>7779.5779784210536</v>
      </c>
      <c r="E76" s="12">
        <f t="shared" si="18"/>
        <v>618.88818894736858</v>
      </c>
      <c r="F76" s="11">
        <f t="shared" si="18"/>
        <v>0</v>
      </c>
      <c r="G76" s="12">
        <f t="shared" si="18"/>
        <v>0</v>
      </c>
      <c r="H76" s="12">
        <f t="shared" si="18"/>
        <v>0</v>
      </c>
      <c r="I76" s="13">
        <f t="shared" si="15"/>
        <v>138411.74953473685</v>
      </c>
    </row>
    <row r="77" spans="2:11" ht="15.6">
      <c r="B77" s="18" t="s">
        <v>43</v>
      </c>
      <c r="C77" s="12">
        <f t="shared" ref="C77:H77" si="19">C37*$C$67+C48*$C$68+C59*$C$69</f>
        <v>139152.66172315791</v>
      </c>
      <c r="D77" s="12">
        <f t="shared" si="19"/>
        <v>226394.7065684211</v>
      </c>
      <c r="E77" s="12">
        <f t="shared" si="19"/>
        <v>201726.86092631583</v>
      </c>
      <c r="F77" s="12">
        <f t="shared" si="19"/>
        <v>56080.622656315798</v>
      </c>
      <c r="G77" s="11">
        <f t="shared" si="19"/>
        <v>0</v>
      </c>
      <c r="H77" s="12">
        <f t="shared" si="19"/>
        <v>0</v>
      </c>
      <c r="I77" s="13">
        <f t="shared" si="15"/>
        <v>623354.85187421064</v>
      </c>
    </row>
    <row r="78" spans="2:11" ht="15.6">
      <c r="B78" s="18" t="s">
        <v>45</v>
      </c>
      <c r="C78" s="12">
        <f t="shared" ref="C78:H78" si="20">C38*$C$67+C49*$C$68+C60*$C$69</f>
        <v>486250.29356736847</v>
      </c>
      <c r="D78" s="12">
        <f t="shared" si="20"/>
        <v>498168.45797105273</v>
      </c>
      <c r="E78" s="12">
        <f t="shared" si="20"/>
        <v>526278.54949052643</v>
      </c>
      <c r="F78" s="12">
        <f t="shared" si="20"/>
        <v>143767.65322421055</v>
      </c>
      <c r="G78" s="12">
        <f t="shared" si="20"/>
        <v>0</v>
      </c>
      <c r="H78" s="11">
        <f t="shared" si="20"/>
        <v>0</v>
      </c>
      <c r="I78" s="13">
        <f t="shared" si="15"/>
        <v>1654464.9542531583</v>
      </c>
    </row>
    <row r="79" spans="2:11" ht="18">
      <c r="B79" s="16" t="s">
        <v>258</v>
      </c>
      <c r="C79" s="13">
        <f t="shared" ref="C79:H79" si="21">SUM(C73:C78)</f>
        <v>1538621.7991600004</v>
      </c>
      <c r="D79" s="13">
        <f t="shared" si="21"/>
        <v>927087.93089947384</v>
      </c>
      <c r="E79" s="13">
        <f t="shared" si="21"/>
        <v>961384.71226052649</v>
      </c>
      <c r="F79" s="13">
        <f t="shared" si="21"/>
        <v>199848.27588052634</v>
      </c>
      <c r="G79" s="13">
        <f t="shared" si="21"/>
        <v>604137.16798105277</v>
      </c>
      <c r="H79" s="13">
        <f t="shared" si="21"/>
        <v>1794726.0615284212</v>
      </c>
      <c r="I79" s="13">
        <f>SUM(I73:I78)</f>
        <v>6025805.9477100018</v>
      </c>
      <c r="K79" s="212">
        <f>I79*52/1000000</f>
        <v>313.34190928092011</v>
      </c>
    </row>
    <row r="80" spans="2:11">
      <c r="I80" s="114"/>
    </row>
    <row r="81" spans="2:11" ht="15.6">
      <c r="B81" s="267" t="s">
        <v>533</v>
      </c>
      <c r="C81" s="268"/>
      <c r="D81" s="268"/>
      <c r="E81" s="268"/>
      <c r="F81" s="268"/>
      <c r="G81" s="268"/>
      <c r="H81" s="268"/>
      <c r="I81" s="268"/>
    </row>
    <row r="82" spans="2:11" ht="18">
      <c r="B82" s="5" t="s">
        <v>262</v>
      </c>
      <c r="C82" s="98" t="s">
        <v>186</v>
      </c>
      <c r="D82" s="98" t="s">
        <v>38</v>
      </c>
      <c r="E82" s="98" t="s">
        <v>40</v>
      </c>
      <c r="F82" s="98" t="s">
        <v>42</v>
      </c>
      <c r="G82" s="98" t="s">
        <v>43</v>
      </c>
      <c r="H82" s="98" t="s">
        <v>45</v>
      </c>
      <c r="I82" s="5" t="s">
        <v>260</v>
      </c>
      <c r="K82" s="114"/>
    </row>
    <row r="83" spans="2:11" ht="15.6">
      <c r="B83" s="18" t="s">
        <v>186</v>
      </c>
      <c r="C83" s="11"/>
      <c r="D83" s="40">
        <f>D73/$I$79</f>
        <v>3.2318529682421708E-2</v>
      </c>
      <c r="E83" s="40">
        <f>E73/$I$79</f>
        <v>3.8627266738185166E-2</v>
      </c>
      <c r="F83" s="40">
        <f>F73/$I$79</f>
        <v>0</v>
      </c>
      <c r="G83" s="40">
        <f>G73/$I$79</f>
        <v>8.5556888190922623E-2</v>
      </c>
      <c r="H83" s="40">
        <f>H73/$I$79</f>
        <v>0.22834118909150034</v>
      </c>
      <c r="I83" s="163">
        <f t="shared" ref="I83:I88" si="22">SUM(C83:H83)</f>
        <v>0.38484387370302986</v>
      </c>
    </row>
    <row r="84" spans="2:11" ht="15.6">
      <c r="B84" s="18" t="s">
        <v>38</v>
      </c>
      <c r="C84" s="40">
        <f>C74/$I$79</f>
        <v>4.8016101242455117E-2</v>
      </c>
      <c r="D84" s="11"/>
      <c r="E84" s="40">
        <f t="shared" ref="E84:H87" si="23">E74/$I$79</f>
        <v>0</v>
      </c>
      <c r="F84" s="40">
        <f t="shared" si="23"/>
        <v>0</v>
      </c>
      <c r="G84" s="40">
        <f t="shared" si="23"/>
        <v>6.261809859488817E-3</v>
      </c>
      <c r="H84" s="40">
        <f t="shared" si="23"/>
        <v>5.0875386224770107E-2</v>
      </c>
      <c r="I84" s="163">
        <f t="shared" si="22"/>
        <v>0.10515329732671405</v>
      </c>
    </row>
    <row r="85" spans="2:11" ht="15.6">
      <c r="B85" s="18" t="s">
        <v>40</v>
      </c>
      <c r="C85" s="40">
        <f t="shared" ref="C85:G88" si="24">C75/$I$79</f>
        <v>8.1959136476533911E-2</v>
      </c>
      <c r="D85" s="12">
        <f>(D45+'Hidroviario Base C1'!D45)*$C$67+(D56+'Hidroviario Base C1'!D56)*$C$68+(D69+M69)*$C$69</f>
        <v>0</v>
      </c>
      <c r="E85" s="11"/>
      <c r="F85" s="40">
        <f t="shared" si="23"/>
        <v>0</v>
      </c>
      <c r="G85" s="40">
        <f t="shared" si="23"/>
        <v>8.4396197951282278E-3</v>
      </c>
      <c r="H85" s="40">
        <f t="shared" si="23"/>
        <v>1.8623427681249624E-2</v>
      </c>
      <c r="I85" s="163">
        <f t="shared" si="22"/>
        <v>0.10902218395291176</v>
      </c>
    </row>
    <row r="86" spans="2:11" ht="15.6">
      <c r="B86" s="18" t="s">
        <v>42</v>
      </c>
      <c r="C86" s="40">
        <f t="shared" si="24"/>
        <v>2.1576082020493478E-2</v>
      </c>
      <c r="D86" s="40">
        <f t="shared" si="24"/>
        <v>1.2910435626254345E-3</v>
      </c>
      <c r="E86" s="40">
        <f t="shared" si="24"/>
        <v>1.0270629262174727E-4</v>
      </c>
      <c r="F86" s="11"/>
      <c r="G86" s="40">
        <f t="shared" si="23"/>
        <v>0</v>
      </c>
      <c r="H86" s="40">
        <f t="shared" si="23"/>
        <v>0</v>
      </c>
      <c r="I86" s="163">
        <f t="shared" si="22"/>
        <v>2.296983187574066E-2</v>
      </c>
    </row>
    <row r="87" spans="2:11" ht="15.6">
      <c r="B87" s="18" t="s">
        <v>43</v>
      </c>
      <c r="C87" s="40">
        <f t="shared" si="24"/>
        <v>2.309278840551451E-2</v>
      </c>
      <c r="D87" s="40">
        <f t="shared" si="24"/>
        <v>3.7570859156932909E-2</v>
      </c>
      <c r="E87" s="40">
        <f t="shared" si="24"/>
        <v>3.3477158520675308E-2</v>
      </c>
      <c r="F87" s="40">
        <f t="shared" si="24"/>
        <v>9.3067422255156129E-3</v>
      </c>
      <c r="G87" s="11"/>
      <c r="H87" s="40">
        <f t="shared" si="23"/>
        <v>0</v>
      </c>
      <c r="I87" s="163">
        <f t="shared" si="22"/>
        <v>0.10344754830863834</v>
      </c>
    </row>
    <row r="88" spans="2:11" ht="15.6">
      <c r="B88" s="18" t="s">
        <v>45</v>
      </c>
      <c r="C88" s="40">
        <f t="shared" si="24"/>
        <v>8.0694648614125897E-2</v>
      </c>
      <c r="D88" s="40">
        <f t="shared" si="24"/>
        <v>8.2672502615251428E-2</v>
      </c>
      <c r="E88" s="40">
        <f t="shared" si="24"/>
        <v>8.7337453953446512E-2</v>
      </c>
      <c r="F88" s="40">
        <f t="shared" si="24"/>
        <v>2.3858659650141379E-2</v>
      </c>
      <c r="G88" s="40">
        <f t="shared" si="24"/>
        <v>0</v>
      </c>
      <c r="H88" s="11"/>
      <c r="I88" s="163">
        <f t="shared" si="22"/>
        <v>0.27456326483296523</v>
      </c>
    </row>
    <row r="89" spans="2:11" ht="18">
      <c r="B89" s="16" t="s">
        <v>261</v>
      </c>
      <c r="C89" s="162">
        <f t="shared" ref="C89:I89" si="25">SUM(C83:C88)</f>
        <v>0.25533875675912288</v>
      </c>
      <c r="D89" s="162">
        <f t="shared" si="25"/>
        <v>0.15385293501723146</v>
      </c>
      <c r="E89" s="162">
        <f t="shared" si="25"/>
        <v>0.15954458550492873</v>
      </c>
      <c r="F89" s="162">
        <f t="shared" si="25"/>
        <v>3.3165401875656988E-2</v>
      </c>
      <c r="G89" s="162">
        <f t="shared" si="25"/>
        <v>0.10025831784553967</v>
      </c>
      <c r="H89" s="162">
        <f t="shared" si="25"/>
        <v>0.29784000299752006</v>
      </c>
      <c r="I89" s="163">
        <f t="shared" si="25"/>
        <v>0.99999999999999989</v>
      </c>
    </row>
    <row r="92" spans="2:11" ht="18">
      <c r="B92" s="260" t="s">
        <v>532</v>
      </c>
      <c r="C92" s="260"/>
      <c r="D92" s="260"/>
      <c r="E92" s="260"/>
      <c r="F92" s="260"/>
      <c r="G92" s="260"/>
      <c r="H92" s="260"/>
    </row>
    <row r="93" spans="2:11" ht="15.6">
      <c r="B93" s="176" t="s">
        <v>36</v>
      </c>
      <c r="C93" s="98" t="s">
        <v>186</v>
      </c>
      <c r="D93" s="98" t="s">
        <v>38</v>
      </c>
      <c r="E93" s="98" t="s">
        <v>40</v>
      </c>
      <c r="F93" s="98" t="s">
        <v>42</v>
      </c>
      <c r="G93" s="98" t="s">
        <v>43</v>
      </c>
      <c r="H93" s="98" t="s">
        <v>45</v>
      </c>
    </row>
    <row r="94" spans="2:11" ht="15.6">
      <c r="B94" s="18" t="s">
        <v>186</v>
      </c>
      <c r="C94" s="11"/>
      <c r="D94" s="166">
        <f>D73/D11</f>
        <v>1112.829647894737</v>
      </c>
      <c r="E94" s="166">
        <f>E73/E11</f>
        <v>1492.0539336842107</v>
      </c>
      <c r="F94" s="166"/>
      <c r="G94" s="166">
        <f t="shared" ref="G94:H96" si="26">G73/G11</f>
        <v>2281.1911757894741</v>
      </c>
      <c r="H94" s="166">
        <f t="shared" si="26"/>
        <v>2123.3637273684212</v>
      </c>
    </row>
    <row r="95" spans="2:11" ht="15.6">
      <c r="B95" s="18" t="s">
        <v>38</v>
      </c>
      <c r="C95" s="166">
        <f>C74/C12</f>
        <v>1112.8296478947373</v>
      </c>
      <c r="D95" s="11"/>
      <c r="E95" s="166"/>
      <c r="F95" s="166"/>
      <c r="G95" s="166">
        <f t="shared" si="26"/>
        <v>1886.6225547368424</v>
      </c>
      <c r="H95" s="166">
        <f t="shared" si="26"/>
        <v>2254.1559184210528</v>
      </c>
    </row>
    <row r="96" spans="2:11" ht="15.6">
      <c r="B96" s="18" t="s">
        <v>40</v>
      </c>
      <c r="C96" s="166">
        <f>C75/C13</f>
        <v>1492.053933684211</v>
      </c>
      <c r="D96" s="166"/>
      <c r="E96" s="11"/>
      <c r="F96" s="166"/>
      <c r="G96" s="166">
        <f t="shared" si="26"/>
        <v>1695.1837052631583</v>
      </c>
      <c r="H96" s="166">
        <f t="shared" si="26"/>
        <v>1934.8476084210531</v>
      </c>
    </row>
    <row r="97" spans="2:8" ht="15.6">
      <c r="B97" s="18" t="s">
        <v>42</v>
      </c>
      <c r="C97" s="166">
        <f>C76/C14</f>
        <v>1511.7823647368423</v>
      </c>
      <c r="D97" s="166">
        <f t="shared" ref="D97:E99" si="27">D76/D14</f>
        <v>864.39755315789489</v>
      </c>
      <c r="E97" s="166">
        <f t="shared" si="27"/>
        <v>618.88818894736858</v>
      </c>
      <c r="F97" s="11"/>
      <c r="G97" s="166"/>
      <c r="H97" s="166"/>
    </row>
    <row r="98" spans="2:8" ht="15.6">
      <c r="B98" s="18" t="s">
        <v>43</v>
      </c>
      <c r="C98" s="166">
        <f>C77/C15</f>
        <v>2281.1911757894741</v>
      </c>
      <c r="D98" s="166">
        <f t="shared" si="27"/>
        <v>1886.6225547368424</v>
      </c>
      <c r="E98" s="166">
        <f t="shared" si="27"/>
        <v>1695.1837052631581</v>
      </c>
      <c r="F98" s="166">
        <f>F77/F15</f>
        <v>1193.2047373684213</v>
      </c>
      <c r="G98" s="11"/>
      <c r="H98" s="166"/>
    </row>
    <row r="99" spans="2:8" ht="15.6">
      <c r="B99" s="18" t="s">
        <v>45</v>
      </c>
      <c r="C99" s="166">
        <f>C78/C16</f>
        <v>2123.3637273684212</v>
      </c>
      <c r="D99" s="166">
        <f t="shared" si="27"/>
        <v>2254.1559184210532</v>
      </c>
      <c r="E99" s="166">
        <f t="shared" si="27"/>
        <v>1934.8476084210531</v>
      </c>
      <c r="F99" s="166">
        <f>F78/F16</f>
        <v>1409.4867963157897</v>
      </c>
      <c r="G99" s="166"/>
      <c r="H99" s="11"/>
    </row>
  </sheetData>
  <mergeCells count="8">
    <mergeCell ref="B29:I29"/>
    <mergeCell ref="B64:I64"/>
    <mergeCell ref="B92:H92"/>
    <mergeCell ref="B31:D31"/>
    <mergeCell ref="B42:D42"/>
    <mergeCell ref="B53:D53"/>
    <mergeCell ref="B71:I71"/>
    <mergeCell ref="B81:I81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D905-92FC-46CF-8F10-E70F8158E234}">
  <dimension ref="B2:K99"/>
  <sheetViews>
    <sheetView showGridLines="0" tabSelected="1" topLeftCell="A68" zoomScale="70" zoomScaleNormal="70" workbookViewId="0">
      <selection activeCell="K81" sqref="K81"/>
    </sheetView>
  </sheetViews>
  <sheetFormatPr defaultRowHeight="14.4"/>
  <cols>
    <col min="2" max="2" width="34.26171875" customWidth="1"/>
    <col min="3" max="3" width="19.68359375" customWidth="1"/>
    <col min="4" max="8" width="14.578125" customWidth="1"/>
    <col min="9" max="9" width="22.20703125" customWidth="1"/>
    <col min="11" max="11" width="26" customWidth="1"/>
    <col min="12" max="12" width="20.734375" customWidth="1"/>
    <col min="13" max="13" width="16.89453125" customWidth="1"/>
    <col min="14" max="14" width="15.9453125" customWidth="1"/>
    <col min="15" max="15" width="18.9453125" customWidth="1"/>
    <col min="16" max="16" width="15.3125" customWidth="1"/>
    <col min="17" max="17" width="15.734375" customWidth="1"/>
    <col min="18" max="18" width="20.15625" bestFit="1" customWidth="1"/>
  </cols>
  <sheetData>
    <row r="2" spans="2:9" ht="15.6">
      <c r="B2" s="98" t="s">
        <v>184</v>
      </c>
      <c r="C2" s="98" t="s">
        <v>186</v>
      </c>
      <c r="D2" s="98" t="s">
        <v>38</v>
      </c>
      <c r="E2" s="98" t="s">
        <v>40</v>
      </c>
      <c r="F2" s="98" t="s">
        <v>42</v>
      </c>
      <c r="G2" s="98" t="s">
        <v>43</v>
      </c>
      <c r="H2" s="98" t="s">
        <v>45</v>
      </c>
    </row>
    <row r="3" spans="2:9" ht="15.6">
      <c r="B3" s="18" t="s">
        <v>186</v>
      </c>
      <c r="C3" s="112"/>
      <c r="D3" s="113">
        <f>'Distancia Rodo'!D34</f>
        <v>1523</v>
      </c>
      <c r="E3" s="113">
        <f>'Distancia Rodo'!E34</f>
        <v>2042</v>
      </c>
      <c r="F3" s="113">
        <f>'Distancia Rodo'!F34</f>
        <v>2069</v>
      </c>
      <c r="G3" s="113">
        <f>'Distancia Rodo'!G34</f>
        <v>3122</v>
      </c>
      <c r="H3" s="113">
        <f>'Distancia Rodo'!H34</f>
        <v>2906</v>
      </c>
    </row>
    <row r="4" spans="2:9" ht="15.6">
      <c r="B4" s="18" t="s">
        <v>38</v>
      </c>
      <c r="C4" s="113">
        <f>'Distancia Rodo'!C35</f>
        <v>1523</v>
      </c>
      <c r="D4" s="112"/>
      <c r="E4" s="113">
        <f>'Distancia Rodo'!E35</f>
        <v>782</v>
      </c>
      <c r="F4" s="113">
        <f>'Distancia Rodo'!F35</f>
        <v>1183</v>
      </c>
      <c r="G4" s="113">
        <f>'Distancia Rodo'!G35</f>
        <v>2582</v>
      </c>
      <c r="H4" s="113">
        <f>'Distancia Rodo'!H35</f>
        <v>3085</v>
      </c>
    </row>
    <row r="5" spans="2:9" ht="15.6">
      <c r="B5" s="18" t="s">
        <v>40</v>
      </c>
      <c r="C5" s="113">
        <f>'Distancia Rodo'!C36</f>
        <v>2042</v>
      </c>
      <c r="D5" s="113">
        <f>'Distancia Rodo'!D36</f>
        <v>782</v>
      </c>
      <c r="E5" s="112"/>
      <c r="F5" s="113">
        <f>'Distancia Rodo'!F36</f>
        <v>847</v>
      </c>
      <c r="G5" s="113">
        <f>'Distancia Rodo'!G36</f>
        <v>2320</v>
      </c>
      <c r="H5" s="113">
        <f>'Distancia Rodo'!H36</f>
        <v>2648</v>
      </c>
    </row>
    <row r="6" spans="2:9" ht="15.6">
      <c r="B6" s="18" t="s">
        <v>42</v>
      </c>
      <c r="C6" s="113">
        <f>'Distancia Rodo'!C37</f>
        <v>2069</v>
      </c>
      <c r="D6" s="113">
        <f>'Distancia Rodo'!D37</f>
        <v>1183</v>
      </c>
      <c r="E6" s="113">
        <f>'Distancia Rodo'!E37</f>
        <v>847</v>
      </c>
      <c r="F6" s="112"/>
      <c r="G6" s="113">
        <f>'Distancia Rodo'!G37</f>
        <v>1633</v>
      </c>
      <c r="H6" s="113">
        <f>'Distancia Rodo'!H37</f>
        <v>1929</v>
      </c>
    </row>
    <row r="7" spans="2:9" ht="15.6">
      <c r="B7" s="18" t="s">
        <v>43</v>
      </c>
      <c r="C7" s="113">
        <f>'Distancia Rodo'!C38</f>
        <v>3122</v>
      </c>
      <c r="D7" s="113">
        <f>'Distancia Rodo'!D38</f>
        <v>2582</v>
      </c>
      <c r="E7" s="113">
        <f>'Distancia Rodo'!E38</f>
        <v>2320</v>
      </c>
      <c r="F7" s="113">
        <f>'Distancia Rodo'!F38</f>
        <v>1633</v>
      </c>
      <c r="G7" s="112"/>
      <c r="H7" s="113">
        <f>'Distancia Rodo'!H38</f>
        <v>434</v>
      </c>
    </row>
    <row r="8" spans="2:9" ht="15.6">
      <c r="B8" s="18" t="s">
        <v>45</v>
      </c>
      <c r="C8" s="113">
        <f>'Distancia Rodo'!C39</f>
        <v>2906</v>
      </c>
      <c r="D8" s="113">
        <f>'Distancia Rodo'!D39</f>
        <v>3085</v>
      </c>
      <c r="E8" s="113">
        <f>'Distancia Rodo'!E39</f>
        <v>2648</v>
      </c>
      <c r="F8" s="113">
        <f>'Distancia Rodo'!F39</f>
        <v>1929</v>
      </c>
      <c r="G8" s="113">
        <f>'Distancia Rodo'!G39</f>
        <v>434</v>
      </c>
      <c r="H8" s="112"/>
    </row>
    <row r="10" spans="2:9" ht="15.6">
      <c r="B10" s="5" t="s">
        <v>188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5" t="s">
        <v>47</v>
      </c>
    </row>
    <row r="11" spans="2:9" ht="15.6">
      <c r="B11" s="10" t="s">
        <v>4</v>
      </c>
      <c r="C11" s="11">
        <f>'Movimentacao de Conteineres'!K30</f>
        <v>0</v>
      </c>
      <c r="D11" s="12">
        <f>'Movimentacao de Conteineres'!L30</f>
        <v>175</v>
      </c>
      <c r="E11" s="12">
        <f>'Movimentacao de Conteineres'!M30</f>
        <v>156</v>
      </c>
      <c r="F11" s="12">
        <f>'Movimentacao de Conteineres'!N30</f>
        <v>0</v>
      </c>
      <c r="G11" s="12">
        <f>'Movimentacao de Conteineres'!O30</f>
        <v>226</v>
      </c>
      <c r="H11" s="12">
        <f>'Movimentacao de Conteineres'!P30</f>
        <v>648</v>
      </c>
      <c r="I11" s="13">
        <f t="shared" ref="I11:I16" si="0">SUM(C11:H11)</f>
        <v>1205</v>
      </c>
    </row>
    <row r="12" spans="2:9" ht="15.6">
      <c r="B12" s="10" t="s">
        <v>5</v>
      </c>
      <c r="C12" s="12">
        <f>'Movimentacao de Conteineres'!K31</f>
        <v>260</v>
      </c>
      <c r="D12" s="11">
        <f>'Movimentacao de Conteineres'!L31</f>
        <v>0</v>
      </c>
      <c r="E12" s="12">
        <f>'Movimentacao de Conteineres'!M31</f>
        <v>0</v>
      </c>
      <c r="F12" s="12">
        <f>'Movimentacao de Conteineres'!N31</f>
        <v>0</v>
      </c>
      <c r="G12" s="12">
        <f>'Movimentacao de Conteineres'!O31</f>
        <v>20</v>
      </c>
      <c r="H12" s="12">
        <f>'Movimentacao de Conteineres'!P31</f>
        <v>136</v>
      </c>
      <c r="I12" s="13">
        <f t="shared" si="0"/>
        <v>416</v>
      </c>
    </row>
    <row r="13" spans="2:9" ht="15.6">
      <c r="B13" s="10" t="s">
        <v>6</v>
      </c>
      <c r="C13" s="12">
        <f>'Movimentacao de Conteineres'!K32</f>
        <v>331</v>
      </c>
      <c r="D13" s="12">
        <f>'Movimentacao de Conteineres'!L32</f>
        <v>0</v>
      </c>
      <c r="E13" s="11">
        <f>'Movimentacao de Conteineres'!M32</f>
        <v>0</v>
      </c>
      <c r="F13" s="12">
        <f>'Movimentacao de Conteineres'!N32</f>
        <v>0</v>
      </c>
      <c r="G13" s="12">
        <f>'Movimentacao de Conteineres'!O32</f>
        <v>30</v>
      </c>
      <c r="H13" s="12">
        <f>'Movimentacao de Conteineres'!P32</f>
        <v>58</v>
      </c>
      <c r="I13" s="13">
        <f t="shared" si="0"/>
        <v>419</v>
      </c>
    </row>
    <row r="14" spans="2:9" ht="15.6">
      <c r="B14" s="10" t="s">
        <v>7</v>
      </c>
      <c r="C14" s="12">
        <f>'Movimentacao de Conteineres'!K33</f>
        <v>86</v>
      </c>
      <c r="D14" s="12">
        <f>'Movimentacao de Conteineres'!L33</f>
        <v>9</v>
      </c>
      <c r="E14" s="12">
        <f>'Movimentacao de Conteineres'!M33</f>
        <v>1</v>
      </c>
      <c r="F14" s="11">
        <f>'Movimentacao de Conteineres'!N33</f>
        <v>0</v>
      </c>
      <c r="G14" s="12">
        <f>'Movimentacao de Conteineres'!O33</f>
        <v>0</v>
      </c>
      <c r="H14" s="12">
        <f>'Movimentacao de Conteineres'!P33</f>
        <v>0</v>
      </c>
      <c r="I14" s="13">
        <f t="shared" si="0"/>
        <v>96</v>
      </c>
    </row>
    <row r="15" spans="2:9" ht="15.6">
      <c r="B15" s="10" t="s">
        <v>8</v>
      </c>
      <c r="C15" s="12">
        <f>'Movimentacao de Conteineres'!K34</f>
        <v>61</v>
      </c>
      <c r="D15" s="12">
        <f>'Movimentacao de Conteineres'!L34</f>
        <v>120</v>
      </c>
      <c r="E15" s="12">
        <f>'Movimentacao de Conteineres'!M34</f>
        <v>119</v>
      </c>
      <c r="F15" s="12">
        <f>'Movimentacao de Conteineres'!N34</f>
        <v>47</v>
      </c>
      <c r="G15" s="11">
        <f>'Movimentacao de Conteineres'!O34</f>
        <v>0</v>
      </c>
      <c r="H15" s="12">
        <f>'Movimentacao de Conteineres'!P34</f>
        <v>0</v>
      </c>
      <c r="I15" s="13">
        <f t="shared" si="0"/>
        <v>347</v>
      </c>
    </row>
    <row r="16" spans="2:9" ht="15.6">
      <c r="B16" s="10" t="s">
        <v>9</v>
      </c>
      <c r="C16" s="12">
        <f>'Movimentacao de Conteineres'!K35</f>
        <v>229</v>
      </c>
      <c r="D16" s="12">
        <f>'Movimentacao de Conteineres'!L35</f>
        <v>221</v>
      </c>
      <c r="E16" s="12">
        <f>'Movimentacao de Conteineres'!M35</f>
        <v>272</v>
      </c>
      <c r="F16" s="12">
        <f>'Movimentacao de Conteineres'!N35</f>
        <v>102</v>
      </c>
      <c r="G16" s="12">
        <f>'Movimentacao de Conteineres'!O35</f>
        <v>0</v>
      </c>
      <c r="H16" s="11">
        <f>'Movimentacao de Conteineres'!P35</f>
        <v>0</v>
      </c>
      <c r="I16" s="13">
        <f t="shared" si="0"/>
        <v>824</v>
      </c>
    </row>
    <row r="17" spans="2:9" ht="15.6">
      <c r="B17" s="16" t="s">
        <v>48</v>
      </c>
      <c r="C17" s="13">
        <f t="shared" ref="C17:I17" si="1">SUM(C11:C16)</f>
        <v>967</v>
      </c>
      <c r="D17" s="13">
        <f t="shared" si="1"/>
        <v>525</v>
      </c>
      <c r="E17" s="13">
        <f t="shared" si="1"/>
        <v>548</v>
      </c>
      <c r="F17" s="13">
        <f t="shared" si="1"/>
        <v>149</v>
      </c>
      <c r="G17" s="13">
        <f t="shared" si="1"/>
        <v>276</v>
      </c>
      <c r="H17" s="13">
        <f t="shared" si="1"/>
        <v>842</v>
      </c>
      <c r="I17" s="13">
        <f t="shared" si="1"/>
        <v>3307</v>
      </c>
    </row>
    <row r="19" spans="2:9" ht="15.6">
      <c r="B19" s="5" t="s">
        <v>187</v>
      </c>
      <c r="C19" s="98" t="s">
        <v>186</v>
      </c>
      <c r="D19" s="98" t="s">
        <v>38</v>
      </c>
      <c r="E19" s="98" t="s">
        <v>40</v>
      </c>
      <c r="F19" s="98" t="s">
        <v>42</v>
      </c>
      <c r="G19" s="98" t="s">
        <v>43</v>
      </c>
      <c r="H19" s="98" t="s">
        <v>45</v>
      </c>
      <c r="I19" s="5" t="s">
        <v>189</v>
      </c>
    </row>
    <row r="20" spans="2:9" ht="15.6">
      <c r="B20" s="18" t="s">
        <v>186</v>
      </c>
      <c r="C20" s="11"/>
      <c r="D20" s="12">
        <f>D3*D11</f>
        <v>266525</v>
      </c>
      <c r="E20" s="12">
        <f>E3*E11</f>
        <v>318552</v>
      </c>
      <c r="F20" s="12">
        <f>F3*F11</f>
        <v>0</v>
      </c>
      <c r="G20" s="12">
        <f>G3*G11</f>
        <v>705572</v>
      </c>
      <c r="H20" s="12">
        <f>H3*H11</f>
        <v>1883088</v>
      </c>
      <c r="I20" s="13">
        <f t="shared" ref="I20:I25" si="2">SUM(C20:H20)</f>
        <v>3173737</v>
      </c>
    </row>
    <row r="21" spans="2:9" ht="15.6">
      <c r="B21" s="18" t="s">
        <v>38</v>
      </c>
      <c r="C21" s="12">
        <f t="shared" ref="C21:H24" si="3">C4*C12</f>
        <v>395980</v>
      </c>
      <c r="D21" s="11"/>
      <c r="E21" s="12">
        <f t="shared" si="3"/>
        <v>0</v>
      </c>
      <c r="F21" s="12">
        <f t="shared" si="3"/>
        <v>0</v>
      </c>
      <c r="G21" s="12">
        <f t="shared" si="3"/>
        <v>51640</v>
      </c>
      <c r="H21" s="12">
        <f t="shared" si="3"/>
        <v>419560</v>
      </c>
      <c r="I21" s="13">
        <f t="shared" si="2"/>
        <v>867180</v>
      </c>
    </row>
    <row r="22" spans="2:9" ht="15.6">
      <c r="B22" s="18" t="s">
        <v>40</v>
      </c>
      <c r="C22" s="12">
        <f t="shared" si="3"/>
        <v>675902</v>
      </c>
      <c r="D22" s="12">
        <f t="shared" si="3"/>
        <v>0</v>
      </c>
      <c r="E22" s="11"/>
      <c r="F22" s="12">
        <f t="shared" si="3"/>
        <v>0</v>
      </c>
      <c r="G22" s="12">
        <f t="shared" si="3"/>
        <v>69600</v>
      </c>
      <c r="H22" s="12">
        <f t="shared" si="3"/>
        <v>153584</v>
      </c>
      <c r="I22" s="13">
        <f t="shared" si="2"/>
        <v>899086</v>
      </c>
    </row>
    <row r="23" spans="2:9" ht="15.6">
      <c r="B23" s="18" t="s">
        <v>42</v>
      </c>
      <c r="C23" s="12">
        <f t="shared" si="3"/>
        <v>177934</v>
      </c>
      <c r="D23" s="12">
        <f t="shared" si="3"/>
        <v>10647</v>
      </c>
      <c r="E23" s="12">
        <f t="shared" si="3"/>
        <v>847</v>
      </c>
      <c r="F23" s="11"/>
      <c r="G23" s="12">
        <f t="shared" si="3"/>
        <v>0</v>
      </c>
      <c r="H23" s="12">
        <f t="shared" si="3"/>
        <v>0</v>
      </c>
      <c r="I23" s="13">
        <f t="shared" si="2"/>
        <v>189428</v>
      </c>
    </row>
    <row r="24" spans="2:9" ht="15.6">
      <c r="B24" s="18" t="s">
        <v>43</v>
      </c>
      <c r="C24" s="12">
        <f t="shared" si="3"/>
        <v>190442</v>
      </c>
      <c r="D24" s="12">
        <f t="shared" si="3"/>
        <v>309840</v>
      </c>
      <c r="E24" s="12">
        <f t="shared" si="3"/>
        <v>276080</v>
      </c>
      <c r="F24" s="12">
        <f t="shared" si="3"/>
        <v>76751</v>
      </c>
      <c r="G24" s="11"/>
      <c r="H24" s="12">
        <f t="shared" si="3"/>
        <v>0</v>
      </c>
      <c r="I24" s="13">
        <f t="shared" si="2"/>
        <v>853113</v>
      </c>
    </row>
    <row r="25" spans="2:9" ht="15.6">
      <c r="B25" s="18" t="s">
        <v>45</v>
      </c>
      <c r="C25" s="12">
        <f>C8*C16</f>
        <v>665474</v>
      </c>
      <c r="D25" s="12">
        <f>D8*D16</f>
        <v>681785</v>
      </c>
      <c r="E25" s="12">
        <f>E8*E16</f>
        <v>720256</v>
      </c>
      <c r="F25" s="12">
        <f>F8*F16</f>
        <v>196758</v>
      </c>
      <c r="G25" s="12">
        <f>G8*G16</f>
        <v>0</v>
      </c>
      <c r="H25" s="11"/>
      <c r="I25" s="13">
        <f t="shared" si="2"/>
        <v>2264273</v>
      </c>
    </row>
    <row r="26" spans="2:9" ht="15.6">
      <c r="B26" s="16" t="s">
        <v>190</v>
      </c>
      <c r="C26" s="13">
        <f t="shared" ref="C26:H26" si="4">SUM(C20:C25)</f>
        <v>2105732</v>
      </c>
      <c r="D26" s="13">
        <f t="shared" si="4"/>
        <v>1268797</v>
      </c>
      <c r="E26" s="13">
        <f t="shared" si="4"/>
        <v>1315735</v>
      </c>
      <c r="F26" s="13">
        <f t="shared" si="4"/>
        <v>273509</v>
      </c>
      <c r="G26" s="13">
        <f t="shared" si="4"/>
        <v>826812</v>
      </c>
      <c r="H26" s="13">
        <f t="shared" si="4"/>
        <v>2456232</v>
      </c>
      <c r="I26" s="13">
        <f>SUM(I20:I25)</f>
        <v>8246817</v>
      </c>
    </row>
    <row r="29" spans="2:9" ht="23.1">
      <c r="B29" s="273" t="s">
        <v>482</v>
      </c>
      <c r="C29" s="273"/>
      <c r="D29" s="273"/>
      <c r="E29" s="273"/>
      <c r="F29" s="273"/>
      <c r="G29" s="273"/>
      <c r="H29" s="273"/>
      <c r="I29" s="273"/>
    </row>
    <row r="31" spans="2:9" ht="18">
      <c r="B31" s="272" t="s">
        <v>238</v>
      </c>
      <c r="C31" s="272"/>
      <c r="D31" s="272"/>
      <c r="E31" s="187">
        <f>'Fatores Emissao'!C72</f>
        <v>0.55000000000000004</v>
      </c>
      <c r="F31" s="164" t="s">
        <v>237</v>
      </c>
    </row>
    <row r="32" spans="2:9" ht="18">
      <c r="B32" s="5" t="s">
        <v>239</v>
      </c>
      <c r="C32" s="98" t="s">
        <v>186</v>
      </c>
      <c r="D32" s="98" t="s">
        <v>38</v>
      </c>
      <c r="E32" s="98" t="s">
        <v>40</v>
      </c>
      <c r="F32" s="98" t="s">
        <v>42</v>
      </c>
      <c r="G32" s="98" t="s">
        <v>43</v>
      </c>
      <c r="H32" s="98" t="s">
        <v>45</v>
      </c>
      <c r="I32" s="5" t="s">
        <v>240</v>
      </c>
    </row>
    <row r="33" spans="2:9" ht="15.6">
      <c r="B33" s="18" t="s">
        <v>186</v>
      </c>
      <c r="C33" s="11"/>
      <c r="D33" s="12">
        <f>D20*$E$31</f>
        <v>146588.75</v>
      </c>
      <c r="E33" s="12">
        <f>E20*$E$31</f>
        <v>175203.6</v>
      </c>
      <c r="F33" s="12">
        <f>F20*$E$31</f>
        <v>0</v>
      </c>
      <c r="G33" s="12">
        <f>G20*$E$31</f>
        <v>388064.60000000003</v>
      </c>
      <c r="H33" s="12">
        <f>H20*$E$31</f>
        <v>1035698.4000000001</v>
      </c>
      <c r="I33" s="13">
        <f t="shared" ref="I33:I38" si="5">SUM(C33:H33)</f>
        <v>1745555.35</v>
      </c>
    </row>
    <row r="34" spans="2:9" ht="15.6">
      <c r="B34" s="18" t="s">
        <v>38</v>
      </c>
      <c r="C34" s="12">
        <f>C21*$E$31</f>
        <v>217789.00000000003</v>
      </c>
      <c r="D34" s="11"/>
      <c r="E34" s="12">
        <f>E21*$E$31</f>
        <v>0</v>
      </c>
      <c r="F34" s="12">
        <f>F21*$E$31</f>
        <v>0</v>
      </c>
      <c r="G34" s="12">
        <f>G21*$E$31</f>
        <v>28402.000000000004</v>
      </c>
      <c r="H34" s="12">
        <f>H21*$E$31</f>
        <v>230758.00000000003</v>
      </c>
      <c r="I34" s="13">
        <f t="shared" si="5"/>
        <v>476949.00000000006</v>
      </c>
    </row>
    <row r="35" spans="2:9" ht="15.6">
      <c r="B35" s="18" t="s">
        <v>40</v>
      </c>
      <c r="C35" s="12">
        <f>C22*$E$31</f>
        <v>371746.10000000003</v>
      </c>
      <c r="D35" s="12">
        <f>D22*$E$31</f>
        <v>0</v>
      </c>
      <c r="E35" s="11"/>
      <c r="F35" s="12">
        <f>F22*$E$31</f>
        <v>0</v>
      </c>
      <c r="G35" s="12">
        <f>G22*$E$31</f>
        <v>38280</v>
      </c>
      <c r="H35" s="12">
        <f>H22*$E$31</f>
        <v>84471.200000000012</v>
      </c>
      <c r="I35" s="13">
        <f t="shared" si="5"/>
        <v>494497.30000000005</v>
      </c>
    </row>
    <row r="36" spans="2:9" ht="15.6">
      <c r="B36" s="18" t="s">
        <v>42</v>
      </c>
      <c r="C36" s="12">
        <f>C23*$E$31</f>
        <v>97863.700000000012</v>
      </c>
      <c r="D36" s="12">
        <f>D23*$E$31</f>
        <v>5855.85</v>
      </c>
      <c r="E36" s="12">
        <f>E23*$E$31</f>
        <v>465.85</v>
      </c>
      <c r="F36" s="11"/>
      <c r="G36" s="12">
        <f>G23*$E$31</f>
        <v>0</v>
      </c>
      <c r="H36" s="12">
        <f>H23*$E$31</f>
        <v>0</v>
      </c>
      <c r="I36" s="13">
        <f t="shared" si="5"/>
        <v>104185.40000000002</v>
      </c>
    </row>
    <row r="37" spans="2:9" ht="15.6">
      <c r="B37" s="18" t="s">
        <v>43</v>
      </c>
      <c r="C37" s="12">
        <f>C24*$E$31</f>
        <v>104743.1</v>
      </c>
      <c r="D37" s="12">
        <f>D24*$E$31</f>
        <v>170412</v>
      </c>
      <c r="E37" s="12">
        <f>E24*$E$31</f>
        <v>151844</v>
      </c>
      <c r="F37" s="12">
        <f>F24*$E$31</f>
        <v>42213.05</v>
      </c>
      <c r="G37" s="11"/>
      <c r="H37" s="12">
        <f>H24*$E$31</f>
        <v>0</v>
      </c>
      <c r="I37" s="13">
        <f t="shared" si="5"/>
        <v>469212.14999999997</v>
      </c>
    </row>
    <row r="38" spans="2:9" ht="15.6">
      <c r="B38" s="18" t="s">
        <v>45</v>
      </c>
      <c r="C38" s="12">
        <f>C25*$E$31</f>
        <v>366010.7</v>
      </c>
      <c r="D38" s="12">
        <f>D25*$E$31</f>
        <v>374981.75000000006</v>
      </c>
      <c r="E38" s="12">
        <f>E25*$E$31</f>
        <v>396140.80000000005</v>
      </c>
      <c r="F38" s="12">
        <f>F25*$E$31</f>
        <v>108216.90000000001</v>
      </c>
      <c r="G38" s="12">
        <f>G25*$E$31</f>
        <v>0</v>
      </c>
      <c r="H38" s="11"/>
      <c r="I38" s="13">
        <f t="shared" si="5"/>
        <v>1245350.1499999999</v>
      </c>
    </row>
    <row r="39" spans="2:9" ht="18">
      <c r="B39" s="16" t="s">
        <v>241</v>
      </c>
      <c r="C39" s="13">
        <f t="shared" ref="C39:H39" si="6">SUM(C33:C38)</f>
        <v>1158152.6000000001</v>
      </c>
      <c r="D39" s="13">
        <f t="shared" si="6"/>
        <v>697838.35000000009</v>
      </c>
      <c r="E39" s="13">
        <f t="shared" si="6"/>
        <v>723654.25</v>
      </c>
      <c r="F39" s="13">
        <f t="shared" si="6"/>
        <v>150429.95000000001</v>
      </c>
      <c r="G39" s="13">
        <f t="shared" si="6"/>
        <v>454746.60000000003</v>
      </c>
      <c r="H39" s="13">
        <f t="shared" si="6"/>
        <v>1350927.6</v>
      </c>
      <c r="I39" s="13">
        <f>SUM(I33:I38)</f>
        <v>4535749.3499999996</v>
      </c>
    </row>
    <row r="42" spans="2:9" ht="18">
      <c r="B42" s="272" t="s">
        <v>242</v>
      </c>
      <c r="C42" s="272"/>
      <c r="D42" s="272"/>
      <c r="E42" s="159">
        <f>'Fatores Emissao'!D72</f>
        <v>3.7</v>
      </c>
      <c r="F42" s="164" t="s">
        <v>281</v>
      </c>
    </row>
    <row r="43" spans="2:9" ht="18">
      <c r="B43" s="5" t="s">
        <v>255</v>
      </c>
      <c r="C43" s="98" t="s">
        <v>186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243</v>
      </c>
    </row>
    <row r="44" spans="2:9" ht="15.6">
      <c r="B44" s="18" t="s">
        <v>186</v>
      </c>
      <c r="C44" s="11"/>
      <c r="D44" s="12">
        <f>D20*$E$42/1000</f>
        <v>986.14250000000004</v>
      </c>
      <c r="E44" s="12">
        <f>E20*$E$42/1000</f>
        <v>1178.6424000000002</v>
      </c>
      <c r="F44" s="12">
        <f>F20*$E$42/1000</f>
        <v>0</v>
      </c>
      <c r="G44" s="12">
        <f>G20*$E$42/1000</f>
        <v>2610.6163999999999</v>
      </c>
      <c r="H44" s="12">
        <f>H20*$E$42/1000</f>
        <v>6967.4256000000005</v>
      </c>
      <c r="I44" s="13">
        <f t="shared" ref="I44:I49" si="7">SUM(C44:H44)</f>
        <v>11742.8269</v>
      </c>
    </row>
    <row r="45" spans="2:9" ht="15.6">
      <c r="B45" s="18" t="s">
        <v>38</v>
      </c>
      <c r="C45" s="12">
        <f>C21*$E$42/1000</f>
        <v>1465.126</v>
      </c>
      <c r="D45" s="11"/>
      <c r="E45" s="12">
        <f>E21*$E$42/1000</f>
        <v>0</v>
      </c>
      <c r="F45" s="12">
        <f>F21*$E$42/1000</f>
        <v>0</v>
      </c>
      <c r="G45" s="12">
        <f>G21*$E$42/1000</f>
        <v>191.06800000000001</v>
      </c>
      <c r="H45" s="12">
        <f>H21*$E$42/1000</f>
        <v>1552.3720000000001</v>
      </c>
      <c r="I45" s="13">
        <f t="shared" si="7"/>
        <v>3208.5659999999998</v>
      </c>
    </row>
    <row r="46" spans="2:9" ht="15.6">
      <c r="B46" s="18" t="s">
        <v>40</v>
      </c>
      <c r="C46" s="12">
        <f>C22*$E$42/1000</f>
        <v>2500.8373999999999</v>
      </c>
      <c r="D46" s="12">
        <f>D22*$E$42/1000</f>
        <v>0</v>
      </c>
      <c r="E46" s="11"/>
      <c r="F46" s="12">
        <f>F22*$E$42/1000</f>
        <v>0</v>
      </c>
      <c r="G46" s="12">
        <f>G22*$E$42/1000</f>
        <v>257.52</v>
      </c>
      <c r="H46" s="12">
        <f>H22*$E$42/1000</f>
        <v>568.26080000000002</v>
      </c>
      <c r="I46" s="13">
        <f t="shared" si="7"/>
        <v>3326.6181999999999</v>
      </c>
    </row>
    <row r="47" spans="2:9" ht="15.6">
      <c r="B47" s="18" t="s">
        <v>42</v>
      </c>
      <c r="C47" s="12">
        <f>C23*$E$42/1000</f>
        <v>658.35580000000004</v>
      </c>
      <c r="D47" s="12">
        <f>D23*$E$42/1000</f>
        <v>39.393900000000002</v>
      </c>
      <c r="E47" s="12">
        <f>E23*$E$42/1000</f>
        <v>3.1339000000000001</v>
      </c>
      <c r="F47" s="11"/>
      <c r="G47" s="12">
        <f>G23*$E$42/1000</f>
        <v>0</v>
      </c>
      <c r="H47" s="12">
        <f>H23*$E$42/1000</f>
        <v>0</v>
      </c>
      <c r="I47" s="13">
        <f t="shared" si="7"/>
        <v>700.88360000000011</v>
      </c>
    </row>
    <row r="48" spans="2:9" ht="15.6">
      <c r="B48" s="18" t="s">
        <v>43</v>
      </c>
      <c r="C48" s="12">
        <f>C24*$E$42/1000</f>
        <v>704.6354</v>
      </c>
      <c r="D48" s="12">
        <f>D24*$E$42/1000</f>
        <v>1146.4079999999999</v>
      </c>
      <c r="E48" s="12">
        <f>E24*$E$42/1000</f>
        <v>1021.496</v>
      </c>
      <c r="F48" s="12">
        <f>F24*$E$42/1000</f>
        <v>283.9787</v>
      </c>
      <c r="G48" s="11"/>
      <c r="H48" s="12">
        <f>H24*$E$42/1000</f>
        <v>0</v>
      </c>
      <c r="I48" s="13">
        <f t="shared" si="7"/>
        <v>3156.5181000000002</v>
      </c>
    </row>
    <row r="49" spans="2:9" ht="15.6">
      <c r="B49" s="18" t="s">
        <v>45</v>
      </c>
      <c r="C49" s="12">
        <f>C25*$E$42/1000</f>
        <v>2462.2538000000004</v>
      </c>
      <c r="D49" s="12">
        <f>D25*$E$42/1000</f>
        <v>2522.6044999999999</v>
      </c>
      <c r="E49" s="12">
        <f>E25*$E$42/1000</f>
        <v>2664.9472000000001</v>
      </c>
      <c r="F49" s="12">
        <f>F25*$E$42/1000</f>
        <v>728.0046000000001</v>
      </c>
      <c r="G49" s="12">
        <f>G25*$E$42/1000</f>
        <v>0</v>
      </c>
      <c r="H49" s="11"/>
      <c r="I49" s="13">
        <f t="shared" si="7"/>
        <v>8377.8101000000006</v>
      </c>
    </row>
    <row r="50" spans="2:9" ht="18">
      <c r="B50" s="16" t="s">
        <v>244</v>
      </c>
      <c r="C50" s="13">
        <f t="shared" ref="C50:H50" si="8">SUM(C44:C49)</f>
        <v>7791.2084000000004</v>
      </c>
      <c r="D50" s="13">
        <f t="shared" si="8"/>
        <v>4694.5488999999998</v>
      </c>
      <c r="E50" s="13">
        <f t="shared" si="8"/>
        <v>4868.2195000000002</v>
      </c>
      <c r="F50" s="13">
        <f t="shared" si="8"/>
        <v>1011.9833000000001</v>
      </c>
      <c r="G50" s="13">
        <f t="shared" si="8"/>
        <v>3059.2044000000001</v>
      </c>
      <c r="H50" s="13">
        <f t="shared" si="8"/>
        <v>9088.0583999999999</v>
      </c>
      <c r="I50" s="13">
        <f>SUM(I44:I49)</f>
        <v>30513.222900000001</v>
      </c>
    </row>
    <row r="53" spans="2:9" ht="18">
      <c r="B53" s="272" t="s">
        <v>245</v>
      </c>
      <c r="C53" s="272"/>
      <c r="D53" s="272"/>
      <c r="E53" s="187">
        <f>'Fatores Emissao'!E72</f>
        <v>1E-3</v>
      </c>
      <c r="F53" s="164" t="s">
        <v>282</v>
      </c>
    </row>
    <row r="54" spans="2:9" ht="18">
      <c r="B54" s="5" t="s">
        <v>254</v>
      </c>
      <c r="C54" s="98" t="s">
        <v>186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246</v>
      </c>
    </row>
    <row r="55" spans="2:9" ht="15.6">
      <c r="B55" s="18" t="s">
        <v>186</v>
      </c>
      <c r="C55" s="11"/>
      <c r="D55" s="12">
        <f>D20*$E$53/1000</f>
        <v>0.26652499999999996</v>
      </c>
      <c r="E55" s="12">
        <f>E20*$E$53/1000</f>
        <v>0.318552</v>
      </c>
      <c r="F55" s="12">
        <f>F20*$E$53/1000</f>
        <v>0</v>
      </c>
      <c r="G55" s="12">
        <f>G20*$E$53/1000</f>
        <v>0.70557199999999998</v>
      </c>
      <c r="H55" s="12">
        <f>H20*$E$53/1000</f>
        <v>1.8830879999999999</v>
      </c>
      <c r="I55" s="13">
        <f t="shared" ref="I55:I60" si="9">SUM(C55:H55)</f>
        <v>3.173737</v>
      </c>
    </row>
    <row r="56" spans="2:9" ht="15.6">
      <c r="B56" s="18" t="s">
        <v>38</v>
      </c>
      <c r="C56" s="60">
        <f>C21*$E$53/1000</f>
        <v>0.39598</v>
      </c>
      <c r="D56" s="171"/>
      <c r="E56" s="60">
        <f>E21*$E$53/1000</f>
        <v>0</v>
      </c>
      <c r="F56" s="60">
        <f>F21*$E$53/1000</f>
        <v>0</v>
      </c>
      <c r="G56" s="60">
        <f>G21*$E$53/1000</f>
        <v>5.1639999999999998E-2</v>
      </c>
      <c r="H56" s="60">
        <f>H21*$E$53/1000</f>
        <v>0.41955999999999999</v>
      </c>
      <c r="I56" s="230">
        <f t="shared" si="9"/>
        <v>0.86718000000000006</v>
      </c>
    </row>
    <row r="57" spans="2:9" ht="15.6">
      <c r="B57" s="18" t="s">
        <v>40</v>
      </c>
      <c r="C57" s="60">
        <f>C22*$E$53/1000</f>
        <v>0.675902</v>
      </c>
      <c r="D57" s="60">
        <f>D22*$E$53/1000</f>
        <v>0</v>
      </c>
      <c r="E57" s="171"/>
      <c r="F57" s="60">
        <f>F22*$E$53/1000</f>
        <v>0</v>
      </c>
      <c r="G57" s="60">
        <f>G22*$E$53/1000</f>
        <v>6.9600000000000009E-2</v>
      </c>
      <c r="H57" s="60">
        <f>H22*$E$53/1000</f>
        <v>0.153584</v>
      </c>
      <c r="I57" s="230">
        <f t="shared" si="9"/>
        <v>0.89908600000000005</v>
      </c>
    </row>
    <row r="58" spans="2:9" ht="15.6">
      <c r="B58" s="18" t="s">
        <v>42</v>
      </c>
      <c r="C58" s="60">
        <f>C23*$E$53/1000</f>
        <v>0.17793400000000001</v>
      </c>
      <c r="D58" s="60">
        <f>D23*$E$53/1000</f>
        <v>1.0647E-2</v>
      </c>
      <c r="E58" s="60">
        <f>E23*$E$53/1000</f>
        <v>8.4699999999999999E-4</v>
      </c>
      <c r="F58" s="171"/>
      <c r="G58" s="60">
        <f>G23*$E$53/1000</f>
        <v>0</v>
      </c>
      <c r="H58" s="60">
        <f>H23*$E$53/1000</f>
        <v>0</v>
      </c>
      <c r="I58" s="230">
        <f t="shared" si="9"/>
        <v>0.18942799999999999</v>
      </c>
    </row>
    <row r="59" spans="2:9" ht="15.6">
      <c r="B59" s="18" t="s">
        <v>43</v>
      </c>
      <c r="C59" s="60">
        <f>C24*$E$53/1000</f>
        <v>0.190442</v>
      </c>
      <c r="D59" s="60">
        <f>D24*$E$53/1000</f>
        <v>0.30984</v>
      </c>
      <c r="E59" s="60">
        <f>E24*$E$53/1000</f>
        <v>0.27607999999999999</v>
      </c>
      <c r="F59" s="60">
        <f>F24*$E$53/1000</f>
        <v>7.6751E-2</v>
      </c>
      <c r="G59" s="171"/>
      <c r="H59" s="60">
        <f>H24*$E$53/1000</f>
        <v>0</v>
      </c>
      <c r="I59" s="230">
        <f t="shared" si="9"/>
        <v>0.85311300000000001</v>
      </c>
    </row>
    <row r="60" spans="2:9" ht="15.6">
      <c r="B60" s="18" t="s">
        <v>45</v>
      </c>
      <c r="C60" s="60">
        <f>C25*$E$53/1000</f>
        <v>0.66547400000000001</v>
      </c>
      <c r="D60" s="60">
        <f>D25*$E$53/1000</f>
        <v>0.68178499999999997</v>
      </c>
      <c r="E60" s="60">
        <f>E25*$E$53/1000</f>
        <v>0.72025600000000001</v>
      </c>
      <c r="F60" s="60">
        <f>F25*$E$53/1000</f>
        <v>0.19675800000000002</v>
      </c>
      <c r="G60" s="60">
        <f>G25*$E$53/1000</f>
        <v>0</v>
      </c>
      <c r="H60" s="171"/>
      <c r="I60" s="230">
        <f t="shared" si="9"/>
        <v>2.2642730000000002</v>
      </c>
    </row>
    <row r="61" spans="2:9" ht="18">
      <c r="B61" s="16" t="s">
        <v>247</v>
      </c>
      <c r="C61" s="230">
        <f t="shared" ref="C61:H61" si="10">SUM(C55:C60)</f>
        <v>2.1057320000000002</v>
      </c>
      <c r="D61" s="230">
        <f t="shared" si="10"/>
        <v>1.268797</v>
      </c>
      <c r="E61" s="230">
        <f t="shared" si="10"/>
        <v>1.3157350000000001</v>
      </c>
      <c r="F61" s="230">
        <f t="shared" si="10"/>
        <v>0.273509</v>
      </c>
      <c r="G61" s="230">
        <f t="shared" si="10"/>
        <v>0.82681199999999999</v>
      </c>
      <c r="H61" s="230">
        <f t="shared" si="10"/>
        <v>2.456232</v>
      </c>
      <c r="I61" s="230">
        <f>SUM(I55:I60)</f>
        <v>8.2468170000000001</v>
      </c>
    </row>
    <row r="64" spans="2:9" ht="20.399999999999999">
      <c r="B64" s="266" t="s">
        <v>482</v>
      </c>
      <c r="C64" s="266"/>
      <c r="D64" s="266"/>
      <c r="E64" s="266"/>
      <c r="F64" s="266"/>
      <c r="G64" s="266"/>
      <c r="H64" s="266"/>
      <c r="I64" s="266"/>
    </row>
    <row r="66" spans="2:11" ht="15.6">
      <c r="B66" s="98" t="s">
        <v>236</v>
      </c>
      <c r="C66" s="98" t="s">
        <v>235</v>
      </c>
    </row>
    <row r="67" spans="2:11" ht="18">
      <c r="B67" s="18" t="s">
        <v>251</v>
      </c>
      <c r="C67" s="18">
        <f>'Fatores Emissao'!O6</f>
        <v>1</v>
      </c>
    </row>
    <row r="68" spans="2:11" ht="18">
      <c r="B68" s="18" t="s">
        <v>252</v>
      </c>
      <c r="C68" s="18">
        <f>'Fatores Emissao'!O7</f>
        <v>28</v>
      </c>
    </row>
    <row r="69" spans="2:11" ht="18">
      <c r="B69" s="18" t="s">
        <v>253</v>
      </c>
      <c r="C69" s="18">
        <f>'Fatores Emissao'!O8</f>
        <v>265</v>
      </c>
    </row>
    <row r="72" spans="2:11" ht="18">
      <c r="B72" s="5" t="s">
        <v>256</v>
      </c>
      <c r="C72" s="98" t="s">
        <v>186</v>
      </c>
      <c r="D72" s="98" t="s">
        <v>38</v>
      </c>
      <c r="E72" s="98" t="s">
        <v>40</v>
      </c>
      <c r="F72" s="98" t="s">
        <v>42</v>
      </c>
      <c r="G72" s="98" t="s">
        <v>43</v>
      </c>
      <c r="H72" s="98" t="s">
        <v>45</v>
      </c>
      <c r="I72" s="5" t="s">
        <v>257</v>
      </c>
    </row>
    <row r="73" spans="2:11" ht="15.6">
      <c r="B73" s="18" t="s">
        <v>186</v>
      </c>
      <c r="C73" s="11">
        <f t="shared" ref="C73:H73" si="11">C33*$C$67+C44*$C$68+C55*$C$69</f>
        <v>0</v>
      </c>
      <c r="D73" s="12">
        <f t="shared" si="11"/>
        <v>174271.369125</v>
      </c>
      <c r="E73" s="12">
        <f t="shared" si="11"/>
        <v>208290.00348000001</v>
      </c>
      <c r="F73" s="12">
        <f t="shared" si="11"/>
        <v>0</v>
      </c>
      <c r="G73" s="12">
        <f t="shared" si="11"/>
        <v>461348.83578000008</v>
      </c>
      <c r="H73" s="12">
        <f t="shared" si="11"/>
        <v>1231285.3351200002</v>
      </c>
      <c r="I73" s="13">
        <f t="shared" ref="I73:I78" si="12">SUM(C73:H73)</f>
        <v>2075195.5435050004</v>
      </c>
    </row>
    <row r="74" spans="2:11" ht="15.6">
      <c r="B74" s="18" t="s">
        <v>38</v>
      </c>
      <c r="C74" s="12">
        <f>C34*$C$67+C45*$C$68+C56*$C$69</f>
        <v>258917.46270000003</v>
      </c>
      <c r="D74" s="11">
        <f t="shared" ref="D74:H74" si="13">D34*$C$67+D45*$C$68+D56*$C$69</f>
        <v>0</v>
      </c>
      <c r="E74" s="12">
        <f t="shared" si="13"/>
        <v>0</v>
      </c>
      <c r="F74" s="12">
        <f t="shared" si="13"/>
        <v>0</v>
      </c>
      <c r="G74" s="12">
        <f t="shared" si="13"/>
        <v>33765.588600000003</v>
      </c>
      <c r="H74" s="12">
        <f t="shared" si="13"/>
        <v>274335.59940000001</v>
      </c>
      <c r="I74" s="13">
        <f t="shared" si="12"/>
        <v>567018.65070000011</v>
      </c>
    </row>
    <row r="75" spans="2:11" ht="15.6">
      <c r="B75" s="18" t="s">
        <v>40</v>
      </c>
      <c r="C75" s="12">
        <f t="shared" ref="C75:H75" si="14">C35*$C$67+C46*$C$68+C57*$C$69</f>
        <v>441948.66123000003</v>
      </c>
      <c r="D75" s="12">
        <f t="shared" si="14"/>
        <v>0</v>
      </c>
      <c r="E75" s="11">
        <f t="shared" si="14"/>
        <v>0</v>
      </c>
      <c r="F75" s="12">
        <f t="shared" si="14"/>
        <v>0</v>
      </c>
      <c r="G75" s="12">
        <f t="shared" si="14"/>
        <v>45509.004000000001</v>
      </c>
      <c r="H75" s="12">
        <f t="shared" si="14"/>
        <v>100423.20216000002</v>
      </c>
      <c r="I75" s="13">
        <f t="shared" si="12"/>
        <v>587880.86739000003</v>
      </c>
    </row>
    <row r="76" spans="2:11" ht="15.6">
      <c r="B76" s="18" t="s">
        <v>42</v>
      </c>
      <c r="C76" s="12">
        <f t="shared" ref="C76:H76" si="15">C36*$C$67+C47*$C$68+C58*$C$69</f>
        <v>116344.81491000002</v>
      </c>
      <c r="D76" s="12">
        <f t="shared" si="15"/>
        <v>6961.7006550000006</v>
      </c>
      <c r="E76" s="12">
        <f t="shared" si="15"/>
        <v>553.82365500000003</v>
      </c>
      <c r="F76" s="11">
        <f t="shared" si="15"/>
        <v>0</v>
      </c>
      <c r="G76" s="12">
        <f t="shared" si="15"/>
        <v>0</v>
      </c>
      <c r="H76" s="12">
        <f t="shared" si="15"/>
        <v>0</v>
      </c>
      <c r="I76" s="13">
        <f t="shared" si="12"/>
        <v>123860.33922000001</v>
      </c>
    </row>
    <row r="77" spans="2:11" ht="15.6">
      <c r="B77" s="18" t="s">
        <v>43</v>
      </c>
      <c r="C77" s="12">
        <f t="shared" ref="C77:H77" si="16">C37*$C$67+C48*$C$68+C59*$C$69</f>
        <v>124523.35833000002</v>
      </c>
      <c r="D77" s="12">
        <f t="shared" si="16"/>
        <v>202593.53159999999</v>
      </c>
      <c r="E77" s="12">
        <f t="shared" si="16"/>
        <v>180519.04920000001</v>
      </c>
      <c r="F77" s="12">
        <f t="shared" si="16"/>
        <v>50184.792614999998</v>
      </c>
      <c r="G77" s="11">
        <f t="shared" si="16"/>
        <v>0</v>
      </c>
      <c r="H77" s="12">
        <f t="shared" si="16"/>
        <v>0</v>
      </c>
      <c r="I77" s="13">
        <f t="shared" si="12"/>
        <v>557820.731745</v>
      </c>
    </row>
    <row r="78" spans="2:11" ht="15.6">
      <c r="B78" s="18" t="s">
        <v>45</v>
      </c>
      <c r="C78" s="12">
        <f t="shared" ref="C78:H78" si="17">C38*$C$67+C49*$C$68+C60*$C$69</f>
        <v>435130.15701000002</v>
      </c>
      <c r="D78" s="12">
        <f t="shared" si="17"/>
        <v>445795.34902500006</v>
      </c>
      <c r="E78" s="12">
        <f t="shared" si="17"/>
        <v>470950.18944000005</v>
      </c>
      <c r="F78" s="12">
        <f t="shared" si="17"/>
        <v>128653.16967000002</v>
      </c>
      <c r="G78" s="12">
        <f t="shared" si="17"/>
        <v>0</v>
      </c>
      <c r="H78" s="11">
        <f t="shared" si="17"/>
        <v>0</v>
      </c>
      <c r="I78" s="13">
        <f t="shared" si="12"/>
        <v>1480528.8651450002</v>
      </c>
    </row>
    <row r="79" spans="2:11" ht="18">
      <c r="B79" s="16" t="s">
        <v>258</v>
      </c>
      <c r="C79" s="13">
        <f t="shared" ref="C79:H79" si="18">SUM(C73:C78)</f>
        <v>1376864.4541799999</v>
      </c>
      <c r="D79" s="13">
        <f t="shared" si="18"/>
        <v>829621.95040500001</v>
      </c>
      <c r="E79" s="13">
        <f t="shared" si="18"/>
        <v>860313.06577500002</v>
      </c>
      <c r="F79" s="13">
        <f t="shared" si="18"/>
        <v>178837.96228500002</v>
      </c>
      <c r="G79" s="13">
        <f t="shared" si="18"/>
        <v>540623.42838000006</v>
      </c>
      <c r="H79" s="13">
        <f t="shared" si="18"/>
        <v>1606044.1366800002</v>
      </c>
      <c r="I79" s="13">
        <f>SUM(I73:I78)</f>
        <v>5392304.9977050005</v>
      </c>
      <c r="K79" s="212">
        <f>I79*52/1000000</f>
        <v>280.39985988066002</v>
      </c>
    </row>
    <row r="80" spans="2:11">
      <c r="I80" s="114"/>
    </row>
    <row r="81" spans="2:11">
      <c r="K81" s="289">
        <f>I79/'Rodo Direto Base'!I79-1</f>
        <v>-0.10513132276450954</v>
      </c>
    </row>
    <row r="82" spans="2:11" ht="18">
      <c r="B82" s="5" t="s">
        <v>262</v>
      </c>
      <c r="C82" s="98" t="s">
        <v>186</v>
      </c>
      <c r="D82" s="98" t="s">
        <v>38</v>
      </c>
      <c r="E82" s="98" t="s">
        <v>40</v>
      </c>
      <c r="F82" s="98" t="s">
        <v>42</v>
      </c>
      <c r="G82" s="98" t="s">
        <v>43</v>
      </c>
      <c r="H82" s="98" t="s">
        <v>45</v>
      </c>
      <c r="I82" s="5" t="s">
        <v>260</v>
      </c>
    </row>
    <row r="83" spans="2:11" ht="15.6">
      <c r="B83" s="18" t="s">
        <v>186</v>
      </c>
      <c r="C83" s="11"/>
      <c r="D83" s="40">
        <f>D73/$I$79</f>
        <v>3.2318529682421715E-2</v>
      </c>
      <c r="E83" s="40">
        <f>E73/$I$79</f>
        <v>3.8627266738185166E-2</v>
      </c>
      <c r="F83" s="40">
        <f>F73/$I$79</f>
        <v>0</v>
      </c>
      <c r="G83" s="40">
        <f>G73/$I$79</f>
        <v>8.5556888190922636E-2</v>
      </c>
      <c r="H83" s="40">
        <f>H73/$I$79</f>
        <v>0.22834118909150042</v>
      </c>
      <c r="I83" s="163">
        <f t="shared" ref="I83:I88" si="19">SUM(C83:H83)</f>
        <v>0.38484387370302997</v>
      </c>
    </row>
    <row r="84" spans="2:11" ht="15.6">
      <c r="B84" s="18" t="s">
        <v>38</v>
      </c>
      <c r="C84" s="40">
        <f>C74/$I$79</f>
        <v>4.8016101242455124E-2</v>
      </c>
      <c r="D84" s="11"/>
      <c r="E84" s="40">
        <f t="shared" ref="E84:H87" si="20">E74/$I$79</f>
        <v>0</v>
      </c>
      <c r="F84" s="40">
        <f t="shared" si="20"/>
        <v>0</v>
      </c>
      <c r="G84" s="40">
        <f t="shared" si="20"/>
        <v>6.2618098594888188E-3</v>
      </c>
      <c r="H84" s="40">
        <f t="shared" si="20"/>
        <v>5.0875386224770114E-2</v>
      </c>
      <c r="I84" s="163">
        <f t="shared" si="19"/>
        <v>0.10515329732671405</v>
      </c>
    </row>
    <row r="85" spans="2:11" ht="15.6">
      <c r="B85" s="18" t="s">
        <v>40</v>
      </c>
      <c r="C85" s="40">
        <f t="shared" ref="C85:G88" si="21">C75/$I$79</f>
        <v>8.1959136476533911E-2</v>
      </c>
      <c r="D85" s="12">
        <f>(D45+'Hidroviario Base C1'!D45)*$C$67+(D56+'Hidroviario Base C1'!D56)*$C$68+(D69+M69)*$C$69</f>
        <v>0</v>
      </c>
      <c r="E85" s="11"/>
      <c r="F85" s="40">
        <f t="shared" si="20"/>
        <v>0</v>
      </c>
      <c r="G85" s="40">
        <f t="shared" si="20"/>
        <v>8.4396197951282295E-3</v>
      </c>
      <c r="H85" s="40">
        <f t="shared" si="20"/>
        <v>1.8623427681249628E-2</v>
      </c>
      <c r="I85" s="163">
        <f t="shared" si="19"/>
        <v>0.10902218395291176</v>
      </c>
    </row>
    <row r="86" spans="2:11" ht="15.6">
      <c r="B86" s="18" t="s">
        <v>42</v>
      </c>
      <c r="C86" s="40">
        <f t="shared" si="21"/>
        <v>2.1576082020493485E-2</v>
      </c>
      <c r="D86" s="40">
        <f t="shared" si="21"/>
        <v>1.2910435626254347E-3</v>
      </c>
      <c r="E86" s="40">
        <f t="shared" si="21"/>
        <v>1.0270629262174727E-4</v>
      </c>
      <c r="F86" s="11"/>
      <c r="G86" s="40">
        <f t="shared" si="20"/>
        <v>0</v>
      </c>
      <c r="H86" s="40">
        <f t="shared" si="20"/>
        <v>0</v>
      </c>
      <c r="I86" s="163">
        <f t="shared" si="19"/>
        <v>2.2969831875740667E-2</v>
      </c>
    </row>
    <row r="87" spans="2:11" ht="15.6">
      <c r="B87" s="18" t="s">
        <v>43</v>
      </c>
      <c r="C87" s="40">
        <f t="shared" si="21"/>
        <v>2.3092788405514517E-2</v>
      </c>
      <c r="D87" s="40">
        <f t="shared" si="21"/>
        <v>3.7570859156932902E-2</v>
      </c>
      <c r="E87" s="40">
        <f t="shared" si="21"/>
        <v>3.3477158520675308E-2</v>
      </c>
      <c r="F87" s="40">
        <f t="shared" si="21"/>
        <v>9.3067422255156129E-3</v>
      </c>
      <c r="G87" s="11"/>
      <c r="H87" s="40">
        <f t="shared" si="20"/>
        <v>0</v>
      </c>
      <c r="I87" s="163">
        <f t="shared" si="19"/>
        <v>0.10344754830863834</v>
      </c>
    </row>
    <row r="88" spans="2:11" ht="15.6">
      <c r="B88" s="18" t="s">
        <v>45</v>
      </c>
      <c r="C88" s="40">
        <f t="shared" si="21"/>
        <v>8.0694648614125911E-2</v>
      </c>
      <c r="D88" s="40">
        <f t="shared" si="21"/>
        <v>8.2672502615251442E-2</v>
      </c>
      <c r="E88" s="40">
        <f t="shared" si="21"/>
        <v>8.7337453953446526E-2</v>
      </c>
      <c r="F88" s="40">
        <f t="shared" si="21"/>
        <v>2.3858659650141383E-2</v>
      </c>
      <c r="G88" s="40">
        <f t="shared" si="21"/>
        <v>0</v>
      </c>
      <c r="H88" s="11"/>
      <c r="I88" s="163">
        <f t="shared" si="19"/>
        <v>0.27456326483296528</v>
      </c>
    </row>
    <row r="89" spans="2:11" ht="18">
      <c r="B89" s="16" t="s">
        <v>261</v>
      </c>
      <c r="C89" s="162">
        <f t="shared" ref="C89:I89" si="22">SUM(C83:C88)</f>
        <v>0.25533875675912293</v>
      </c>
      <c r="D89" s="162">
        <f t="shared" si="22"/>
        <v>0.15385293501723149</v>
      </c>
      <c r="E89" s="162">
        <f t="shared" si="22"/>
        <v>0.15954458550492875</v>
      </c>
      <c r="F89" s="162">
        <f t="shared" si="22"/>
        <v>3.3165401875656995E-2</v>
      </c>
      <c r="G89" s="162">
        <f t="shared" si="22"/>
        <v>0.10025831784553968</v>
      </c>
      <c r="H89" s="162">
        <f t="shared" si="22"/>
        <v>0.29784000299752017</v>
      </c>
      <c r="I89" s="163">
        <f t="shared" si="22"/>
        <v>1</v>
      </c>
    </row>
    <row r="92" spans="2:11" ht="15.6">
      <c r="B92" s="260" t="s">
        <v>370</v>
      </c>
      <c r="C92" s="260"/>
      <c r="D92" s="260"/>
      <c r="E92" s="260"/>
      <c r="F92" s="260"/>
      <c r="G92" s="260"/>
      <c r="H92" s="260"/>
    </row>
    <row r="93" spans="2:11" ht="18">
      <c r="B93" s="176" t="s">
        <v>266</v>
      </c>
      <c r="C93" s="98" t="s">
        <v>186</v>
      </c>
      <c r="D93" s="98" t="s">
        <v>38</v>
      </c>
      <c r="E93" s="98" t="s">
        <v>40</v>
      </c>
      <c r="F93" s="98" t="s">
        <v>42</v>
      </c>
      <c r="G93" s="98" t="s">
        <v>43</v>
      </c>
      <c r="H93" s="98" t="s">
        <v>45</v>
      </c>
    </row>
    <row r="94" spans="2:11" ht="15.6">
      <c r="B94" s="18" t="s">
        <v>186</v>
      </c>
      <c r="C94" s="11"/>
      <c r="D94" s="166">
        <f>D73/D11</f>
        <v>995.83639500000004</v>
      </c>
      <c r="E94" s="166">
        <f>E73/E11</f>
        <v>1335.1923300000001</v>
      </c>
      <c r="F94" s="166"/>
      <c r="G94" s="166">
        <f t="shared" ref="G94:H96" si="23">G73/G11</f>
        <v>2041.3665300000005</v>
      </c>
      <c r="H94" s="166">
        <f t="shared" si="23"/>
        <v>1900.1316900000002</v>
      </c>
    </row>
    <row r="95" spans="2:11" ht="15.6">
      <c r="B95" s="18" t="s">
        <v>38</v>
      </c>
      <c r="C95" s="166">
        <f>C74/C12</f>
        <v>995.83639500000015</v>
      </c>
      <c r="D95" s="11"/>
      <c r="E95" s="166"/>
      <c r="F95" s="166"/>
      <c r="G95" s="166">
        <f t="shared" si="23"/>
        <v>1688.27943</v>
      </c>
      <c r="H95" s="166">
        <f t="shared" si="23"/>
        <v>2017.1735250000002</v>
      </c>
    </row>
    <row r="96" spans="2:11" ht="15.6">
      <c r="B96" s="18" t="s">
        <v>40</v>
      </c>
      <c r="C96" s="166">
        <f>C75/C13</f>
        <v>1335.1923300000001</v>
      </c>
      <c r="D96" s="166"/>
      <c r="E96" s="11"/>
      <c r="F96" s="166"/>
      <c r="G96" s="166">
        <f t="shared" si="23"/>
        <v>1516.9667999999999</v>
      </c>
      <c r="H96" s="166">
        <f t="shared" si="23"/>
        <v>1731.4345200000002</v>
      </c>
    </row>
    <row r="97" spans="2:8" ht="15.6">
      <c r="B97" s="18" t="s">
        <v>42</v>
      </c>
      <c r="C97" s="166">
        <f>C76/C14</f>
        <v>1352.8466850000002</v>
      </c>
      <c r="D97" s="166">
        <f t="shared" ref="D97:E99" si="24">D76/D14</f>
        <v>773.5222950000001</v>
      </c>
      <c r="E97" s="166">
        <f t="shared" si="24"/>
        <v>553.82365500000003</v>
      </c>
      <c r="F97" s="11"/>
      <c r="G97" s="166"/>
      <c r="H97" s="166"/>
    </row>
    <row r="98" spans="2:8" ht="15.6">
      <c r="B98" s="18" t="s">
        <v>43</v>
      </c>
      <c r="C98" s="166">
        <f>C77/C15</f>
        <v>2041.3665300000002</v>
      </c>
      <c r="D98" s="166">
        <f t="shared" si="24"/>
        <v>1688.2794299999998</v>
      </c>
      <c r="E98" s="166">
        <f t="shared" si="24"/>
        <v>1516.9668000000001</v>
      </c>
      <c r="F98" s="166">
        <f>F77/F15</f>
        <v>1067.7615450000001</v>
      </c>
      <c r="G98" s="11"/>
      <c r="H98" s="166"/>
    </row>
    <row r="99" spans="2:8" ht="15.6">
      <c r="B99" s="18" t="s">
        <v>45</v>
      </c>
      <c r="C99" s="166">
        <f>C78/C16</f>
        <v>1900.1316900000002</v>
      </c>
      <c r="D99" s="166">
        <f t="shared" si="24"/>
        <v>2017.1735250000004</v>
      </c>
      <c r="E99" s="166">
        <f t="shared" si="24"/>
        <v>1731.4345200000002</v>
      </c>
      <c r="F99" s="166">
        <f>F78/F16</f>
        <v>1261.3055850000001</v>
      </c>
      <c r="G99" s="166"/>
      <c r="H99" s="11"/>
    </row>
  </sheetData>
  <mergeCells count="6">
    <mergeCell ref="B92:H92"/>
    <mergeCell ref="B29:I29"/>
    <mergeCell ref="B31:D31"/>
    <mergeCell ref="B42:D42"/>
    <mergeCell ref="B53:D53"/>
    <mergeCell ref="B64:I6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A99F-FBFD-4628-ADA5-4615AE508C97}">
  <dimension ref="B2:K99"/>
  <sheetViews>
    <sheetView showGridLines="0" topLeftCell="A59" zoomScale="70" zoomScaleNormal="70" workbookViewId="0">
      <selection activeCell="P108" sqref="P108"/>
    </sheetView>
  </sheetViews>
  <sheetFormatPr defaultRowHeight="14.4"/>
  <cols>
    <col min="2" max="2" width="34.26171875" customWidth="1"/>
    <col min="3" max="3" width="19.68359375" customWidth="1"/>
    <col min="4" max="8" width="14.578125" customWidth="1"/>
    <col min="9" max="9" width="22.20703125" customWidth="1"/>
    <col min="11" max="11" width="26" customWidth="1"/>
    <col min="12" max="12" width="20.734375" customWidth="1"/>
    <col min="13" max="13" width="16.89453125" customWidth="1"/>
    <col min="14" max="14" width="15.9453125" customWidth="1"/>
    <col min="15" max="15" width="18.9453125" customWidth="1"/>
    <col min="16" max="16" width="15.3125" customWidth="1"/>
    <col min="17" max="17" width="15.734375" customWidth="1"/>
    <col min="18" max="18" width="20.15625" bestFit="1" customWidth="1"/>
  </cols>
  <sheetData>
    <row r="2" spans="2:9" ht="15.6">
      <c r="B2" s="98" t="s">
        <v>184</v>
      </c>
      <c r="C2" s="98" t="s">
        <v>186</v>
      </c>
      <c r="D2" s="98" t="s">
        <v>38</v>
      </c>
      <c r="E2" s="98" t="s">
        <v>40</v>
      </c>
      <c r="F2" s="98" t="s">
        <v>42</v>
      </c>
      <c r="G2" s="98" t="s">
        <v>43</v>
      </c>
      <c r="H2" s="98" t="s">
        <v>45</v>
      </c>
    </row>
    <row r="3" spans="2:9" ht="15.6">
      <c r="B3" s="18" t="s">
        <v>186</v>
      </c>
      <c r="C3" s="112"/>
      <c r="D3" s="113">
        <f>'Distancia Rodo'!D34</f>
        <v>1523</v>
      </c>
      <c r="E3" s="113">
        <f>'Distancia Rodo'!E34</f>
        <v>2042</v>
      </c>
      <c r="F3" s="113">
        <f>'Distancia Rodo'!F34</f>
        <v>2069</v>
      </c>
      <c r="G3" s="113">
        <f>'Distancia Rodo'!G34</f>
        <v>3122</v>
      </c>
      <c r="H3" s="113">
        <f>'Distancia Rodo'!H34</f>
        <v>2906</v>
      </c>
    </row>
    <row r="4" spans="2:9" ht="15.6">
      <c r="B4" s="18" t="s">
        <v>38</v>
      </c>
      <c r="C4" s="113">
        <f>'Distancia Rodo'!C35</f>
        <v>1523</v>
      </c>
      <c r="D4" s="112"/>
      <c r="E4" s="113">
        <f>'Distancia Rodo'!E35</f>
        <v>782</v>
      </c>
      <c r="F4" s="113">
        <f>'Distancia Rodo'!F35</f>
        <v>1183</v>
      </c>
      <c r="G4" s="113">
        <f>'Distancia Rodo'!G35</f>
        <v>2582</v>
      </c>
      <c r="H4" s="113">
        <f>'Distancia Rodo'!H35</f>
        <v>3085</v>
      </c>
    </row>
    <row r="5" spans="2:9" ht="15.6">
      <c r="B5" s="18" t="s">
        <v>40</v>
      </c>
      <c r="C5" s="113">
        <f>'Distancia Rodo'!C36</f>
        <v>2042</v>
      </c>
      <c r="D5" s="113">
        <f>'Distancia Rodo'!D36</f>
        <v>782</v>
      </c>
      <c r="E5" s="112"/>
      <c r="F5" s="113">
        <f>'Distancia Rodo'!F36</f>
        <v>847</v>
      </c>
      <c r="G5" s="113">
        <f>'Distancia Rodo'!G36</f>
        <v>2320</v>
      </c>
      <c r="H5" s="113">
        <f>'Distancia Rodo'!H36</f>
        <v>2648</v>
      </c>
    </row>
    <row r="6" spans="2:9" ht="15.6">
      <c r="B6" s="18" t="s">
        <v>42</v>
      </c>
      <c r="C6" s="113">
        <f>'Distancia Rodo'!C37</f>
        <v>2069</v>
      </c>
      <c r="D6" s="113">
        <f>'Distancia Rodo'!D37</f>
        <v>1183</v>
      </c>
      <c r="E6" s="113">
        <f>'Distancia Rodo'!E37</f>
        <v>847</v>
      </c>
      <c r="F6" s="112"/>
      <c r="G6" s="113">
        <f>'Distancia Rodo'!G37</f>
        <v>1633</v>
      </c>
      <c r="H6" s="113">
        <f>'Distancia Rodo'!H37</f>
        <v>1929</v>
      </c>
    </row>
    <row r="7" spans="2:9" ht="15.6">
      <c r="B7" s="18" t="s">
        <v>43</v>
      </c>
      <c r="C7" s="113">
        <f>'Distancia Rodo'!C38</f>
        <v>3122</v>
      </c>
      <c r="D7" s="113">
        <f>'Distancia Rodo'!D38</f>
        <v>2582</v>
      </c>
      <c r="E7" s="113">
        <f>'Distancia Rodo'!E38</f>
        <v>2320</v>
      </c>
      <c r="F7" s="113">
        <f>'Distancia Rodo'!F38</f>
        <v>1633</v>
      </c>
      <c r="G7" s="112"/>
      <c r="H7" s="113">
        <f>'Distancia Rodo'!H38</f>
        <v>434</v>
      </c>
    </row>
    <row r="8" spans="2:9" ht="15.6">
      <c r="B8" s="18" t="s">
        <v>45</v>
      </c>
      <c r="C8" s="113">
        <f>'Distancia Rodo'!C39</f>
        <v>2906</v>
      </c>
      <c r="D8" s="113">
        <f>'Distancia Rodo'!D39</f>
        <v>3085</v>
      </c>
      <c r="E8" s="113">
        <f>'Distancia Rodo'!E39</f>
        <v>2648</v>
      </c>
      <c r="F8" s="113">
        <f>'Distancia Rodo'!F39</f>
        <v>1929</v>
      </c>
      <c r="G8" s="113">
        <f>'Distancia Rodo'!G39</f>
        <v>434</v>
      </c>
      <c r="H8" s="112"/>
    </row>
    <row r="10" spans="2:9" ht="15.6">
      <c r="B10" s="5" t="s">
        <v>188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5" t="s">
        <v>47</v>
      </c>
    </row>
    <row r="11" spans="2:9" ht="15.6">
      <c r="B11" s="10" t="s">
        <v>4</v>
      </c>
      <c r="C11" s="11">
        <f>'Movimentacao de Conteineres'!K30</f>
        <v>0</v>
      </c>
      <c r="D11" s="12">
        <f>'Movimentacao de Conteineres'!L30</f>
        <v>175</v>
      </c>
      <c r="E11" s="12">
        <f>'Movimentacao de Conteineres'!M30</f>
        <v>156</v>
      </c>
      <c r="F11" s="12">
        <f>'Movimentacao de Conteineres'!N30</f>
        <v>0</v>
      </c>
      <c r="G11" s="12">
        <f>'Movimentacao de Conteineres'!O30</f>
        <v>226</v>
      </c>
      <c r="H11" s="12">
        <f>'Movimentacao de Conteineres'!P30</f>
        <v>648</v>
      </c>
      <c r="I11" s="13">
        <f t="shared" ref="I11:I16" si="0">SUM(C11:H11)</f>
        <v>1205</v>
      </c>
    </row>
    <row r="12" spans="2:9" ht="15.6">
      <c r="B12" s="10" t="s">
        <v>5</v>
      </c>
      <c r="C12" s="12">
        <f>'Movimentacao de Conteineres'!K31</f>
        <v>260</v>
      </c>
      <c r="D12" s="11">
        <f>'Movimentacao de Conteineres'!L31</f>
        <v>0</v>
      </c>
      <c r="E12" s="12">
        <f>'Movimentacao de Conteineres'!M31</f>
        <v>0</v>
      </c>
      <c r="F12" s="12">
        <f>'Movimentacao de Conteineres'!N31</f>
        <v>0</v>
      </c>
      <c r="G12" s="12">
        <f>'Movimentacao de Conteineres'!O31</f>
        <v>20</v>
      </c>
      <c r="H12" s="12">
        <f>'Movimentacao de Conteineres'!P31</f>
        <v>136</v>
      </c>
      <c r="I12" s="13">
        <f t="shared" si="0"/>
        <v>416</v>
      </c>
    </row>
    <row r="13" spans="2:9" ht="15.6">
      <c r="B13" s="10" t="s">
        <v>6</v>
      </c>
      <c r="C13" s="12">
        <f>'Movimentacao de Conteineres'!K32</f>
        <v>331</v>
      </c>
      <c r="D13" s="12">
        <f>'Movimentacao de Conteineres'!L32</f>
        <v>0</v>
      </c>
      <c r="E13" s="11">
        <f>'Movimentacao de Conteineres'!M32</f>
        <v>0</v>
      </c>
      <c r="F13" s="12">
        <f>'Movimentacao de Conteineres'!N32</f>
        <v>0</v>
      </c>
      <c r="G13" s="12">
        <f>'Movimentacao de Conteineres'!O32</f>
        <v>30</v>
      </c>
      <c r="H13" s="12">
        <f>'Movimentacao de Conteineres'!P32</f>
        <v>58</v>
      </c>
      <c r="I13" s="13">
        <f t="shared" si="0"/>
        <v>419</v>
      </c>
    </row>
    <row r="14" spans="2:9" ht="15.6">
      <c r="B14" s="10" t="s">
        <v>7</v>
      </c>
      <c r="C14" s="12">
        <f>'Movimentacao de Conteineres'!K33</f>
        <v>86</v>
      </c>
      <c r="D14" s="12">
        <f>'Movimentacao de Conteineres'!L33</f>
        <v>9</v>
      </c>
      <c r="E14" s="12">
        <f>'Movimentacao de Conteineres'!M33</f>
        <v>1</v>
      </c>
      <c r="F14" s="11">
        <f>'Movimentacao de Conteineres'!N33</f>
        <v>0</v>
      </c>
      <c r="G14" s="12">
        <f>'Movimentacao de Conteineres'!O33</f>
        <v>0</v>
      </c>
      <c r="H14" s="12">
        <f>'Movimentacao de Conteineres'!P33</f>
        <v>0</v>
      </c>
      <c r="I14" s="13">
        <f t="shared" si="0"/>
        <v>96</v>
      </c>
    </row>
    <row r="15" spans="2:9" ht="15.6">
      <c r="B15" s="10" t="s">
        <v>8</v>
      </c>
      <c r="C15" s="12">
        <f>'Movimentacao de Conteineres'!K34</f>
        <v>61</v>
      </c>
      <c r="D15" s="12">
        <f>'Movimentacao de Conteineres'!L34</f>
        <v>120</v>
      </c>
      <c r="E15" s="12">
        <f>'Movimentacao de Conteineres'!M34</f>
        <v>119</v>
      </c>
      <c r="F15" s="12">
        <f>'Movimentacao de Conteineres'!N34</f>
        <v>47</v>
      </c>
      <c r="G15" s="11">
        <f>'Movimentacao de Conteineres'!O34</f>
        <v>0</v>
      </c>
      <c r="H15" s="12">
        <f>'Movimentacao de Conteineres'!P34</f>
        <v>0</v>
      </c>
      <c r="I15" s="13">
        <f t="shared" si="0"/>
        <v>347</v>
      </c>
    </row>
    <row r="16" spans="2:9" ht="15.6">
      <c r="B16" s="10" t="s">
        <v>9</v>
      </c>
      <c r="C16" s="12">
        <f>'Movimentacao de Conteineres'!K35</f>
        <v>229</v>
      </c>
      <c r="D16" s="12">
        <f>'Movimentacao de Conteineres'!L35</f>
        <v>221</v>
      </c>
      <c r="E16" s="12">
        <f>'Movimentacao de Conteineres'!M35</f>
        <v>272</v>
      </c>
      <c r="F16" s="12">
        <f>'Movimentacao de Conteineres'!N35</f>
        <v>102</v>
      </c>
      <c r="G16" s="12">
        <f>'Movimentacao de Conteineres'!O35</f>
        <v>0</v>
      </c>
      <c r="H16" s="11">
        <f>'Movimentacao de Conteineres'!P35</f>
        <v>0</v>
      </c>
      <c r="I16" s="13">
        <f t="shared" si="0"/>
        <v>824</v>
      </c>
    </row>
    <row r="17" spans="2:9" ht="15.6">
      <c r="B17" s="16" t="s">
        <v>48</v>
      </c>
      <c r="C17" s="13">
        <f t="shared" ref="C17:I17" si="1">SUM(C11:C16)</f>
        <v>967</v>
      </c>
      <c r="D17" s="13">
        <f t="shared" si="1"/>
        <v>525</v>
      </c>
      <c r="E17" s="13">
        <f t="shared" si="1"/>
        <v>548</v>
      </c>
      <c r="F17" s="13">
        <f t="shared" si="1"/>
        <v>149</v>
      </c>
      <c r="G17" s="13">
        <f t="shared" si="1"/>
        <v>276</v>
      </c>
      <c r="H17" s="13">
        <f t="shared" si="1"/>
        <v>842</v>
      </c>
      <c r="I17" s="13">
        <f t="shared" si="1"/>
        <v>3307</v>
      </c>
    </row>
    <row r="19" spans="2:9" ht="15.6">
      <c r="B19" s="5" t="s">
        <v>187</v>
      </c>
      <c r="C19" s="98" t="s">
        <v>186</v>
      </c>
      <c r="D19" s="98" t="s">
        <v>38</v>
      </c>
      <c r="E19" s="98" t="s">
        <v>40</v>
      </c>
      <c r="F19" s="98" t="s">
        <v>42</v>
      </c>
      <c r="G19" s="98" t="s">
        <v>43</v>
      </c>
      <c r="H19" s="98" t="s">
        <v>45</v>
      </c>
      <c r="I19" s="5" t="s">
        <v>189</v>
      </c>
    </row>
    <row r="20" spans="2:9" ht="15.6">
      <c r="B20" s="18" t="s">
        <v>186</v>
      </c>
      <c r="C20" s="11"/>
      <c r="D20" s="12">
        <f>D3*D11</f>
        <v>266525</v>
      </c>
      <c r="E20" s="12">
        <f>E3*E11</f>
        <v>318552</v>
      </c>
      <c r="F20" s="12">
        <f>F3*F11</f>
        <v>0</v>
      </c>
      <c r="G20" s="12">
        <f>G3*G11</f>
        <v>705572</v>
      </c>
      <c r="H20" s="12">
        <f>H3*H11</f>
        <v>1883088</v>
      </c>
      <c r="I20" s="13">
        <f t="shared" ref="I20:I25" si="2">SUM(C20:H20)</f>
        <v>3173737</v>
      </c>
    </row>
    <row r="21" spans="2:9" ht="15.6">
      <c r="B21" s="18" t="s">
        <v>38</v>
      </c>
      <c r="C21" s="12">
        <f t="shared" ref="C21:H24" si="3">C4*C12</f>
        <v>395980</v>
      </c>
      <c r="D21" s="11"/>
      <c r="E21" s="12">
        <f t="shared" si="3"/>
        <v>0</v>
      </c>
      <c r="F21" s="12">
        <f t="shared" si="3"/>
        <v>0</v>
      </c>
      <c r="G21" s="12">
        <f t="shared" si="3"/>
        <v>51640</v>
      </c>
      <c r="H21" s="12">
        <f t="shared" si="3"/>
        <v>419560</v>
      </c>
      <c r="I21" s="13">
        <f t="shared" si="2"/>
        <v>867180</v>
      </c>
    </row>
    <row r="22" spans="2:9" ht="15.6">
      <c r="B22" s="18" t="s">
        <v>40</v>
      </c>
      <c r="C22" s="12">
        <f t="shared" si="3"/>
        <v>675902</v>
      </c>
      <c r="D22" s="12">
        <f t="shared" si="3"/>
        <v>0</v>
      </c>
      <c r="E22" s="11"/>
      <c r="F22" s="12">
        <f t="shared" si="3"/>
        <v>0</v>
      </c>
      <c r="G22" s="12">
        <f t="shared" si="3"/>
        <v>69600</v>
      </c>
      <c r="H22" s="12">
        <f t="shared" si="3"/>
        <v>153584</v>
      </c>
      <c r="I22" s="13">
        <f t="shared" si="2"/>
        <v>899086</v>
      </c>
    </row>
    <row r="23" spans="2:9" ht="15.6">
      <c r="B23" s="18" t="s">
        <v>42</v>
      </c>
      <c r="C23" s="12">
        <f t="shared" si="3"/>
        <v>177934</v>
      </c>
      <c r="D23" s="12">
        <f t="shared" si="3"/>
        <v>10647</v>
      </c>
      <c r="E23" s="12">
        <f t="shared" si="3"/>
        <v>847</v>
      </c>
      <c r="F23" s="11"/>
      <c r="G23" s="12">
        <f t="shared" si="3"/>
        <v>0</v>
      </c>
      <c r="H23" s="12">
        <f t="shared" si="3"/>
        <v>0</v>
      </c>
      <c r="I23" s="13">
        <f t="shared" si="2"/>
        <v>189428</v>
      </c>
    </row>
    <row r="24" spans="2:9" ht="15.6">
      <c r="B24" s="18" t="s">
        <v>43</v>
      </c>
      <c r="C24" s="12">
        <f t="shared" si="3"/>
        <v>190442</v>
      </c>
      <c r="D24" s="12">
        <f t="shared" si="3"/>
        <v>309840</v>
      </c>
      <c r="E24" s="12">
        <f t="shared" si="3"/>
        <v>276080</v>
      </c>
      <c r="F24" s="12">
        <f t="shared" si="3"/>
        <v>76751</v>
      </c>
      <c r="G24" s="11"/>
      <c r="H24" s="12">
        <f t="shared" si="3"/>
        <v>0</v>
      </c>
      <c r="I24" s="13">
        <f t="shared" si="2"/>
        <v>853113</v>
      </c>
    </row>
    <row r="25" spans="2:9" ht="15.6">
      <c r="B25" s="18" t="s">
        <v>45</v>
      </c>
      <c r="C25" s="12">
        <f>C8*C16</f>
        <v>665474</v>
      </c>
      <c r="D25" s="12">
        <f>D8*D16</f>
        <v>681785</v>
      </c>
      <c r="E25" s="12">
        <f>E8*E16</f>
        <v>720256</v>
      </c>
      <c r="F25" s="12">
        <f>F8*F16</f>
        <v>196758</v>
      </c>
      <c r="G25" s="12">
        <f>G8*G16</f>
        <v>0</v>
      </c>
      <c r="H25" s="11"/>
      <c r="I25" s="13">
        <f t="shared" si="2"/>
        <v>2264273</v>
      </c>
    </row>
    <row r="26" spans="2:9" ht="15.6">
      <c r="B26" s="16" t="s">
        <v>190</v>
      </c>
      <c r="C26" s="13">
        <f t="shared" ref="C26:H26" si="4">SUM(C20:C25)</f>
        <v>2105732</v>
      </c>
      <c r="D26" s="13">
        <f t="shared" si="4"/>
        <v>1268797</v>
      </c>
      <c r="E26" s="13">
        <f t="shared" si="4"/>
        <v>1315735</v>
      </c>
      <c r="F26" s="13">
        <f t="shared" si="4"/>
        <v>273509</v>
      </c>
      <c r="G26" s="13">
        <f t="shared" si="4"/>
        <v>826812</v>
      </c>
      <c r="H26" s="13">
        <f t="shared" si="4"/>
        <v>2456232</v>
      </c>
      <c r="I26" s="13">
        <f>SUM(I20:I25)</f>
        <v>8246817</v>
      </c>
    </row>
    <row r="29" spans="2:9" ht="23.1">
      <c r="B29" s="273" t="s">
        <v>562</v>
      </c>
      <c r="C29" s="273"/>
      <c r="D29" s="273"/>
      <c r="E29" s="273"/>
      <c r="F29" s="273"/>
      <c r="G29" s="273"/>
      <c r="H29" s="273"/>
      <c r="I29" s="273"/>
    </row>
    <row r="31" spans="2:9" ht="18">
      <c r="B31" s="272" t="s">
        <v>238</v>
      </c>
      <c r="C31" s="272"/>
      <c r="D31" s="272"/>
      <c r="E31" s="187">
        <f>'Fatores Emissao'!C80</f>
        <v>0.69345196425222089</v>
      </c>
      <c r="F31" s="164" t="s">
        <v>237</v>
      </c>
    </row>
    <row r="32" spans="2:9" ht="18">
      <c r="B32" s="5" t="s">
        <v>239</v>
      </c>
      <c r="C32" s="98" t="s">
        <v>186</v>
      </c>
      <c r="D32" s="98" t="s">
        <v>38</v>
      </c>
      <c r="E32" s="98" t="s">
        <v>40</v>
      </c>
      <c r="F32" s="98" t="s">
        <v>42</v>
      </c>
      <c r="G32" s="98" t="s">
        <v>43</v>
      </c>
      <c r="H32" s="98" t="s">
        <v>45</v>
      </c>
      <c r="I32" s="5" t="s">
        <v>240</v>
      </c>
    </row>
    <row r="33" spans="2:9" ht="15.6">
      <c r="B33" s="18" t="s">
        <v>186</v>
      </c>
      <c r="C33" s="11"/>
      <c r="D33" s="12">
        <f>D20*$E$31</f>
        <v>184822.28477232318</v>
      </c>
      <c r="E33" s="12">
        <f>E20*$E$31</f>
        <v>220900.51011647348</v>
      </c>
      <c r="F33" s="12">
        <f>F20*$E$31</f>
        <v>0</v>
      </c>
      <c r="G33" s="12">
        <f>G20*$E$31</f>
        <v>489280.28932136798</v>
      </c>
      <c r="H33" s="12">
        <f>H20*$E$31</f>
        <v>1305831.0724597862</v>
      </c>
      <c r="I33" s="13">
        <f t="shared" ref="I33:I38" si="5">SUM(C33:H33)</f>
        <v>2200834.156669951</v>
      </c>
    </row>
    <row r="34" spans="2:9" ht="15.6">
      <c r="B34" s="18" t="s">
        <v>38</v>
      </c>
      <c r="C34" s="12">
        <f>C21*$E$31</f>
        <v>274593.10880459443</v>
      </c>
      <c r="D34" s="11"/>
      <c r="E34" s="12">
        <f>E21*$E$31</f>
        <v>0</v>
      </c>
      <c r="F34" s="12">
        <f>F21*$E$31</f>
        <v>0</v>
      </c>
      <c r="G34" s="12">
        <f>G21*$E$31</f>
        <v>35809.85943398469</v>
      </c>
      <c r="H34" s="12">
        <f>H21*$E$31</f>
        <v>290944.70612166182</v>
      </c>
      <c r="I34" s="13">
        <f t="shared" si="5"/>
        <v>601347.67436024093</v>
      </c>
    </row>
    <row r="35" spans="2:9" ht="15.6">
      <c r="B35" s="18" t="s">
        <v>40</v>
      </c>
      <c r="C35" s="12">
        <f>C22*$E$31</f>
        <v>468705.56954200461</v>
      </c>
      <c r="D35" s="12">
        <f>D22*$E$31</f>
        <v>0</v>
      </c>
      <c r="E35" s="11"/>
      <c r="F35" s="12">
        <f>F22*$E$31</f>
        <v>0</v>
      </c>
      <c r="G35" s="12">
        <f>G22*$E$31</f>
        <v>48264.256711954571</v>
      </c>
      <c r="H35" s="12">
        <f>H22*$E$31</f>
        <v>106503.12647771309</v>
      </c>
      <c r="I35" s="13">
        <f t="shared" si="5"/>
        <v>623472.95273167233</v>
      </c>
    </row>
    <row r="36" spans="2:9" ht="15.6">
      <c r="B36" s="18" t="s">
        <v>42</v>
      </c>
      <c r="C36" s="12">
        <f>C23*$E$31</f>
        <v>123388.68180725467</v>
      </c>
      <c r="D36" s="12">
        <f>D23*$E$31</f>
        <v>7383.183063393396</v>
      </c>
      <c r="E36" s="12">
        <f>E23*$E$31</f>
        <v>587.35381372163113</v>
      </c>
      <c r="F36" s="11"/>
      <c r="G36" s="12">
        <f>G23*$E$31</f>
        <v>0</v>
      </c>
      <c r="H36" s="12">
        <f>H23*$E$31</f>
        <v>0</v>
      </c>
      <c r="I36" s="13">
        <f t="shared" si="5"/>
        <v>131359.2186843697</v>
      </c>
    </row>
    <row r="37" spans="2:9" ht="15.6">
      <c r="B37" s="18" t="s">
        <v>43</v>
      </c>
      <c r="C37" s="12">
        <f>C24*$E$31</f>
        <v>132062.37897612146</v>
      </c>
      <c r="D37" s="12">
        <f>D24*$E$31</f>
        <v>214859.15660390811</v>
      </c>
      <c r="E37" s="12">
        <f>E24*$E$31</f>
        <v>191448.21829075314</v>
      </c>
      <c r="F37" s="12">
        <f>F24*$E$31</f>
        <v>53223.131708322202</v>
      </c>
      <c r="G37" s="11"/>
      <c r="H37" s="12">
        <f>H24*$E$31</f>
        <v>0</v>
      </c>
      <c r="I37" s="13">
        <f t="shared" si="5"/>
        <v>591592.88557910488</v>
      </c>
    </row>
    <row r="38" spans="2:9" ht="15.6">
      <c r="B38" s="18" t="s">
        <v>45</v>
      </c>
      <c r="C38" s="12">
        <f>C25*$E$31</f>
        <v>461474.25245878246</v>
      </c>
      <c r="D38" s="12">
        <f>D25*$E$31</f>
        <v>472785.14744770044</v>
      </c>
      <c r="E38" s="12">
        <f>E25*$E$31</f>
        <v>499462.9379644476</v>
      </c>
      <c r="F38" s="12">
        <f>F25*$E$31</f>
        <v>136442.22158233848</v>
      </c>
      <c r="G38" s="12">
        <f>G25*$E$31</f>
        <v>0</v>
      </c>
      <c r="H38" s="11"/>
      <c r="I38" s="13">
        <f t="shared" si="5"/>
        <v>1570164.559453269</v>
      </c>
    </row>
    <row r="39" spans="2:9" ht="18">
      <c r="B39" s="16" t="s">
        <v>241</v>
      </c>
      <c r="C39" s="13">
        <f t="shared" ref="C39:H39" si="6">SUM(C33:C38)</f>
        <v>1460223.9915887576</v>
      </c>
      <c r="D39" s="13">
        <f t="shared" si="6"/>
        <v>879849.77188732522</v>
      </c>
      <c r="E39" s="13">
        <f t="shared" si="6"/>
        <v>912399.02018539584</v>
      </c>
      <c r="F39" s="13">
        <f t="shared" si="6"/>
        <v>189665.35329066069</v>
      </c>
      <c r="G39" s="13">
        <f t="shared" si="6"/>
        <v>573354.40546730731</v>
      </c>
      <c r="H39" s="13">
        <f t="shared" si="6"/>
        <v>1703278.9050591609</v>
      </c>
      <c r="I39" s="13">
        <f>SUM(I33:I38)</f>
        <v>5718771.4474786073</v>
      </c>
    </row>
    <row r="42" spans="2:9" ht="18">
      <c r="B42" s="272" t="s">
        <v>242</v>
      </c>
      <c r="C42" s="272"/>
      <c r="D42" s="272"/>
      <c r="E42" s="159">
        <f>'Fatores Emissao'!D80</f>
        <v>5.5923546298482603E-3</v>
      </c>
      <c r="F42" s="164" t="s">
        <v>281</v>
      </c>
    </row>
    <row r="43" spans="2:9" ht="18">
      <c r="B43" s="5" t="s">
        <v>255</v>
      </c>
      <c r="C43" s="98" t="s">
        <v>186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243</v>
      </c>
    </row>
    <row r="44" spans="2:9" ht="15.6">
      <c r="B44" s="18" t="s">
        <v>186</v>
      </c>
      <c r="C44" s="11"/>
      <c r="D44" s="12">
        <f>D20*$E$42/1000</f>
        <v>1.4905023177203074</v>
      </c>
      <c r="E44" s="12">
        <f>E20*$E$42/1000</f>
        <v>1.781455752047423</v>
      </c>
      <c r="F44" s="12">
        <f>F20*$E$42/1000</f>
        <v>0</v>
      </c>
      <c r="G44" s="12">
        <f>G20*$E$42/1000</f>
        <v>3.9458088408912966</v>
      </c>
      <c r="H44" s="12">
        <f>H20*$E$42/1000</f>
        <v>10.530895895211701</v>
      </c>
      <c r="I44" s="13">
        <f t="shared" ref="I44:I49" si="7">SUM(C44:H44)</f>
        <v>17.74866280587073</v>
      </c>
    </row>
    <row r="45" spans="2:9" ht="15.6">
      <c r="B45" s="18" t="s">
        <v>38</v>
      </c>
      <c r="C45" s="12">
        <f>C21*$E$42/1000</f>
        <v>2.2144605863273141</v>
      </c>
      <c r="D45" s="11"/>
      <c r="E45" s="12">
        <f>E21*$E$42/1000</f>
        <v>0</v>
      </c>
      <c r="F45" s="12">
        <f>F21*$E$42/1000</f>
        <v>0</v>
      </c>
      <c r="G45" s="12">
        <f>G21*$E$42/1000</f>
        <v>0.28878919308536416</v>
      </c>
      <c r="H45" s="12">
        <f>H21*$E$42/1000</f>
        <v>2.3463283084991362</v>
      </c>
      <c r="I45" s="13">
        <f t="shared" si="7"/>
        <v>4.849578087911814</v>
      </c>
    </row>
    <row r="46" spans="2:9" ht="15.6">
      <c r="B46" s="18" t="s">
        <v>40</v>
      </c>
      <c r="C46" s="12">
        <f>C22*$E$42/1000</f>
        <v>3.7798836790236989</v>
      </c>
      <c r="D46" s="12">
        <f>D22*$E$42/1000</f>
        <v>0</v>
      </c>
      <c r="E46" s="11"/>
      <c r="F46" s="12">
        <f>F22*$E$42/1000</f>
        <v>0</v>
      </c>
      <c r="G46" s="12">
        <f>G22*$E$42/1000</f>
        <v>0.38922788223743893</v>
      </c>
      <c r="H46" s="12">
        <f>H22*$E$42/1000</f>
        <v>0.85889619347061519</v>
      </c>
      <c r="I46" s="13">
        <f t="shared" si="7"/>
        <v>5.0280077547317532</v>
      </c>
    </row>
    <row r="47" spans="2:9" ht="15.6">
      <c r="B47" s="18" t="s">
        <v>42</v>
      </c>
      <c r="C47" s="12">
        <f>C23*$E$42/1000</f>
        <v>0.99507002870742034</v>
      </c>
      <c r="D47" s="12">
        <f>D23*$E$42/1000</f>
        <v>5.9541799743994421E-2</v>
      </c>
      <c r="E47" s="12">
        <f>E23*$E$42/1000</f>
        <v>4.7367243714814761E-3</v>
      </c>
      <c r="F47" s="11"/>
      <c r="G47" s="12">
        <f>G23*$E$42/1000</f>
        <v>0</v>
      </c>
      <c r="H47" s="12">
        <f>H23*$E$42/1000</f>
        <v>0</v>
      </c>
      <c r="I47" s="13">
        <f t="shared" si="7"/>
        <v>1.0593485528228963</v>
      </c>
    </row>
    <row r="48" spans="2:9" ht="15.6">
      <c r="B48" s="18" t="s">
        <v>43</v>
      </c>
      <c r="C48" s="12">
        <f>C24*$E$42/1000</f>
        <v>1.0650192004175625</v>
      </c>
      <c r="D48" s="12">
        <f>D24*$E$42/1000</f>
        <v>1.7327351585121848</v>
      </c>
      <c r="E48" s="12">
        <f>E24*$E$42/1000</f>
        <v>1.5439372662085078</v>
      </c>
      <c r="F48" s="12">
        <f>F24*$E$42/1000</f>
        <v>0.4292188101954838</v>
      </c>
      <c r="G48" s="11"/>
      <c r="H48" s="12">
        <f>H24*$E$42/1000</f>
        <v>0</v>
      </c>
      <c r="I48" s="13">
        <f t="shared" si="7"/>
        <v>4.7709104353337386</v>
      </c>
    </row>
    <row r="49" spans="2:9" ht="15.6">
      <c r="B49" s="18" t="s">
        <v>45</v>
      </c>
      <c r="C49" s="12">
        <f>C25*$E$42/1000</f>
        <v>3.7215666049436411</v>
      </c>
      <c r="D49" s="12">
        <f>D25*$E$42/1000</f>
        <v>3.8127835013110962</v>
      </c>
      <c r="E49" s="12">
        <f>E25*$E$42/1000</f>
        <v>4.0279269762759888</v>
      </c>
      <c r="F49" s="12">
        <f>F25*$E$42/1000</f>
        <v>1.1003405122596839</v>
      </c>
      <c r="G49" s="12">
        <f>G25*$E$42/1000</f>
        <v>0</v>
      </c>
      <c r="H49" s="11"/>
      <c r="I49" s="13">
        <f t="shared" si="7"/>
        <v>12.662617594790412</v>
      </c>
    </row>
    <row r="50" spans="2:9" ht="18">
      <c r="B50" s="16" t="s">
        <v>244</v>
      </c>
      <c r="C50" s="13">
        <f t="shared" ref="C50:H50" si="8">SUM(C44:C49)</f>
        <v>11.776000099419637</v>
      </c>
      <c r="D50" s="13">
        <f t="shared" si="8"/>
        <v>7.0955627772875829</v>
      </c>
      <c r="E50" s="13">
        <f t="shared" si="8"/>
        <v>7.3580567189034012</v>
      </c>
      <c r="F50" s="13">
        <f t="shared" si="8"/>
        <v>1.5295593224551678</v>
      </c>
      <c r="G50" s="13">
        <f t="shared" si="8"/>
        <v>4.6238259162140993</v>
      </c>
      <c r="H50" s="13">
        <f t="shared" si="8"/>
        <v>13.736120397181454</v>
      </c>
      <c r="I50" s="13">
        <f>SUM(I44:I49)</f>
        <v>46.119125231461346</v>
      </c>
    </row>
    <row r="53" spans="2:9" ht="18">
      <c r="B53" s="272" t="s">
        <v>245</v>
      </c>
      <c r="C53" s="272"/>
      <c r="D53" s="272"/>
      <c r="E53" s="187">
        <f>'Fatores Emissao'!E80</f>
        <v>2.6719027675941687E-2</v>
      </c>
      <c r="F53" s="164" t="s">
        <v>282</v>
      </c>
    </row>
    <row r="54" spans="2:9" ht="18">
      <c r="B54" s="5" t="s">
        <v>254</v>
      </c>
      <c r="C54" s="98" t="s">
        <v>186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246</v>
      </c>
    </row>
    <row r="55" spans="2:9" ht="15.6">
      <c r="B55" s="18" t="s">
        <v>186</v>
      </c>
      <c r="C55" s="11"/>
      <c r="D55" s="12">
        <f>D20*$E$53/1000</f>
        <v>7.121288851330358</v>
      </c>
      <c r="E55" s="12">
        <f>E20*$E$53/1000</f>
        <v>8.5113997042265765</v>
      </c>
      <c r="F55" s="12">
        <f>F20*$E$53/1000</f>
        <v>0</v>
      </c>
      <c r="G55" s="12">
        <f>G20*$E$53/1000</f>
        <v>18.852197795369527</v>
      </c>
      <c r="H55" s="12">
        <f>H20*$E$53/1000</f>
        <v>50.314280388233684</v>
      </c>
      <c r="I55" s="13">
        <f t="shared" ref="I55:I60" si="9">SUM(C55:H55)</f>
        <v>84.799166739160142</v>
      </c>
    </row>
    <row r="56" spans="2:9" ht="15.6">
      <c r="B56" s="18" t="s">
        <v>38</v>
      </c>
      <c r="C56" s="60">
        <f>C21*$E$53/1000</f>
        <v>10.58020057911939</v>
      </c>
      <c r="D56" s="171"/>
      <c r="E56" s="60">
        <f>E21*$E$53/1000</f>
        <v>0</v>
      </c>
      <c r="F56" s="60">
        <f>F21*$E$53/1000</f>
        <v>0</v>
      </c>
      <c r="G56" s="60">
        <f>G21*$E$53/1000</f>
        <v>1.3797705891856287</v>
      </c>
      <c r="H56" s="60">
        <f>H21*$E$53/1000</f>
        <v>11.210235251718096</v>
      </c>
      <c r="I56" s="230">
        <f t="shared" si="9"/>
        <v>23.170206420023113</v>
      </c>
    </row>
    <row r="57" spans="2:9" ht="15.6">
      <c r="B57" s="18" t="s">
        <v>40</v>
      </c>
      <c r="C57" s="60">
        <f>C22*$E$53/1000</f>
        <v>18.059444244224338</v>
      </c>
      <c r="D57" s="60">
        <f>D22*$E$53/1000</f>
        <v>0</v>
      </c>
      <c r="E57" s="171"/>
      <c r="F57" s="60">
        <f>F22*$E$53/1000</f>
        <v>0</v>
      </c>
      <c r="G57" s="60">
        <f>G22*$E$53/1000</f>
        <v>1.8596443262455413</v>
      </c>
      <c r="H57" s="60">
        <f>H22*$E$53/1000</f>
        <v>4.103615146581828</v>
      </c>
      <c r="I57" s="230">
        <f t="shared" si="9"/>
        <v>24.022703717051705</v>
      </c>
    </row>
    <row r="58" spans="2:9" ht="15.6">
      <c r="B58" s="18" t="s">
        <v>42</v>
      </c>
      <c r="C58" s="60">
        <f>C23*$E$53/1000</f>
        <v>4.7542234704910076</v>
      </c>
      <c r="D58" s="60">
        <f>D23*$E$53/1000</f>
        <v>0.28447748766575115</v>
      </c>
      <c r="E58" s="60">
        <f>E23*$E$53/1000</f>
        <v>2.2631016441522607E-2</v>
      </c>
      <c r="F58" s="171"/>
      <c r="G58" s="60">
        <f>G23*$E$53/1000</f>
        <v>0</v>
      </c>
      <c r="H58" s="60">
        <f>H23*$E$53/1000</f>
        <v>0</v>
      </c>
      <c r="I58" s="230">
        <f t="shared" si="9"/>
        <v>5.0613319745982812</v>
      </c>
    </row>
    <row r="59" spans="2:9" ht="15.6">
      <c r="B59" s="18" t="s">
        <v>43</v>
      </c>
      <c r="C59" s="60">
        <f>C24*$E$53/1000</f>
        <v>5.088425068661687</v>
      </c>
      <c r="D59" s="60">
        <f>D24*$E$53/1000</f>
        <v>8.2786235351137734</v>
      </c>
      <c r="E59" s="60">
        <f>E24*$E$53/1000</f>
        <v>7.3765891607739817</v>
      </c>
      <c r="F59" s="60">
        <f>F24*$E$53/1000</f>
        <v>2.0507120931562004</v>
      </c>
      <c r="G59" s="171"/>
      <c r="H59" s="60">
        <f>H24*$E$53/1000</f>
        <v>0</v>
      </c>
      <c r="I59" s="230">
        <f t="shared" si="9"/>
        <v>22.79434985770564</v>
      </c>
    </row>
    <row r="60" spans="2:9" ht="15.6">
      <c r="B60" s="18" t="s">
        <v>45</v>
      </c>
      <c r="C60" s="60">
        <f>C25*$E$53/1000</f>
        <v>17.780818223619619</v>
      </c>
      <c r="D60" s="60">
        <f>D25*$E$53/1000</f>
        <v>18.2166322840419</v>
      </c>
      <c r="E60" s="60">
        <f>E25*$E$53/1000</f>
        <v>19.244539997763056</v>
      </c>
      <c r="F60" s="60">
        <f>F25*$E$53/1000</f>
        <v>5.2571824474629345</v>
      </c>
      <c r="G60" s="60">
        <f>G25*$E$53/1000</f>
        <v>0</v>
      </c>
      <c r="H60" s="171"/>
      <c r="I60" s="230">
        <f t="shared" si="9"/>
        <v>60.499172952887506</v>
      </c>
    </row>
    <row r="61" spans="2:9" ht="18">
      <c r="B61" s="16" t="s">
        <v>247</v>
      </c>
      <c r="C61" s="230">
        <f t="shared" ref="C61:H61" si="10">SUM(C55:C60)</f>
        <v>56.26311158611604</v>
      </c>
      <c r="D61" s="230">
        <f t="shared" si="10"/>
        <v>33.901022158151783</v>
      </c>
      <c r="E61" s="230">
        <f t="shared" si="10"/>
        <v>35.155159879205137</v>
      </c>
      <c r="F61" s="230">
        <f t="shared" si="10"/>
        <v>7.3078945406191345</v>
      </c>
      <c r="G61" s="230">
        <f t="shared" si="10"/>
        <v>22.091612710800696</v>
      </c>
      <c r="H61" s="230">
        <f t="shared" si="10"/>
        <v>65.628130786533603</v>
      </c>
      <c r="I61" s="230">
        <f>SUM(I55:I60)</f>
        <v>220.3469316614264</v>
      </c>
    </row>
    <row r="64" spans="2:9" ht="20.399999999999999">
      <c r="B64" s="266" t="s">
        <v>563</v>
      </c>
      <c r="C64" s="266"/>
      <c r="D64" s="266"/>
      <c r="E64" s="266"/>
      <c r="F64" s="266"/>
      <c r="G64" s="266"/>
      <c r="H64" s="266"/>
      <c r="I64" s="266"/>
    </row>
    <row r="66" spans="2:11" ht="15.6">
      <c r="B66" s="98" t="s">
        <v>236</v>
      </c>
      <c r="C66" s="98" t="s">
        <v>235</v>
      </c>
    </row>
    <row r="67" spans="2:11" ht="18">
      <c r="B67" s="18" t="s">
        <v>251</v>
      </c>
      <c r="C67" s="18">
        <f>'Fatores Emissao'!O6</f>
        <v>1</v>
      </c>
    </row>
    <row r="68" spans="2:11" ht="18">
      <c r="B68" s="18" t="s">
        <v>252</v>
      </c>
      <c r="C68" s="18">
        <f>'Fatores Emissao'!O7</f>
        <v>28</v>
      </c>
    </row>
    <row r="69" spans="2:11" ht="18">
      <c r="B69" s="18" t="s">
        <v>253</v>
      </c>
      <c r="C69" s="18">
        <f>'Fatores Emissao'!O8</f>
        <v>265</v>
      </c>
    </row>
    <row r="72" spans="2:11" ht="18">
      <c r="B72" s="5" t="s">
        <v>256</v>
      </c>
      <c r="C72" s="98" t="s">
        <v>186</v>
      </c>
      <c r="D72" s="98" t="s">
        <v>38</v>
      </c>
      <c r="E72" s="98" t="s">
        <v>40</v>
      </c>
      <c r="F72" s="98" t="s">
        <v>42</v>
      </c>
      <c r="G72" s="98" t="s">
        <v>43</v>
      </c>
      <c r="H72" s="98" t="s">
        <v>45</v>
      </c>
      <c r="I72" s="5" t="s">
        <v>257</v>
      </c>
    </row>
    <row r="73" spans="2:11" ht="15.6">
      <c r="B73" s="18" t="s">
        <v>186</v>
      </c>
      <c r="C73" s="11">
        <f t="shared" ref="C73:H73" si="11">C33*$C$67+C44*$C$68+C55*$C$69</f>
        <v>0</v>
      </c>
      <c r="D73" s="12">
        <f t="shared" si="11"/>
        <v>186751.16038282189</v>
      </c>
      <c r="E73" s="12">
        <f t="shared" si="11"/>
        <v>223205.91179915087</v>
      </c>
      <c r="F73" s="12">
        <f t="shared" si="11"/>
        <v>0</v>
      </c>
      <c r="G73" s="12">
        <f t="shared" si="11"/>
        <v>494386.60438468587</v>
      </c>
      <c r="H73" s="12">
        <f t="shared" si="11"/>
        <v>1319459.2218477339</v>
      </c>
      <c r="I73" s="13">
        <f t="shared" ref="I73:I78" si="12">SUM(C73:H73)</f>
        <v>2223802.8984143925</v>
      </c>
    </row>
    <row r="74" spans="2:11" ht="15.6">
      <c r="B74" s="18" t="s">
        <v>38</v>
      </c>
      <c r="C74" s="12">
        <f>C34*$C$67+C45*$C$68+C56*$C$69</f>
        <v>277458.8668544782</v>
      </c>
      <c r="D74" s="11">
        <f t="shared" ref="D74:H74" si="13">D34*$C$67+D45*$C$68+D56*$C$69</f>
        <v>0</v>
      </c>
      <c r="E74" s="12">
        <f t="shared" si="13"/>
        <v>0</v>
      </c>
      <c r="F74" s="12">
        <f t="shared" si="13"/>
        <v>0</v>
      </c>
      <c r="G74" s="12">
        <f t="shared" si="13"/>
        <v>36183.584737525271</v>
      </c>
      <c r="H74" s="12">
        <f t="shared" si="13"/>
        <v>293981.11565600504</v>
      </c>
      <c r="I74" s="13">
        <f t="shared" si="12"/>
        <v>607623.56724800845</v>
      </c>
    </row>
    <row r="75" spans="2:11" ht="15.6">
      <c r="B75" s="18" t="s">
        <v>40</v>
      </c>
      <c r="C75" s="12">
        <f t="shared" ref="C75:H75" si="14">C35*$C$67+C46*$C$68+C57*$C$69</f>
        <v>473597.15900973673</v>
      </c>
      <c r="D75" s="12">
        <f t="shared" si="14"/>
        <v>0</v>
      </c>
      <c r="E75" s="11">
        <f t="shared" si="14"/>
        <v>0</v>
      </c>
      <c r="F75" s="12">
        <f t="shared" si="14"/>
        <v>0</v>
      </c>
      <c r="G75" s="12">
        <f t="shared" si="14"/>
        <v>48767.960839112282</v>
      </c>
      <c r="H75" s="12">
        <f t="shared" si="14"/>
        <v>107614.63358497445</v>
      </c>
      <c r="I75" s="13">
        <f t="shared" si="12"/>
        <v>629979.75343382347</v>
      </c>
    </row>
    <row r="76" spans="2:11" ht="15.6">
      <c r="B76" s="18" t="s">
        <v>42</v>
      </c>
      <c r="C76" s="12">
        <f t="shared" ref="C76:H76" si="15">C36*$C$67+C47*$C$68+C58*$C$69</f>
        <v>124676.4129877386</v>
      </c>
      <c r="D76" s="12">
        <f t="shared" si="15"/>
        <v>7460.2367680176512</v>
      </c>
      <c r="E76" s="12">
        <f t="shared" si="15"/>
        <v>593.48366136103607</v>
      </c>
      <c r="F76" s="11">
        <f t="shared" si="15"/>
        <v>0</v>
      </c>
      <c r="G76" s="12">
        <f t="shared" si="15"/>
        <v>0</v>
      </c>
      <c r="H76" s="12">
        <f t="shared" si="15"/>
        <v>0</v>
      </c>
      <c r="I76" s="13">
        <f t="shared" si="12"/>
        <v>132730.13341711729</v>
      </c>
    </row>
    <row r="77" spans="2:11" ht="15.6">
      <c r="B77" s="18" t="s">
        <v>43</v>
      </c>
      <c r="C77" s="12">
        <f t="shared" ref="C77:H77" si="16">C37*$C$67+C48*$C$68+C59*$C$69</f>
        <v>133440.63215692851</v>
      </c>
      <c r="D77" s="12">
        <f t="shared" si="16"/>
        <v>217101.50842515158</v>
      </c>
      <c r="E77" s="12">
        <f t="shared" si="16"/>
        <v>193446.24466181209</v>
      </c>
      <c r="F77" s="12">
        <f t="shared" si="16"/>
        <v>53778.588539694065</v>
      </c>
      <c r="G77" s="11">
        <f t="shared" si="16"/>
        <v>0</v>
      </c>
      <c r="H77" s="12">
        <f t="shared" si="16"/>
        <v>0</v>
      </c>
      <c r="I77" s="13">
        <f t="shared" si="12"/>
        <v>597766.97378358629</v>
      </c>
    </row>
    <row r="78" spans="2:11" ht="15.6">
      <c r="B78" s="18" t="s">
        <v>45</v>
      </c>
      <c r="C78" s="12">
        <f t="shared" ref="C78:H78" si="17">C38*$C$67+C49*$C$68+C60*$C$69</f>
        <v>466290.37315298006</v>
      </c>
      <c r="D78" s="12">
        <f t="shared" si="17"/>
        <v>477719.31294100825</v>
      </c>
      <c r="E78" s="12">
        <f t="shared" si="17"/>
        <v>504675.52301919059</v>
      </c>
      <c r="F78" s="12">
        <f t="shared" si="17"/>
        <v>137866.18446525943</v>
      </c>
      <c r="G78" s="12">
        <f t="shared" si="17"/>
        <v>0</v>
      </c>
      <c r="H78" s="11">
        <f t="shared" si="17"/>
        <v>0</v>
      </c>
      <c r="I78" s="13">
        <f t="shared" si="12"/>
        <v>1586551.3935784386</v>
      </c>
    </row>
    <row r="79" spans="2:11" ht="18">
      <c r="B79" s="16" t="s">
        <v>258</v>
      </c>
      <c r="C79" s="13">
        <f t="shared" ref="C79:H79" si="18">SUM(C73:C78)</f>
        <v>1475463.4441618621</v>
      </c>
      <c r="D79" s="13">
        <f t="shared" si="18"/>
        <v>889032.21851699939</v>
      </c>
      <c r="E79" s="13">
        <f t="shared" si="18"/>
        <v>921921.16314151464</v>
      </c>
      <c r="F79" s="13">
        <f t="shared" si="18"/>
        <v>191644.77300495349</v>
      </c>
      <c r="G79" s="13">
        <f t="shared" si="18"/>
        <v>579338.14996132348</v>
      </c>
      <c r="H79" s="13">
        <f t="shared" si="18"/>
        <v>1721054.9710887135</v>
      </c>
      <c r="I79" s="13">
        <f>SUM(I73:I78)</f>
        <v>5778454.7198753674</v>
      </c>
      <c r="K79" s="212">
        <f>I79*52/1000000</f>
        <v>300.47964543351912</v>
      </c>
    </row>
    <row r="80" spans="2:11">
      <c r="I80" s="114"/>
    </row>
    <row r="82" spans="2:9" ht="18">
      <c r="B82" s="5" t="s">
        <v>262</v>
      </c>
      <c r="C82" s="98" t="s">
        <v>186</v>
      </c>
      <c r="D82" s="98" t="s">
        <v>38</v>
      </c>
      <c r="E82" s="98" t="s">
        <v>40</v>
      </c>
      <c r="F82" s="98" t="s">
        <v>42</v>
      </c>
      <c r="G82" s="98" t="s">
        <v>43</v>
      </c>
      <c r="H82" s="98" t="s">
        <v>45</v>
      </c>
      <c r="I82" s="5" t="s">
        <v>260</v>
      </c>
    </row>
    <row r="83" spans="2:9" ht="15.6">
      <c r="B83" s="18" t="s">
        <v>186</v>
      </c>
      <c r="C83" s="11"/>
      <c r="D83" s="40">
        <f>D73/$I$79</f>
        <v>3.2318529682421708E-2</v>
      </c>
      <c r="E83" s="40">
        <f>E73/$I$79</f>
        <v>3.8627266738185166E-2</v>
      </c>
      <c r="F83" s="40">
        <f>F73/$I$79</f>
        <v>0</v>
      </c>
      <c r="G83" s="40">
        <f>G73/$I$79</f>
        <v>8.5556888190922609E-2</v>
      </c>
      <c r="H83" s="40">
        <f>H73/$I$79</f>
        <v>0.22834118909150036</v>
      </c>
      <c r="I83" s="163">
        <f t="shared" ref="I83:I88" si="19">SUM(C83:H83)</f>
        <v>0.38484387370302986</v>
      </c>
    </row>
    <row r="84" spans="2:9" ht="15.6">
      <c r="B84" s="18" t="s">
        <v>38</v>
      </c>
      <c r="C84" s="40">
        <f>C74/$I$79</f>
        <v>4.8016101242455103E-2</v>
      </c>
      <c r="D84" s="11"/>
      <c r="E84" s="40">
        <f t="shared" ref="E84:H87" si="20">E74/$I$79</f>
        <v>0</v>
      </c>
      <c r="F84" s="40">
        <f t="shared" si="20"/>
        <v>0</v>
      </c>
      <c r="G84" s="40">
        <f t="shared" si="20"/>
        <v>6.2618098594888179E-3</v>
      </c>
      <c r="H84" s="40">
        <f t="shared" si="20"/>
        <v>5.08753862247701E-2</v>
      </c>
      <c r="I84" s="163">
        <f t="shared" si="19"/>
        <v>0.10515329732671402</v>
      </c>
    </row>
    <row r="85" spans="2:9" ht="15.6">
      <c r="B85" s="18" t="s">
        <v>40</v>
      </c>
      <c r="C85" s="40">
        <f t="shared" ref="C85:G88" si="21">C75/$I$79</f>
        <v>8.1959136476533911E-2</v>
      </c>
      <c r="D85" s="12">
        <f>(D45+'Hidroviario Base C1'!D45)*$C$67+(D56+'Hidroviario Base C1'!D56)*$C$68+(D69+M69)*$C$69</f>
        <v>0</v>
      </c>
      <c r="E85" s="11"/>
      <c r="F85" s="40">
        <f t="shared" si="20"/>
        <v>0</v>
      </c>
      <c r="G85" s="40">
        <f t="shared" si="20"/>
        <v>8.439619795128226E-3</v>
      </c>
      <c r="H85" s="40">
        <f t="shared" si="20"/>
        <v>1.8623427681249624E-2</v>
      </c>
      <c r="I85" s="163">
        <f t="shared" si="19"/>
        <v>0.10902218395291176</v>
      </c>
    </row>
    <row r="86" spans="2:9" ht="15.6">
      <c r="B86" s="18" t="s">
        <v>42</v>
      </c>
      <c r="C86" s="40">
        <f t="shared" si="21"/>
        <v>2.1576082020493478E-2</v>
      </c>
      <c r="D86" s="40">
        <f t="shared" si="21"/>
        <v>1.2910435626254345E-3</v>
      </c>
      <c r="E86" s="40">
        <f t="shared" si="21"/>
        <v>1.0270629262174726E-4</v>
      </c>
      <c r="F86" s="11"/>
      <c r="G86" s="40">
        <f t="shared" si="20"/>
        <v>0</v>
      </c>
      <c r="H86" s="40">
        <f t="shared" si="20"/>
        <v>0</v>
      </c>
      <c r="I86" s="163">
        <f t="shared" si="19"/>
        <v>2.296983187574066E-2</v>
      </c>
    </row>
    <row r="87" spans="2:9" ht="15.6">
      <c r="B87" s="18" t="s">
        <v>43</v>
      </c>
      <c r="C87" s="40">
        <f t="shared" si="21"/>
        <v>2.3092788405514514E-2</v>
      </c>
      <c r="D87" s="40">
        <f t="shared" si="21"/>
        <v>3.7570859156932902E-2</v>
      </c>
      <c r="E87" s="40">
        <f t="shared" si="21"/>
        <v>3.3477158520675308E-2</v>
      </c>
      <c r="F87" s="40">
        <f t="shared" si="21"/>
        <v>9.3067422255156112E-3</v>
      </c>
      <c r="G87" s="11"/>
      <c r="H87" s="40">
        <f t="shared" si="20"/>
        <v>0</v>
      </c>
      <c r="I87" s="163">
        <f t="shared" si="19"/>
        <v>0.10344754830863834</v>
      </c>
    </row>
    <row r="88" spans="2:9" ht="15.6">
      <c r="B88" s="18" t="s">
        <v>45</v>
      </c>
      <c r="C88" s="40">
        <f t="shared" si="21"/>
        <v>8.0694648614125897E-2</v>
      </c>
      <c r="D88" s="40">
        <f t="shared" si="21"/>
        <v>8.2672502615251428E-2</v>
      </c>
      <c r="E88" s="40">
        <f t="shared" si="21"/>
        <v>8.7337453953446512E-2</v>
      </c>
      <c r="F88" s="40">
        <f t="shared" si="21"/>
        <v>2.3858659650141379E-2</v>
      </c>
      <c r="G88" s="40">
        <f t="shared" si="21"/>
        <v>0</v>
      </c>
      <c r="H88" s="11"/>
      <c r="I88" s="163">
        <f t="shared" si="19"/>
        <v>0.27456326483296523</v>
      </c>
    </row>
    <row r="89" spans="2:9" ht="18">
      <c r="B89" s="16" t="s">
        <v>261</v>
      </c>
      <c r="C89" s="162">
        <f t="shared" ref="C89:I89" si="22">SUM(C83:C88)</f>
        <v>0.25533875675912288</v>
      </c>
      <c r="D89" s="162">
        <f t="shared" si="22"/>
        <v>0.15385293501723146</v>
      </c>
      <c r="E89" s="162">
        <f t="shared" si="22"/>
        <v>0.15954458550492873</v>
      </c>
      <c r="F89" s="162">
        <f t="shared" si="22"/>
        <v>3.3165401875656988E-2</v>
      </c>
      <c r="G89" s="162">
        <f t="shared" si="22"/>
        <v>0.10025831784553965</v>
      </c>
      <c r="H89" s="162">
        <f t="shared" si="22"/>
        <v>0.29784000299752011</v>
      </c>
      <c r="I89" s="163">
        <f t="shared" si="22"/>
        <v>0.99999999999999989</v>
      </c>
    </row>
    <row r="92" spans="2:9" ht="15.6">
      <c r="B92" s="260" t="s">
        <v>370</v>
      </c>
      <c r="C92" s="260"/>
      <c r="D92" s="260"/>
      <c r="E92" s="260"/>
      <c r="F92" s="260"/>
      <c r="G92" s="260"/>
      <c r="H92" s="260"/>
    </row>
    <row r="93" spans="2:9" ht="18">
      <c r="B93" s="176" t="s">
        <v>266</v>
      </c>
      <c r="C93" s="98" t="s">
        <v>186</v>
      </c>
      <c r="D93" s="98" t="s">
        <v>38</v>
      </c>
      <c r="E93" s="98" t="s">
        <v>40</v>
      </c>
      <c r="F93" s="98" t="s">
        <v>42</v>
      </c>
      <c r="G93" s="98" t="s">
        <v>43</v>
      </c>
      <c r="H93" s="98" t="s">
        <v>45</v>
      </c>
    </row>
    <row r="94" spans="2:9" ht="15.6">
      <c r="B94" s="18" t="s">
        <v>186</v>
      </c>
      <c r="C94" s="11"/>
      <c r="D94" s="166">
        <f>D73/D11</f>
        <v>1067.1494879018394</v>
      </c>
      <c r="E94" s="166">
        <f>E73/E11</f>
        <v>1430.8071269176337</v>
      </c>
      <c r="F94" s="166"/>
      <c r="G94" s="166">
        <f t="shared" ref="G94:H96" si="23">G73/G11</f>
        <v>2187.5513468348931</v>
      </c>
      <c r="H94" s="166">
        <f t="shared" si="23"/>
        <v>2036.2025028514413</v>
      </c>
    </row>
    <row r="95" spans="2:9" ht="15.6">
      <c r="B95" s="18" t="s">
        <v>38</v>
      </c>
      <c r="C95" s="166">
        <f>C74/C12</f>
        <v>1067.1494879018392</v>
      </c>
      <c r="D95" s="11"/>
      <c r="E95" s="166"/>
      <c r="F95" s="166"/>
      <c r="G95" s="166">
        <f t="shared" si="23"/>
        <v>1809.1792368762635</v>
      </c>
      <c r="H95" s="166">
        <f t="shared" si="23"/>
        <v>2161.6258504118018</v>
      </c>
    </row>
    <row r="96" spans="2:9" ht="15.6">
      <c r="B96" s="18" t="s">
        <v>40</v>
      </c>
      <c r="C96" s="166">
        <f>C75/C13</f>
        <v>1430.8071269176337</v>
      </c>
      <c r="D96" s="166"/>
      <c r="E96" s="11"/>
      <c r="F96" s="166"/>
      <c r="G96" s="166">
        <f t="shared" si="23"/>
        <v>1625.5986946370761</v>
      </c>
      <c r="H96" s="166">
        <f t="shared" si="23"/>
        <v>1855.4247169823182</v>
      </c>
    </row>
    <row r="97" spans="2:8" ht="15.6">
      <c r="B97" s="18" t="s">
        <v>42</v>
      </c>
      <c r="C97" s="166">
        <f>C76/C14</f>
        <v>1449.7257324155651</v>
      </c>
      <c r="D97" s="166">
        <f t="shared" ref="D97:E99" si="24">D76/D14</f>
        <v>828.91519644640573</v>
      </c>
      <c r="E97" s="166">
        <f t="shared" si="24"/>
        <v>593.48366136103607</v>
      </c>
      <c r="F97" s="11"/>
      <c r="G97" s="166"/>
      <c r="H97" s="166"/>
    </row>
    <row r="98" spans="2:8" ht="15.6">
      <c r="B98" s="18" t="s">
        <v>43</v>
      </c>
      <c r="C98" s="166">
        <f>C77/C15</f>
        <v>2187.5513468348936</v>
      </c>
      <c r="D98" s="166">
        <f t="shared" si="24"/>
        <v>1809.1792368762631</v>
      </c>
      <c r="E98" s="166">
        <f t="shared" si="24"/>
        <v>1625.5986946370763</v>
      </c>
      <c r="F98" s="166">
        <f>F77/F15</f>
        <v>1144.225288078597</v>
      </c>
      <c r="G98" s="11"/>
      <c r="H98" s="166"/>
    </row>
    <row r="99" spans="2:8" ht="15.6">
      <c r="B99" s="18" t="s">
        <v>45</v>
      </c>
      <c r="C99" s="166">
        <f>C78/C16</f>
        <v>2036.2025028514413</v>
      </c>
      <c r="D99" s="166">
        <f t="shared" si="24"/>
        <v>2161.6258504118018</v>
      </c>
      <c r="E99" s="166">
        <f t="shared" si="24"/>
        <v>1855.4247169823184</v>
      </c>
      <c r="F99" s="166">
        <f>F78/F16</f>
        <v>1351.6292594633278</v>
      </c>
      <c r="G99" s="166"/>
      <c r="H99" s="11"/>
    </row>
  </sheetData>
  <mergeCells count="6">
    <mergeCell ref="B92:H92"/>
    <mergeCell ref="B29:I29"/>
    <mergeCell ref="B31:D31"/>
    <mergeCell ref="B42:D42"/>
    <mergeCell ref="B53:D53"/>
    <mergeCell ref="B64:I64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A0C2-8BE0-46B3-96F2-FD95F0143C62}">
  <dimension ref="B2:I106"/>
  <sheetViews>
    <sheetView showGridLines="0" zoomScale="70" zoomScaleNormal="70" workbookViewId="0">
      <selection activeCell="L97" sqref="L97"/>
    </sheetView>
  </sheetViews>
  <sheetFormatPr defaultRowHeight="15.6"/>
  <cols>
    <col min="1" max="1" width="8.83984375" style="169"/>
    <col min="2" max="2" width="33.9453125" style="169" customWidth="1"/>
    <col min="3" max="3" width="15.5234375" style="169" customWidth="1"/>
    <col min="4" max="6" width="14.578125" style="169" customWidth="1"/>
    <col min="7" max="7" width="16.47265625" style="169" customWidth="1"/>
    <col min="8" max="8" width="16.62890625" style="169" customWidth="1"/>
    <col min="9" max="9" width="22.20703125" style="169" customWidth="1"/>
    <col min="10" max="16384" width="8.83984375" style="169"/>
  </cols>
  <sheetData>
    <row r="2" spans="2:9">
      <c r="B2" s="98" t="s">
        <v>184</v>
      </c>
      <c r="C2" s="98" t="s">
        <v>35</v>
      </c>
      <c r="D2" s="98" t="s">
        <v>38</v>
      </c>
      <c r="E2" s="98" t="s">
        <v>40</v>
      </c>
      <c r="F2" s="98" t="s">
        <v>42</v>
      </c>
      <c r="G2" s="98" t="s">
        <v>43</v>
      </c>
      <c r="H2" s="98" t="s">
        <v>45</v>
      </c>
    </row>
    <row r="3" spans="2:9">
      <c r="B3" s="18" t="s">
        <v>35</v>
      </c>
      <c r="C3" s="112"/>
      <c r="D3" s="113">
        <f>'Distancia Rodo'!D14</f>
        <v>142</v>
      </c>
      <c r="E3" s="113">
        <f>'Distancia Rodo'!E14</f>
        <v>140.6</v>
      </c>
      <c r="F3" s="113">
        <f>'Distancia Rodo'!F14</f>
        <v>64</v>
      </c>
      <c r="G3" s="113">
        <f>'Distancia Rodo'!G14</f>
        <v>211.8</v>
      </c>
      <c r="H3" s="113">
        <f>'Distancia Rodo'!H14</f>
        <v>232</v>
      </c>
    </row>
    <row r="4" spans="2:9">
      <c r="B4" s="18" t="s">
        <v>38</v>
      </c>
      <c r="C4" s="113">
        <f>'Distancia Rodo'!C15</f>
        <v>142</v>
      </c>
      <c r="D4" s="112"/>
      <c r="E4" s="113">
        <f>'Distancia Rodo'!E15</f>
        <v>222.6</v>
      </c>
      <c r="F4" s="113">
        <f>'Distancia Rodo'!F15</f>
        <v>146</v>
      </c>
      <c r="G4" s="113">
        <f>'Distancia Rodo'!G15</f>
        <v>293.8</v>
      </c>
      <c r="H4" s="113">
        <f>'Distancia Rodo'!H15</f>
        <v>314</v>
      </c>
    </row>
    <row r="5" spans="2:9">
      <c r="B5" s="18" t="s">
        <v>40</v>
      </c>
      <c r="C5" s="113">
        <f>'Distancia Rodo'!C16</f>
        <v>140.6</v>
      </c>
      <c r="D5" s="113">
        <f>'Distancia Rodo'!D16</f>
        <v>222.6</v>
      </c>
      <c r="E5" s="112"/>
      <c r="F5" s="113">
        <f>'Distancia Rodo'!F16</f>
        <v>144.6</v>
      </c>
      <c r="G5" s="113">
        <f>'Distancia Rodo'!G16</f>
        <v>292.39999999999998</v>
      </c>
      <c r="H5" s="113">
        <f>'Distancia Rodo'!H16</f>
        <v>312.60000000000002</v>
      </c>
    </row>
    <row r="6" spans="2:9">
      <c r="B6" s="18" t="s">
        <v>42</v>
      </c>
      <c r="C6" s="113">
        <f>'Distancia Rodo'!C17</f>
        <v>64</v>
      </c>
      <c r="D6" s="113">
        <f>'Distancia Rodo'!D17</f>
        <v>146</v>
      </c>
      <c r="E6" s="113">
        <f>'Distancia Rodo'!E17</f>
        <v>144.6</v>
      </c>
      <c r="F6" s="112"/>
      <c r="G6" s="113">
        <f>'Distancia Rodo'!G17</f>
        <v>215.8</v>
      </c>
      <c r="H6" s="113">
        <f>'Distancia Rodo'!H17</f>
        <v>236</v>
      </c>
    </row>
    <row r="7" spans="2:9">
      <c r="B7" s="18" t="s">
        <v>43</v>
      </c>
      <c r="C7" s="113">
        <f>'Distancia Rodo'!C18</f>
        <v>211.8</v>
      </c>
      <c r="D7" s="113">
        <f>'Distancia Rodo'!D18</f>
        <v>293.8</v>
      </c>
      <c r="E7" s="113">
        <f>'Distancia Rodo'!E18</f>
        <v>292.39999999999998</v>
      </c>
      <c r="F7" s="113">
        <f>'Distancia Rodo'!F18</f>
        <v>215.8</v>
      </c>
      <c r="G7" s="112"/>
      <c r="H7" s="113">
        <f>'Distancia Rodo'!H18</f>
        <v>383.8</v>
      </c>
    </row>
    <row r="8" spans="2:9">
      <c r="B8" s="18" t="s">
        <v>45</v>
      </c>
      <c r="C8" s="113">
        <f>'Distancia Rodo'!C19</f>
        <v>232</v>
      </c>
      <c r="D8" s="113">
        <f>'Distancia Rodo'!D19</f>
        <v>314</v>
      </c>
      <c r="E8" s="113">
        <f>'Distancia Rodo'!E19</f>
        <v>312.60000000000002</v>
      </c>
      <c r="F8" s="113">
        <f>'Distancia Rodo'!F19</f>
        <v>236</v>
      </c>
      <c r="G8" s="113">
        <f>'Distancia Rodo'!G19</f>
        <v>383.8</v>
      </c>
      <c r="H8" s="112"/>
    </row>
    <row r="10" spans="2:9">
      <c r="B10" s="5" t="s">
        <v>188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5" t="s">
        <v>47</v>
      </c>
    </row>
    <row r="11" spans="2:9">
      <c r="B11" s="10" t="s">
        <v>4</v>
      </c>
      <c r="C11" s="11">
        <f>'Movimentacao de Conteineres'!K30</f>
        <v>0</v>
      </c>
      <c r="D11" s="12">
        <f>'Movimentacao de Conteineres'!L30</f>
        <v>175</v>
      </c>
      <c r="E11" s="12">
        <f>'Movimentacao de Conteineres'!M30</f>
        <v>156</v>
      </c>
      <c r="F11" s="12">
        <f>'Movimentacao de Conteineres'!N30</f>
        <v>0</v>
      </c>
      <c r="G11" s="12">
        <f>'Movimentacao de Conteineres'!O30</f>
        <v>226</v>
      </c>
      <c r="H11" s="12">
        <f>'Movimentacao de Conteineres'!P30</f>
        <v>648</v>
      </c>
      <c r="I11" s="13">
        <f t="shared" ref="I11:I16" si="0">SUM(C11:H11)</f>
        <v>1205</v>
      </c>
    </row>
    <row r="12" spans="2:9">
      <c r="B12" s="10" t="s">
        <v>5</v>
      </c>
      <c r="C12" s="12">
        <f>'Movimentacao de Conteineres'!K31</f>
        <v>260</v>
      </c>
      <c r="D12" s="11">
        <f>'Movimentacao de Conteineres'!L31</f>
        <v>0</v>
      </c>
      <c r="E12" s="12">
        <f>'Movimentacao de Conteineres'!M31</f>
        <v>0</v>
      </c>
      <c r="F12" s="12">
        <f>'Movimentacao de Conteineres'!N31</f>
        <v>0</v>
      </c>
      <c r="G12" s="12">
        <f>'Movimentacao de Conteineres'!O31</f>
        <v>20</v>
      </c>
      <c r="H12" s="12">
        <f>'Movimentacao de Conteineres'!P31</f>
        <v>136</v>
      </c>
      <c r="I12" s="13">
        <f t="shared" si="0"/>
        <v>416</v>
      </c>
    </row>
    <row r="13" spans="2:9">
      <c r="B13" s="10" t="s">
        <v>6</v>
      </c>
      <c r="C13" s="12">
        <f>'Movimentacao de Conteineres'!K32</f>
        <v>331</v>
      </c>
      <c r="D13" s="12">
        <f>'Movimentacao de Conteineres'!L32</f>
        <v>0</v>
      </c>
      <c r="E13" s="11">
        <f>'Movimentacao de Conteineres'!M32</f>
        <v>0</v>
      </c>
      <c r="F13" s="12">
        <f>'Movimentacao de Conteineres'!N32</f>
        <v>0</v>
      </c>
      <c r="G13" s="12">
        <f>'Movimentacao de Conteineres'!O32</f>
        <v>30</v>
      </c>
      <c r="H13" s="12">
        <f>'Movimentacao de Conteineres'!P32</f>
        <v>58</v>
      </c>
      <c r="I13" s="13">
        <f t="shared" si="0"/>
        <v>419</v>
      </c>
    </row>
    <row r="14" spans="2:9">
      <c r="B14" s="10" t="s">
        <v>7</v>
      </c>
      <c r="C14" s="12">
        <f>'Movimentacao de Conteineres'!K33</f>
        <v>86</v>
      </c>
      <c r="D14" s="12">
        <f>'Movimentacao de Conteineres'!L33</f>
        <v>9</v>
      </c>
      <c r="E14" s="12">
        <f>'Movimentacao de Conteineres'!M33</f>
        <v>1</v>
      </c>
      <c r="F14" s="11">
        <f>'Movimentacao de Conteineres'!N33</f>
        <v>0</v>
      </c>
      <c r="G14" s="12">
        <f>'Movimentacao de Conteineres'!O33</f>
        <v>0</v>
      </c>
      <c r="H14" s="12">
        <f>'Movimentacao de Conteineres'!P33</f>
        <v>0</v>
      </c>
      <c r="I14" s="13">
        <f t="shared" si="0"/>
        <v>96</v>
      </c>
    </row>
    <row r="15" spans="2:9">
      <c r="B15" s="10" t="s">
        <v>8</v>
      </c>
      <c r="C15" s="12">
        <f>'Movimentacao de Conteineres'!K34</f>
        <v>61</v>
      </c>
      <c r="D15" s="12">
        <f>'Movimentacao de Conteineres'!L34</f>
        <v>120</v>
      </c>
      <c r="E15" s="12">
        <f>'Movimentacao de Conteineres'!M34</f>
        <v>119</v>
      </c>
      <c r="F15" s="12">
        <f>'Movimentacao de Conteineres'!N34</f>
        <v>47</v>
      </c>
      <c r="G15" s="11">
        <f>'Movimentacao de Conteineres'!O34</f>
        <v>0</v>
      </c>
      <c r="H15" s="12">
        <f>'Movimentacao de Conteineres'!P34</f>
        <v>0</v>
      </c>
      <c r="I15" s="13">
        <f t="shared" si="0"/>
        <v>347</v>
      </c>
    </row>
    <row r="16" spans="2:9">
      <c r="B16" s="10" t="s">
        <v>9</v>
      </c>
      <c r="C16" s="12">
        <f>'Movimentacao de Conteineres'!K35</f>
        <v>229</v>
      </c>
      <c r="D16" s="12">
        <f>'Movimentacao de Conteineres'!L35</f>
        <v>221</v>
      </c>
      <c r="E16" s="12">
        <f>'Movimentacao de Conteineres'!M35</f>
        <v>272</v>
      </c>
      <c r="F16" s="12">
        <f>'Movimentacao de Conteineres'!N35</f>
        <v>102</v>
      </c>
      <c r="G16" s="12">
        <f>'Movimentacao de Conteineres'!O35</f>
        <v>0</v>
      </c>
      <c r="H16" s="11">
        <f>'Movimentacao de Conteineres'!P35</f>
        <v>0</v>
      </c>
      <c r="I16" s="13">
        <f t="shared" si="0"/>
        <v>824</v>
      </c>
    </row>
    <row r="17" spans="2:9">
      <c r="B17" s="16" t="s">
        <v>48</v>
      </c>
      <c r="C17" s="13">
        <f t="shared" ref="C17:I17" si="1">SUM(C11:C16)</f>
        <v>967</v>
      </c>
      <c r="D17" s="13">
        <f t="shared" si="1"/>
        <v>525</v>
      </c>
      <c r="E17" s="13">
        <f t="shared" si="1"/>
        <v>548</v>
      </c>
      <c r="F17" s="13">
        <f t="shared" si="1"/>
        <v>149</v>
      </c>
      <c r="G17" s="13">
        <f t="shared" si="1"/>
        <v>276</v>
      </c>
      <c r="H17" s="13">
        <f t="shared" si="1"/>
        <v>842</v>
      </c>
      <c r="I17" s="13">
        <f t="shared" si="1"/>
        <v>3307</v>
      </c>
    </row>
    <row r="19" spans="2:9">
      <c r="B19" s="5" t="s">
        <v>347</v>
      </c>
      <c r="C19" s="98" t="s">
        <v>35</v>
      </c>
      <c r="D19" s="98" t="s">
        <v>38</v>
      </c>
      <c r="E19" s="98" t="s">
        <v>40</v>
      </c>
      <c r="F19" s="98" t="s">
        <v>42</v>
      </c>
      <c r="G19" s="98" t="s">
        <v>43</v>
      </c>
      <c r="H19" s="98" t="s">
        <v>45</v>
      </c>
      <c r="I19" s="5" t="s">
        <v>189</v>
      </c>
    </row>
    <row r="20" spans="2:9">
      <c r="B20" s="18" t="s">
        <v>35</v>
      </c>
      <c r="C20" s="11"/>
      <c r="D20" s="12">
        <f>D3*D11</f>
        <v>24850</v>
      </c>
      <c r="E20" s="12">
        <f>E3*E11</f>
        <v>21933.599999999999</v>
      </c>
      <c r="F20" s="12">
        <f>F3*F11</f>
        <v>0</v>
      </c>
      <c r="G20" s="12">
        <f>G3*G11</f>
        <v>47866.8</v>
      </c>
      <c r="H20" s="12">
        <f>H3*H11</f>
        <v>150336</v>
      </c>
      <c r="I20" s="13">
        <f t="shared" ref="I20:I25" si="2">SUM(C20:H20)</f>
        <v>244986.4</v>
      </c>
    </row>
    <row r="21" spans="2:9">
      <c r="B21" s="18" t="s">
        <v>38</v>
      </c>
      <c r="C21" s="12">
        <f>C4*C12</f>
        <v>36920</v>
      </c>
      <c r="D21" s="11"/>
      <c r="E21" s="12">
        <f t="shared" ref="C21:H24" si="3">E4*E12</f>
        <v>0</v>
      </c>
      <c r="F21" s="12">
        <f t="shared" si="3"/>
        <v>0</v>
      </c>
      <c r="G21" s="12">
        <f t="shared" si="3"/>
        <v>5876</v>
      </c>
      <c r="H21" s="12">
        <f t="shared" si="3"/>
        <v>42704</v>
      </c>
      <c r="I21" s="13">
        <f t="shared" si="2"/>
        <v>85500</v>
      </c>
    </row>
    <row r="22" spans="2:9">
      <c r="B22" s="18" t="s">
        <v>40</v>
      </c>
      <c r="C22" s="12">
        <f t="shared" si="3"/>
        <v>46538.6</v>
      </c>
      <c r="D22" s="12">
        <f t="shared" si="3"/>
        <v>0</v>
      </c>
      <c r="E22" s="11"/>
      <c r="F22" s="12">
        <f t="shared" si="3"/>
        <v>0</v>
      </c>
      <c r="G22" s="12">
        <f t="shared" si="3"/>
        <v>8772</v>
      </c>
      <c r="H22" s="12">
        <f t="shared" si="3"/>
        <v>18130.800000000003</v>
      </c>
      <c r="I22" s="13">
        <f t="shared" si="2"/>
        <v>73441.399999999994</v>
      </c>
    </row>
    <row r="23" spans="2:9">
      <c r="B23" s="18" t="s">
        <v>42</v>
      </c>
      <c r="C23" s="12">
        <f t="shared" si="3"/>
        <v>5504</v>
      </c>
      <c r="D23" s="12">
        <f t="shared" si="3"/>
        <v>1314</v>
      </c>
      <c r="E23" s="12">
        <f t="shared" si="3"/>
        <v>144.6</v>
      </c>
      <c r="F23" s="11"/>
      <c r="G23" s="12">
        <f t="shared" si="3"/>
        <v>0</v>
      </c>
      <c r="H23" s="12">
        <f t="shared" si="3"/>
        <v>0</v>
      </c>
      <c r="I23" s="13">
        <f t="shared" si="2"/>
        <v>6962.6</v>
      </c>
    </row>
    <row r="24" spans="2:9">
      <c r="B24" s="18" t="s">
        <v>43</v>
      </c>
      <c r="C24" s="12">
        <f t="shared" si="3"/>
        <v>12919.800000000001</v>
      </c>
      <c r="D24" s="12">
        <f t="shared" si="3"/>
        <v>35256</v>
      </c>
      <c r="E24" s="12">
        <f t="shared" si="3"/>
        <v>34795.599999999999</v>
      </c>
      <c r="F24" s="12">
        <f t="shared" si="3"/>
        <v>10142.6</v>
      </c>
      <c r="G24" s="11"/>
      <c r="H24" s="12">
        <f t="shared" si="3"/>
        <v>0</v>
      </c>
      <c r="I24" s="13">
        <f t="shared" si="2"/>
        <v>93114</v>
      </c>
    </row>
    <row r="25" spans="2:9">
      <c r="B25" s="18" t="s">
        <v>45</v>
      </c>
      <c r="C25" s="12">
        <f>C8*C16</f>
        <v>53128</v>
      </c>
      <c r="D25" s="12">
        <f>D8*D16</f>
        <v>69394</v>
      </c>
      <c r="E25" s="12">
        <f>E8*E16</f>
        <v>85027.200000000012</v>
      </c>
      <c r="F25" s="12">
        <f>F8*F16</f>
        <v>24072</v>
      </c>
      <c r="G25" s="12">
        <f>G8*G16</f>
        <v>0</v>
      </c>
      <c r="H25" s="11"/>
      <c r="I25" s="13">
        <f t="shared" si="2"/>
        <v>231621.2</v>
      </c>
    </row>
    <row r="26" spans="2:9">
      <c r="B26" s="16" t="s">
        <v>190</v>
      </c>
      <c r="C26" s="13">
        <f t="shared" ref="C26:H26" si="4">SUM(C20:C25)</f>
        <v>155010.40000000002</v>
      </c>
      <c r="D26" s="13">
        <f t="shared" si="4"/>
        <v>130814</v>
      </c>
      <c r="E26" s="13">
        <f t="shared" si="4"/>
        <v>141901</v>
      </c>
      <c r="F26" s="13">
        <f t="shared" si="4"/>
        <v>34214.6</v>
      </c>
      <c r="G26" s="13">
        <f t="shared" si="4"/>
        <v>62514.8</v>
      </c>
      <c r="H26" s="13">
        <f t="shared" si="4"/>
        <v>211170.8</v>
      </c>
      <c r="I26" s="13">
        <f>SUM(I20:I25)</f>
        <v>735625.60000000009</v>
      </c>
    </row>
    <row r="27" spans="2:9">
      <c r="I27" s="201"/>
    </row>
    <row r="28" spans="2:9">
      <c r="I28" s="201"/>
    </row>
    <row r="29" spans="2:9">
      <c r="B29" s="276" t="s">
        <v>483</v>
      </c>
      <c r="C29" s="276"/>
      <c r="D29" s="276"/>
      <c r="E29" s="276"/>
      <c r="F29" s="276"/>
      <c r="G29" s="276"/>
      <c r="H29" s="276"/>
      <c r="I29" s="276"/>
    </row>
    <row r="30" spans="2:9">
      <c r="I30" s="201"/>
    </row>
    <row r="32" spans="2:9" ht="18">
      <c r="B32" s="272" t="s">
        <v>267</v>
      </c>
      <c r="C32" s="272"/>
      <c r="D32" s="272"/>
      <c r="E32" s="187">
        <f>'Fatores Emissao'!$L$7</f>
        <v>0.7210526315789475</v>
      </c>
      <c r="F32" s="156" t="s">
        <v>237</v>
      </c>
    </row>
    <row r="33" spans="2:9" ht="18">
      <c r="B33" s="5" t="s">
        <v>239</v>
      </c>
      <c r="C33" s="98" t="s">
        <v>35</v>
      </c>
      <c r="D33" s="98" t="s">
        <v>38</v>
      </c>
      <c r="E33" s="98" t="s">
        <v>40</v>
      </c>
      <c r="F33" s="98" t="s">
        <v>42</v>
      </c>
      <c r="G33" s="98" t="s">
        <v>43</v>
      </c>
      <c r="H33" s="98" t="s">
        <v>45</v>
      </c>
      <c r="I33" s="5" t="s">
        <v>240</v>
      </c>
    </row>
    <row r="34" spans="2:9">
      <c r="B34" s="18" t="s">
        <v>35</v>
      </c>
      <c r="C34" s="11"/>
      <c r="D34" s="12">
        <f>D20*$E$32</f>
        <v>17918.157894736847</v>
      </c>
      <c r="E34" s="12">
        <f>E20*$E$32</f>
        <v>15815.280000000002</v>
      </c>
      <c r="F34" s="12">
        <f>F20*$E$32</f>
        <v>0</v>
      </c>
      <c r="G34" s="12">
        <f>G20*$E$32</f>
        <v>34514.482105263167</v>
      </c>
      <c r="H34" s="12">
        <f>H20*$E$32</f>
        <v>108400.16842105266</v>
      </c>
      <c r="I34" s="13">
        <f t="shared" ref="I34:I39" si="5">SUM(C34:H34)</f>
        <v>176648.08842105267</v>
      </c>
    </row>
    <row r="35" spans="2:9">
      <c r="B35" s="18" t="s">
        <v>38</v>
      </c>
      <c r="C35" s="12">
        <f>C21*$E$32</f>
        <v>26621.26315789474</v>
      </c>
      <c r="D35" s="11"/>
      <c r="E35" s="12">
        <f>E21*$E$32</f>
        <v>0</v>
      </c>
      <c r="F35" s="12">
        <f>F21*$E$32</f>
        <v>0</v>
      </c>
      <c r="G35" s="12">
        <f>G21*$E$32</f>
        <v>4236.9052631578952</v>
      </c>
      <c r="H35" s="12">
        <f>H21*$E$32</f>
        <v>30791.831578947375</v>
      </c>
      <c r="I35" s="13">
        <f t="shared" si="5"/>
        <v>61650.000000000015</v>
      </c>
    </row>
    <row r="36" spans="2:9">
      <c r="B36" s="18" t="s">
        <v>40</v>
      </c>
      <c r="C36" s="12">
        <f>C22*$E$32</f>
        <v>33556.780000000006</v>
      </c>
      <c r="D36" s="12">
        <f>D22*$E$32</f>
        <v>0</v>
      </c>
      <c r="E36" s="11"/>
      <c r="F36" s="12">
        <f>F22*$E$32</f>
        <v>0</v>
      </c>
      <c r="G36" s="12">
        <f>G22*$E$32</f>
        <v>6325.0736842105271</v>
      </c>
      <c r="H36" s="12">
        <f>H22*$E$32</f>
        <v>13073.261052631584</v>
      </c>
      <c r="I36" s="13">
        <f t="shared" si="5"/>
        <v>52955.114736842115</v>
      </c>
    </row>
    <row r="37" spans="2:9">
      <c r="B37" s="18" t="s">
        <v>42</v>
      </c>
      <c r="C37" s="12">
        <f>C23*$E$32</f>
        <v>3968.673684210527</v>
      </c>
      <c r="D37" s="12">
        <f>D23*$E$32</f>
        <v>947.46315789473704</v>
      </c>
      <c r="E37" s="12">
        <f>E23*$E$32</f>
        <v>104.26421052631581</v>
      </c>
      <c r="F37" s="11"/>
      <c r="G37" s="12">
        <f>G23*$E$32</f>
        <v>0</v>
      </c>
      <c r="H37" s="12">
        <f>H23*$E$32</f>
        <v>0</v>
      </c>
      <c r="I37" s="13">
        <f t="shared" si="5"/>
        <v>5020.4010526315797</v>
      </c>
    </row>
    <row r="38" spans="2:9">
      <c r="B38" s="18" t="s">
        <v>43</v>
      </c>
      <c r="C38" s="12">
        <f>C24*$E$32</f>
        <v>9315.8557894736859</v>
      </c>
      <c r="D38" s="12">
        <f>D24*$E$32</f>
        <v>25421.431578947373</v>
      </c>
      <c r="E38" s="12">
        <f>E24*$E$32</f>
        <v>25089.458947368425</v>
      </c>
      <c r="F38" s="12">
        <f>F24*$E$32</f>
        <v>7313.3484210526331</v>
      </c>
      <c r="G38" s="11"/>
      <c r="H38" s="12">
        <f>H24*$E$32</f>
        <v>0</v>
      </c>
      <c r="I38" s="13">
        <f t="shared" si="5"/>
        <v>67140.094736842118</v>
      </c>
    </row>
    <row r="39" spans="2:9">
      <c r="B39" s="18" t="s">
        <v>45</v>
      </c>
      <c r="C39" s="12">
        <f>C25*$E$32</f>
        <v>38308.084210526322</v>
      </c>
      <c r="D39" s="12">
        <f>D25*$E$32</f>
        <v>50036.726315789485</v>
      </c>
      <c r="E39" s="12">
        <f>E25*$E$32</f>
        <v>61309.086315789493</v>
      </c>
      <c r="F39" s="12">
        <f>F25*$E$32</f>
        <v>17357.178947368426</v>
      </c>
      <c r="G39" s="12">
        <f>G25*$E$32</f>
        <v>0</v>
      </c>
      <c r="H39" s="11"/>
      <c r="I39" s="13">
        <f t="shared" si="5"/>
        <v>167011.07578947375</v>
      </c>
    </row>
    <row r="40" spans="2:9" ht="18">
      <c r="B40" s="16" t="s">
        <v>241</v>
      </c>
      <c r="C40" s="13">
        <f t="shared" ref="C40:H40" si="6">SUM(C34:C39)</f>
        <v>111770.65684210527</v>
      </c>
      <c r="D40" s="13">
        <f t="shared" si="6"/>
        <v>94323.778947368439</v>
      </c>
      <c r="E40" s="13">
        <f t="shared" si="6"/>
        <v>102318.08947368423</v>
      </c>
      <c r="F40" s="13">
        <f t="shared" si="6"/>
        <v>24670.527368421059</v>
      </c>
      <c r="G40" s="13">
        <f t="shared" si="6"/>
        <v>45076.461052631588</v>
      </c>
      <c r="H40" s="13">
        <f t="shared" si="6"/>
        <v>152265.2610526316</v>
      </c>
      <c r="I40" s="13">
        <f>SUM(I34:I39)</f>
        <v>530424.77473684214</v>
      </c>
    </row>
    <row r="43" spans="2:9" ht="18">
      <c r="B43" s="272" t="s">
        <v>268</v>
      </c>
      <c r="C43" s="272"/>
      <c r="D43" s="272"/>
      <c r="E43" s="159">
        <f>'Fatores Emissao'!$F$7</f>
        <v>0.06</v>
      </c>
      <c r="F43" s="156" t="s">
        <v>281</v>
      </c>
    </row>
    <row r="44" spans="2:9" ht="18">
      <c r="B44" s="5" t="s">
        <v>287</v>
      </c>
      <c r="C44" s="98" t="s">
        <v>35</v>
      </c>
      <c r="D44" s="98" t="s">
        <v>38</v>
      </c>
      <c r="E44" s="98" t="s">
        <v>40</v>
      </c>
      <c r="F44" s="98" t="s">
        <v>42</v>
      </c>
      <c r="G44" s="98" t="s">
        <v>43</v>
      </c>
      <c r="H44" s="98" t="s">
        <v>45</v>
      </c>
      <c r="I44" s="5" t="s">
        <v>243</v>
      </c>
    </row>
    <row r="45" spans="2:9">
      <c r="B45" s="18" t="s">
        <v>35</v>
      </c>
      <c r="C45" s="11"/>
      <c r="D45" s="12">
        <f>D20*$E$43/1000</f>
        <v>1.4910000000000001</v>
      </c>
      <c r="E45" s="12">
        <f>E20*$E$43/1000</f>
        <v>1.3160159999999999</v>
      </c>
      <c r="F45" s="12">
        <f>F20*$E$43/1000</f>
        <v>0</v>
      </c>
      <c r="G45" s="12">
        <f>G20*$E$43/1000</f>
        <v>2.8720080000000001</v>
      </c>
      <c r="H45" s="12">
        <f>H20*$E$43/1000</f>
        <v>9.0201600000000006</v>
      </c>
      <c r="I45" s="13">
        <f t="shared" ref="I45:I50" si="7">SUM(C45:H45)</f>
        <v>14.699184000000001</v>
      </c>
    </row>
    <row r="46" spans="2:9">
      <c r="B46" s="18" t="s">
        <v>38</v>
      </c>
      <c r="C46" s="12">
        <f>C21*$E$43/1000</f>
        <v>2.2151999999999998</v>
      </c>
      <c r="D46" s="11"/>
      <c r="E46" s="12">
        <f>E21*$E$43/1000</f>
        <v>0</v>
      </c>
      <c r="F46" s="12">
        <f>F21*$E$43/1000</f>
        <v>0</v>
      </c>
      <c r="G46" s="12">
        <f>G21*$E$43/1000</f>
        <v>0.35255999999999998</v>
      </c>
      <c r="H46" s="12">
        <f>H21*$E$43/1000</f>
        <v>2.5622399999999996</v>
      </c>
      <c r="I46" s="13">
        <f t="shared" si="7"/>
        <v>5.129999999999999</v>
      </c>
    </row>
    <row r="47" spans="2:9">
      <c r="B47" s="18" t="s">
        <v>40</v>
      </c>
      <c r="C47" s="12">
        <f>C22*$E$43/1000</f>
        <v>2.792316</v>
      </c>
      <c r="D47" s="12">
        <f>D22*$E$43/1000</f>
        <v>0</v>
      </c>
      <c r="E47" s="11"/>
      <c r="F47" s="12">
        <f>F22*$E$43/1000</f>
        <v>0</v>
      </c>
      <c r="G47" s="12">
        <f>G22*$E$43/1000</f>
        <v>0.5263199999999999</v>
      </c>
      <c r="H47" s="12">
        <f>H22*$E$43/1000</f>
        <v>1.0878480000000001</v>
      </c>
      <c r="I47" s="13">
        <f t="shared" si="7"/>
        <v>4.4064839999999998</v>
      </c>
    </row>
    <row r="48" spans="2:9">
      <c r="B48" s="18" t="s">
        <v>42</v>
      </c>
      <c r="C48" s="12">
        <f>C23*$E$43/1000</f>
        <v>0.33024000000000003</v>
      </c>
      <c r="D48" s="12">
        <f>D23*$E$43/1000</f>
        <v>7.8840000000000007E-2</v>
      </c>
      <c r="E48" s="12">
        <f t="shared" ref="E48" si="8">E23*$E$43/1000</f>
        <v>8.6759999999999997E-3</v>
      </c>
      <c r="F48" s="11"/>
      <c r="G48" s="12">
        <f>G23*$E$43/1000</f>
        <v>0</v>
      </c>
      <c r="H48" s="12">
        <f>H23*$E$43/1000</f>
        <v>0</v>
      </c>
      <c r="I48" s="13">
        <f t="shared" si="7"/>
        <v>0.41775600000000007</v>
      </c>
    </row>
    <row r="49" spans="2:9">
      <c r="B49" s="18" t="s">
        <v>43</v>
      </c>
      <c r="C49" s="12">
        <f>C24*$E$43/1000</f>
        <v>0.77518799999999999</v>
      </c>
      <c r="D49" s="12">
        <f>D24*$E$43/1000</f>
        <v>2.1153599999999999</v>
      </c>
      <c r="E49" s="12">
        <f t="shared" ref="E49:F49" si="9">E24*$E$43/1000</f>
        <v>2.087736</v>
      </c>
      <c r="F49" s="12">
        <f t="shared" si="9"/>
        <v>0.60855599999999999</v>
      </c>
      <c r="G49" s="11"/>
      <c r="H49" s="12">
        <f>H24*$E$43/1000</f>
        <v>0</v>
      </c>
      <c r="I49" s="13">
        <f t="shared" si="7"/>
        <v>5.5868400000000005</v>
      </c>
    </row>
    <row r="50" spans="2:9">
      <c r="B50" s="18" t="s">
        <v>45</v>
      </c>
      <c r="C50" s="12">
        <f>C25*$E$43/1000</f>
        <v>3.1876799999999998</v>
      </c>
      <c r="D50" s="12">
        <f>D25*$E$43/1000</f>
        <v>4.1636399999999991</v>
      </c>
      <c r="E50" s="12">
        <f t="shared" ref="E50:G50" si="10">E25*$E$43/1000</f>
        <v>5.1016320000000004</v>
      </c>
      <c r="F50" s="12">
        <f t="shared" si="10"/>
        <v>1.4443199999999998</v>
      </c>
      <c r="G50" s="12">
        <f t="shared" si="10"/>
        <v>0</v>
      </c>
      <c r="H50" s="11"/>
      <c r="I50" s="13">
        <f t="shared" si="7"/>
        <v>13.897271999999999</v>
      </c>
    </row>
    <row r="51" spans="2:9" ht="18">
      <c r="B51" s="16" t="s">
        <v>244</v>
      </c>
      <c r="C51" s="13">
        <f t="shared" ref="C51:H51" si="11">SUM(C45:C50)</f>
        <v>9.3006239999999991</v>
      </c>
      <c r="D51" s="13">
        <f t="shared" si="11"/>
        <v>7.8488399999999992</v>
      </c>
      <c r="E51" s="13">
        <f t="shared" si="11"/>
        <v>8.5140600000000006</v>
      </c>
      <c r="F51" s="13">
        <f t="shared" si="11"/>
        <v>2.0528759999999999</v>
      </c>
      <c r="G51" s="13">
        <f t="shared" si="11"/>
        <v>3.7508879999999998</v>
      </c>
      <c r="H51" s="13">
        <f t="shared" si="11"/>
        <v>12.670248000000001</v>
      </c>
      <c r="I51" s="13">
        <f>SUM(I45:I50)</f>
        <v>44.137535999999997</v>
      </c>
    </row>
    <row r="54" spans="2:9" ht="18">
      <c r="B54" s="272" t="s">
        <v>269</v>
      </c>
      <c r="C54" s="272"/>
      <c r="D54" s="272"/>
      <c r="E54" s="159">
        <f>'Fatores Emissao'!$I$7</f>
        <v>0.03</v>
      </c>
      <c r="F54" s="156" t="s">
        <v>282</v>
      </c>
    </row>
    <row r="55" spans="2:9" ht="18">
      <c r="B55" s="5" t="s">
        <v>288</v>
      </c>
      <c r="C55" s="98" t="s">
        <v>35</v>
      </c>
      <c r="D55" s="98" t="s">
        <v>38</v>
      </c>
      <c r="E55" s="98" t="s">
        <v>40</v>
      </c>
      <c r="F55" s="98" t="s">
        <v>42</v>
      </c>
      <c r="G55" s="98" t="s">
        <v>43</v>
      </c>
      <c r="H55" s="98" t="s">
        <v>45</v>
      </c>
      <c r="I55" s="5" t="s">
        <v>246</v>
      </c>
    </row>
    <row r="56" spans="2:9">
      <c r="B56" s="18" t="s">
        <v>35</v>
      </c>
      <c r="C56" s="11"/>
      <c r="D56" s="12">
        <f>D20*$E$54/1000</f>
        <v>0.74550000000000005</v>
      </c>
      <c r="E56" s="12">
        <f>E20*$E$54/1000</f>
        <v>0.65800799999999993</v>
      </c>
      <c r="F56" s="12">
        <f>F20*$E$54/1000</f>
        <v>0</v>
      </c>
      <c r="G56" s="12">
        <f>G20*$E$54/1000</f>
        <v>1.4360040000000001</v>
      </c>
      <c r="H56" s="12">
        <f>H20*$E$54/1000</f>
        <v>4.5100800000000003</v>
      </c>
      <c r="I56" s="13">
        <f t="shared" ref="I56:I61" si="12">SUM(C56:H56)</f>
        <v>7.3495920000000003</v>
      </c>
    </row>
    <row r="57" spans="2:9">
      <c r="B57" s="18" t="s">
        <v>38</v>
      </c>
      <c r="C57" s="12">
        <f>C21*$E$54/1000</f>
        <v>1.1075999999999999</v>
      </c>
      <c r="D57" s="11"/>
      <c r="E57" s="12">
        <f>E21*$E$54/1000</f>
        <v>0</v>
      </c>
      <c r="F57" s="12">
        <f>F21*$E$54/1000</f>
        <v>0</v>
      </c>
      <c r="G57" s="12">
        <f>G21*$E$54/1000</f>
        <v>0.17627999999999999</v>
      </c>
      <c r="H57" s="12">
        <f>H21*$E$54/1000</f>
        <v>1.2811199999999998</v>
      </c>
      <c r="I57" s="13">
        <f t="shared" si="12"/>
        <v>2.5649999999999995</v>
      </c>
    </row>
    <row r="58" spans="2:9">
      <c r="B58" s="18" t="s">
        <v>40</v>
      </c>
      <c r="C58" s="12">
        <f>C22*$E$54/1000</f>
        <v>1.396158</v>
      </c>
      <c r="D58" s="12">
        <f>D22*$E$54/1000</f>
        <v>0</v>
      </c>
      <c r="E58" s="11"/>
      <c r="F58" s="12">
        <f>F22*$E$54/1000</f>
        <v>0</v>
      </c>
      <c r="G58" s="12">
        <f>G22*$E$54/1000</f>
        <v>0.26315999999999995</v>
      </c>
      <c r="H58" s="12">
        <f>H22*$E$54/1000</f>
        <v>0.54392400000000007</v>
      </c>
      <c r="I58" s="13">
        <f t="shared" si="12"/>
        <v>2.2032419999999999</v>
      </c>
    </row>
    <row r="59" spans="2:9">
      <c r="B59" s="18" t="s">
        <v>42</v>
      </c>
      <c r="C59" s="12">
        <f>C23*$E$54/1000</f>
        <v>0.16512000000000002</v>
      </c>
      <c r="D59" s="12">
        <f>D23*$E$54/1000</f>
        <v>3.9420000000000004E-2</v>
      </c>
      <c r="E59" s="12">
        <f t="shared" ref="E59" si="13">E23*$E$54/1000</f>
        <v>4.3379999999999998E-3</v>
      </c>
      <c r="F59" s="11"/>
      <c r="G59" s="12">
        <f>G23*$E$54/1000</f>
        <v>0</v>
      </c>
      <c r="H59" s="12">
        <f>H23*$E$54/1000</f>
        <v>0</v>
      </c>
      <c r="I59" s="13">
        <f t="shared" si="12"/>
        <v>0.20887800000000004</v>
      </c>
    </row>
    <row r="60" spans="2:9">
      <c r="B60" s="18" t="s">
        <v>43</v>
      </c>
      <c r="C60" s="12">
        <f>C24*$E$54/1000</f>
        <v>0.38759399999999999</v>
      </c>
      <c r="D60" s="12">
        <f>D24*$E$54/1000</f>
        <v>1.05768</v>
      </c>
      <c r="E60" s="12">
        <f t="shared" ref="E60:F60" si="14">E24*$E$54/1000</f>
        <v>1.043868</v>
      </c>
      <c r="F60" s="12">
        <f t="shared" si="14"/>
        <v>0.30427799999999999</v>
      </c>
      <c r="G60" s="11"/>
      <c r="H60" s="12">
        <f>H24*$E$54/1000</f>
        <v>0</v>
      </c>
      <c r="I60" s="13">
        <f t="shared" si="12"/>
        <v>2.7934200000000002</v>
      </c>
    </row>
    <row r="61" spans="2:9">
      <c r="B61" s="18" t="s">
        <v>45</v>
      </c>
      <c r="C61" s="12">
        <f>C25*$E$54/1000</f>
        <v>1.5938399999999999</v>
      </c>
      <c r="D61" s="12">
        <f>D25*$E$54/1000</f>
        <v>2.0818199999999996</v>
      </c>
      <c r="E61" s="12">
        <f t="shared" ref="E61:G61" si="15">E25*$E$54/1000</f>
        <v>2.5508160000000002</v>
      </c>
      <c r="F61" s="12">
        <f t="shared" si="15"/>
        <v>0.72215999999999991</v>
      </c>
      <c r="G61" s="12">
        <f t="shared" si="15"/>
        <v>0</v>
      </c>
      <c r="H61" s="11"/>
      <c r="I61" s="13">
        <f t="shared" si="12"/>
        <v>6.9486359999999996</v>
      </c>
    </row>
    <row r="62" spans="2:9" ht="18">
      <c r="B62" s="16" t="s">
        <v>247</v>
      </c>
      <c r="C62" s="13">
        <f t="shared" ref="C62:H62" si="16">SUM(C56:C61)</f>
        <v>4.6503119999999996</v>
      </c>
      <c r="D62" s="13">
        <f t="shared" si="16"/>
        <v>3.9244199999999996</v>
      </c>
      <c r="E62" s="13">
        <f t="shared" si="16"/>
        <v>4.2570300000000003</v>
      </c>
      <c r="F62" s="13">
        <f t="shared" si="16"/>
        <v>1.026438</v>
      </c>
      <c r="G62" s="13">
        <f t="shared" si="16"/>
        <v>1.8754439999999999</v>
      </c>
      <c r="H62" s="13">
        <f t="shared" si="16"/>
        <v>6.3351240000000004</v>
      </c>
      <c r="I62" s="13">
        <f>SUM(I56:I61)</f>
        <v>22.068767999999999</v>
      </c>
    </row>
    <row r="65" spans="2:9">
      <c r="B65" s="98" t="s">
        <v>236</v>
      </c>
      <c r="C65" s="98" t="s">
        <v>235</v>
      </c>
    </row>
    <row r="66" spans="2:9" ht="18">
      <c r="B66" s="18" t="s">
        <v>251</v>
      </c>
      <c r="C66" s="18">
        <f>'Fatores Emissao'!O6</f>
        <v>1</v>
      </c>
    </row>
    <row r="67" spans="2:9" ht="18">
      <c r="B67" s="18" t="s">
        <v>252</v>
      </c>
      <c r="C67" s="18">
        <f>'Fatores Emissao'!O7</f>
        <v>28</v>
      </c>
    </row>
    <row r="68" spans="2:9" ht="18">
      <c r="B68" s="18" t="s">
        <v>253</v>
      </c>
      <c r="C68" s="18">
        <f>'Fatores Emissao'!O8</f>
        <v>265</v>
      </c>
    </row>
    <row r="71" spans="2:9" ht="18">
      <c r="B71" s="5" t="s">
        <v>256</v>
      </c>
      <c r="C71" s="98" t="s">
        <v>35</v>
      </c>
      <c r="D71" s="98" t="s">
        <v>38</v>
      </c>
      <c r="E71" s="98" t="s">
        <v>40</v>
      </c>
      <c r="F71" s="98" t="s">
        <v>42</v>
      </c>
      <c r="G71" s="98" t="s">
        <v>43</v>
      </c>
      <c r="H71" s="98" t="s">
        <v>45</v>
      </c>
      <c r="I71" s="5" t="s">
        <v>257</v>
      </c>
    </row>
    <row r="72" spans="2:9">
      <c r="B72" s="18" t="s">
        <v>35</v>
      </c>
      <c r="C72" s="11"/>
      <c r="D72" s="12">
        <f t="shared" ref="D72:H72" si="17">(D34)*$C$66+(D45)*$C$67+(D56)*$C$68</f>
        <v>18157.463394736846</v>
      </c>
      <c r="E72" s="12">
        <f t="shared" si="17"/>
        <v>16026.500568000003</v>
      </c>
      <c r="F72" s="12">
        <f t="shared" si="17"/>
        <v>0</v>
      </c>
      <c r="G72" s="12">
        <f t="shared" si="17"/>
        <v>34975.439389263171</v>
      </c>
      <c r="H72" s="12">
        <f t="shared" si="17"/>
        <v>109847.90410105266</v>
      </c>
      <c r="I72" s="13">
        <f t="shared" ref="I72:I77" si="18">SUM(C72:H72)</f>
        <v>179007.30745305266</v>
      </c>
    </row>
    <row r="73" spans="2:9">
      <c r="B73" s="18" t="s">
        <v>38</v>
      </c>
      <c r="C73" s="12">
        <f>(C35)*$C$66+(C46)*$C$67+(C57)*$C$68</f>
        <v>26976.80275789474</v>
      </c>
      <c r="D73" s="11"/>
      <c r="E73" s="12">
        <f t="shared" ref="E73:H73" si="19">(E35)*$C$66+(E46)*$C$67+(E57)*$C$68</f>
        <v>0</v>
      </c>
      <c r="F73" s="12">
        <f t="shared" si="19"/>
        <v>0</v>
      </c>
      <c r="G73" s="12">
        <f t="shared" si="19"/>
        <v>4293.4911431578957</v>
      </c>
      <c r="H73" s="12">
        <f t="shared" si="19"/>
        <v>31203.071098947374</v>
      </c>
      <c r="I73" s="13">
        <f t="shared" si="18"/>
        <v>62473.365000000005</v>
      </c>
    </row>
    <row r="74" spans="2:9">
      <c r="B74" s="18" t="s">
        <v>40</v>
      </c>
      <c r="C74" s="12">
        <f t="shared" ref="C74:H74" si="20">(C36)*$C$66+(C47)*$C$67+(C58)*$C$68</f>
        <v>34004.946718000007</v>
      </c>
      <c r="D74" s="12">
        <f t="shared" si="20"/>
        <v>0</v>
      </c>
      <c r="E74" s="11"/>
      <c r="F74" s="12">
        <f t="shared" si="20"/>
        <v>0</v>
      </c>
      <c r="G74" s="12">
        <f t="shared" si="20"/>
        <v>6409.5480442105272</v>
      </c>
      <c r="H74" s="12">
        <f t="shared" si="20"/>
        <v>13247.860656631583</v>
      </c>
      <c r="I74" s="13">
        <f t="shared" si="18"/>
        <v>53662.355418842111</v>
      </c>
    </row>
    <row r="75" spans="2:9">
      <c r="B75" s="18" t="s">
        <v>42</v>
      </c>
      <c r="C75" s="12">
        <f t="shared" ref="C75:H75" si="21">(C37)*$C$66+(C48)*$C$67+(C59)*$C$68</f>
        <v>4021.6772042105272</v>
      </c>
      <c r="D75" s="12">
        <f t="shared" si="21"/>
        <v>960.11697789473703</v>
      </c>
      <c r="E75" s="12">
        <f t="shared" si="21"/>
        <v>105.65670852631581</v>
      </c>
      <c r="F75" s="11"/>
      <c r="G75" s="12">
        <f t="shared" si="21"/>
        <v>0</v>
      </c>
      <c r="H75" s="12">
        <f t="shared" si="21"/>
        <v>0</v>
      </c>
      <c r="I75" s="13">
        <f t="shared" si="18"/>
        <v>5087.4508906315805</v>
      </c>
    </row>
    <row r="76" spans="2:9">
      <c r="B76" s="18" t="s">
        <v>43</v>
      </c>
      <c r="C76" s="12">
        <f t="shared" ref="C76:H76" si="22">(C38)*$C$66+(C49)*$C$67+(C60)*$C$68</f>
        <v>9440.2734634736862</v>
      </c>
      <c r="D76" s="12">
        <f t="shared" si="22"/>
        <v>25760.946858947373</v>
      </c>
      <c r="E76" s="12">
        <f t="shared" si="22"/>
        <v>25424.540575368424</v>
      </c>
      <c r="F76" s="12">
        <f t="shared" si="22"/>
        <v>7411.0216590526334</v>
      </c>
      <c r="G76" s="11"/>
      <c r="H76" s="12">
        <f t="shared" si="22"/>
        <v>0</v>
      </c>
      <c r="I76" s="13">
        <f t="shared" si="18"/>
        <v>68036.782556842125</v>
      </c>
    </row>
    <row r="77" spans="2:9">
      <c r="B77" s="18" t="s">
        <v>45</v>
      </c>
      <c r="C77" s="12">
        <f t="shared" ref="C77:G77" si="23">(C39)*$C$66+(C50)*$C$67+(C61)*$C$68</f>
        <v>38819.706850526316</v>
      </c>
      <c r="D77" s="12">
        <f t="shared" si="23"/>
        <v>50704.990535789482</v>
      </c>
      <c r="E77" s="12">
        <f t="shared" si="23"/>
        <v>62127.898251789491</v>
      </c>
      <c r="F77" s="12">
        <f t="shared" si="23"/>
        <v>17588.992307368426</v>
      </c>
      <c r="G77" s="12">
        <f t="shared" si="23"/>
        <v>0</v>
      </c>
      <c r="H77" s="11"/>
      <c r="I77" s="13">
        <f t="shared" si="18"/>
        <v>169241.58794547373</v>
      </c>
    </row>
    <row r="78" spans="2:9" ht="18">
      <c r="B78" s="16" t="s">
        <v>258</v>
      </c>
      <c r="C78" s="13">
        <f t="shared" ref="C78:H78" si="24">SUM(C72:C77)</f>
        <v>113263.40699410527</v>
      </c>
      <c r="D78" s="13">
        <f t="shared" si="24"/>
        <v>95583.517767368437</v>
      </c>
      <c r="E78" s="13">
        <f t="shared" si="24"/>
        <v>103684.59610368423</v>
      </c>
      <c r="F78" s="13">
        <f t="shared" si="24"/>
        <v>25000.013966421058</v>
      </c>
      <c r="G78" s="13">
        <f t="shared" si="24"/>
        <v>45678.478576631591</v>
      </c>
      <c r="H78" s="13">
        <f t="shared" si="24"/>
        <v>154298.83585663163</v>
      </c>
      <c r="I78" s="13">
        <f>SUM(I72:I77)</f>
        <v>537508.84926484223</v>
      </c>
    </row>
    <row r="79" spans="2:9">
      <c r="I79" s="201"/>
    </row>
    <row r="81" spans="2:9" ht="18">
      <c r="B81" s="5" t="s">
        <v>262</v>
      </c>
      <c r="C81" s="98" t="s">
        <v>35</v>
      </c>
      <c r="D81" s="98" t="s">
        <v>38</v>
      </c>
      <c r="E81" s="98" t="s">
        <v>40</v>
      </c>
      <c r="F81" s="98" t="s">
        <v>42</v>
      </c>
      <c r="G81" s="98" t="s">
        <v>43</v>
      </c>
      <c r="H81" s="98" t="s">
        <v>45</v>
      </c>
      <c r="I81" s="5" t="s">
        <v>260</v>
      </c>
    </row>
    <row r="82" spans="2:9">
      <c r="B82" s="18" t="s">
        <v>35</v>
      </c>
      <c r="C82" s="11"/>
      <c r="D82" s="40">
        <f>D72/$I$78</f>
        <v>3.3780771087901236E-2</v>
      </c>
      <c r="E82" s="40">
        <f>E72/$I$78</f>
        <v>2.9816254355476482E-2</v>
      </c>
      <c r="F82" s="40">
        <f>F72/$I$78</f>
        <v>0</v>
      </c>
      <c r="G82" s="40">
        <f>G72/$I$78</f>
        <v>6.5069513622146927E-2</v>
      </c>
      <c r="H82" s="40">
        <f>H72/$I$78</f>
        <v>0.20436482906522013</v>
      </c>
      <c r="I82" s="163">
        <f t="shared" ref="I82:I87" si="25">SUM(C82:H82)</f>
        <v>0.3330313681307448</v>
      </c>
    </row>
    <row r="83" spans="2:9">
      <c r="B83" s="18" t="s">
        <v>38</v>
      </c>
      <c r="C83" s="40">
        <f>C73/$I$78</f>
        <v>5.0188574187738977E-2</v>
      </c>
      <c r="D83" s="11"/>
      <c r="E83" s="40">
        <f t="shared" ref="E83:H86" si="26">E73/$I$78</f>
        <v>0</v>
      </c>
      <c r="F83" s="40">
        <f t="shared" si="26"/>
        <v>0</v>
      </c>
      <c r="G83" s="40">
        <f t="shared" si="26"/>
        <v>7.9877589904429648E-3</v>
      </c>
      <c r="H83" s="40">
        <f t="shared" si="26"/>
        <v>5.8051269558862549E-2</v>
      </c>
      <c r="I83" s="163">
        <f t="shared" si="25"/>
        <v>0.11622760273704449</v>
      </c>
    </row>
    <row r="84" spans="2:9">
      <c r="B84" s="18" t="s">
        <v>40</v>
      </c>
      <c r="C84" s="40">
        <f t="shared" ref="C84:G87" si="27">C74/$I$78</f>
        <v>6.3263975587581511E-2</v>
      </c>
      <c r="D84" s="12"/>
      <c r="E84" s="11"/>
      <c r="F84" s="40">
        <f t="shared" si="26"/>
        <v>0</v>
      </c>
      <c r="G84" s="40">
        <f t="shared" si="26"/>
        <v>1.192454422467081E-2</v>
      </c>
      <c r="H84" s="40">
        <f t="shared" si="26"/>
        <v>2.4646776838652708E-2</v>
      </c>
      <c r="I84" s="163">
        <f t="shared" si="25"/>
        <v>9.9835296650905028E-2</v>
      </c>
    </row>
    <row r="85" spans="2:9">
      <c r="B85" s="18" t="s">
        <v>42</v>
      </c>
      <c r="C85" s="40">
        <f t="shared" si="27"/>
        <v>7.4820669644993319E-3</v>
      </c>
      <c r="D85" s="40">
        <f t="shared" si="27"/>
        <v>1.7862347368008944E-3</v>
      </c>
      <c r="E85" s="40">
        <f t="shared" si="27"/>
        <v>1.9656738427808928E-4</v>
      </c>
      <c r="F85" s="11"/>
      <c r="G85" s="40">
        <f t="shared" si="26"/>
        <v>0</v>
      </c>
      <c r="H85" s="40">
        <f t="shared" si="26"/>
        <v>0</v>
      </c>
      <c r="I85" s="163">
        <f t="shared" si="25"/>
        <v>9.4648690855783143E-3</v>
      </c>
    </row>
    <row r="86" spans="2:9">
      <c r="B86" s="18" t="s">
        <v>43</v>
      </c>
      <c r="C86" s="40">
        <f t="shared" si="27"/>
        <v>1.756301031394231E-2</v>
      </c>
      <c r="D86" s="40">
        <f t="shared" si="27"/>
        <v>4.7926553942657782E-2</v>
      </c>
      <c r="E86" s="40">
        <f t="shared" si="27"/>
        <v>4.730069209119421E-2</v>
      </c>
      <c r="F86" s="40">
        <f t="shared" si="27"/>
        <v>1.3787720275096463E-2</v>
      </c>
      <c r="G86" s="11"/>
      <c r="H86" s="40">
        <f t="shared" si="26"/>
        <v>0</v>
      </c>
      <c r="I86" s="163">
        <f t="shared" si="25"/>
        <v>0.12657797662289078</v>
      </c>
    </row>
    <row r="87" spans="2:9">
      <c r="B87" s="18" t="s">
        <v>45</v>
      </c>
      <c r="C87" s="40">
        <f t="shared" si="27"/>
        <v>7.2221521382616352E-2</v>
      </c>
      <c r="D87" s="40">
        <f t="shared" si="27"/>
        <v>9.4333313033151636E-2</v>
      </c>
      <c r="E87" s="40">
        <f t="shared" si="27"/>
        <v>0.11558488448471614</v>
      </c>
      <c r="F87" s="40">
        <f t="shared" si="27"/>
        <v>3.2723167872352459E-2</v>
      </c>
      <c r="G87" s="40">
        <f t="shared" si="27"/>
        <v>0</v>
      </c>
      <c r="H87" s="11"/>
      <c r="I87" s="163">
        <f t="shared" si="25"/>
        <v>0.31486288677283658</v>
      </c>
    </row>
    <row r="88" spans="2:9" ht="18">
      <c r="B88" s="16" t="s">
        <v>261</v>
      </c>
      <c r="C88" s="162">
        <f t="shared" ref="C88:I88" si="28">SUM(C82:C87)</f>
        <v>0.21071914843637851</v>
      </c>
      <c r="D88" s="162">
        <f t="shared" si="28"/>
        <v>0.17782687280051157</v>
      </c>
      <c r="E88" s="162">
        <f t="shared" si="28"/>
        <v>0.19289839831566491</v>
      </c>
      <c r="F88" s="162">
        <f t="shared" si="28"/>
        <v>4.6510888147448921E-2</v>
      </c>
      <c r="G88" s="162">
        <f t="shared" si="28"/>
        <v>8.4981816837260693E-2</v>
      </c>
      <c r="H88" s="162">
        <f t="shared" si="28"/>
        <v>0.28706287546273535</v>
      </c>
      <c r="I88" s="163">
        <f t="shared" si="28"/>
        <v>1</v>
      </c>
    </row>
    <row r="91" spans="2:9" ht="18">
      <c r="B91" s="260" t="s">
        <v>540</v>
      </c>
      <c r="C91" s="260"/>
      <c r="D91" s="260"/>
      <c r="E91" s="260"/>
      <c r="F91" s="260"/>
      <c r="G91" s="260"/>
      <c r="H91" s="260"/>
    </row>
    <row r="92" spans="2:9">
      <c r="B92" s="176" t="s">
        <v>36</v>
      </c>
      <c r="C92" s="98" t="s">
        <v>35</v>
      </c>
      <c r="D92" s="98" t="s">
        <v>38</v>
      </c>
      <c r="E92" s="98" t="s">
        <v>40</v>
      </c>
      <c r="F92" s="98" t="s">
        <v>42</v>
      </c>
      <c r="G92" s="98" t="s">
        <v>43</v>
      </c>
      <c r="H92" s="98" t="s">
        <v>45</v>
      </c>
    </row>
    <row r="93" spans="2:9">
      <c r="B93" s="18" t="s">
        <v>35</v>
      </c>
      <c r="C93" s="11"/>
      <c r="D93" s="166">
        <f>D72/D11</f>
        <v>103.75693368421055</v>
      </c>
      <c r="E93" s="166">
        <f>E72/E11</f>
        <v>102.73397800000002</v>
      </c>
      <c r="F93" s="166"/>
      <c r="G93" s="166">
        <f t="shared" ref="G93:H95" si="29">G72/G11</f>
        <v>154.75858136842112</v>
      </c>
      <c r="H93" s="166">
        <f t="shared" si="29"/>
        <v>169.51837052631583</v>
      </c>
    </row>
    <row r="94" spans="2:9">
      <c r="B94" s="18" t="s">
        <v>38</v>
      </c>
      <c r="C94" s="166">
        <f>C73/C12</f>
        <v>103.75693368421054</v>
      </c>
      <c r="D94" s="11"/>
      <c r="E94" s="166"/>
      <c r="F94" s="166"/>
      <c r="G94" s="166">
        <f t="shared" si="29"/>
        <v>214.67455715789478</v>
      </c>
      <c r="H94" s="166">
        <f t="shared" si="29"/>
        <v>229.43434631578953</v>
      </c>
    </row>
    <row r="95" spans="2:9">
      <c r="B95" s="18" t="s">
        <v>40</v>
      </c>
      <c r="C95" s="166">
        <f>C74/C13</f>
        <v>102.73397800000002</v>
      </c>
      <c r="D95" s="166"/>
      <c r="E95" s="11"/>
      <c r="F95" s="166"/>
      <c r="G95" s="166">
        <f t="shared" si="29"/>
        <v>213.65160147368425</v>
      </c>
      <c r="H95" s="166">
        <f t="shared" si="29"/>
        <v>228.41139063157902</v>
      </c>
    </row>
    <row r="96" spans="2:9">
      <c r="B96" s="18" t="s">
        <v>42</v>
      </c>
      <c r="C96" s="166">
        <f>C75/C14</f>
        <v>46.763688421052642</v>
      </c>
      <c r="D96" s="166">
        <f t="shared" ref="D96:E98" si="30">D75/D14</f>
        <v>106.67966421052634</v>
      </c>
      <c r="E96" s="166">
        <f t="shared" si="30"/>
        <v>105.65670852631581</v>
      </c>
      <c r="F96" s="11"/>
      <c r="G96" s="166"/>
      <c r="H96" s="166"/>
    </row>
    <row r="97" spans="2:9">
      <c r="B97" s="18" t="s">
        <v>43</v>
      </c>
      <c r="C97" s="166">
        <f>C76/C15</f>
        <v>154.75858136842109</v>
      </c>
      <c r="D97" s="166">
        <f t="shared" si="30"/>
        <v>214.67455715789478</v>
      </c>
      <c r="E97" s="166">
        <f t="shared" si="30"/>
        <v>213.65160147368425</v>
      </c>
      <c r="F97" s="166">
        <f>F76/F15</f>
        <v>157.68131189473689</v>
      </c>
      <c r="G97" s="11"/>
      <c r="H97" s="166"/>
    </row>
    <row r="98" spans="2:9">
      <c r="B98" s="18" t="s">
        <v>45</v>
      </c>
      <c r="C98" s="166">
        <f>C77/C16</f>
        <v>169.51837052631578</v>
      </c>
      <c r="D98" s="166">
        <f t="shared" si="30"/>
        <v>229.43434631578953</v>
      </c>
      <c r="E98" s="166">
        <f t="shared" si="30"/>
        <v>228.41139063157902</v>
      </c>
      <c r="F98" s="166">
        <f>F77/F16</f>
        <v>172.44110105263164</v>
      </c>
      <c r="G98" s="166"/>
      <c r="H98" s="11"/>
    </row>
    <row r="106" spans="2:9">
      <c r="I106" s="201"/>
    </row>
  </sheetData>
  <mergeCells count="5">
    <mergeCell ref="B29:I29"/>
    <mergeCell ref="B91:H91"/>
    <mergeCell ref="B32:D32"/>
    <mergeCell ref="B43:D43"/>
    <mergeCell ref="B54:D54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3C1F-2C42-4DBD-9E58-045A5EF79276}">
  <dimension ref="B2:I106"/>
  <sheetViews>
    <sheetView showGridLines="0" topLeftCell="A91" zoomScale="70" zoomScaleNormal="70" workbookViewId="0">
      <selection activeCell="L98" sqref="L98"/>
    </sheetView>
  </sheetViews>
  <sheetFormatPr defaultRowHeight="15.6"/>
  <cols>
    <col min="1" max="1" width="8.83984375" style="169"/>
    <col min="2" max="2" width="33.9453125" style="169" customWidth="1"/>
    <col min="3" max="3" width="15.5234375" style="169" customWidth="1"/>
    <col min="4" max="6" width="14.578125" style="169" customWidth="1"/>
    <col min="7" max="7" width="16.47265625" style="169" customWidth="1"/>
    <col min="8" max="8" width="16.62890625" style="169" customWidth="1"/>
    <col min="9" max="9" width="22.20703125" style="169" customWidth="1"/>
    <col min="10" max="16384" width="8.83984375" style="169"/>
  </cols>
  <sheetData>
    <row r="2" spans="2:9">
      <c r="B2" s="98" t="s">
        <v>184</v>
      </c>
      <c r="C2" s="98" t="s">
        <v>35</v>
      </c>
      <c r="D2" s="98" t="s">
        <v>38</v>
      </c>
      <c r="E2" s="98" t="s">
        <v>40</v>
      </c>
      <c r="F2" s="98" t="s">
        <v>42</v>
      </c>
      <c r="G2" s="98" t="s">
        <v>43</v>
      </c>
      <c r="H2" s="98" t="s">
        <v>45</v>
      </c>
    </row>
    <row r="3" spans="2:9">
      <c r="B3" s="18" t="s">
        <v>35</v>
      </c>
      <c r="C3" s="112"/>
      <c r="D3" s="113">
        <f>'Distancia Rodo'!D14</f>
        <v>142</v>
      </c>
      <c r="E3" s="113">
        <f>'Distancia Rodo'!E14</f>
        <v>140.6</v>
      </c>
      <c r="F3" s="113">
        <f>'Distancia Rodo'!F14</f>
        <v>64</v>
      </c>
      <c r="G3" s="113">
        <f>'Distancia Rodo'!G14</f>
        <v>211.8</v>
      </c>
      <c r="H3" s="113">
        <f>'Distancia Rodo'!H14</f>
        <v>232</v>
      </c>
    </row>
    <row r="4" spans="2:9">
      <c r="B4" s="18" t="s">
        <v>38</v>
      </c>
      <c r="C4" s="113">
        <f>'Distancia Rodo'!C15</f>
        <v>142</v>
      </c>
      <c r="D4" s="112"/>
      <c r="E4" s="113">
        <f>'Distancia Rodo'!E15</f>
        <v>222.6</v>
      </c>
      <c r="F4" s="113">
        <f>'Distancia Rodo'!F15</f>
        <v>146</v>
      </c>
      <c r="G4" s="113">
        <f>'Distancia Rodo'!G15</f>
        <v>293.8</v>
      </c>
      <c r="H4" s="113">
        <f>'Distancia Rodo'!H15</f>
        <v>314</v>
      </c>
    </row>
    <row r="5" spans="2:9">
      <c r="B5" s="18" t="s">
        <v>40</v>
      </c>
      <c r="C5" s="113">
        <f>'Distancia Rodo'!C16</f>
        <v>140.6</v>
      </c>
      <c r="D5" s="113">
        <f>'Distancia Rodo'!D16</f>
        <v>222.6</v>
      </c>
      <c r="E5" s="112"/>
      <c r="F5" s="113">
        <f>'Distancia Rodo'!F16</f>
        <v>144.6</v>
      </c>
      <c r="G5" s="113">
        <f>'Distancia Rodo'!G16</f>
        <v>292.39999999999998</v>
      </c>
      <c r="H5" s="113">
        <f>'Distancia Rodo'!H16</f>
        <v>312.60000000000002</v>
      </c>
    </row>
    <row r="6" spans="2:9">
      <c r="B6" s="18" t="s">
        <v>42</v>
      </c>
      <c r="C6" s="113">
        <f>'Distancia Rodo'!C17</f>
        <v>64</v>
      </c>
      <c r="D6" s="113">
        <f>'Distancia Rodo'!D17</f>
        <v>146</v>
      </c>
      <c r="E6" s="113">
        <f>'Distancia Rodo'!E17</f>
        <v>144.6</v>
      </c>
      <c r="F6" s="112"/>
      <c r="G6" s="113">
        <f>'Distancia Rodo'!G17</f>
        <v>215.8</v>
      </c>
      <c r="H6" s="113">
        <f>'Distancia Rodo'!H17</f>
        <v>236</v>
      </c>
    </row>
    <row r="7" spans="2:9">
      <c r="B7" s="18" t="s">
        <v>43</v>
      </c>
      <c r="C7" s="113">
        <f>'Distancia Rodo'!C18</f>
        <v>211.8</v>
      </c>
      <c r="D7" s="113">
        <f>'Distancia Rodo'!D18</f>
        <v>293.8</v>
      </c>
      <c r="E7" s="113">
        <f>'Distancia Rodo'!E18</f>
        <v>292.39999999999998</v>
      </c>
      <c r="F7" s="113">
        <f>'Distancia Rodo'!F18</f>
        <v>215.8</v>
      </c>
      <c r="G7" s="112"/>
      <c r="H7" s="113">
        <f>'Distancia Rodo'!H18</f>
        <v>383.8</v>
      </c>
    </row>
    <row r="8" spans="2:9">
      <c r="B8" s="18" t="s">
        <v>45</v>
      </c>
      <c r="C8" s="113">
        <f>'Distancia Rodo'!C19</f>
        <v>232</v>
      </c>
      <c r="D8" s="113">
        <f>'Distancia Rodo'!D19</f>
        <v>314</v>
      </c>
      <c r="E8" s="113">
        <f>'Distancia Rodo'!E19</f>
        <v>312.60000000000002</v>
      </c>
      <c r="F8" s="113">
        <f>'Distancia Rodo'!F19</f>
        <v>236</v>
      </c>
      <c r="G8" s="113">
        <f>'Distancia Rodo'!G19</f>
        <v>383.8</v>
      </c>
      <c r="H8" s="112"/>
    </row>
    <row r="10" spans="2:9">
      <c r="B10" s="5" t="s">
        <v>188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5" t="s">
        <v>47</v>
      </c>
    </row>
    <row r="11" spans="2:9">
      <c r="B11" s="10" t="s">
        <v>4</v>
      </c>
      <c r="C11" s="11">
        <f>'Movimentacao de Conteineres'!K30</f>
        <v>0</v>
      </c>
      <c r="D11" s="12">
        <f>'Movimentacao de Conteineres'!L30</f>
        <v>175</v>
      </c>
      <c r="E11" s="12">
        <f>'Movimentacao de Conteineres'!M30</f>
        <v>156</v>
      </c>
      <c r="F11" s="12">
        <f>'Movimentacao de Conteineres'!N30</f>
        <v>0</v>
      </c>
      <c r="G11" s="12">
        <f>'Movimentacao de Conteineres'!O30</f>
        <v>226</v>
      </c>
      <c r="H11" s="12">
        <f>'Movimentacao de Conteineres'!P30</f>
        <v>648</v>
      </c>
      <c r="I11" s="13">
        <f t="shared" ref="I11:I16" si="0">SUM(C11:H11)</f>
        <v>1205</v>
      </c>
    </row>
    <row r="12" spans="2:9">
      <c r="B12" s="10" t="s">
        <v>5</v>
      </c>
      <c r="C12" s="12">
        <f>'Movimentacao de Conteineres'!K31</f>
        <v>260</v>
      </c>
      <c r="D12" s="11">
        <f>'Movimentacao de Conteineres'!L31</f>
        <v>0</v>
      </c>
      <c r="E12" s="12">
        <f>'Movimentacao de Conteineres'!M31</f>
        <v>0</v>
      </c>
      <c r="F12" s="12">
        <f>'Movimentacao de Conteineres'!N31</f>
        <v>0</v>
      </c>
      <c r="G12" s="12">
        <f>'Movimentacao de Conteineres'!O31</f>
        <v>20</v>
      </c>
      <c r="H12" s="12">
        <f>'Movimentacao de Conteineres'!P31</f>
        <v>136</v>
      </c>
      <c r="I12" s="13">
        <f t="shared" si="0"/>
        <v>416</v>
      </c>
    </row>
    <row r="13" spans="2:9">
      <c r="B13" s="10" t="s">
        <v>6</v>
      </c>
      <c r="C13" s="12">
        <f>'Movimentacao de Conteineres'!K32</f>
        <v>331</v>
      </c>
      <c r="D13" s="12">
        <f>'Movimentacao de Conteineres'!L32</f>
        <v>0</v>
      </c>
      <c r="E13" s="11">
        <f>'Movimentacao de Conteineres'!M32</f>
        <v>0</v>
      </c>
      <c r="F13" s="12">
        <f>'Movimentacao de Conteineres'!N32</f>
        <v>0</v>
      </c>
      <c r="G13" s="12">
        <f>'Movimentacao de Conteineres'!O32</f>
        <v>30</v>
      </c>
      <c r="H13" s="12">
        <f>'Movimentacao de Conteineres'!P32</f>
        <v>58</v>
      </c>
      <c r="I13" s="13">
        <f t="shared" si="0"/>
        <v>419</v>
      </c>
    </row>
    <row r="14" spans="2:9">
      <c r="B14" s="10" t="s">
        <v>7</v>
      </c>
      <c r="C14" s="12">
        <f>'Movimentacao de Conteineres'!K33</f>
        <v>86</v>
      </c>
      <c r="D14" s="12">
        <f>'Movimentacao de Conteineres'!L33</f>
        <v>9</v>
      </c>
      <c r="E14" s="12">
        <f>'Movimentacao de Conteineres'!M33</f>
        <v>1</v>
      </c>
      <c r="F14" s="11">
        <f>'Movimentacao de Conteineres'!N33</f>
        <v>0</v>
      </c>
      <c r="G14" s="12">
        <f>'Movimentacao de Conteineres'!O33</f>
        <v>0</v>
      </c>
      <c r="H14" s="12">
        <f>'Movimentacao de Conteineres'!P33</f>
        <v>0</v>
      </c>
      <c r="I14" s="13">
        <f t="shared" si="0"/>
        <v>96</v>
      </c>
    </row>
    <row r="15" spans="2:9">
      <c r="B15" s="10" t="s">
        <v>8</v>
      </c>
      <c r="C15" s="12">
        <f>'Movimentacao de Conteineres'!K34</f>
        <v>61</v>
      </c>
      <c r="D15" s="12">
        <f>'Movimentacao de Conteineres'!L34</f>
        <v>120</v>
      </c>
      <c r="E15" s="12">
        <f>'Movimentacao de Conteineres'!M34</f>
        <v>119</v>
      </c>
      <c r="F15" s="12">
        <f>'Movimentacao de Conteineres'!N34</f>
        <v>47</v>
      </c>
      <c r="G15" s="11">
        <f>'Movimentacao de Conteineres'!O34</f>
        <v>0</v>
      </c>
      <c r="H15" s="12">
        <f>'Movimentacao de Conteineres'!P34</f>
        <v>0</v>
      </c>
      <c r="I15" s="13">
        <f t="shared" si="0"/>
        <v>347</v>
      </c>
    </row>
    <row r="16" spans="2:9">
      <c r="B16" s="10" t="s">
        <v>9</v>
      </c>
      <c r="C16" s="12">
        <f>'Movimentacao de Conteineres'!K35</f>
        <v>229</v>
      </c>
      <c r="D16" s="12">
        <f>'Movimentacao de Conteineres'!L35</f>
        <v>221</v>
      </c>
      <c r="E16" s="12">
        <f>'Movimentacao de Conteineres'!M35</f>
        <v>272</v>
      </c>
      <c r="F16" s="12">
        <f>'Movimentacao de Conteineres'!N35</f>
        <v>102</v>
      </c>
      <c r="G16" s="12">
        <f>'Movimentacao de Conteineres'!O35</f>
        <v>0</v>
      </c>
      <c r="H16" s="11">
        <f>'Movimentacao de Conteineres'!P35</f>
        <v>0</v>
      </c>
      <c r="I16" s="13">
        <f t="shared" si="0"/>
        <v>824</v>
      </c>
    </row>
    <row r="17" spans="2:9">
      <c r="B17" s="16" t="s">
        <v>48</v>
      </c>
      <c r="C17" s="13">
        <f t="shared" ref="C17:I17" si="1">SUM(C11:C16)</f>
        <v>967</v>
      </c>
      <c r="D17" s="13">
        <f t="shared" si="1"/>
        <v>525</v>
      </c>
      <c r="E17" s="13">
        <f t="shared" si="1"/>
        <v>548</v>
      </c>
      <c r="F17" s="13">
        <f t="shared" si="1"/>
        <v>149</v>
      </c>
      <c r="G17" s="13">
        <f t="shared" si="1"/>
        <v>276</v>
      </c>
      <c r="H17" s="13">
        <f t="shared" si="1"/>
        <v>842</v>
      </c>
      <c r="I17" s="13">
        <f t="shared" si="1"/>
        <v>3307</v>
      </c>
    </row>
    <row r="19" spans="2:9">
      <c r="B19" s="5" t="s">
        <v>347</v>
      </c>
      <c r="C19" s="98" t="s">
        <v>35</v>
      </c>
      <c r="D19" s="98" t="s">
        <v>38</v>
      </c>
      <c r="E19" s="98" t="s">
        <v>40</v>
      </c>
      <c r="F19" s="98" t="s">
        <v>42</v>
      </c>
      <c r="G19" s="98" t="s">
        <v>43</v>
      </c>
      <c r="H19" s="98" t="s">
        <v>45</v>
      </c>
      <c r="I19" s="5" t="s">
        <v>189</v>
      </c>
    </row>
    <row r="20" spans="2:9">
      <c r="B20" s="18" t="s">
        <v>35</v>
      </c>
      <c r="C20" s="11"/>
      <c r="D20" s="12">
        <f>D3*D11</f>
        <v>24850</v>
      </c>
      <c r="E20" s="12">
        <f>E3*E11</f>
        <v>21933.599999999999</v>
      </c>
      <c r="F20" s="12">
        <f>F3*F11</f>
        <v>0</v>
      </c>
      <c r="G20" s="12">
        <f>G3*G11</f>
        <v>47866.8</v>
      </c>
      <c r="H20" s="12">
        <f>H3*H11</f>
        <v>150336</v>
      </c>
      <c r="I20" s="13">
        <f t="shared" ref="I20:I25" si="2">SUM(C20:H20)</f>
        <v>244986.4</v>
      </c>
    </row>
    <row r="21" spans="2:9">
      <c r="B21" s="18" t="s">
        <v>38</v>
      </c>
      <c r="C21" s="12">
        <f>C4*C12</f>
        <v>36920</v>
      </c>
      <c r="D21" s="11"/>
      <c r="E21" s="12">
        <f t="shared" ref="C21:H24" si="3">E4*E12</f>
        <v>0</v>
      </c>
      <c r="F21" s="12">
        <f t="shared" si="3"/>
        <v>0</v>
      </c>
      <c r="G21" s="12">
        <f t="shared" si="3"/>
        <v>5876</v>
      </c>
      <c r="H21" s="12">
        <f t="shared" si="3"/>
        <v>42704</v>
      </c>
      <c r="I21" s="13">
        <f t="shared" si="2"/>
        <v>85500</v>
      </c>
    </row>
    <row r="22" spans="2:9">
      <c r="B22" s="18" t="s">
        <v>40</v>
      </c>
      <c r="C22" s="12">
        <f t="shared" si="3"/>
        <v>46538.6</v>
      </c>
      <c r="D22" s="12">
        <f t="shared" si="3"/>
        <v>0</v>
      </c>
      <c r="E22" s="11"/>
      <c r="F22" s="12">
        <f t="shared" si="3"/>
        <v>0</v>
      </c>
      <c r="G22" s="12">
        <f t="shared" si="3"/>
        <v>8772</v>
      </c>
      <c r="H22" s="12">
        <f t="shared" si="3"/>
        <v>18130.800000000003</v>
      </c>
      <c r="I22" s="13">
        <f t="shared" si="2"/>
        <v>73441.399999999994</v>
      </c>
    </row>
    <row r="23" spans="2:9">
      <c r="B23" s="18" t="s">
        <v>42</v>
      </c>
      <c r="C23" s="12">
        <f t="shared" si="3"/>
        <v>5504</v>
      </c>
      <c r="D23" s="12">
        <f t="shared" si="3"/>
        <v>1314</v>
      </c>
      <c r="E23" s="12">
        <f t="shared" si="3"/>
        <v>144.6</v>
      </c>
      <c r="F23" s="11"/>
      <c r="G23" s="12">
        <f t="shared" si="3"/>
        <v>0</v>
      </c>
      <c r="H23" s="12">
        <f t="shared" si="3"/>
        <v>0</v>
      </c>
      <c r="I23" s="13">
        <f t="shared" si="2"/>
        <v>6962.6</v>
      </c>
    </row>
    <row r="24" spans="2:9">
      <c r="B24" s="18" t="s">
        <v>43</v>
      </c>
      <c r="C24" s="12">
        <f t="shared" si="3"/>
        <v>12919.800000000001</v>
      </c>
      <c r="D24" s="12">
        <f t="shared" si="3"/>
        <v>35256</v>
      </c>
      <c r="E24" s="12">
        <f t="shared" si="3"/>
        <v>34795.599999999999</v>
      </c>
      <c r="F24" s="12">
        <f t="shared" si="3"/>
        <v>10142.6</v>
      </c>
      <c r="G24" s="11"/>
      <c r="H24" s="12">
        <f t="shared" si="3"/>
        <v>0</v>
      </c>
      <c r="I24" s="13">
        <f t="shared" si="2"/>
        <v>93114</v>
      </c>
    </row>
    <row r="25" spans="2:9">
      <c r="B25" s="18" t="s">
        <v>45</v>
      </c>
      <c r="C25" s="12">
        <f>C8*C16</f>
        <v>53128</v>
      </c>
      <c r="D25" s="12">
        <f>D8*D16</f>
        <v>69394</v>
      </c>
      <c r="E25" s="12">
        <f>E8*E16</f>
        <v>85027.200000000012</v>
      </c>
      <c r="F25" s="12">
        <f>F8*F16</f>
        <v>24072</v>
      </c>
      <c r="G25" s="12">
        <f>G8*G16</f>
        <v>0</v>
      </c>
      <c r="H25" s="11"/>
      <c r="I25" s="13">
        <f t="shared" si="2"/>
        <v>231621.2</v>
      </c>
    </row>
    <row r="26" spans="2:9">
      <c r="B26" s="16" t="s">
        <v>190</v>
      </c>
      <c r="C26" s="13">
        <f t="shared" ref="C26:H26" si="4">SUM(C20:C25)</f>
        <v>155010.40000000002</v>
      </c>
      <c r="D26" s="13">
        <f t="shared" si="4"/>
        <v>130814</v>
      </c>
      <c r="E26" s="13">
        <f t="shared" si="4"/>
        <v>141901</v>
      </c>
      <c r="F26" s="13">
        <f t="shared" si="4"/>
        <v>34214.6</v>
      </c>
      <c r="G26" s="13">
        <f t="shared" si="4"/>
        <v>62514.8</v>
      </c>
      <c r="H26" s="13">
        <f t="shared" si="4"/>
        <v>211170.8</v>
      </c>
      <c r="I26" s="13">
        <f>SUM(I20:I25)</f>
        <v>735625.60000000009</v>
      </c>
    </row>
    <row r="27" spans="2:9">
      <c r="I27" s="201"/>
    </row>
    <row r="28" spans="2:9">
      <c r="I28" s="201"/>
    </row>
    <row r="29" spans="2:9">
      <c r="B29" s="276" t="s">
        <v>482</v>
      </c>
      <c r="C29" s="276"/>
      <c r="D29" s="276"/>
      <c r="E29" s="276"/>
      <c r="F29" s="276"/>
      <c r="G29" s="276"/>
      <c r="H29" s="276"/>
      <c r="I29" s="276"/>
    </row>
    <row r="30" spans="2:9">
      <c r="I30" s="201"/>
    </row>
    <row r="32" spans="2:9" ht="18">
      <c r="B32" s="272" t="s">
        <v>267</v>
      </c>
      <c r="C32" s="272"/>
      <c r="D32" s="272"/>
      <c r="E32" s="187">
        <f>'Fatores Emissao'!C72</f>
        <v>0.55000000000000004</v>
      </c>
      <c r="F32" s="156" t="s">
        <v>237</v>
      </c>
    </row>
    <row r="33" spans="2:9" ht="18">
      <c r="B33" s="5" t="s">
        <v>239</v>
      </c>
      <c r="C33" s="98" t="s">
        <v>35</v>
      </c>
      <c r="D33" s="98" t="s">
        <v>38</v>
      </c>
      <c r="E33" s="98" t="s">
        <v>40</v>
      </c>
      <c r="F33" s="98" t="s">
        <v>42</v>
      </c>
      <c r="G33" s="98" t="s">
        <v>43</v>
      </c>
      <c r="H33" s="98" t="s">
        <v>45</v>
      </c>
      <c r="I33" s="5" t="s">
        <v>240</v>
      </c>
    </row>
    <row r="34" spans="2:9">
      <c r="B34" s="18" t="s">
        <v>35</v>
      </c>
      <c r="C34" s="11"/>
      <c r="D34" s="12">
        <f>D20*$E$32</f>
        <v>13667.500000000002</v>
      </c>
      <c r="E34" s="12">
        <f>E20*$E$32</f>
        <v>12063.48</v>
      </c>
      <c r="F34" s="12">
        <f>F20*$E$32</f>
        <v>0</v>
      </c>
      <c r="G34" s="12">
        <f>G20*$E$32</f>
        <v>26326.740000000005</v>
      </c>
      <c r="H34" s="12">
        <f>H20*$E$32</f>
        <v>82684.800000000003</v>
      </c>
      <c r="I34" s="13">
        <f t="shared" ref="I34:I39" si="5">SUM(C34:H34)</f>
        <v>134742.52000000002</v>
      </c>
    </row>
    <row r="35" spans="2:9">
      <c r="B35" s="18" t="s">
        <v>38</v>
      </c>
      <c r="C35" s="12">
        <f>C21*$E$32</f>
        <v>20306</v>
      </c>
      <c r="D35" s="11"/>
      <c r="E35" s="12">
        <f>E21*$E$32</f>
        <v>0</v>
      </c>
      <c r="F35" s="12">
        <f>F21*$E$32</f>
        <v>0</v>
      </c>
      <c r="G35" s="12">
        <f>G21*$E$32</f>
        <v>3231.8</v>
      </c>
      <c r="H35" s="12">
        <f>H21*$E$32</f>
        <v>23487.200000000001</v>
      </c>
      <c r="I35" s="13">
        <f t="shared" si="5"/>
        <v>47025</v>
      </c>
    </row>
    <row r="36" spans="2:9">
      <c r="B36" s="18" t="s">
        <v>40</v>
      </c>
      <c r="C36" s="12">
        <f>C22*$E$32</f>
        <v>25596.23</v>
      </c>
      <c r="D36" s="12">
        <f>D22*$E$32</f>
        <v>0</v>
      </c>
      <c r="E36" s="11"/>
      <c r="F36" s="12">
        <f>F22*$E$32</f>
        <v>0</v>
      </c>
      <c r="G36" s="12">
        <f>G22*$E$32</f>
        <v>4824.6000000000004</v>
      </c>
      <c r="H36" s="12">
        <f>H22*$E$32</f>
        <v>9971.9400000000023</v>
      </c>
      <c r="I36" s="13">
        <f t="shared" si="5"/>
        <v>40392.770000000004</v>
      </c>
    </row>
    <row r="37" spans="2:9">
      <c r="B37" s="18" t="s">
        <v>42</v>
      </c>
      <c r="C37" s="12">
        <f>C23*$E$32</f>
        <v>3027.2000000000003</v>
      </c>
      <c r="D37" s="12">
        <f>D23*$E$32</f>
        <v>722.7</v>
      </c>
      <c r="E37" s="12">
        <f>E23*$E$32</f>
        <v>79.53</v>
      </c>
      <c r="F37" s="11"/>
      <c r="G37" s="12">
        <f>G23*$E$32</f>
        <v>0</v>
      </c>
      <c r="H37" s="12">
        <f>H23*$E$32</f>
        <v>0</v>
      </c>
      <c r="I37" s="13">
        <f t="shared" si="5"/>
        <v>3829.4300000000007</v>
      </c>
    </row>
    <row r="38" spans="2:9">
      <c r="B38" s="18" t="s">
        <v>43</v>
      </c>
      <c r="C38" s="12">
        <f>C24*$E$32</f>
        <v>7105.8900000000012</v>
      </c>
      <c r="D38" s="12">
        <f>D24*$E$32</f>
        <v>19390.800000000003</v>
      </c>
      <c r="E38" s="12">
        <f>E24*$E$32</f>
        <v>19137.580000000002</v>
      </c>
      <c r="F38" s="12">
        <f>F24*$E$32</f>
        <v>5578.43</v>
      </c>
      <c r="G38" s="11"/>
      <c r="H38" s="12">
        <f>H24*$E$32</f>
        <v>0</v>
      </c>
      <c r="I38" s="13">
        <f t="shared" si="5"/>
        <v>51212.700000000004</v>
      </c>
    </row>
    <row r="39" spans="2:9">
      <c r="B39" s="18" t="s">
        <v>45</v>
      </c>
      <c r="C39" s="12">
        <f>C25*$E$32</f>
        <v>29220.400000000001</v>
      </c>
      <c r="D39" s="12">
        <f>D25*$E$32</f>
        <v>38166.700000000004</v>
      </c>
      <c r="E39" s="12">
        <f>E25*$E$32</f>
        <v>46764.960000000014</v>
      </c>
      <c r="F39" s="12">
        <f>F25*$E$32</f>
        <v>13239.6</v>
      </c>
      <c r="G39" s="12">
        <f>G25*$E$32</f>
        <v>0</v>
      </c>
      <c r="H39" s="11"/>
      <c r="I39" s="13">
        <f t="shared" si="5"/>
        <v>127391.66000000003</v>
      </c>
    </row>
    <row r="40" spans="2:9" ht="18">
      <c r="B40" s="16" t="s">
        <v>241</v>
      </c>
      <c r="C40" s="13">
        <f t="shared" ref="C40:H40" si="6">SUM(C34:C39)</f>
        <v>85255.72</v>
      </c>
      <c r="D40" s="13">
        <f t="shared" si="6"/>
        <v>71947.700000000012</v>
      </c>
      <c r="E40" s="13">
        <f t="shared" si="6"/>
        <v>78045.550000000017</v>
      </c>
      <c r="F40" s="13">
        <f t="shared" si="6"/>
        <v>18818.03</v>
      </c>
      <c r="G40" s="13">
        <f t="shared" si="6"/>
        <v>34383.140000000007</v>
      </c>
      <c r="H40" s="13">
        <f t="shared" si="6"/>
        <v>116143.94</v>
      </c>
      <c r="I40" s="13">
        <f>SUM(I34:I39)</f>
        <v>404594.08000000007</v>
      </c>
    </row>
    <row r="43" spans="2:9" ht="18">
      <c r="B43" s="272" t="s">
        <v>268</v>
      </c>
      <c r="C43" s="272"/>
      <c r="D43" s="272"/>
      <c r="E43" s="159">
        <f>'Fatores Emissao'!D72</f>
        <v>3.7</v>
      </c>
      <c r="F43" s="156" t="s">
        <v>281</v>
      </c>
    </row>
    <row r="44" spans="2:9" ht="18">
      <c r="B44" s="5" t="s">
        <v>287</v>
      </c>
      <c r="C44" s="98" t="s">
        <v>35</v>
      </c>
      <c r="D44" s="98" t="s">
        <v>38</v>
      </c>
      <c r="E44" s="98" t="s">
        <v>40</v>
      </c>
      <c r="F44" s="98" t="s">
        <v>42</v>
      </c>
      <c r="G44" s="98" t="s">
        <v>43</v>
      </c>
      <c r="H44" s="98" t="s">
        <v>45</v>
      </c>
      <c r="I44" s="5" t="s">
        <v>243</v>
      </c>
    </row>
    <row r="45" spans="2:9">
      <c r="B45" s="18" t="s">
        <v>35</v>
      </c>
      <c r="C45" s="11"/>
      <c r="D45" s="12">
        <f>D20*$E$43/1000</f>
        <v>91.944999999999993</v>
      </c>
      <c r="E45" s="12">
        <f>E20*$E$43/1000</f>
        <v>81.154319999999998</v>
      </c>
      <c r="F45" s="12">
        <f>F20*$E$43/1000</f>
        <v>0</v>
      </c>
      <c r="G45" s="12">
        <f>G20*$E$43/1000</f>
        <v>177.10716000000002</v>
      </c>
      <c r="H45" s="12">
        <f>H20*$E$43/1000</f>
        <v>556.24320000000012</v>
      </c>
      <c r="I45" s="13">
        <f t="shared" ref="I45:I50" si="7">SUM(C45:H45)</f>
        <v>906.44968000000017</v>
      </c>
    </row>
    <row r="46" spans="2:9">
      <c r="B46" s="18" t="s">
        <v>38</v>
      </c>
      <c r="C46" s="12">
        <f>C21*$E$43/1000</f>
        <v>136.60400000000001</v>
      </c>
      <c r="D46" s="11"/>
      <c r="E46" s="12">
        <f>E21*$E$43/1000</f>
        <v>0</v>
      </c>
      <c r="F46" s="12">
        <f>F21*$E$43/1000</f>
        <v>0</v>
      </c>
      <c r="G46" s="12">
        <f>G21*$E$43/1000</f>
        <v>21.741199999999999</v>
      </c>
      <c r="H46" s="12">
        <f>H21*$E$43/1000</f>
        <v>158.00480000000002</v>
      </c>
      <c r="I46" s="13">
        <f t="shared" si="7"/>
        <v>316.35000000000002</v>
      </c>
    </row>
    <row r="47" spans="2:9">
      <c r="B47" s="18" t="s">
        <v>40</v>
      </c>
      <c r="C47" s="12">
        <f>C22*$E$43/1000</f>
        <v>172.19282000000001</v>
      </c>
      <c r="D47" s="12">
        <f>D22*$E$43/1000</f>
        <v>0</v>
      </c>
      <c r="E47" s="11"/>
      <c r="F47" s="12">
        <f>F22*$E$43/1000</f>
        <v>0</v>
      </c>
      <c r="G47" s="12">
        <f>G22*$E$43/1000</f>
        <v>32.456400000000002</v>
      </c>
      <c r="H47" s="12">
        <f>H22*$E$43/1000</f>
        <v>67.083960000000019</v>
      </c>
      <c r="I47" s="13">
        <f t="shared" si="7"/>
        <v>271.73318000000006</v>
      </c>
    </row>
    <row r="48" spans="2:9">
      <c r="B48" s="18" t="s">
        <v>42</v>
      </c>
      <c r="C48" s="12">
        <f>C23*$E$43/1000</f>
        <v>20.364799999999999</v>
      </c>
      <c r="D48" s="12">
        <f>D23*$E$43/1000</f>
        <v>4.8618000000000006</v>
      </c>
      <c r="E48" s="12">
        <f t="shared" ref="E48:G50" si="8">E23*$E$43/1000</f>
        <v>0.53501999999999994</v>
      </c>
      <c r="F48" s="11"/>
      <c r="G48" s="12">
        <f>G23*$E$43/1000</f>
        <v>0</v>
      </c>
      <c r="H48" s="12">
        <f>H23*$E$43/1000</f>
        <v>0</v>
      </c>
      <c r="I48" s="13">
        <f t="shared" si="7"/>
        <v>25.761619999999997</v>
      </c>
    </row>
    <row r="49" spans="2:9">
      <c r="B49" s="18" t="s">
        <v>43</v>
      </c>
      <c r="C49" s="12">
        <f>C24*$E$43/1000</f>
        <v>47.803260000000009</v>
      </c>
      <c r="D49" s="12">
        <f>D24*$E$43/1000</f>
        <v>130.44720000000001</v>
      </c>
      <c r="E49" s="12">
        <f t="shared" si="8"/>
        <v>128.74372</v>
      </c>
      <c r="F49" s="12">
        <f t="shared" si="8"/>
        <v>37.527620000000006</v>
      </c>
      <c r="G49" s="11"/>
      <c r="H49" s="12">
        <f>H24*$E$43/1000</f>
        <v>0</v>
      </c>
      <c r="I49" s="13">
        <f t="shared" si="7"/>
        <v>344.52180000000004</v>
      </c>
    </row>
    <row r="50" spans="2:9">
      <c r="B50" s="18" t="s">
        <v>45</v>
      </c>
      <c r="C50" s="12">
        <f>C25*$E$43/1000</f>
        <v>196.5736</v>
      </c>
      <c r="D50" s="12">
        <f>D25*$E$43/1000</f>
        <v>256.75780000000003</v>
      </c>
      <c r="E50" s="12">
        <f t="shared" si="8"/>
        <v>314.60064000000006</v>
      </c>
      <c r="F50" s="12">
        <f t="shared" si="8"/>
        <v>89.066400000000016</v>
      </c>
      <c r="G50" s="12">
        <f t="shared" si="8"/>
        <v>0</v>
      </c>
      <c r="H50" s="11"/>
      <c r="I50" s="13">
        <f t="shared" si="7"/>
        <v>856.99844000000019</v>
      </c>
    </row>
    <row r="51" spans="2:9" ht="18">
      <c r="B51" s="16" t="s">
        <v>244</v>
      </c>
      <c r="C51" s="13">
        <f t="shared" ref="C51:H51" si="9">SUM(C45:C50)</f>
        <v>573.53848000000005</v>
      </c>
      <c r="D51" s="13">
        <f t="shared" si="9"/>
        <v>484.01180000000005</v>
      </c>
      <c r="E51" s="13">
        <f t="shared" si="9"/>
        <v>525.03370000000007</v>
      </c>
      <c r="F51" s="13">
        <f t="shared" si="9"/>
        <v>126.59402000000003</v>
      </c>
      <c r="G51" s="13">
        <f t="shared" si="9"/>
        <v>231.30476000000002</v>
      </c>
      <c r="H51" s="13">
        <f t="shared" si="9"/>
        <v>781.33196000000021</v>
      </c>
      <c r="I51" s="13">
        <f>SUM(I45:I50)</f>
        <v>2721.8147200000003</v>
      </c>
    </row>
    <row r="54" spans="2:9" ht="18">
      <c r="B54" s="272" t="s">
        <v>269</v>
      </c>
      <c r="C54" s="272"/>
      <c r="D54" s="272"/>
      <c r="E54" s="159">
        <f>'Fatores Emissao'!E72</f>
        <v>1E-3</v>
      </c>
      <c r="F54" s="156" t="s">
        <v>282</v>
      </c>
    </row>
    <row r="55" spans="2:9" ht="18">
      <c r="B55" s="5" t="s">
        <v>288</v>
      </c>
      <c r="C55" s="98" t="s">
        <v>35</v>
      </c>
      <c r="D55" s="98" t="s">
        <v>38</v>
      </c>
      <c r="E55" s="98" t="s">
        <v>40</v>
      </c>
      <c r="F55" s="98" t="s">
        <v>42</v>
      </c>
      <c r="G55" s="98" t="s">
        <v>43</v>
      </c>
      <c r="H55" s="98" t="s">
        <v>45</v>
      </c>
      <c r="I55" s="5" t="s">
        <v>246</v>
      </c>
    </row>
    <row r="56" spans="2:9">
      <c r="B56" s="18" t="s">
        <v>35</v>
      </c>
      <c r="C56" s="171"/>
      <c r="D56" s="60">
        <f>D20*$E$54/1000</f>
        <v>2.4850000000000001E-2</v>
      </c>
      <c r="E56" s="60">
        <f>E20*$E$54/1000</f>
        <v>2.1933599999999998E-2</v>
      </c>
      <c r="F56" s="60">
        <f>F20*$E$54/1000</f>
        <v>0</v>
      </c>
      <c r="G56" s="60">
        <f>G20*$E$54/1000</f>
        <v>4.7866800000000008E-2</v>
      </c>
      <c r="H56" s="60">
        <f>H20*$E$54/1000</f>
        <v>0.15033600000000003</v>
      </c>
      <c r="I56" s="230">
        <f t="shared" ref="I56:I61" si="10">SUM(C56:H56)</f>
        <v>0.24498640000000002</v>
      </c>
    </row>
    <row r="57" spans="2:9">
      <c r="B57" s="18" t="s">
        <v>38</v>
      </c>
      <c r="C57" s="60">
        <f>C21*$E$54/1000</f>
        <v>3.6920000000000001E-2</v>
      </c>
      <c r="D57" s="171"/>
      <c r="E57" s="60">
        <f>E21*$E$54/1000</f>
        <v>0</v>
      </c>
      <c r="F57" s="60">
        <f>F21*$E$54/1000</f>
        <v>0</v>
      </c>
      <c r="G57" s="60">
        <f>G21*$E$54/1000</f>
        <v>5.8760000000000001E-3</v>
      </c>
      <c r="H57" s="60">
        <f>H21*$E$54/1000</f>
        <v>4.2703999999999999E-2</v>
      </c>
      <c r="I57" s="230">
        <f t="shared" si="10"/>
        <v>8.5499999999999993E-2</v>
      </c>
    </row>
    <row r="58" spans="2:9">
      <c r="B58" s="18" t="s">
        <v>40</v>
      </c>
      <c r="C58" s="60">
        <f>C22*$E$54/1000</f>
        <v>4.6538599999999999E-2</v>
      </c>
      <c r="D58" s="60">
        <f>D22*$E$54/1000</f>
        <v>0</v>
      </c>
      <c r="E58" s="171"/>
      <c r="F58" s="60">
        <f>F22*$E$54/1000</f>
        <v>0</v>
      </c>
      <c r="G58" s="60">
        <f>G22*$E$54/1000</f>
        <v>8.7720000000000003E-3</v>
      </c>
      <c r="H58" s="60">
        <f>H22*$E$54/1000</f>
        <v>1.8130800000000006E-2</v>
      </c>
      <c r="I58" s="230">
        <f t="shared" si="10"/>
        <v>7.3441400000000004E-2</v>
      </c>
    </row>
    <row r="59" spans="2:9">
      <c r="B59" s="18" t="s">
        <v>42</v>
      </c>
      <c r="C59" s="60">
        <f>C23*$E$54/1000</f>
        <v>5.5040000000000002E-3</v>
      </c>
      <c r="D59" s="60">
        <f>D23*$E$54/1000</f>
        <v>1.3140000000000001E-3</v>
      </c>
      <c r="E59" s="60">
        <f t="shared" ref="E59:G61" si="11">E23*$E$54/1000</f>
        <v>1.4460000000000002E-4</v>
      </c>
      <c r="F59" s="171"/>
      <c r="G59" s="60">
        <f>G23*$E$54/1000</f>
        <v>0</v>
      </c>
      <c r="H59" s="60">
        <f>H23*$E$54/1000</f>
        <v>0</v>
      </c>
      <c r="I59" s="230">
        <f t="shared" si="10"/>
        <v>6.9626000000000002E-3</v>
      </c>
    </row>
    <row r="60" spans="2:9">
      <c r="B60" s="18" t="s">
        <v>43</v>
      </c>
      <c r="C60" s="60">
        <f>C24*$E$54/1000</f>
        <v>1.2919800000000002E-2</v>
      </c>
      <c r="D60" s="60">
        <f>D24*$E$54/1000</f>
        <v>3.5256000000000003E-2</v>
      </c>
      <c r="E60" s="60">
        <f t="shared" si="11"/>
        <v>3.4795600000000003E-2</v>
      </c>
      <c r="F60" s="60">
        <f t="shared" si="11"/>
        <v>1.01426E-2</v>
      </c>
      <c r="G60" s="171"/>
      <c r="H60" s="60">
        <f>H24*$E$54/1000</f>
        <v>0</v>
      </c>
      <c r="I60" s="230">
        <f t="shared" si="10"/>
        <v>9.3114000000000002E-2</v>
      </c>
    </row>
    <row r="61" spans="2:9">
      <c r="B61" s="18" t="s">
        <v>45</v>
      </c>
      <c r="C61" s="60">
        <f>C25*$E$54/1000</f>
        <v>5.3128000000000002E-2</v>
      </c>
      <c r="D61" s="60">
        <f>D25*$E$54/1000</f>
        <v>6.9394000000000011E-2</v>
      </c>
      <c r="E61" s="60">
        <f t="shared" si="11"/>
        <v>8.5027200000000011E-2</v>
      </c>
      <c r="F61" s="60">
        <f t="shared" si="11"/>
        <v>2.4072E-2</v>
      </c>
      <c r="G61" s="60">
        <f t="shared" si="11"/>
        <v>0</v>
      </c>
      <c r="H61" s="171"/>
      <c r="I61" s="230">
        <f t="shared" si="10"/>
        <v>0.23162120000000005</v>
      </c>
    </row>
    <row r="62" spans="2:9" ht="18">
      <c r="B62" s="16" t="s">
        <v>247</v>
      </c>
      <c r="C62" s="230">
        <f t="shared" ref="C62:H62" si="12">SUM(C56:C61)</f>
        <v>0.15501039999999999</v>
      </c>
      <c r="D62" s="230">
        <f t="shared" si="12"/>
        <v>0.13081400000000001</v>
      </c>
      <c r="E62" s="230">
        <f t="shared" si="12"/>
        <v>0.141901</v>
      </c>
      <c r="F62" s="230">
        <f t="shared" si="12"/>
        <v>3.4214599999999998E-2</v>
      </c>
      <c r="G62" s="230">
        <f t="shared" si="12"/>
        <v>6.2514800000000009E-2</v>
      </c>
      <c r="H62" s="230">
        <f t="shared" si="12"/>
        <v>0.21117080000000002</v>
      </c>
      <c r="I62" s="230">
        <f>SUM(I56:I61)</f>
        <v>0.7356256000000001</v>
      </c>
    </row>
    <row r="65" spans="2:9">
      <c r="B65" s="98" t="s">
        <v>236</v>
      </c>
      <c r="C65" s="98" t="s">
        <v>235</v>
      </c>
    </row>
    <row r="66" spans="2:9" ht="18">
      <c r="B66" s="18" t="s">
        <v>251</v>
      </c>
      <c r="C66" s="18">
        <f>'Fatores Emissao'!O6</f>
        <v>1</v>
      </c>
    </row>
    <row r="67" spans="2:9" ht="18">
      <c r="B67" s="18" t="s">
        <v>252</v>
      </c>
      <c r="C67" s="18">
        <f>'Fatores Emissao'!O7</f>
        <v>28</v>
      </c>
    </row>
    <row r="68" spans="2:9" ht="18">
      <c r="B68" s="18" t="s">
        <v>253</v>
      </c>
      <c r="C68" s="18">
        <f>'Fatores Emissao'!O8</f>
        <v>265</v>
      </c>
    </row>
    <row r="71" spans="2:9" ht="18">
      <c r="B71" s="5" t="s">
        <v>256</v>
      </c>
      <c r="C71" s="98" t="s">
        <v>35</v>
      </c>
      <c r="D71" s="98" t="s">
        <v>38</v>
      </c>
      <c r="E71" s="98" t="s">
        <v>40</v>
      </c>
      <c r="F71" s="98" t="s">
        <v>42</v>
      </c>
      <c r="G71" s="98" t="s">
        <v>43</v>
      </c>
      <c r="H71" s="98" t="s">
        <v>45</v>
      </c>
      <c r="I71" s="5" t="s">
        <v>257</v>
      </c>
    </row>
    <row r="72" spans="2:9">
      <c r="B72" s="18" t="s">
        <v>35</v>
      </c>
      <c r="C72" s="11"/>
      <c r="D72" s="12">
        <f t="shared" ref="D72:H73" si="13">(D34)*$C$66+(D45)*$C$67+(D56)*$C$68</f>
        <v>16248.545250000003</v>
      </c>
      <c r="E72" s="12">
        <f t="shared" si="13"/>
        <v>14341.613364000001</v>
      </c>
      <c r="F72" s="12">
        <f t="shared" si="13"/>
        <v>0</v>
      </c>
      <c r="G72" s="12">
        <f t="shared" si="13"/>
        <v>31298.425182000006</v>
      </c>
      <c r="H72" s="12">
        <f t="shared" si="13"/>
        <v>98299.448640000017</v>
      </c>
      <c r="I72" s="13">
        <f t="shared" ref="I72:I77" si="14">SUM(C72:H72)</f>
        <v>160188.03243600001</v>
      </c>
    </row>
    <row r="73" spans="2:9">
      <c r="B73" s="18" t="s">
        <v>38</v>
      </c>
      <c r="C73" s="12">
        <f>(C35)*$C$66+(C46)*$C$67+(C57)*$C$68</f>
        <v>24140.695800000001</v>
      </c>
      <c r="D73" s="11"/>
      <c r="E73" s="12">
        <f t="shared" si="13"/>
        <v>0</v>
      </c>
      <c r="F73" s="12">
        <f t="shared" si="13"/>
        <v>0</v>
      </c>
      <c r="G73" s="12">
        <f t="shared" si="13"/>
        <v>3842.1107400000001</v>
      </c>
      <c r="H73" s="12">
        <f t="shared" si="13"/>
        <v>27922.650959999999</v>
      </c>
      <c r="I73" s="13">
        <f t="shared" si="14"/>
        <v>55905.457500000004</v>
      </c>
    </row>
    <row r="74" spans="2:9">
      <c r="B74" s="18" t="s">
        <v>40</v>
      </c>
      <c r="C74" s="12">
        <f t="shared" ref="C74:H77" si="15">(C36)*$C$66+(C47)*$C$67+(C58)*$C$68</f>
        <v>30429.961689000003</v>
      </c>
      <c r="D74" s="12">
        <f t="shared" si="15"/>
        <v>0</v>
      </c>
      <c r="E74" s="11"/>
      <c r="F74" s="12">
        <f t="shared" si="15"/>
        <v>0</v>
      </c>
      <c r="G74" s="12">
        <f t="shared" si="15"/>
        <v>5735.7037800000007</v>
      </c>
      <c r="H74" s="12">
        <f t="shared" si="15"/>
        <v>11855.095542000003</v>
      </c>
      <c r="I74" s="13">
        <f t="shared" si="14"/>
        <v>48020.76101100001</v>
      </c>
    </row>
    <row r="75" spans="2:9">
      <c r="B75" s="18" t="s">
        <v>42</v>
      </c>
      <c r="C75" s="12">
        <f t="shared" si="15"/>
        <v>3598.8729600000001</v>
      </c>
      <c r="D75" s="12">
        <f t="shared" si="15"/>
        <v>859.17861000000005</v>
      </c>
      <c r="E75" s="12">
        <f t="shared" si="15"/>
        <v>94.548878999999999</v>
      </c>
      <c r="F75" s="11"/>
      <c r="G75" s="12">
        <f t="shared" si="15"/>
        <v>0</v>
      </c>
      <c r="H75" s="12">
        <f t="shared" si="15"/>
        <v>0</v>
      </c>
      <c r="I75" s="13">
        <f t="shared" si="14"/>
        <v>4552.6004490000005</v>
      </c>
    </row>
    <row r="76" spans="2:9">
      <c r="B76" s="18" t="s">
        <v>43</v>
      </c>
      <c r="C76" s="12">
        <f t="shared" si="15"/>
        <v>8447.8050270000022</v>
      </c>
      <c r="D76" s="12">
        <f t="shared" si="15"/>
        <v>23052.664440000004</v>
      </c>
      <c r="E76" s="12">
        <f t="shared" si="15"/>
        <v>22751.624994000002</v>
      </c>
      <c r="F76" s="12">
        <f t="shared" si="15"/>
        <v>6631.891149</v>
      </c>
      <c r="G76" s="11"/>
      <c r="H76" s="12">
        <f t="shared" si="15"/>
        <v>0</v>
      </c>
      <c r="I76" s="13">
        <f t="shared" si="14"/>
        <v>60883.985610000011</v>
      </c>
    </row>
    <row r="77" spans="2:9">
      <c r="B77" s="18" t="s">
        <v>45</v>
      </c>
      <c r="C77" s="12">
        <f t="shared" si="15"/>
        <v>34738.539720000001</v>
      </c>
      <c r="D77" s="12">
        <f t="shared" si="15"/>
        <v>45374.307810000006</v>
      </c>
      <c r="E77" s="12">
        <f t="shared" si="15"/>
        <v>55596.310128000012</v>
      </c>
      <c r="F77" s="12">
        <f t="shared" si="15"/>
        <v>15739.838280000002</v>
      </c>
      <c r="G77" s="12">
        <f t="shared" si="15"/>
        <v>0</v>
      </c>
      <c r="H77" s="11"/>
      <c r="I77" s="13">
        <f t="shared" si="14"/>
        <v>151448.99593800001</v>
      </c>
    </row>
    <row r="78" spans="2:9" ht="18">
      <c r="B78" s="16" t="s">
        <v>258</v>
      </c>
      <c r="C78" s="13">
        <f t="shared" ref="C78:H78" si="16">SUM(C72:C77)</f>
        <v>101355.87519600001</v>
      </c>
      <c r="D78" s="13">
        <f t="shared" si="16"/>
        <v>85534.696110000019</v>
      </c>
      <c r="E78" s="13">
        <f t="shared" si="16"/>
        <v>92784.097365000023</v>
      </c>
      <c r="F78" s="13">
        <f t="shared" si="16"/>
        <v>22371.729429000003</v>
      </c>
      <c r="G78" s="13">
        <f t="shared" si="16"/>
        <v>40876.239702000013</v>
      </c>
      <c r="H78" s="13">
        <f t="shared" si="16"/>
        <v>138077.19514200001</v>
      </c>
      <c r="I78" s="13">
        <f>SUM(I72:I77)</f>
        <v>480999.83294400014</v>
      </c>
    </row>
    <row r="79" spans="2:9">
      <c r="I79" s="201"/>
    </row>
    <row r="81" spans="2:9" ht="18">
      <c r="B81" s="5" t="s">
        <v>262</v>
      </c>
      <c r="C81" s="98" t="s">
        <v>35</v>
      </c>
      <c r="D81" s="98" t="s">
        <v>38</v>
      </c>
      <c r="E81" s="98" t="s">
        <v>40</v>
      </c>
      <c r="F81" s="98" t="s">
        <v>42</v>
      </c>
      <c r="G81" s="98" t="s">
        <v>43</v>
      </c>
      <c r="H81" s="98" t="s">
        <v>45</v>
      </c>
      <c r="I81" s="5" t="s">
        <v>260</v>
      </c>
    </row>
    <row r="82" spans="2:9">
      <c r="B82" s="18" t="s">
        <v>35</v>
      </c>
      <c r="C82" s="11"/>
      <c r="D82" s="40">
        <f>D72/$I$78</f>
        <v>3.3780771087901236E-2</v>
      </c>
      <c r="E82" s="40">
        <f>E72/$I$78</f>
        <v>2.9816254355476475E-2</v>
      </c>
      <c r="F82" s="40">
        <f>F72/$I$78</f>
        <v>0</v>
      </c>
      <c r="G82" s="40">
        <f>G72/$I$78</f>
        <v>6.5069513622146913E-2</v>
      </c>
      <c r="H82" s="40">
        <f>H72/$I$78</f>
        <v>0.2043648290652201</v>
      </c>
      <c r="I82" s="163">
        <f t="shared" ref="I82:I87" si="17">SUM(C82:H82)</f>
        <v>0.33303136813074474</v>
      </c>
    </row>
    <row r="83" spans="2:9">
      <c r="B83" s="18" t="s">
        <v>38</v>
      </c>
      <c r="C83" s="40">
        <f>C73/$I$78</f>
        <v>5.018857418773897E-2</v>
      </c>
      <c r="D83" s="11"/>
      <c r="E83" s="40">
        <f t="shared" ref="E83:H86" si="18">E73/$I$78</f>
        <v>0</v>
      </c>
      <c r="F83" s="40">
        <f t="shared" si="18"/>
        <v>0</v>
      </c>
      <c r="G83" s="40">
        <f t="shared" si="18"/>
        <v>7.9877589904429631E-3</v>
      </c>
      <c r="H83" s="40">
        <f t="shared" si="18"/>
        <v>5.8051269558862535E-2</v>
      </c>
      <c r="I83" s="163">
        <f t="shared" si="17"/>
        <v>0.11622760273704447</v>
      </c>
    </row>
    <row r="84" spans="2:9">
      <c r="B84" s="18" t="s">
        <v>40</v>
      </c>
      <c r="C84" s="40">
        <f t="shared" ref="C84:G87" si="19">C74/$I$78</f>
        <v>6.3263975587581497E-2</v>
      </c>
      <c r="D84" s="12"/>
      <c r="E84" s="11"/>
      <c r="F84" s="40">
        <f t="shared" si="18"/>
        <v>0</v>
      </c>
      <c r="G84" s="40">
        <f t="shared" si="18"/>
        <v>1.1924544224670808E-2</v>
      </c>
      <c r="H84" s="40">
        <f t="shared" si="18"/>
        <v>2.4646776838652705E-2</v>
      </c>
      <c r="I84" s="163">
        <f t="shared" si="17"/>
        <v>9.9835296650905014E-2</v>
      </c>
    </row>
    <row r="85" spans="2:9">
      <c r="B85" s="18" t="s">
        <v>42</v>
      </c>
      <c r="C85" s="40">
        <f t="shared" si="19"/>
        <v>7.4820669644993301E-3</v>
      </c>
      <c r="D85" s="40">
        <f t="shared" si="19"/>
        <v>1.786234736800894E-3</v>
      </c>
      <c r="E85" s="40">
        <f t="shared" si="19"/>
        <v>1.9656738427808922E-4</v>
      </c>
      <c r="F85" s="11"/>
      <c r="G85" s="40">
        <f t="shared" si="18"/>
        <v>0</v>
      </c>
      <c r="H85" s="40">
        <f t="shared" si="18"/>
        <v>0</v>
      </c>
      <c r="I85" s="163">
        <f t="shared" si="17"/>
        <v>9.4648690855783126E-3</v>
      </c>
    </row>
    <row r="86" spans="2:9">
      <c r="B86" s="18" t="s">
        <v>43</v>
      </c>
      <c r="C86" s="40">
        <f t="shared" si="19"/>
        <v>1.756301031394231E-2</v>
      </c>
      <c r="D86" s="40">
        <f t="shared" si="19"/>
        <v>4.7926553942657782E-2</v>
      </c>
      <c r="E86" s="40">
        <f t="shared" si="19"/>
        <v>4.7300692091194203E-2</v>
      </c>
      <c r="F86" s="40">
        <f t="shared" si="19"/>
        <v>1.3787720275096458E-2</v>
      </c>
      <c r="G86" s="11"/>
      <c r="H86" s="40">
        <f t="shared" si="18"/>
        <v>0</v>
      </c>
      <c r="I86" s="163">
        <f t="shared" si="17"/>
        <v>0.12657797662289075</v>
      </c>
    </row>
    <row r="87" spans="2:9">
      <c r="B87" s="18" t="s">
        <v>45</v>
      </c>
      <c r="C87" s="40">
        <f t="shared" si="19"/>
        <v>7.2221521382616352E-2</v>
      </c>
      <c r="D87" s="40">
        <f t="shared" si="19"/>
        <v>9.4333313033151636E-2</v>
      </c>
      <c r="E87" s="40">
        <f t="shared" si="19"/>
        <v>0.11558488448471613</v>
      </c>
      <c r="F87" s="40">
        <f t="shared" si="19"/>
        <v>3.2723167872352452E-2</v>
      </c>
      <c r="G87" s="40">
        <f t="shared" si="19"/>
        <v>0</v>
      </c>
      <c r="H87" s="11"/>
      <c r="I87" s="163">
        <f t="shared" si="17"/>
        <v>0.31486288677283658</v>
      </c>
    </row>
    <row r="88" spans="2:9" ht="18">
      <c r="B88" s="16" t="s">
        <v>261</v>
      </c>
      <c r="C88" s="162">
        <f t="shared" ref="C88:I88" si="20">SUM(C82:C87)</f>
        <v>0.21071914843637846</v>
      </c>
      <c r="D88" s="162">
        <f t="shared" si="20"/>
        <v>0.17782687280051157</v>
      </c>
      <c r="E88" s="162">
        <f t="shared" si="20"/>
        <v>0.19289839831566491</v>
      </c>
      <c r="F88" s="162">
        <f t="shared" si="20"/>
        <v>4.6510888147448907E-2</v>
      </c>
      <c r="G88" s="162">
        <f t="shared" si="20"/>
        <v>8.4981816837260679E-2</v>
      </c>
      <c r="H88" s="162">
        <f t="shared" si="20"/>
        <v>0.28706287546273535</v>
      </c>
      <c r="I88" s="163">
        <f t="shared" si="20"/>
        <v>0.99999999999999989</v>
      </c>
    </row>
    <row r="91" spans="2:9">
      <c r="B91" s="260" t="s">
        <v>369</v>
      </c>
      <c r="C91" s="260"/>
      <c r="D91" s="260"/>
      <c r="E91" s="260"/>
      <c r="F91" s="260"/>
      <c r="G91" s="260"/>
      <c r="H91" s="260"/>
    </row>
    <row r="92" spans="2:9" ht="18">
      <c r="B92" s="176" t="s">
        <v>266</v>
      </c>
      <c r="C92" s="98" t="s">
        <v>35</v>
      </c>
      <c r="D92" s="98" t="s">
        <v>38</v>
      </c>
      <c r="E92" s="98" t="s">
        <v>40</v>
      </c>
      <c r="F92" s="98" t="s">
        <v>42</v>
      </c>
      <c r="G92" s="98" t="s">
        <v>43</v>
      </c>
      <c r="H92" s="98" t="s">
        <v>45</v>
      </c>
    </row>
    <row r="93" spans="2:9">
      <c r="B93" s="18" t="s">
        <v>35</v>
      </c>
      <c r="C93" s="11"/>
      <c r="D93" s="166">
        <f>D72/D11</f>
        <v>92.848830000000021</v>
      </c>
      <c r="E93" s="166">
        <f>E72/E11</f>
        <v>91.933419000000001</v>
      </c>
      <c r="F93" s="166"/>
      <c r="G93" s="166">
        <f t="shared" ref="G93:H95" si="21">G72/G11</f>
        <v>138.48860700000003</v>
      </c>
      <c r="H93" s="166">
        <f t="shared" si="21"/>
        <v>151.69668000000001</v>
      </c>
    </row>
    <row r="94" spans="2:9">
      <c r="B94" s="18" t="s">
        <v>38</v>
      </c>
      <c r="C94" s="166">
        <f>C73/C12</f>
        <v>92.848830000000007</v>
      </c>
      <c r="D94" s="11"/>
      <c r="E94" s="166"/>
      <c r="F94" s="166"/>
      <c r="G94" s="166">
        <f t="shared" si="21"/>
        <v>192.105537</v>
      </c>
      <c r="H94" s="166">
        <f t="shared" si="21"/>
        <v>205.31360999999998</v>
      </c>
    </row>
    <row r="95" spans="2:9">
      <c r="B95" s="18" t="s">
        <v>40</v>
      </c>
      <c r="C95" s="166">
        <f>C74/C13</f>
        <v>91.933419000000015</v>
      </c>
      <c r="D95" s="166"/>
      <c r="E95" s="11"/>
      <c r="F95" s="166"/>
      <c r="G95" s="166">
        <f t="shared" si="21"/>
        <v>191.19012600000002</v>
      </c>
      <c r="H95" s="166">
        <f t="shared" si="21"/>
        <v>204.39819900000003</v>
      </c>
    </row>
    <row r="96" spans="2:9">
      <c r="B96" s="18" t="s">
        <v>42</v>
      </c>
      <c r="C96" s="166">
        <f>C75/C14</f>
        <v>41.847360000000002</v>
      </c>
      <c r="D96" s="166">
        <f t="shared" ref="D96:E98" si="22">D75/D14</f>
        <v>95.464290000000005</v>
      </c>
      <c r="E96" s="166">
        <f t="shared" si="22"/>
        <v>94.548878999999999</v>
      </c>
      <c r="F96" s="11"/>
      <c r="G96" s="166"/>
      <c r="H96" s="166"/>
    </row>
    <row r="97" spans="2:9">
      <c r="B97" s="18" t="s">
        <v>43</v>
      </c>
      <c r="C97" s="166">
        <f>C76/C15</f>
        <v>138.48860700000003</v>
      </c>
      <c r="D97" s="166">
        <f t="shared" si="22"/>
        <v>192.10553700000003</v>
      </c>
      <c r="E97" s="166">
        <f t="shared" si="22"/>
        <v>191.19012600000002</v>
      </c>
      <c r="F97" s="166">
        <f>F76/F15</f>
        <v>141.10406700000001</v>
      </c>
      <c r="G97" s="11"/>
      <c r="H97" s="166"/>
    </row>
    <row r="98" spans="2:9">
      <c r="B98" s="18" t="s">
        <v>45</v>
      </c>
      <c r="C98" s="166">
        <f>C77/C16</f>
        <v>151.69668000000001</v>
      </c>
      <c r="D98" s="166">
        <f t="shared" si="22"/>
        <v>205.31361000000004</v>
      </c>
      <c r="E98" s="166">
        <f t="shared" si="22"/>
        <v>204.39819900000003</v>
      </c>
      <c r="F98" s="166">
        <f>F77/F16</f>
        <v>154.31214000000003</v>
      </c>
      <c r="G98" s="166"/>
      <c r="H98" s="11"/>
    </row>
    <row r="106" spans="2:9">
      <c r="I106" s="201"/>
    </row>
  </sheetData>
  <mergeCells count="5">
    <mergeCell ref="B29:I29"/>
    <mergeCell ref="B32:D32"/>
    <mergeCell ref="B43:D43"/>
    <mergeCell ref="B54:D54"/>
    <mergeCell ref="B91:H91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76FB-D39B-4862-B2D3-106E2B67EE5B}">
  <dimension ref="B2:I106"/>
  <sheetViews>
    <sheetView showGridLines="0" topLeftCell="A88" zoomScale="70" zoomScaleNormal="70" workbookViewId="0">
      <selection activeCell="K97" sqref="K97"/>
    </sheetView>
  </sheetViews>
  <sheetFormatPr defaultRowHeight="15.6"/>
  <cols>
    <col min="1" max="1" width="8.83984375" style="169"/>
    <col min="2" max="2" width="33.9453125" style="169" customWidth="1"/>
    <col min="3" max="3" width="15.5234375" style="169" customWidth="1"/>
    <col min="4" max="6" width="14.578125" style="169" customWidth="1"/>
    <col min="7" max="7" width="16.47265625" style="169" customWidth="1"/>
    <col min="8" max="8" width="16.62890625" style="169" customWidth="1"/>
    <col min="9" max="9" width="22.20703125" style="169" customWidth="1"/>
    <col min="10" max="16384" width="8.83984375" style="169"/>
  </cols>
  <sheetData>
    <row r="2" spans="2:9">
      <c r="B2" s="98" t="s">
        <v>184</v>
      </c>
      <c r="C2" s="98" t="s">
        <v>35</v>
      </c>
      <c r="D2" s="98" t="s">
        <v>38</v>
      </c>
      <c r="E2" s="98" t="s">
        <v>40</v>
      </c>
      <c r="F2" s="98" t="s">
        <v>42</v>
      </c>
      <c r="G2" s="98" t="s">
        <v>43</v>
      </c>
      <c r="H2" s="98" t="s">
        <v>45</v>
      </c>
    </row>
    <row r="3" spans="2:9">
      <c r="B3" s="18" t="s">
        <v>35</v>
      </c>
      <c r="C3" s="112"/>
      <c r="D3" s="113">
        <f>'Distancia Rodo'!D14</f>
        <v>142</v>
      </c>
      <c r="E3" s="113">
        <f>'Distancia Rodo'!E14</f>
        <v>140.6</v>
      </c>
      <c r="F3" s="113">
        <f>'Distancia Rodo'!F14</f>
        <v>64</v>
      </c>
      <c r="G3" s="113">
        <f>'Distancia Rodo'!G14</f>
        <v>211.8</v>
      </c>
      <c r="H3" s="113">
        <f>'Distancia Rodo'!H14</f>
        <v>232</v>
      </c>
    </row>
    <row r="4" spans="2:9">
      <c r="B4" s="18" t="s">
        <v>38</v>
      </c>
      <c r="C4" s="113">
        <f>'Distancia Rodo'!C15</f>
        <v>142</v>
      </c>
      <c r="D4" s="112"/>
      <c r="E4" s="113">
        <f>'Distancia Rodo'!E15</f>
        <v>222.6</v>
      </c>
      <c r="F4" s="113">
        <f>'Distancia Rodo'!F15</f>
        <v>146</v>
      </c>
      <c r="G4" s="113">
        <f>'Distancia Rodo'!G15</f>
        <v>293.8</v>
      </c>
      <c r="H4" s="113">
        <f>'Distancia Rodo'!H15</f>
        <v>314</v>
      </c>
    </row>
    <row r="5" spans="2:9">
      <c r="B5" s="18" t="s">
        <v>40</v>
      </c>
      <c r="C5" s="113">
        <f>'Distancia Rodo'!C16</f>
        <v>140.6</v>
      </c>
      <c r="D5" s="113">
        <f>'Distancia Rodo'!D16</f>
        <v>222.6</v>
      </c>
      <c r="E5" s="112"/>
      <c r="F5" s="113">
        <f>'Distancia Rodo'!F16</f>
        <v>144.6</v>
      </c>
      <c r="G5" s="113">
        <f>'Distancia Rodo'!G16</f>
        <v>292.39999999999998</v>
      </c>
      <c r="H5" s="113">
        <f>'Distancia Rodo'!H16</f>
        <v>312.60000000000002</v>
      </c>
    </row>
    <row r="6" spans="2:9">
      <c r="B6" s="18" t="s">
        <v>42</v>
      </c>
      <c r="C6" s="113">
        <f>'Distancia Rodo'!C17</f>
        <v>64</v>
      </c>
      <c r="D6" s="113">
        <f>'Distancia Rodo'!D17</f>
        <v>146</v>
      </c>
      <c r="E6" s="113">
        <f>'Distancia Rodo'!E17</f>
        <v>144.6</v>
      </c>
      <c r="F6" s="112"/>
      <c r="G6" s="113">
        <f>'Distancia Rodo'!G17</f>
        <v>215.8</v>
      </c>
      <c r="H6" s="113">
        <f>'Distancia Rodo'!H17</f>
        <v>236</v>
      </c>
    </row>
    <row r="7" spans="2:9">
      <c r="B7" s="18" t="s">
        <v>43</v>
      </c>
      <c r="C7" s="113">
        <f>'Distancia Rodo'!C18</f>
        <v>211.8</v>
      </c>
      <c r="D7" s="113">
        <f>'Distancia Rodo'!D18</f>
        <v>293.8</v>
      </c>
      <c r="E7" s="113">
        <f>'Distancia Rodo'!E18</f>
        <v>292.39999999999998</v>
      </c>
      <c r="F7" s="113">
        <f>'Distancia Rodo'!F18</f>
        <v>215.8</v>
      </c>
      <c r="G7" s="112"/>
      <c r="H7" s="113">
        <f>'Distancia Rodo'!H18</f>
        <v>383.8</v>
      </c>
    </row>
    <row r="8" spans="2:9">
      <c r="B8" s="18" t="s">
        <v>45</v>
      </c>
      <c r="C8" s="113">
        <f>'Distancia Rodo'!C19</f>
        <v>232</v>
      </c>
      <c r="D8" s="113">
        <f>'Distancia Rodo'!D19</f>
        <v>314</v>
      </c>
      <c r="E8" s="113">
        <f>'Distancia Rodo'!E19</f>
        <v>312.60000000000002</v>
      </c>
      <c r="F8" s="113">
        <f>'Distancia Rodo'!F19</f>
        <v>236</v>
      </c>
      <c r="G8" s="113">
        <f>'Distancia Rodo'!G19</f>
        <v>383.8</v>
      </c>
      <c r="H8" s="112"/>
    </row>
    <row r="10" spans="2:9">
      <c r="B10" s="5" t="s">
        <v>188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5" t="s">
        <v>47</v>
      </c>
    </row>
    <row r="11" spans="2:9">
      <c r="B11" s="10" t="s">
        <v>4</v>
      </c>
      <c r="C11" s="11">
        <f>'Movimentacao de Conteineres'!K30</f>
        <v>0</v>
      </c>
      <c r="D11" s="12">
        <f>'Movimentacao de Conteineres'!L30</f>
        <v>175</v>
      </c>
      <c r="E11" s="12">
        <f>'Movimentacao de Conteineres'!M30</f>
        <v>156</v>
      </c>
      <c r="F11" s="12">
        <f>'Movimentacao de Conteineres'!N30</f>
        <v>0</v>
      </c>
      <c r="G11" s="12">
        <f>'Movimentacao de Conteineres'!O30</f>
        <v>226</v>
      </c>
      <c r="H11" s="12">
        <f>'Movimentacao de Conteineres'!P30</f>
        <v>648</v>
      </c>
      <c r="I11" s="13">
        <f t="shared" ref="I11:I16" si="0">SUM(C11:H11)</f>
        <v>1205</v>
      </c>
    </row>
    <row r="12" spans="2:9">
      <c r="B12" s="10" t="s">
        <v>5</v>
      </c>
      <c r="C12" s="12">
        <f>'Movimentacao de Conteineres'!K31</f>
        <v>260</v>
      </c>
      <c r="D12" s="11">
        <f>'Movimentacao de Conteineres'!L31</f>
        <v>0</v>
      </c>
      <c r="E12" s="12">
        <f>'Movimentacao de Conteineres'!M31</f>
        <v>0</v>
      </c>
      <c r="F12" s="12">
        <f>'Movimentacao de Conteineres'!N31</f>
        <v>0</v>
      </c>
      <c r="G12" s="12">
        <f>'Movimentacao de Conteineres'!O31</f>
        <v>20</v>
      </c>
      <c r="H12" s="12">
        <f>'Movimentacao de Conteineres'!P31</f>
        <v>136</v>
      </c>
      <c r="I12" s="13">
        <f t="shared" si="0"/>
        <v>416</v>
      </c>
    </row>
    <row r="13" spans="2:9">
      <c r="B13" s="10" t="s">
        <v>6</v>
      </c>
      <c r="C13" s="12">
        <f>'Movimentacao de Conteineres'!K32</f>
        <v>331</v>
      </c>
      <c r="D13" s="12">
        <f>'Movimentacao de Conteineres'!L32</f>
        <v>0</v>
      </c>
      <c r="E13" s="11">
        <f>'Movimentacao de Conteineres'!M32</f>
        <v>0</v>
      </c>
      <c r="F13" s="12">
        <f>'Movimentacao de Conteineres'!N32</f>
        <v>0</v>
      </c>
      <c r="G13" s="12">
        <f>'Movimentacao de Conteineres'!O32</f>
        <v>30</v>
      </c>
      <c r="H13" s="12">
        <f>'Movimentacao de Conteineres'!P32</f>
        <v>58</v>
      </c>
      <c r="I13" s="13">
        <f t="shared" si="0"/>
        <v>419</v>
      </c>
    </row>
    <row r="14" spans="2:9">
      <c r="B14" s="10" t="s">
        <v>7</v>
      </c>
      <c r="C14" s="12">
        <f>'Movimentacao de Conteineres'!K33</f>
        <v>86</v>
      </c>
      <c r="D14" s="12">
        <f>'Movimentacao de Conteineres'!L33</f>
        <v>9</v>
      </c>
      <c r="E14" s="12">
        <f>'Movimentacao de Conteineres'!M33</f>
        <v>1</v>
      </c>
      <c r="F14" s="11">
        <f>'Movimentacao de Conteineres'!N33</f>
        <v>0</v>
      </c>
      <c r="G14" s="12">
        <f>'Movimentacao de Conteineres'!O33</f>
        <v>0</v>
      </c>
      <c r="H14" s="12">
        <f>'Movimentacao de Conteineres'!P33</f>
        <v>0</v>
      </c>
      <c r="I14" s="13">
        <f t="shared" si="0"/>
        <v>96</v>
      </c>
    </row>
    <row r="15" spans="2:9">
      <c r="B15" s="10" t="s">
        <v>8</v>
      </c>
      <c r="C15" s="12">
        <f>'Movimentacao de Conteineres'!K34</f>
        <v>61</v>
      </c>
      <c r="D15" s="12">
        <f>'Movimentacao de Conteineres'!L34</f>
        <v>120</v>
      </c>
      <c r="E15" s="12">
        <f>'Movimentacao de Conteineres'!M34</f>
        <v>119</v>
      </c>
      <c r="F15" s="12">
        <f>'Movimentacao de Conteineres'!N34</f>
        <v>47</v>
      </c>
      <c r="G15" s="11">
        <f>'Movimentacao de Conteineres'!O34</f>
        <v>0</v>
      </c>
      <c r="H15" s="12">
        <f>'Movimentacao de Conteineres'!P34</f>
        <v>0</v>
      </c>
      <c r="I15" s="13">
        <f t="shared" si="0"/>
        <v>347</v>
      </c>
    </row>
    <row r="16" spans="2:9">
      <c r="B16" s="10" t="s">
        <v>9</v>
      </c>
      <c r="C16" s="12">
        <f>'Movimentacao de Conteineres'!K35</f>
        <v>229</v>
      </c>
      <c r="D16" s="12">
        <f>'Movimentacao de Conteineres'!L35</f>
        <v>221</v>
      </c>
      <c r="E16" s="12">
        <f>'Movimentacao de Conteineres'!M35</f>
        <v>272</v>
      </c>
      <c r="F16" s="12">
        <f>'Movimentacao de Conteineres'!N35</f>
        <v>102</v>
      </c>
      <c r="G16" s="12">
        <f>'Movimentacao de Conteineres'!O35</f>
        <v>0</v>
      </c>
      <c r="H16" s="11">
        <f>'Movimentacao de Conteineres'!P35</f>
        <v>0</v>
      </c>
      <c r="I16" s="13">
        <f t="shared" si="0"/>
        <v>824</v>
      </c>
    </row>
    <row r="17" spans="2:9">
      <c r="B17" s="16" t="s">
        <v>48</v>
      </c>
      <c r="C17" s="13">
        <f t="shared" ref="C17:I17" si="1">SUM(C11:C16)</f>
        <v>967</v>
      </c>
      <c r="D17" s="13">
        <f t="shared" si="1"/>
        <v>525</v>
      </c>
      <c r="E17" s="13">
        <f t="shared" si="1"/>
        <v>548</v>
      </c>
      <c r="F17" s="13">
        <f t="shared" si="1"/>
        <v>149</v>
      </c>
      <c r="G17" s="13">
        <f t="shared" si="1"/>
        <v>276</v>
      </c>
      <c r="H17" s="13">
        <f t="shared" si="1"/>
        <v>842</v>
      </c>
      <c r="I17" s="13">
        <f t="shared" si="1"/>
        <v>3307</v>
      </c>
    </row>
    <row r="19" spans="2:9">
      <c r="B19" s="5" t="s">
        <v>347</v>
      </c>
      <c r="C19" s="98" t="s">
        <v>35</v>
      </c>
      <c r="D19" s="98" t="s">
        <v>38</v>
      </c>
      <c r="E19" s="98" t="s">
        <v>40</v>
      </c>
      <c r="F19" s="98" t="s">
        <v>42</v>
      </c>
      <c r="G19" s="98" t="s">
        <v>43</v>
      </c>
      <c r="H19" s="98" t="s">
        <v>45</v>
      </c>
      <c r="I19" s="5" t="s">
        <v>189</v>
      </c>
    </row>
    <row r="20" spans="2:9">
      <c r="B20" s="18" t="s">
        <v>35</v>
      </c>
      <c r="C20" s="11"/>
      <c r="D20" s="12">
        <f>D3*D11</f>
        <v>24850</v>
      </c>
      <c r="E20" s="12">
        <f>E3*E11</f>
        <v>21933.599999999999</v>
      </c>
      <c r="F20" s="12">
        <f>F3*F11</f>
        <v>0</v>
      </c>
      <c r="G20" s="12">
        <f>G3*G11</f>
        <v>47866.8</v>
      </c>
      <c r="H20" s="12">
        <f>H3*H11</f>
        <v>150336</v>
      </c>
      <c r="I20" s="13">
        <f t="shared" ref="I20:I25" si="2">SUM(C20:H20)</f>
        <v>244986.4</v>
      </c>
    </row>
    <row r="21" spans="2:9">
      <c r="B21" s="18" t="s">
        <v>38</v>
      </c>
      <c r="C21" s="12">
        <f>C4*C12</f>
        <v>36920</v>
      </c>
      <c r="D21" s="11"/>
      <c r="E21" s="12">
        <f t="shared" ref="C21:H24" si="3">E4*E12</f>
        <v>0</v>
      </c>
      <c r="F21" s="12">
        <f t="shared" si="3"/>
        <v>0</v>
      </c>
      <c r="G21" s="12">
        <f t="shared" si="3"/>
        <v>5876</v>
      </c>
      <c r="H21" s="12">
        <f t="shared" si="3"/>
        <v>42704</v>
      </c>
      <c r="I21" s="13">
        <f t="shared" si="2"/>
        <v>85500</v>
      </c>
    </row>
    <row r="22" spans="2:9">
      <c r="B22" s="18" t="s">
        <v>40</v>
      </c>
      <c r="C22" s="12">
        <f t="shared" si="3"/>
        <v>46538.6</v>
      </c>
      <c r="D22" s="12">
        <f t="shared" si="3"/>
        <v>0</v>
      </c>
      <c r="E22" s="11"/>
      <c r="F22" s="12">
        <f t="shared" si="3"/>
        <v>0</v>
      </c>
      <c r="G22" s="12">
        <f t="shared" si="3"/>
        <v>8772</v>
      </c>
      <c r="H22" s="12">
        <f t="shared" si="3"/>
        <v>18130.800000000003</v>
      </c>
      <c r="I22" s="13">
        <f t="shared" si="2"/>
        <v>73441.399999999994</v>
      </c>
    </row>
    <row r="23" spans="2:9">
      <c r="B23" s="18" t="s">
        <v>42</v>
      </c>
      <c r="C23" s="12">
        <f t="shared" si="3"/>
        <v>5504</v>
      </c>
      <c r="D23" s="12">
        <f t="shared" si="3"/>
        <v>1314</v>
      </c>
      <c r="E23" s="12">
        <f t="shared" si="3"/>
        <v>144.6</v>
      </c>
      <c r="F23" s="11"/>
      <c r="G23" s="12">
        <f t="shared" si="3"/>
        <v>0</v>
      </c>
      <c r="H23" s="12">
        <f t="shared" si="3"/>
        <v>0</v>
      </c>
      <c r="I23" s="13">
        <f t="shared" si="2"/>
        <v>6962.6</v>
      </c>
    </row>
    <row r="24" spans="2:9">
      <c r="B24" s="18" t="s">
        <v>43</v>
      </c>
      <c r="C24" s="12">
        <f t="shared" si="3"/>
        <v>12919.800000000001</v>
      </c>
      <c r="D24" s="12">
        <f t="shared" si="3"/>
        <v>35256</v>
      </c>
      <c r="E24" s="12">
        <f t="shared" si="3"/>
        <v>34795.599999999999</v>
      </c>
      <c r="F24" s="12">
        <f t="shared" si="3"/>
        <v>10142.6</v>
      </c>
      <c r="G24" s="11"/>
      <c r="H24" s="12">
        <f t="shared" si="3"/>
        <v>0</v>
      </c>
      <c r="I24" s="13">
        <f t="shared" si="2"/>
        <v>93114</v>
      </c>
    </row>
    <row r="25" spans="2:9">
      <c r="B25" s="18" t="s">
        <v>45</v>
      </c>
      <c r="C25" s="12">
        <f>C8*C16</f>
        <v>53128</v>
      </c>
      <c r="D25" s="12">
        <f>D8*D16</f>
        <v>69394</v>
      </c>
      <c r="E25" s="12">
        <f>E8*E16</f>
        <v>85027.200000000012</v>
      </c>
      <c r="F25" s="12">
        <f>F8*F16</f>
        <v>24072</v>
      </c>
      <c r="G25" s="12">
        <f>G8*G16</f>
        <v>0</v>
      </c>
      <c r="H25" s="11"/>
      <c r="I25" s="13">
        <f t="shared" si="2"/>
        <v>231621.2</v>
      </c>
    </row>
    <row r="26" spans="2:9">
      <c r="B26" s="16" t="s">
        <v>190</v>
      </c>
      <c r="C26" s="13">
        <f t="shared" ref="C26:H26" si="4">SUM(C20:C25)</f>
        <v>155010.40000000002</v>
      </c>
      <c r="D26" s="13">
        <f t="shared" si="4"/>
        <v>130814</v>
      </c>
      <c r="E26" s="13">
        <f t="shared" si="4"/>
        <v>141901</v>
      </c>
      <c r="F26" s="13">
        <f t="shared" si="4"/>
        <v>34214.6</v>
      </c>
      <c r="G26" s="13">
        <f t="shared" si="4"/>
        <v>62514.8</v>
      </c>
      <c r="H26" s="13">
        <f t="shared" si="4"/>
        <v>211170.8</v>
      </c>
      <c r="I26" s="13">
        <f>SUM(I20:I25)</f>
        <v>735625.60000000009</v>
      </c>
    </row>
    <row r="27" spans="2:9">
      <c r="I27" s="201"/>
    </row>
    <row r="28" spans="2:9">
      <c r="I28" s="201"/>
    </row>
    <row r="29" spans="2:9">
      <c r="B29" s="276" t="s">
        <v>489</v>
      </c>
      <c r="C29" s="276"/>
      <c r="D29" s="276"/>
      <c r="E29" s="276"/>
      <c r="F29" s="276"/>
      <c r="G29" s="276"/>
      <c r="H29" s="276"/>
      <c r="I29" s="276"/>
    </row>
    <row r="30" spans="2:9">
      <c r="I30" s="201"/>
    </row>
    <row r="32" spans="2:9" ht="18">
      <c r="B32" s="272" t="s">
        <v>267</v>
      </c>
      <c r="C32" s="272"/>
      <c r="D32" s="272"/>
      <c r="E32" s="187">
        <f>'Fatores Emissao'!C80</f>
        <v>0.69345196425222089</v>
      </c>
      <c r="F32" s="156" t="s">
        <v>237</v>
      </c>
    </row>
    <row r="33" spans="2:9" ht="18">
      <c r="B33" s="5" t="s">
        <v>239</v>
      </c>
      <c r="C33" s="98" t="s">
        <v>35</v>
      </c>
      <c r="D33" s="98" t="s">
        <v>38</v>
      </c>
      <c r="E33" s="98" t="s">
        <v>40</v>
      </c>
      <c r="F33" s="98" t="s">
        <v>42</v>
      </c>
      <c r="G33" s="98" t="s">
        <v>43</v>
      </c>
      <c r="H33" s="98" t="s">
        <v>45</v>
      </c>
      <c r="I33" s="5" t="s">
        <v>240</v>
      </c>
    </row>
    <row r="34" spans="2:9">
      <c r="B34" s="18" t="s">
        <v>35</v>
      </c>
      <c r="C34" s="11"/>
      <c r="D34" s="12">
        <f>D20*$E$32</f>
        <v>17232.281311667688</v>
      </c>
      <c r="E34" s="12">
        <f>E20*$E$32</f>
        <v>15209.898003122511</v>
      </c>
      <c r="F34" s="12">
        <f>F20*$E$32</f>
        <v>0</v>
      </c>
      <c r="G34" s="12">
        <f>G20*$E$32</f>
        <v>33193.326482468212</v>
      </c>
      <c r="H34" s="12">
        <f>H20*$E$32</f>
        <v>104250.79449782187</v>
      </c>
      <c r="I34" s="13">
        <f t="shared" ref="I34:I39" si="5">SUM(C34:H34)</f>
        <v>169886.30029508029</v>
      </c>
    </row>
    <row r="35" spans="2:9">
      <c r="B35" s="18" t="s">
        <v>38</v>
      </c>
      <c r="C35" s="12">
        <f>C21*$E$32</f>
        <v>25602.246520191995</v>
      </c>
      <c r="D35" s="11"/>
      <c r="E35" s="12">
        <f>E21*$E$32</f>
        <v>0</v>
      </c>
      <c r="F35" s="12">
        <f>F21*$E$32</f>
        <v>0</v>
      </c>
      <c r="G35" s="12">
        <f>G21*$E$32</f>
        <v>4074.7237419460498</v>
      </c>
      <c r="H35" s="12">
        <f>H21*$E$32</f>
        <v>29613.17268142684</v>
      </c>
      <c r="I35" s="13">
        <f t="shared" si="5"/>
        <v>59290.14294356489</v>
      </c>
    </row>
    <row r="36" spans="2:9">
      <c r="B36" s="18" t="s">
        <v>40</v>
      </c>
      <c r="C36" s="12">
        <f>C22*$E$32</f>
        <v>32272.283583548407</v>
      </c>
      <c r="D36" s="12">
        <f>D22*$E$32</f>
        <v>0</v>
      </c>
      <c r="E36" s="11"/>
      <c r="F36" s="12">
        <f>F22*$E$32</f>
        <v>0</v>
      </c>
      <c r="G36" s="12">
        <f>G22*$E$32</f>
        <v>6082.9606304204817</v>
      </c>
      <c r="H36" s="12">
        <f>H22*$E$32</f>
        <v>12572.838873464169</v>
      </c>
      <c r="I36" s="13">
        <f t="shared" si="5"/>
        <v>50928.083087433057</v>
      </c>
    </row>
    <row r="37" spans="2:9">
      <c r="B37" s="18" t="s">
        <v>42</v>
      </c>
      <c r="C37" s="12">
        <f>C23*$E$32</f>
        <v>3816.7596112442238</v>
      </c>
      <c r="D37" s="12">
        <f>D23*$E$32</f>
        <v>911.1958810274183</v>
      </c>
      <c r="E37" s="12">
        <f>E23*$E$32</f>
        <v>100.27315403087114</v>
      </c>
      <c r="F37" s="11"/>
      <c r="G37" s="12">
        <f>G23*$E$32</f>
        <v>0</v>
      </c>
      <c r="H37" s="12">
        <f>H23*$E$32</f>
        <v>0</v>
      </c>
      <c r="I37" s="13">
        <f t="shared" si="5"/>
        <v>4828.2286463025139</v>
      </c>
    </row>
    <row r="38" spans="2:9">
      <c r="B38" s="18" t="s">
        <v>43</v>
      </c>
      <c r="C38" s="12">
        <f>C24*$E$32</f>
        <v>8959.2606877458438</v>
      </c>
      <c r="D38" s="12">
        <f>D24*$E$32</f>
        <v>24448.342451676301</v>
      </c>
      <c r="E38" s="12">
        <f>E24*$E$32</f>
        <v>24129.077167334577</v>
      </c>
      <c r="F38" s="12">
        <f>F24*$E$32</f>
        <v>7033.4058926245762</v>
      </c>
      <c r="G38" s="11"/>
      <c r="H38" s="12">
        <f>H24*$E$32</f>
        <v>0</v>
      </c>
      <c r="I38" s="13">
        <f t="shared" si="5"/>
        <v>64570.086199381301</v>
      </c>
    </row>
    <row r="39" spans="2:9">
      <c r="B39" s="18" t="s">
        <v>45</v>
      </c>
      <c r="C39" s="12">
        <f>C25*$E$32</f>
        <v>36841.715956791988</v>
      </c>
      <c r="D39" s="12">
        <f>D25*$E$32</f>
        <v>48121.405607318615</v>
      </c>
      <c r="E39" s="12">
        <f>E25*$E$32</f>
        <v>58962.278854866447</v>
      </c>
      <c r="F39" s="12">
        <f>F25*$E$32</f>
        <v>16692.77568347946</v>
      </c>
      <c r="G39" s="12">
        <f>G25*$E$32</f>
        <v>0</v>
      </c>
      <c r="H39" s="11"/>
      <c r="I39" s="13">
        <f t="shared" si="5"/>
        <v>160618.17610245652</v>
      </c>
    </row>
    <row r="40" spans="2:9" ht="18">
      <c r="B40" s="16" t="s">
        <v>241</v>
      </c>
      <c r="C40" s="13">
        <f t="shared" ref="C40:H40" si="6">SUM(C34:C39)</f>
        <v>107492.26635952246</v>
      </c>
      <c r="D40" s="13">
        <f t="shared" si="6"/>
        <v>90713.225251690019</v>
      </c>
      <c r="E40" s="13">
        <f t="shared" si="6"/>
        <v>98401.527179354394</v>
      </c>
      <c r="F40" s="13">
        <f t="shared" si="6"/>
        <v>23726.181576104034</v>
      </c>
      <c r="G40" s="13">
        <f t="shared" si="6"/>
        <v>43351.010854834742</v>
      </c>
      <c r="H40" s="13">
        <f t="shared" si="6"/>
        <v>146436.8060527129</v>
      </c>
      <c r="I40" s="13">
        <f>SUM(I34:I39)</f>
        <v>510121.01727421861</v>
      </c>
    </row>
    <row r="43" spans="2:9" ht="18">
      <c r="B43" s="272" t="s">
        <v>268</v>
      </c>
      <c r="C43" s="272"/>
      <c r="D43" s="272"/>
      <c r="E43" s="159">
        <f>'Fatores Emissao'!D80</f>
        <v>5.5923546298482603E-3</v>
      </c>
      <c r="F43" s="156" t="s">
        <v>281</v>
      </c>
    </row>
    <row r="44" spans="2:9" ht="18">
      <c r="B44" s="5" t="s">
        <v>287</v>
      </c>
      <c r="C44" s="98" t="s">
        <v>35</v>
      </c>
      <c r="D44" s="98" t="s">
        <v>38</v>
      </c>
      <c r="E44" s="98" t="s">
        <v>40</v>
      </c>
      <c r="F44" s="98" t="s">
        <v>42</v>
      </c>
      <c r="G44" s="98" t="s">
        <v>43</v>
      </c>
      <c r="H44" s="98" t="s">
        <v>45</v>
      </c>
      <c r="I44" s="5" t="s">
        <v>243</v>
      </c>
    </row>
    <row r="45" spans="2:9">
      <c r="B45" s="18" t="s">
        <v>35</v>
      </c>
      <c r="C45" s="11"/>
      <c r="D45" s="12">
        <f>D20*$E$43/1000</f>
        <v>0.13897001255172928</v>
      </c>
      <c r="E45" s="12">
        <f>E20*$E$43/1000</f>
        <v>0.12266046950923978</v>
      </c>
      <c r="F45" s="12">
        <f>F20*$E$43/1000</f>
        <v>0</v>
      </c>
      <c r="G45" s="12">
        <f>G20*$E$43/1000</f>
        <v>0.26768812059602071</v>
      </c>
      <c r="H45" s="12">
        <f>H20*$E$43/1000</f>
        <v>0.84073222563286809</v>
      </c>
      <c r="I45" s="13">
        <f t="shared" ref="I45:I50" si="7">SUM(C45:H45)</f>
        <v>1.370050828289858</v>
      </c>
    </row>
    <row r="46" spans="2:9">
      <c r="B46" s="18" t="s">
        <v>38</v>
      </c>
      <c r="C46" s="12">
        <f>C21*$E$43/1000</f>
        <v>0.20646973293399776</v>
      </c>
      <c r="D46" s="11"/>
      <c r="E46" s="12">
        <f>E21*$E$43/1000</f>
        <v>0</v>
      </c>
      <c r="F46" s="12">
        <f>F21*$E$43/1000</f>
        <v>0</v>
      </c>
      <c r="G46" s="12">
        <f>G21*$E$43/1000</f>
        <v>3.2860675804988373E-2</v>
      </c>
      <c r="H46" s="12">
        <f>H21*$E$43/1000</f>
        <v>0.2388159121130401</v>
      </c>
      <c r="I46" s="13">
        <f t="shared" si="7"/>
        <v>0.47814632085202624</v>
      </c>
    </row>
    <row r="47" spans="2:9">
      <c r="B47" s="18" t="s">
        <v>40</v>
      </c>
      <c r="C47" s="12">
        <f>C22*$E$43/1000</f>
        <v>0.26026035517665624</v>
      </c>
      <c r="D47" s="12">
        <f>D22*$E$43/1000</f>
        <v>0</v>
      </c>
      <c r="E47" s="11"/>
      <c r="F47" s="12">
        <f>F22*$E$43/1000</f>
        <v>0</v>
      </c>
      <c r="G47" s="12">
        <f>G22*$E$43/1000</f>
        <v>4.9056134813028937E-2</v>
      </c>
      <c r="H47" s="12">
        <f>H22*$E$43/1000</f>
        <v>0.10139386332285286</v>
      </c>
      <c r="I47" s="13">
        <f t="shared" si="7"/>
        <v>0.41071035331253802</v>
      </c>
    </row>
    <row r="48" spans="2:9">
      <c r="B48" s="18" t="s">
        <v>42</v>
      </c>
      <c r="C48" s="12">
        <f>C23*$E$43/1000</f>
        <v>3.0780319882684825E-2</v>
      </c>
      <c r="D48" s="12">
        <f>D23*$E$43/1000</f>
        <v>7.348353983620614E-3</v>
      </c>
      <c r="E48" s="12">
        <f t="shared" ref="E48:G50" si="8">E23*$E$43/1000</f>
        <v>8.0865447947605837E-4</v>
      </c>
      <c r="F48" s="11"/>
      <c r="G48" s="12">
        <f>G23*$E$43/1000</f>
        <v>0</v>
      </c>
      <c r="H48" s="12">
        <f>H23*$E$43/1000</f>
        <v>0</v>
      </c>
      <c r="I48" s="13">
        <f t="shared" si="7"/>
        <v>3.8937328345781494E-2</v>
      </c>
    </row>
    <row r="49" spans="2:9">
      <c r="B49" s="18" t="s">
        <v>43</v>
      </c>
      <c r="C49" s="12">
        <f>C24*$E$43/1000</f>
        <v>7.2252103346713559E-2</v>
      </c>
      <c r="D49" s="12">
        <f>D24*$E$43/1000</f>
        <v>0.19716405482993024</v>
      </c>
      <c r="E49" s="12">
        <f t="shared" si="8"/>
        <v>0.19458933475834811</v>
      </c>
      <c r="F49" s="12">
        <f t="shared" si="8"/>
        <v>5.6721016068698962E-2</v>
      </c>
      <c r="G49" s="11"/>
      <c r="H49" s="12">
        <f>H24*$E$43/1000</f>
        <v>0</v>
      </c>
      <c r="I49" s="13">
        <f t="shared" si="7"/>
        <v>0.52072650900369089</v>
      </c>
    </row>
    <row r="50" spans="2:9">
      <c r="B50" s="18" t="s">
        <v>45</v>
      </c>
      <c r="C50" s="12">
        <f>C25*$E$43/1000</f>
        <v>0.2971106167745784</v>
      </c>
      <c r="D50" s="12">
        <f>D25*$E$43/1000</f>
        <v>0.3880758571836902</v>
      </c>
      <c r="E50" s="12">
        <f t="shared" si="8"/>
        <v>0.47550225558303405</v>
      </c>
      <c r="F50" s="12">
        <f t="shared" si="8"/>
        <v>0.1346191606497073</v>
      </c>
      <c r="G50" s="12">
        <f t="shared" si="8"/>
        <v>0</v>
      </c>
      <c r="H50" s="11"/>
      <c r="I50" s="13">
        <f t="shared" si="7"/>
        <v>1.29530789019101</v>
      </c>
    </row>
    <row r="51" spans="2:9" ht="18">
      <c r="B51" s="16" t="s">
        <v>244</v>
      </c>
      <c r="C51" s="13">
        <f t="shared" ref="C51:H51" si="9">SUM(C45:C50)</f>
        <v>0.8668731281146308</v>
      </c>
      <c r="D51" s="13">
        <f t="shared" si="9"/>
        <v>0.73155827854897026</v>
      </c>
      <c r="E51" s="13">
        <f t="shared" si="9"/>
        <v>0.793560714330098</v>
      </c>
      <c r="F51" s="13">
        <f t="shared" si="9"/>
        <v>0.19134017671840625</v>
      </c>
      <c r="G51" s="13">
        <f t="shared" si="9"/>
        <v>0.34960493121403802</v>
      </c>
      <c r="H51" s="13">
        <f t="shared" si="9"/>
        <v>1.180942001068761</v>
      </c>
      <c r="I51" s="13">
        <f>SUM(I45:I50)</f>
        <v>4.1138792299949047</v>
      </c>
    </row>
    <row r="54" spans="2:9" ht="18">
      <c r="B54" s="272" t="s">
        <v>269</v>
      </c>
      <c r="C54" s="272"/>
      <c r="D54" s="272"/>
      <c r="E54" s="159">
        <f>'Fatores Emissao'!E80</f>
        <v>2.6719027675941687E-2</v>
      </c>
      <c r="F54" s="156" t="s">
        <v>282</v>
      </c>
    </row>
    <row r="55" spans="2:9" ht="18">
      <c r="B55" s="5" t="s">
        <v>288</v>
      </c>
      <c r="C55" s="98" t="s">
        <v>35</v>
      </c>
      <c r="D55" s="98" t="s">
        <v>38</v>
      </c>
      <c r="E55" s="98" t="s">
        <v>40</v>
      </c>
      <c r="F55" s="98" t="s">
        <v>42</v>
      </c>
      <c r="G55" s="98" t="s">
        <v>43</v>
      </c>
      <c r="H55" s="98" t="s">
        <v>45</v>
      </c>
      <c r="I55" s="5" t="s">
        <v>246</v>
      </c>
    </row>
    <row r="56" spans="2:9">
      <c r="B56" s="18" t="s">
        <v>35</v>
      </c>
      <c r="C56" s="171"/>
      <c r="D56" s="60">
        <f>D20*$E$54/1000</f>
        <v>0.66396783774715096</v>
      </c>
      <c r="E56" s="60">
        <f>E20*$E$54/1000</f>
        <v>0.58604446543303457</v>
      </c>
      <c r="F56" s="60">
        <f>F20*$E$54/1000</f>
        <v>0</v>
      </c>
      <c r="G56" s="60">
        <f>G20*$E$54/1000</f>
        <v>1.2789543539587658</v>
      </c>
      <c r="H56" s="60">
        <f>H20*$E$54/1000</f>
        <v>4.0168317446903696</v>
      </c>
      <c r="I56" s="230">
        <f t="shared" ref="I56:I61" si="10">SUM(C56:H56)</f>
        <v>6.5457984018293214</v>
      </c>
    </row>
    <row r="57" spans="2:9">
      <c r="B57" s="18" t="s">
        <v>38</v>
      </c>
      <c r="C57" s="60">
        <f>C21*$E$54/1000</f>
        <v>0.986466501795767</v>
      </c>
      <c r="D57" s="171"/>
      <c r="E57" s="60">
        <f>E21*$E$54/1000</f>
        <v>0</v>
      </c>
      <c r="F57" s="60">
        <f>F21*$E$54/1000</f>
        <v>0</v>
      </c>
      <c r="G57" s="60">
        <f>G21*$E$54/1000</f>
        <v>0.15700100662383334</v>
      </c>
      <c r="H57" s="60">
        <f>H21*$E$54/1000</f>
        <v>1.1410093578734137</v>
      </c>
      <c r="I57" s="230">
        <f t="shared" si="10"/>
        <v>2.2844768662930139</v>
      </c>
    </row>
    <row r="58" spans="2:9">
      <c r="B58" s="18" t="s">
        <v>40</v>
      </c>
      <c r="C58" s="60">
        <f>C22*$E$54/1000</f>
        <v>1.2434661413995798</v>
      </c>
      <c r="D58" s="60">
        <f>D22*$E$54/1000</f>
        <v>0</v>
      </c>
      <c r="E58" s="171"/>
      <c r="F58" s="60">
        <f>F22*$E$54/1000</f>
        <v>0</v>
      </c>
      <c r="G58" s="60">
        <f>G22*$E$54/1000</f>
        <v>0.23437931077336049</v>
      </c>
      <c r="H58" s="60">
        <f>H22*$E$54/1000</f>
        <v>0.48443734698696361</v>
      </c>
      <c r="I58" s="230">
        <f t="shared" si="10"/>
        <v>1.9622827991599039</v>
      </c>
    </row>
    <row r="59" spans="2:9">
      <c r="B59" s="18" t="s">
        <v>42</v>
      </c>
      <c r="C59" s="60">
        <f>C23*$E$54/1000</f>
        <v>0.14706152832838304</v>
      </c>
      <c r="D59" s="60">
        <f>D23*$E$54/1000</f>
        <v>3.5108802366187374E-2</v>
      </c>
      <c r="E59" s="60">
        <f t="shared" ref="E59:G61" si="11">E23*$E$54/1000</f>
        <v>3.863571401941168E-3</v>
      </c>
      <c r="F59" s="171"/>
      <c r="G59" s="60">
        <f>G23*$E$54/1000</f>
        <v>0</v>
      </c>
      <c r="H59" s="60">
        <f>H23*$E$54/1000</f>
        <v>0</v>
      </c>
      <c r="I59" s="230">
        <f t="shared" si="10"/>
        <v>0.18603390209651158</v>
      </c>
    </row>
    <row r="60" spans="2:9">
      <c r="B60" s="18" t="s">
        <v>43</v>
      </c>
      <c r="C60" s="60">
        <f>C24*$E$54/1000</f>
        <v>0.34520449376763146</v>
      </c>
      <c r="D60" s="60">
        <f>D24*$E$54/1000</f>
        <v>0.94200603974300012</v>
      </c>
      <c r="E60" s="60">
        <f t="shared" si="11"/>
        <v>0.92970459940099659</v>
      </c>
      <c r="F60" s="60">
        <f t="shared" si="11"/>
        <v>0.27100041010600612</v>
      </c>
      <c r="G60" s="171"/>
      <c r="H60" s="60">
        <f>H24*$E$54/1000</f>
        <v>0</v>
      </c>
      <c r="I60" s="230">
        <f t="shared" si="10"/>
        <v>2.4879155430176341</v>
      </c>
    </row>
    <row r="61" spans="2:9">
      <c r="B61" s="18" t="s">
        <v>45</v>
      </c>
      <c r="C61" s="60">
        <f>C25*$E$54/1000</f>
        <v>1.41952850236743</v>
      </c>
      <c r="D61" s="60">
        <f>D25*$E$54/1000</f>
        <v>1.8541402065442973</v>
      </c>
      <c r="E61" s="60">
        <f t="shared" si="11"/>
        <v>2.2718441100078293</v>
      </c>
      <c r="F61" s="60">
        <f t="shared" si="11"/>
        <v>0.64318043421526827</v>
      </c>
      <c r="G61" s="60">
        <f t="shared" si="11"/>
        <v>0</v>
      </c>
      <c r="H61" s="171"/>
      <c r="I61" s="230">
        <f t="shared" si="10"/>
        <v>6.1886932531348249</v>
      </c>
    </row>
    <row r="62" spans="2:9" ht="18">
      <c r="B62" s="16" t="s">
        <v>247</v>
      </c>
      <c r="C62" s="230">
        <f t="shared" ref="C62:H62" si="12">SUM(C56:C61)</f>
        <v>4.1417271676587912</v>
      </c>
      <c r="D62" s="230">
        <f t="shared" si="12"/>
        <v>3.4952228864006356</v>
      </c>
      <c r="E62" s="230">
        <f t="shared" si="12"/>
        <v>3.7914567462438016</v>
      </c>
      <c r="F62" s="230">
        <f t="shared" si="12"/>
        <v>0.91418084432127444</v>
      </c>
      <c r="G62" s="230">
        <f t="shared" si="12"/>
        <v>1.6703346713559597</v>
      </c>
      <c r="H62" s="230">
        <f t="shared" si="12"/>
        <v>5.642278449550747</v>
      </c>
      <c r="I62" s="230">
        <f>SUM(I56:I61)</f>
        <v>19.655200765531209</v>
      </c>
    </row>
    <row r="65" spans="2:9">
      <c r="B65" s="98" t="s">
        <v>236</v>
      </c>
      <c r="C65" s="98" t="s">
        <v>235</v>
      </c>
    </row>
    <row r="66" spans="2:9" ht="18">
      <c r="B66" s="18" t="s">
        <v>251</v>
      </c>
      <c r="C66" s="18">
        <f>'Fatores Emissao'!O6</f>
        <v>1</v>
      </c>
    </row>
    <row r="67" spans="2:9" ht="18">
      <c r="B67" s="18" t="s">
        <v>252</v>
      </c>
      <c r="C67" s="18">
        <f>'Fatores Emissao'!O7</f>
        <v>28</v>
      </c>
    </row>
    <row r="68" spans="2:9" ht="18">
      <c r="B68" s="18" t="s">
        <v>253</v>
      </c>
      <c r="C68" s="18">
        <f>'Fatores Emissao'!O8</f>
        <v>265</v>
      </c>
    </row>
    <row r="71" spans="2:9" ht="18">
      <c r="B71" s="5" t="s">
        <v>256</v>
      </c>
      <c r="C71" s="98" t="s">
        <v>35</v>
      </c>
      <c r="D71" s="98" t="s">
        <v>38</v>
      </c>
      <c r="E71" s="98" t="s">
        <v>40</v>
      </c>
      <c r="F71" s="98" t="s">
        <v>42</v>
      </c>
      <c r="G71" s="98" t="s">
        <v>43</v>
      </c>
      <c r="H71" s="98" t="s">
        <v>45</v>
      </c>
      <c r="I71" s="5" t="s">
        <v>257</v>
      </c>
    </row>
    <row r="72" spans="2:9">
      <c r="B72" s="18" t="s">
        <v>35</v>
      </c>
      <c r="C72" s="11"/>
      <c r="D72" s="12">
        <f t="shared" ref="D72:H73" si="13">(D34)*$C$66+(D45)*$C$67+(D56)*$C$68</f>
        <v>17412.123949022134</v>
      </c>
      <c r="E72" s="12">
        <f t="shared" si="13"/>
        <v>15368.634279608523</v>
      </c>
      <c r="F72" s="12">
        <f t="shared" si="13"/>
        <v>0</v>
      </c>
      <c r="G72" s="12">
        <f t="shared" si="13"/>
        <v>33539.744653643975</v>
      </c>
      <c r="H72" s="12">
        <f t="shared" si="13"/>
        <v>105338.79541248253</v>
      </c>
      <c r="I72" s="13">
        <f t="shared" ref="I72:I77" si="14">SUM(C72:H72)</f>
        <v>171659.29829475714</v>
      </c>
    </row>
    <row r="73" spans="2:9">
      <c r="B73" s="18" t="s">
        <v>38</v>
      </c>
      <c r="C73" s="12">
        <f>(C35)*$C$66+(C46)*$C$67+(C57)*$C$68</f>
        <v>25869.441295690023</v>
      </c>
      <c r="D73" s="11"/>
      <c r="E73" s="12">
        <f t="shared" si="13"/>
        <v>0</v>
      </c>
      <c r="F73" s="12">
        <f t="shared" si="13"/>
        <v>0</v>
      </c>
      <c r="G73" s="12">
        <f t="shared" si="13"/>
        <v>4117.2491076239057</v>
      </c>
      <c r="H73" s="12">
        <f t="shared" si="13"/>
        <v>29922.227006802463</v>
      </c>
      <c r="I73" s="13">
        <f t="shared" si="14"/>
        <v>59908.917410116395</v>
      </c>
    </row>
    <row r="74" spans="2:9">
      <c r="B74" s="18" t="s">
        <v>40</v>
      </c>
      <c r="C74" s="12">
        <f t="shared" ref="C74:H77" si="15">(C36)*$C$66+(C47)*$C$67+(C58)*$C$68</f>
        <v>32609.089400964243</v>
      </c>
      <c r="D74" s="12">
        <f t="shared" si="15"/>
        <v>0</v>
      </c>
      <c r="E74" s="11"/>
      <c r="F74" s="12">
        <f t="shared" si="15"/>
        <v>0</v>
      </c>
      <c r="G74" s="12">
        <f t="shared" si="15"/>
        <v>6146.4447195501871</v>
      </c>
      <c r="H74" s="12">
        <f t="shared" si="15"/>
        <v>12704.053798588755</v>
      </c>
      <c r="I74" s="13">
        <f t="shared" si="14"/>
        <v>51459.587919103185</v>
      </c>
    </row>
    <row r="75" spans="2:9">
      <c r="B75" s="18" t="s">
        <v>42</v>
      </c>
      <c r="C75" s="12">
        <f t="shared" si="15"/>
        <v>3856.5927652079604</v>
      </c>
      <c r="D75" s="12">
        <f t="shared" si="15"/>
        <v>920.70546756599936</v>
      </c>
      <c r="E75" s="12">
        <f t="shared" si="15"/>
        <v>101.31964277781087</v>
      </c>
      <c r="F75" s="11"/>
      <c r="G75" s="12">
        <f t="shared" si="15"/>
        <v>0</v>
      </c>
      <c r="H75" s="12">
        <f t="shared" si="15"/>
        <v>0</v>
      </c>
      <c r="I75" s="13">
        <f t="shared" si="14"/>
        <v>4878.6178755517712</v>
      </c>
    </row>
    <row r="76" spans="2:9">
      <c r="B76" s="18" t="s">
        <v>43</v>
      </c>
      <c r="C76" s="12">
        <f t="shared" si="15"/>
        <v>9052.7629374879743</v>
      </c>
      <c r="D76" s="12">
        <f t="shared" si="15"/>
        <v>24703.494645743434</v>
      </c>
      <c r="E76" s="12">
        <f t="shared" si="15"/>
        <v>24380.897387549074</v>
      </c>
      <c r="F76" s="12">
        <f t="shared" si="15"/>
        <v>7106.8091897525919</v>
      </c>
      <c r="G76" s="11"/>
      <c r="H76" s="12">
        <f t="shared" si="15"/>
        <v>0</v>
      </c>
      <c r="I76" s="13">
        <f t="shared" si="14"/>
        <v>65243.964160533069</v>
      </c>
    </row>
    <row r="77" spans="2:9">
      <c r="B77" s="18" t="s">
        <v>45</v>
      </c>
      <c r="C77" s="12">
        <f t="shared" si="15"/>
        <v>37226.21010718905</v>
      </c>
      <c r="D77" s="12">
        <f t="shared" si="15"/>
        <v>48623.618886053999</v>
      </c>
      <c r="E77" s="12">
        <f t="shared" si="15"/>
        <v>59577.631607174844</v>
      </c>
      <c r="F77" s="12">
        <f t="shared" si="15"/>
        <v>16866.9878350447</v>
      </c>
      <c r="G77" s="12">
        <f t="shared" si="15"/>
        <v>0</v>
      </c>
      <c r="H77" s="11"/>
      <c r="I77" s="13">
        <f t="shared" si="14"/>
        <v>162294.4484354626</v>
      </c>
    </row>
    <row r="78" spans="2:9" ht="18">
      <c r="B78" s="16" t="s">
        <v>258</v>
      </c>
      <c r="C78" s="13">
        <f t="shared" ref="C78:H78" si="16">SUM(C72:C77)</f>
        <v>108614.09650653925</v>
      </c>
      <c r="D78" s="13">
        <f t="shared" si="16"/>
        <v>91659.942948385564</v>
      </c>
      <c r="E78" s="13">
        <f t="shared" si="16"/>
        <v>99428.482917110261</v>
      </c>
      <c r="F78" s="13">
        <f t="shared" si="16"/>
        <v>23973.797024797292</v>
      </c>
      <c r="G78" s="13">
        <f t="shared" si="16"/>
        <v>43803.438480818062</v>
      </c>
      <c r="H78" s="13">
        <f t="shared" si="16"/>
        <v>147965.07621787375</v>
      </c>
      <c r="I78" s="13">
        <f>SUM(I72:I77)</f>
        <v>515444.83409552422</v>
      </c>
    </row>
    <row r="79" spans="2:9">
      <c r="I79" s="201"/>
    </row>
    <row r="81" spans="2:9" ht="18">
      <c r="B81" s="5" t="s">
        <v>262</v>
      </c>
      <c r="C81" s="98" t="s">
        <v>35</v>
      </c>
      <c r="D81" s="98" t="s">
        <v>38</v>
      </c>
      <c r="E81" s="98" t="s">
        <v>40</v>
      </c>
      <c r="F81" s="98" t="s">
        <v>42</v>
      </c>
      <c r="G81" s="98" t="s">
        <v>43</v>
      </c>
      <c r="H81" s="98" t="s">
        <v>45</v>
      </c>
      <c r="I81" s="5" t="s">
        <v>260</v>
      </c>
    </row>
    <row r="82" spans="2:9">
      <c r="B82" s="18" t="s">
        <v>35</v>
      </c>
      <c r="C82" s="11"/>
      <c r="D82" s="40">
        <f>D72/$I$78</f>
        <v>3.3780771087901236E-2</v>
      </c>
      <c r="E82" s="40">
        <f>E72/$I$78</f>
        <v>2.9816254355476475E-2</v>
      </c>
      <c r="F82" s="40">
        <f>F72/$I$78</f>
        <v>0</v>
      </c>
      <c r="G82" s="40">
        <f>G72/$I$78</f>
        <v>6.5069513622146927E-2</v>
      </c>
      <c r="H82" s="40">
        <f>H72/$I$78</f>
        <v>0.20436482906522008</v>
      </c>
      <c r="I82" s="163">
        <f t="shared" ref="I82:I87" si="17">SUM(C82:H82)</f>
        <v>0.33303136813074474</v>
      </c>
    </row>
    <row r="83" spans="2:9">
      <c r="B83" s="18" t="s">
        <v>38</v>
      </c>
      <c r="C83" s="40">
        <f>C73/$I$78</f>
        <v>5.018857418773897E-2</v>
      </c>
      <c r="D83" s="11"/>
      <c r="E83" s="40">
        <f t="shared" ref="E83:H86" si="18">E73/$I$78</f>
        <v>0</v>
      </c>
      <c r="F83" s="40">
        <f t="shared" si="18"/>
        <v>0</v>
      </c>
      <c r="G83" s="40">
        <f t="shared" si="18"/>
        <v>7.9877589904429648E-3</v>
      </c>
      <c r="H83" s="40">
        <f t="shared" si="18"/>
        <v>5.8051269558862549E-2</v>
      </c>
      <c r="I83" s="163">
        <f t="shared" si="17"/>
        <v>0.11622760273704449</v>
      </c>
    </row>
    <row r="84" spans="2:9">
      <c r="B84" s="18" t="s">
        <v>40</v>
      </c>
      <c r="C84" s="40">
        <f t="shared" ref="C84:G87" si="19">C74/$I$78</f>
        <v>6.3263975587581511E-2</v>
      </c>
      <c r="D84" s="12"/>
      <c r="E84" s="11"/>
      <c r="F84" s="40">
        <f t="shared" si="18"/>
        <v>0</v>
      </c>
      <c r="G84" s="40">
        <f t="shared" si="18"/>
        <v>1.192454422467081E-2</v>
      </c>
      <c r="H84" s="40">
        <f t="shared" si="18"/>
        <v>2.4646776838652708E-2</v>
      </c>
      <c r="I84" s="163">
        <f t="shared" si="17"/>
        <v>9.9835296650905028E-2</v>
      </c>
    </row>
    <row r="85" spans="2:9">
      <c r="B85" s="18" t="s">
        <v>42</v>
      </c>
      <c r="C85" s="40">
        <f t="shared" si="19"/>
        <v>7.4820669644993319E-3</v>
      </c>
      <c r="D85" s="40">
        <f t="shared" si="19"/>
        <v>1.7862347368008944E-3</v>
      </c>
      <c r="E85" s="40">
        <f t="shared" si="19"/>
        <v>1.9656738427808925E-4</v>
      </c>
      <c r="F85" s="11"/>
      <c r="G85" s="40">
        <f t="shared" si="18"/>
        <v>0</v>
      </c>
      <c r="H85" s="40">
        <f t="shared" si="18"/>
        <v>0</v>
      </c>
      <c r="I85" s="163">
        <f t="shared" si="17"/>
        <v>9.4648690855783143E-3</v>
      </c>
    </row>
    <row r="86" spans="2:9">
      <c r="B86" s="18" t="s">
        <v>43</v>
      </c>
      <c r="C86" s="40">
        <f t="shared" si="19"/>
        <v>1.756301031394231E-2</v>
      </c>
      <c r="D86" s="40">
        <f t="shared" si="19"/>
        <v>4.7926553942657789E-2</v>
      </c>
      <c r="E86" s="40">
        <f t="shared" si="19"/>
        <v>4.730069209119421E-2</v>
      </c>
      <c r="F86" s="40">
        <f t="shared" si="19"/>
        <v>1.3787720275096463E-2</v>
      </c>
      <c r="G86" s="11"/>
      <c r="H86" s="40">
        <f t="shared" si="18"/>
        <v>0</v>
      </c>
      <c r="I86" s="163">
        <f t="shared" si="17"/>
        <v>0.12657797662289078</v>
      </c>
    </row>
    <row r="87" spans="2:9">
      <c r="B87" s="18" t="s">
        <v>45</v>
      </c>
      <c r="C87" s="40">
        <f t="shared" si="19"/>
        <v>7.2221521382616366E-2</v>
      </c>
      <c r="D87" s="40">
        <f t="shared" si="19"/>
        <v>9.4333313033151636E-2</v>
      </c>
      <c r="E87" s="40">
        <f t="shared" si="19"/>
        <v>0.11558488448471614</v>
      </c>
      <c r="F87" s="40">
        <f t="shared" si="19"/>
        <v>3.2723167872352459E-2</v>
      </c>
      <c r="G87" s="40">
        <f t="shared" si="19"/>
        <v>0</v>
      </c>
      <c r="H87" s="11"/>
      <c r="I87" s="163">
        <f t="shared" si="17"/>
        <v>0.31486288677283664</v>
      </c>
    </row>
    <row r="88" spans="2:9" ht="18">
      <c r="B88" s="16" t="s">
        <v>261</v>
      </c>
      <c r="C88" s="162">
        <f t="shared" ref="C88:I88" si="20">SUM(C82:C87)</f>
        <v>0.21071914843637851</v>
      </c>
      <c r="D88" s="162">
        <f t="shared" si="20"/>
        <v>0.17782687280051157</v>
      </c>
      <c r="E88" s="162">
        <f t="shared" si="20"/>
        <v>0.19289839831566491</v>
      </c>
      <c r="F88" s="162">
        <f t="shared" si="20"/>
        <v>4.6510888147448921E-2</v>
      </c>
      <c r="G88" s="162">
        <f t="shared" si="20"/>
        <v>8.4981816837260693E-2</v>
      </c>
      <c r="H88" s="162">
        <f t="shared" si="20"/>
        <v>0.28706287546273529</v>
      </c>
      <c r="I88" s="163">
        <f t="shared" si="20"/>
        <v>1</v>
      </c>
    </row>
    <row r="91" spans="2:9">
      <c r="B91" s="260" t="s">
        <v>369</v>
      </c>
      <c r="C91" s="260"/>
      <c r="D91" s="260"/>
      <c r="E91" s="260"/>
      <c r="F91" s="260"/>
      <c r="G91" s="260"/>
      <c r="H91" s="260"/>
    </row>
    <row r="92" spans="2:9" ht="18">
      <c r="B92" s="176" t="s">
        <v>266</v>
      </c>
      <c r="C92" s="98" t="s">
        <v>35</v>
      </c>
      <c r="D92" s="98" t="s">
        <v>38</v>
      </c>
      <c r="E92" s="98" t="s">
        <v>40</v>
      </c>
      <c r="F92" s="98" t="s">
        <v>42</v>
      </c>
      <c r="G92" s="98" t="s">
        <v>43</v>
      </c>
      <c r="H92" s="98" t="s">
        <v>45</v>
      </c>
    </row>
    <row r="93" spans="2:9">
      <c r="B93" s="18" t="s">
        <v>35</v>
      </c>
      <c r="C93" s="11"/>
      <c r="D93" s="166">
        <f>D72/D11</f>
        <v>99.497851137269336</v>
      </c>
      <c r="E93" s="166">
        <f>E72/E11</f>
        <v>98.516886407746938</v>
      </c>
      <c r="F93" s="166"/>
      <c r="G93" s="166">
        <f t="shared" ref="G93:H95" si="21">G72/G11</f>
        <v>148.40594979488483</v>
      </c>
      <c r="H93" s="166">
        <f t="shared" si="21"/>
        <v>162.55986946370763</v>
      </c>
    </row>
    <row r="94" spans="2:9">
      <c r="B94" s="18" t="s">
        <v>38</v>
      </c>
      <c r="C94" s="166">
        <f>C73/C12</f>
        <v>99.497851137269322</v>
      </c>
      <c r="D94" s="11"/>
      <c r="E94" s="166"/>
      <c r="F94" s="166"/>
      <c r="G94" s="166">
        <f t="shared" si="21"/>
        <v>205.86245538119528</v>
      </c>
      <c r="H94" s="166">
        <f t="shared" si="21"/>
        <v>220.0163750500181</v>
      </c>
    </row>
    <row r="95" spans="2:9">
      <c r="B95" s="18" t="s">
        <v>40</v>
      </c>
      <c r="C95" s="166">
        <f>C74/C13</f>
        <v>98.516886407746952</v>
      </c>
      <c r="D95" s="166"/>
      <c r="E95" s="11"/>
      <c r="F95" s="166"/>
      <c r="G95" s="166">
        <f t="shared" si="21"/>
        <v>204.88149065167289</v>
      </c>
      <c r="H95" s="166">
        <f t="shared" si="21"/>
        <v>219.03541032049577</v>
      </c>
    </row>
    <row r="96" spans="2:9">
      <c r="B96" s="18" t="s">
        <v>42</v>
      </c>
      <c r="C96" s="166">
        <f>C75/C14</f>
        <v>44.844101921022798</v>
      </c>
      <c r="D96" s="166">
        <f t="shared" ref="D96:E98" si="22">D75/D14</f>
        <v>102.30060750733327</v>
      </c>
      <c r="E96" s="166">
        <f t="shared" si="22"/>
        <v>101.31964277781087</v>
      </c>
      <c r="F96" s="11"/>
      <c r="G96" s="166"/>
      <c r="H96" s="166"/>
    </row>
    <row r="97" spans="2:9">
      <c r="B97" s="18" t="s">
        <v>43</v>
      </c>
      <c r="C97" s="166">
        <f>C76/C15</f>
        <v>148.40594979488483</v>
      </c>
      <c r="D97" s="166">
        <f t="shared" si="22"/>
        <v>205.86245538119528</v>
      </c>
      <c r="E97" s="166">
        <f t="shared" si="22"/>
        <v>204.88149065167289</v>
      </c>
      <c r="F97" s="166">
        <f>F76/F15</f>
        <v>151.20870616494875</v>
      </c>
      <c r="G97" s="11"/>
      <c r="H97" s="166"/>
    </row>
    <row r="98" spans="2:9">
      <c r="B98" s="18" t="s">
        <v>45</v>
      </c>
      <c r="C98" s="166">
        <f>C77/C16</f>
        <v>162.55986946370766</v>
      </c>
      <c r="D98" s="166">
        <f t="shared" si="22"/>
        <v>220.0163750500181</v>
      </c>
      <c r="E98" s="166">
        <f t="shared" si="22"/>
        <v>219.03541032049574</v>
      </c>
      <c r="F98" s="166">
        <f>F77/F16</f>
        <v>165.36262583377157</v>
      </c>
      <c r="G98" s="166"/>
      <c r="H98" s="11"/>
    </row>
    <row r="106" spans="2:9">
      <c r="I106" s="201"/>
    </row>
  </sheetData>
  <mergeCells count="5">
    <mergeCell ref="B29:I29"/>
    <mergeCell ref="B32:D32"/>
    <mergeCell ref="B43:D43"/>
    <mergeCell ref="B54:D54"/>
    <mergeCell ref="B91:H91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12E6-0DC5-4464-8609-C81570FFA1A7}">
  <dimension ref="B3:I115"/>
  <sheetViews>
    <sheetView showGridLines="0" topLeftCell="A97" zoomScale="85" zoomScaleNormal="85" workbookViewId="0">
      <selection activeCell="K108" sqref="K108"/>
    </sheetView>
  </sheetViews>
  <sheetFormatPr defaultRowHeight="14.4"/>
  <cols>
    <col min="2" max="2" width="31.1015625" customWidth="1"/>
    <col min="3" max="3" width="17.47265625" customWidth="1"/>
    <col min="4" max="4" width="14.578125" customWidth="1"/>
    <col min="5" max="5" width="15.41796875" customWidth="1"/>
    <col min="6" max="6" width="17.68359375" customWidth="1"/>
    <col min="7" max="7" width="16.47265625" customWidth="1"/>
    <col min="8" max="8" width="16.62890625" customWidth="1"/>
    <col min="9" max="9" width="22.20703125" customWidth="1"/>
    <col min="12" max="12" width="12.3125" customWidth="1"/>
    <col min="14" max="14" width="12.89453125" customWidth="1"/>
    <col min="15" max="15" width="8.83984375" customWidth="1"/>
    <col min="18" max="18" width="12.89453125" customWidth="1"/>
  </cols>
  <sheetData>
    <row r="3" spans="3:6" ht="15.6">
      <c r="C3" s="262" t="s">
        <v>338</v>
      </c>
      <c r="D3" s="262"/>
      <c r="E3" s="262"/>
      <c r="F3" s="195"/>
    </row>
    <row r="4" spans="3:6" ht="15.6">
      <c r="C4" s="18" t="s">
        <v>330</v>
      </c>
      <c r="D4" s="6" t="s">
        <v>349</v>
      </c>
      <c r="E4" s="6"/>
      <c r="F4" s="195"/>
    </row>
    <row r="5" spans="3:6" ht="15.6">
      <c r="C5" s="18" t="s">
        <v>352</v>
      </c>
      <c r="D5" s="6">
        <v>15</v>
      </c>
      <c r="E5" s="6" t="s">
        <v>334</v>
      </c>
      <c r="F5" s="195"/>
    </row>
    <row r="6" spans="3:6" ht="15.6">
      <c r="C6" s="18" t="s">
        <v>350</v>
      </c>
      <c r="D6" s="6">
        <v>14</v>
      </c>
      <c r="E6" s="6" t="s">
        <v>351</v>
      </c>
      <c r="F6" s="195"/>
    </row>
    <row r="7" spans="3:6" ht="15.6">
      <c r="C7" s="18" t="s">
        <v>276</v>
      </c>
      <c r="D7" s="78">
        <f>D5/D6</f>
        <v>1.0714285714285714</v>
      </c>
      <c r="E7" s="6" t="s">
        <v>277</v>
      </c>
    </row>
    <row r="8" spans="3:6" ht="15.6">
      <c r="C8" s="18" t="s">
        <v>377</v>
      </c>
      <c r="D8" s="6">
        <v>2</v>
      </c>
      <c r="E8" s="6" t="s">
        <v>378</v>
      </c>
    </row>
    <row r="10" spans="3:6" ht="15.6">
      <c r="C10" s="262" t="s">
        <v>402</v>
      </c>
      <c r="D10" s="262"/>
      <c r="E10" s="262"/>
    </row>
    <row r="11" spans="3:6" ht="18">
      <c r="C11" s="18" t="s">
        <v>356</v>
      </c>
      <c r="D11" s="232">
        <f>'Fatores Emissao'!C17</f>
        <v>2.6971979257200673</v>
      </c>
      <c r="E11" s="6" t="s">
        <v>280</v>
      </c>
    </row>
    <row r="12" spans="3:6" ht="18">
      <c r="C12" s="18" t="s">
        <v>354</v>
      </c>
      <c r="D12" s="196">
        <f>'Fatores Emissao'!D17</f>
        <v>0.15057814080905368</v>
      </c>
      <c r="E12" s="6" t="s">
        <v>503</v>
      </c>
    </row>
    <row r="13" spans="3:6" ht="18">
      <c r="C13" s="18" t="s">
        <v>355</v>
      </c>
      <c r="D13" s="196">
        <f>'Fatores Emissao'!E17</f>
        <v>6.8684765983077128E-2</v>
      </c>
      <c r="E13" s="6" t="s">
        <v>503</v>
      </c>
    </row>
    <row r="15" spans="3:6" ht="15.6">
      <c r="C15" s="262" t="s">
        <v>353</v>
      </c>
      <c r="D15" s="262"/>
      <c r="E15" s="262"/>
    </row>
    <row r="16" spans="3:6" ht="18">
      <c r="C16" s="18" t="s">
        <v>356</v>
      </c>
      <c r="D16" s="196">
        <f>D11*D7</f>
        <v>2.8898549204143578</v>
      </c>
      <c r="E16" s="6" t="s">
        <v>284</v>
      </c>
    </row>
    <row r="17" spans="2:9" ht="18">
      <c r="C17" s="18" t="s">
        <v>354</v>
      </c>
      <c r="D17" s="196">
        <f>D12*$D$7</f>
        <v>0.16133372229541465</v>
      </c>
      <c r="E17" s="6" t="s">
        <v>283</v>
      </c>
    </row>
    <row r="18" spans="2:9" ht="18">
      <c r="C18" s="18" t="s">
        <v>355</v>
      </c>
      <c r="D18" s="196">
        <f>D13*$D$7</f>
        <v>7.3590820696154066E-2</v>
      </c>
      <c r="E18" s="6" t="s">
        <v>283</v>
      </c>
    </row>
    <row r="21" spans="2:9" ht="15.6">
      <c r="B21" s="5" t="s">
        <v>188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5" t="s">
        <v>47</v>
      </c>
    </row>
    <row r="22" spans="2:9" ht="15.6">
      <c r="B22" s="10" t="s">
        <v>4</v>
      </c>
      <c r="C22" s="11">
        <f>'Movimentacao de Conteineres'!K30</f>
        <v>0</v>
      </c>
      <c r="D22" s="12">
        <f>'Movimentacao de Conteineres'!L30</f>
        <v>175</v>
      </c>
      <c r="E22" s="12">
        <f>'Movimentacao de Conteineres'!M30</f>
        <v>156</v>
      </c>
      <c r="F22" s="12">
        <f>'Movimentacao de Conteineres'!N30</f>
        <v>0</v>
      </c>
      <c r="G22" s="12">
        <f>'Movimentacao de Conteineres'!O30</f>
        <v>226</v>
      </c>
      <c r="H22" s="12">
        <f>'Movimentacao de Conteineres'!P30</f>
        <v>648</v>
      </c>
      <c r="I22" s="13">
        <f t="shared" ref="I22:I27" si="0">SUM(C22:H22)</f>
        <v>1205</v>
      </c>
    </row>
    <row r="23" spans="2:9" ht="15.6">
      <c r="B23" s="10" t="s">
        <v>5</v>
      </c>
      <c r="C23" s="12">
        <f>'Movimentacao de Conteineres'!K31</f>
        <v>260</v>
      </c>
      <c r="D23" s="11">
        <f>'Movimentacao de Conteineres'!L31</f>
        <v>0</v>
      </c>
      <c r="E23" s="12">
        <f>'Movimentacao de Conteineres'!M31</f>
        <v>0</v>
      </c>
      <c r="F23" s="12">
        <f>'Movimentacao de Conteineres'!N31</f>
        <v>0</v>
      </c>
      <c r="G23" s="12">
        <f>'Movimentacao de Conteineres'!O31</f>
        <v>20</v>
      </c>
      <c r="H23" s="12">
        <f>'Movimentacao de Conteineres'!P31</f>
        <v>136</v>
      </c>
      <c r="I23" s="13">
        <f t="shared" si="0"/>
        <v>416</v>
      </c>
    </row>
    <row r="24" spans="2:9" ht="15.6">
      <c r="B24" s="10" t="s">
        <v>6</v>
      </c>
      <c r="C24" s="12">
        <f>'Movimentacao de Conteineres'!K32</f>
        <v>331</v>
      </c>
      <c r="D24" s="12">
        <f>'Movimentacao de Conteineres'!L32</f>
        <v>0</v>
      </c>
      <c r="E24" s="11">
        <f>'Movimentacao de Conteineres'!M32</f>
        <v>0</v>
      </c>
      <c r="F24" s="12">
        <f>'Movimentacao de Conteineres'!N32</f>
        <v>0</v>
      </c>
      <c r="G24" s="12">
        <f>'Movimentacao de Conteineres'!O32</f>
        <v>30</v>
      </c>
      <c r="H24" s="12">
        <f>'Movimentacao de Conteineres'!P32</f>
        <v>58</v>
      </c>
      <c r="I24" s="13">
        <f t="shared" si="0"/>
        <v>419</v>
      </c>
    </row>
    <row r="25" spans="2:9" ht="15.6">
      <c r="B25" s="10" t="s">
        <v>7</v>
      </c>
      <c r="C25" s="12">
        <f>'Movimentacao de Conteineres'!K33</f>
        <v>86</v>
      </c>
      <c r="D25" s="12">
        <f>'Movimentacao de Conteineres'!L33</f>
        <v>9</v>
      </c>
      <c r="E25" s="12">
        <f>'Movimentacao de Conteineres'!M33</f>
        <v>1</v>
      </c>
      <c r="F25" s="11">
        <f>'Movimentacao de Conteineres'!N33</f>
        <v>0</v>
      </c>
      <c r="G25" s="12">
        <f>'Movimentacao de Conteineres'!O33</f>
        <v>0</v>
      </c>
      <c r="H25" s="12">
        <f>'Movimentacao de Conteineres'!P33</f>
        <v>0</v>
      </c>
      <c r="I25" s="13">
        <f t="shared" si="0"/>
        <v>96</v>
      </c>
    </row>
    <row r="26" spans="2:9" ht="15.6">
      <c r="B26" s="10" t="s">
        <v>8</v>
      </c>
      <c r="C26" s="12">
        <f>'Movimentacao de Conteineres'!K34</f>
        <v>61</v>
      </c>
      <c r="D26" s="12">
        <f>'Movimentacao de Conteineres'!L34</f>
        <v>120</v>
      </c>
      <c r="E26" s="12">
        <f>'Movimentacao de Conteineres'!M34</f>
        <v>119</v>
      </c>
      <c r="F26" s="12">
        <f>'Movimentacao de Conteineres'!N34</f>
        <v>47</v>
      </c>
      <c r="G26" s="11">
        <f>'Movimentacao de Conteineres'!O34</f>
        <v>0</v>
      </c>
      <c r="H26" s="12">
        <f>'Movimentacao de Conteineres'!P34</f>
        <v>0</v>
      </c>
      <c r="I26" s="13">
        <f t="shared" si="0"/>
        <v>347</v>
      </c>
    </row>
    <row r="27" spans="2:9" ht="15.6">
      <c r="B27" s="10" t="s">
        <v>9</v>
      </c>
      <c r="C27" s="12">
        <f>'Movimentacao de Conteineres'!K35</f>
        <v>229</v>
      </c>
      <c r="D27" s="12">
        <f>'Movimentacao de Conteineres'!L35</f>
        <v>221</v>
      </c>
      <c r="E27" s="12">
        <f>'Movimentacao de Conteineres'!M35</f>
        <v>272</v>
      </c>
      <c r="F27" s="12">
        <f>'Movimentacao de Conteineres'!N35</f>
        <v>102</v>
      </c>
      <c r="G27" s="12">
        <f>'Movimentacao de Conteineres'!O35</f>
        <v>0</v>
      </c>
      <c r="H27" s="11">
        <f>'Movimentacao de Conteineres'!P35</f>
        <v>0</v>
      </c>
      <c r="I27" s="13">
        <f t="shared" si="0"/>
        <v>824</v>
      </c>
    </row>
    <row r="28" spans="2:9" ht="15.6">
      <c r="B28" s="16" t="s">
        <v>48</v>
      </c>
      <c r="C28" s="13">
        <f t="shared" ref="C28:I28" si="1">SUM(C22:C27)</f>
        <v>967</v>
      </c>
      <c r="D28" s="13">
        <f t="shared" si="1"/>
        <v>525</v>
      </c>
      <c r="E28" s="13">
        <f t="shared" si="1"/>
        <v>548</v>
      </c>
      <c r="F28" s="13">
        <f t="shared" si="1"/>
        <v>149</v>
      </c>
      <c r="G28" s="13">
        <f t="shared" si="1"/>
        <v>276</v>
      </c>
      <c r="H28" s="13">
        <f t="shared" si="1"/>
        <v>842</v>
      </c>
      <c r="I28" s="13">
        <f t="shared" si="1"/>
        <v>3307</v>
      </c>
    </row>
    <row r="30" spans="2:9" ht="15.6">
      <c r="B30" s="5" t="s">
        <v>274</v>
      </c>
      <c r="C30" s="98" t="s">
        <v>35</v>
      </c>
      <c r="D30" s="98" t="s">
        <v>38</v>
      </c>
      <c r="E30" s="98" t="s">
        <v>40</v>
      </c>
      <c r="F30" s="98" t="s">
        <v>42</v>
      </c>
      <c r="G30" s="98" t="s">
        <v>43</v>
      </c>
      <c r="H30" s="98" t="s">
        <v>45</v>
      </c>
      <c r="I30" s="5" t="s">
        <v>47</v>
      </c>
    </row>
    <row r="31" spans="2:9" ht="15.6">
      <c r="B31" s="18" t="s">
        <v>35</v>
      </c>
      <c r="C31" s="11">
        <f>C22*$D$8</f>
        <v>0</v>
      </c>
      <c r="D31" s="12">
        <f t="shared" ref="D31:H31" si="2">D22*$D$8</f>
        <v>350</v>
      </c>
      <c r="E31" s="12">
        <f t="shared" si="2"/>
        <v>312</v>
      </c>
      <c r="F31" s="12">
        <f t="shared" si="2"/>
        <v>0</v>
      </c>
      <c r="G31" s="12">
        <f t="shared" si="2"/>
        <v>452</v>
      </c>
      <c r="H31" s="12">
        <f t="shared" si="2"/>
        <v>1296</v>
      </c>
      <c r="I31" s="13">
        <f t="shared" ref="I31:I36" si="3">SUM(C31:H31)</f>
        <v>2410</v>
      </c>
    </row>
    <row r="32" spans="2:9" ht="15.6">
      <c r="B32" s="18" t="s">
        <v>38</v>
      </c>
      <c r="C32" s="12">
        <f>C23*$D$8</f>
        <v>520</v>
      </c>
      <c r="D32" s="11">
        <f t="shared" ref="D32:H32" si="4">D23*$D$8</f>
        <v>0</v>
      </c>
      <c r="E32" s="12">
        <f t="shared" si="4"/>
        <v>0</v>
      </c>
      <c r="F32" s="12">
        <f t="shared" si="4"/>
        <v>0</v>
      </c>
      <c r="G32" s="12">
        <f t="shared" si="4"/>
        <v>40</v>
      </c>
      <c r="H32" s="12">
        <f t="shared" si="4"/>
        <v>272</v>
      </c>
      <c r="I32" s="13">
        <f t="shared" si="3"/>
        <v>832</v>
      </c>
    </row>
    <row r="33" spans="2:9" ht="15.6">
      <c r="B33" s="18" t="s">
        <v>40</v>
      </c>
      <c r="C33" s="12">
        <f t="shared" ref="C33:H33" si="5">C24*$D$8</f>
        <v>662</v>
      </c>
      <c r="D33" s="12">
        <f t="shared" si="5"/>
        <v>0</v>
      </c>
      <c r="E33" s="11">
        <f t="shared" si="5"/>
        <v>0</v>
      </c>
      <c r="F33" s="12">
        <f t="shared" si="5"/>
        <v>0</v>
      </c>
      <c r="G33" s="12">
        <f t="shared" si="5"/>
        <v>60</v>
      </c>
      <c r="H33" s="12">
        <f t="shared" si="5"/>
        <v>116</v>
      </c>
      <c r="I33" s="13">
        <f t="shared" si="3"/>
        <v>838</v>
      </c>
    </row>
    <row r="34" spans="2:9" ht="15.6">
      <c r="B34" s="18" t="s">
        <v>42</v>
      </c>
      <c r="C34" s="12">
        <f t="shared" ref="C34:H34" si="6">C25*$D$8</f>
        <v>172</v>
      </c>
      <c r="D34" s="12">
        <f t="shared" si="6"/>
        <v>18</v>
      </c>
      <c r="E34" s="12">
        <f t="shared" si="6"/>
        <v>2</v>
      </c>
      <c r="F34" s="11">
        <f t="shared" si="6"/>
        <v>0</v>
      </c>
      <c r="G34" s="12">
        <f t="shared" si="6"/>
        <v>0</v>
      </c>
      <c r="H34" s="12">
        <f t="shared" si="6"/>
        <v>0</v>
      </c>
      <c r="I34" s="13">
        <f t="shared" si="3"/>
        <v>192</v>
      </c>
    </row>
    <row r="35" spans="2:9" ht="15.6">
      <c r="B35" s="18" t="s">
        <v>43</v>
      </c>
      <c r="C35" s="12">
        <f t="shared" ref="C35:H35" si="7">C26*$D$8</f>
        <v>122</v>
      </c>
      <c r="D35" s="12">
        <f t="shared" si="7"/>
        <v>240</v>
      </c>
      <c r="E35" s="12">
        <f t="shared" si="7"/>
        <v>238</v>
      </c>
      <c r="F35" s="12">
        <f t="shared" si="7"/>
        <v>94</v>
      </c>
      <c r="G35" s="11">
        <f t="shared" si="7"/>
        <v>0</v>
      </c>
      <c r="H35" s="12">
        <f t="shared" si="7"/>
        <v>0</v>
      </c>
      <c r="I35" s="13">
        <f t="shared" si="3"/>
        <v>694</v>
      </c>
    </row>
    <row r="36" spans="2:9" ht="15.6">
      <c r="B36" s="18" t="s">
        <v>45</v>
      </c>
      <c r="C36" s="12">
        <f t="shared" ref="C36:H36" si="8">C27*$D$8</f>
        <v>458</v>
      </c>
      <c r="D36" s="12">
        <f t="shared" si="8"/>
        <v>442</v>
      </c>
      <c r="E36" s="12">
        <f t="shared" si="8"/>
        <v>544</v>
      </c>
      <c r="F36" s="12">
        <f t="shared" si="8"/>
        <v>204</v>
      </c>
      <c r="G36" s="12">
        <f t="shared" si="8"/>
        <v>0</v>
      </c>
      <c r="H36" s="11">
        <f t="shared" si="8"/>
        <v>0</v>
      </c>
      <c r="I36" s="13">
        <f t="shared" si="3"/>
        <v>1648</v>
      </c>
    </row>
    <row r="37" spans="2:9" ht="15.6">
      <c r="B37" s="16" t="s">
        <v>48</v>
      </c>
      <c r="C37" s="13">
        <f t="shared" ref="C37:H37" si="9">SUM(C31:C36)</f>
        <v>1934</v>
      </c>
      <c r="D37" s="13">
        <f t="shared" si="9"/>
        <v>1050</v>
      </c>
      <c r="E37" s="13">
        <f t="shared" si="9"/>
        <v>1096</v>
      </c>
      <c r="F37" s="13">
        <f t="shared" si="9"/>
        <v>298</v>
      </c>
      <c r="G37" s="13">
        <f t="shared" si="9"/>
        <v>552</v>
      </c>
      <c r="H37" s="13">
        <f t="shared" si="9"/>
        <v>1684</v>
      </c>
      <c r="I37" s="13">
        <f>SUM(I31:I36)</f>
        <v>6614</v>
      </c>
    </row>
    <row r="38" spans="2:9">
      <c r="I38" s="114"/>
    </row>
    <row r="39" spans="2:9">
      <c r="I39" s="114"/>
    </row>
    <row r="40" spans="2:9" ht="23.1">
      <c r="B40" s="273" t="s">
        <v>483</v>
      </c>
      <c r="C40" s="273"/>
      <c r="D40" s="273"/>
      <c r="E40" s="273"/>
      <c r="F40" s="273"/>
      <c r="G40" s="273"/>
      <c r="H40" s="273"/>
      <c r="I40" s="273"/>
    </row>
    <row r="42" spans="2:9" ht="18">
      <c r="B42" s="272" t="s">
        <v>271</v>
      </c>
      <c r="C42" s="272"/>
      <c r="D42" s="272"/>
      <c r="E42" s="170">
        <f>D16</f>
        <v>2.8898549204143578</v>
      </c>
      <c r="F42" s="164" t="s">
        <v>394</v>
      </c>
    </row>
    <row r="43" spans="2:9" ht="18">
      <c r="B43" s="5" t="s">
        <v>239</v>
      </c>
      <c r="C43" s="98" t="s">
        <v>35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240</v>
      </c>
    </row>
    <row r="44" spans="2:9" ht="15.6">
      <c r="B44" s="18" t="s">
        <v>35</v>
      </c>
      <c r="C44" s="11"/>
      <c r="D44" s="12">
        <f>D31*$E$42</f>
        <v>1011.4492221450253</v>
      </c>
      <c r="E44" s="12">
        <f>E31*$E$42</f>
        <v>901.63473516927957</v>
      </c>
      <c r="F44" s="12">
        <f>F31*$E$42</f>
        <v>0</v>
      </c>
      <c r="G44" s="12">
        <f>G31*$E$42</f>
        <v>1306.2144240272896</v>
      </c>
      <c r="H44" s="12">
        <f>H31*$E$42</f>
        <v>3745.2519768570078</v>
      </c>
      <c r="I44" s="13">
        <f t="shared" ref="I44:I49" si="10">SUM(C44:H44)</f>
        <v>6964.5503581986022</v>
      </c>
    </row>
    <row r="45" spans="2:9" ht="15.6">
      <c r="B45" s="18" t="s">
        <v>38</v>
      </c>
      <c r="C45" s="12">
        <f>C32*$E$42</f>
        <v>1502.7245586154661</v>
      </c>
      <c r="D45" s="11"/>
      <c r="E45" s="12">
        <f>E32*$E$42</f>
        <v>0</v>
      </c>
      <c r="F45" s="12">
        <f>F32*$E$42</f>
        <v>0</v>
      </c>
      <c r="G45" s="12">
        <f>G32*$E$42</f>
        <v>115.59419681657431</v>
      </c>
      <c r="H45" s="12">
        <f>H32*$E$42</f>
        <v>786.04053835270531</v>
      </c>
      <c r="I45" s="13">
        <f t="shared" si="10"/>
        <v>2404.3592937847457</v>
      </c>
    </row>
    <row r="46" spans="2:9" ht="15.6">
      <c r="B46" s="18" t="s">
        <v>40</v>
      </c>
      <c r="C46" s="12">
        <f>C33*$E$42</f>
        <v>1913.0839573143048</v>
      </c>
      <c r="D46" s="12">
        <f>D33*$E$42</f>
        <v>0</v>
      </c>
      <c r="E46" s="11"/>
      <c r="F46" s="12">
        <f>F33*$E$42</f>
        <v>0</v>
      </c>
      <c r="G46" s="12">
        <f>G33*$E$42</f>
        <v>173.39129522486147</v>
      </c>
      <c r="H46" s="12">
        <f>H33*$E$42</f>
        <v>335.22317076806553</v>
      </c>
      <c r="I46" s="13">
        <f t="shared" si="10"/>
        <v>2421.6984233072317</v>
      </c>
    </row>
    <row r="47" spans="2:9" ht="15.6">
      <c r="B47" s="18" t="s">
        <v>42</v>
      </c>
      <c r="C47" s="12">
        <f>C34*$E$42</f>
        <v>497.05504631126951</v>
      </c>
      <c r="D47" s="12">
        <f>D34*$E$42</f>
        <v>52.01738856745844</v>
      </c>
      <c r="E47" s="12">
        <f>E34*$E$42</f>
        <v>5.7797098408287155</v>
      </c>
      <c r="F47" s="11"/>
      <c r="G47" s="12">
        <f>G34*$E$42</f>
        <v>0</v>
      </c>
      <c r="H47" s="12">
        <f>H34*$E$42</f>
        <v>0</v>
      </c>
      <c r="I47" s="13">
        <f t="shared" si="10"/>
        <v>554.85214471955658</v>
      </c>
    </row>
    <row r="48" spans="2:9" ht="15.6">
      <c r="B48" s="18" t="s">
        <v>43</v>
      </c>
      <c r="C48" s="12">
        <f>C35*$E$42</f>
        <v>352.56230029055166</v>
      </c>
      <c r="D48" s="12">
        <f>D35*$E$42</f>
        <v>693.56518089944586</v>
      </c>
      <c r="E48" s="12">
        <f>E35*$E$42</f>
        <v>687.78547105861719</v>
      </c>
      <c r="F48" s="12">
        <f>F35*$E$42</f>
        <v>271.64636251894962</v>
      </c>
      <c r="G48" s="11"/>
      <c r="H48" s="12">
        <f>H35*$E$42</f>
        <v>0</v>
      </c>
      <c r="I48" s="13">
        <f t="shared" si="10"/>
        <v>2005.5593147675643</v>
      </c>
    </row>
    <row r="49" spans="2:9" ht="15.6">
      <c r="B49" s="18" t="s">
        <v>45</v>
      </c>
      <c r="C49" s="12">
        <f>C36*$E$42</f>
        <v>1323.5535535497759</v>
      </c>
      <c r="D49" s="12">
        <f>D36*$E$42</f>
        <v>1277.315874823146</v>
      </c>
      <c r="E49" s="12">
        <f>E36*$E$42</f>
        <v>1572.0810767054106</v>
      </c>
      <c r="F49" s="12">
        <f>F36*$E$42</f>
        <v>589.53040376452896</v>
      </c>
      <c r="G49" s="12">
        <f>G36*$E$42</f>
        <v>0</v>
      </c>
      <c r="H49" s="11"/>
      <c r="I49" s="13">
        <f t="shared" si="10"/>
        <v>4762.4809088428619</v>
      </c>
    </row>
    <row r="50" spans="2:9" ht="18">
      <c r="B50" s="16" t="s">
        <v>241</v>
      </c>
      <c r="C50" s="13">
        <f t="shared" ref="C50:H50" si="11">SUM(C44:C49)</f>
        <v>5588.9794160813672</v>
      </c>
      <c r="D50" s="13">
        <f t="shared" si="11"/>
        <v>3034.3476664350756</v>
      </c>
      <c r="E50" s="13">
        <f t="shared" si="11"/>
        <v>3167.2809927741364</v>
      </c>
      <c r="F50" s="13">
        <f t="shared" si="11"/>
        <v>861.17676628347863</v>
      </c>
      <c r="G50" s="13">
        <f t="shared" si="11"/>
        <v>1595.1999160687255</v>
      </c>
      <c r="H50" s="13">
        <f t="shared" si="11"/>
        <v>4866.515685977779</v>
      </c>
      <c r="I50" s="13">
        <f>SUM(I44:I49)</f>
        <v>19113.500443620564</v>
      </c>
    </row>
    <row r="53" spans="2:9" ht="18">
      <c r="B53" s="272" t="s">
        <v>272</v>
      </c>
      <c r="C53" s="272"/>
      <c r="D53" s="272"/>
      <c r="E53" s="170">
        <f>D17</f>
        <v>0.16133372229541465</v>
      </c>
      <c r="F53" s="164" t="s">
        <v>395</v>
      </c>
    </row>
    <row r="54" spans="2:9" ht="18">
      <c r="B54" s="5" t="s">
        <v>255</v>
      </c>
      <c r="C54" s="98" t="s">
        <v>35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243</v>
      </c>
    </row>
    <row r="55" spans="2:9" ht="15.6">
      <c r="B55" s="18" t="s">
        <v>35</v>
      </c>
      <c r="C55" s="174"/>
      <c r="D55" s="175">
        <f t="shared" ref="D55:H55" si="12">D31*$E$53/1000</f>
        <v>5.6466802803395125E-2</v>
      </c>
      <c r="E55" s="175">
        <f t="shared" si="12"/>
        <v>5.0336121356169369E-2</v>
      </c>
      <c r="F55" s="175">
        <f t="shared" si="12"/>
        <v>0</v>
      </c>
      <c r="G55" s="175">
        <f t="shared" si="12"/>
        <v>7.2922842477527422E-2</v>
      </c>
      <c r="H55" s="175">
        <f t="shared" si="12"/>
        <v>0.20908850409485741</v>
      </c>
      <c r="I55" s="161">
        <f t="shared" ref="I55:I60" si="13">SUM(C55:H55)</f>
        <v>0.3888142707319493</v>
      </c>
    </row>
    <row r="56" spans="2:9" ht="15.6">
      <c r="B56" s="18" t="s">
        <v>38</v>
      </c>
      <c r="C56" s="175">
        <f>C32*$E$53/1000</f>
        <v>8.389353559361562E-2</v>
      </c>
      <c r="D56" s="174"/>
      <c r="E56" s="175">
        <f t="shared" ref="E56:H56" si="14">E32*$E$53/1000</f>
        <v>0</v>
      </c>
      <c r="F56" s="175">
        <f t="shared" si="14"/>
        <v>0</v>
      </c>
      <c r="G56" s="175">
        <f t="shared" si="14"/>
        <v>6.4533488918165861E-3</v>
      </c>
      <c r="H56" s="175">
        <f t="shared" si="14"/>
        <v>4.3882772464352786E-2</v>
      </c>
      <c r="I56" s="161">
        <f t="shared" si="13"/>
        <v>0.134229656949785</v>
      </c>
    </row>
    <row r="57" spans="2:9" ht="15.6">
      <c r="B57" s="18" t="s">
        <v>40</v>
      </c>
      <c r="C57" s="175">
        <f t="shared" ref="C57:D57" si="15">C33*$E$53/1000</f>
        <v>0.10680292415956449</v>
      </c>
      <c r="D57" s="175">
        <f t="shared" si="15"/>
        <v>0</v>
      </c>
      <c r="E57" s="174"/>
      <c r="F57" s="175">
        <f t="shared" ref="F57:H57" si="16">F33*$E$53/1000</f>
        <v>0</v>
      </c>
      <c r="G57" s="175">
        <f t="shared" si="16"/>
        <v>9.6800233377248787E-3</v>
      </c>
      <c r="H57" s="175">
        <f t="shared" si="16"/>
        <v>1.8714711786268101E-2</v>
      </c>
      <c r="I57" s="161">
        <f t="shared" si="13"/>
        <v>0.13519765928355748</v>
      </c>
    </row>
    <row r="58" spans="2:9" ht="15.6">
      <c r="B58" s="18" t="s">
        <v>42</v>
      </c>
      <c r="C58" s="175">
        <f t="shared" ref="C58:E58" si="17">C34*$E$53/1000</f>
        <v>2.774940023481132E-2</v>
      </c>
      <c r="D58" s="175">
        <f t="shared" si="17"/>
        <v>2.9040070013174636E-3</v>
      </c>
      <c r="E58" s="175">
        <f t="shared" si="17"/>
        <v>3.2266744459082933E-4</v>
      </c>
      <c r="F58" s="174"/>
      <c r="G58" s="175">
        <f t="shared" ref="G58:H58" si="18">G34*$E$53/1000</f>
        <v>0</v>
      </c>
      <c r="H58" s="175">
        <f t="shared" si="18"/>
        <v>0</v>
      </c>
      <c r="I58" s="161">
        <f t="shared" si="13"/>
        <v>3.0976074680719612E-2</v>
      </c>
    </row>
    <row r="59" spans="2:9" ht="15.6">
      <c r="B59" s="18" t="s">
        <v>43</v>
      </c>
      <c r="C59" s="175">
        <f t="shared" ref="C59:F59" si="19">C35*$E$53/1000</f>
        <v>1.9682714120040586E-2</v>
      </c>
      <c r="D59" s="175">
        <f t="shared" si="19"/>
        <v>3.8720093350899515E-2</v>
      </c>
      <c r="E59" s="175">
        <f t="shared" si="19"/>
        <v>3.8397425906308687E-2</v>
      </c>
      <c r="F59" s="175">
        <f t="shared" si="19"/>
        <v>1.5165369895768978E-2</v>
      </c>
      <c r="G59" s="174"/>
      <c r="H59" s="175">
        <f>H35*$E$53/1000</f>
        <v>0</v>
      </c>
      <c r="I59" s="161">
        <f t="shared" si="13"/>
        <v>0.11196560327301777</v>
      </c>
    </row>
    <row r="60" spans="2:9" ht="15.6">
      <c r="B60" s="18" t="s">
        <v>45</v>
      </c>
      <c r="C60" s="175">
        <f t="shared" ref="C60:F60" si="20">C36*$E$53/1000</f>
        <v>7.3890844811299913E-2</v>
      </c>
      <c r="D60" s="175">
        <f t="shared" si="20"/>
        <v>7.1309505254573274E-2</v>
      </c>
      <c r="E60" s="175">
        <f t="shared" si="20"/>
        <v>8.7765544928705572E-2</v>
      </c>
      <c r="F60" s="175">
        <f t="shared" si="20"/>
        <v>3.2912079348264588E-2</v>
      </c>
      <c r="G60" s="175">
        <f>G36*$E$53/1000</f>
        <v>0</v>
      </c>
      <c r="H60" s="174"/>
      <c r="I60" s="161">
        <f t="shared" si="13"/>
        <v>0.26587797434284333</v>
      </c>
    </row>
    <row r="61" spans="2:9" ht="18">
      <c r="B61" s="16" t="s">
        <v>244</v>
      </c>
      <c r="C61" s="161">
        <f t="shared" ref="C61:H61" si="21">SUM(C55:C60)</f>
        <v>0.31201941891933194</v>
      </c>
      <c r="D61" s="161">
        <f t="shared" si="21"/>
        <v>0.16940040841018539</v>
      </c>
      <c r="E61" s="161">
        <f t="shared" si="21"/>
        <v>0.17682175963577446</v>
      </c>
      <c r="F61" s="161">
        <f t="shared" si="21"/>
        <v>4.8077449244033565E-2</v>
      </c>
      <c r="G61" s="161">
        <f t="shared" si="21"/>
        <v>8.9056214707068898E-2</v>
      </c>
      <c r="H61" s="161">
        <f t="shared" si="21"/>
        <v>0.2716859883454783</v>
      </c>
      <c r="I61" s="161">
        <f>SUM(I55:I60)</f>
        <v>1.0670612392618724</v>
      </c>
    </row>
    <row r="64" spans="2:9" ht="18">
      <c r="B64" s="272" t="s">
        <v>273</v>
      </c>
      <c r="C64" s="272"/>
      <c r="D64" s="272"/>
      <c r="E64" s="170">
        <f>D18</f>
        <v>7.3590820696154066E-2</v>
      </c>
      <c r="F64" s="156" t="s">
        <v>396</v>
      </c>
    </row>
    <row r="65" spans="2:9" ht="18">
      <c r="B65" s="5" t="s">
        <v>254</v>
      </c>
      <c r="C65" s="98" t="s">
        <v>35</v>
      </c>
      <c r="D65" s="98" t="s">
        <v>38</v>
      </c>
      <c r="E65" s="98" t="s">
        <v>40</v>
      </c>
      <c r="F65" s="98" t="s">
        <v>42</v>
      </c>
      <c r="G65" s="98" t="s">
        <v>43</v>
      </c>
      <c r="H65" s="98" t="s">
        <v>45</v>
      </c>
      <c r="I65" s="5" t="s">
        <v>246</v>
      </c>
    </row>
    <row r="66" spans="2:9" ht="15.6">
      <c r="B66" s="18" t="s">
        <v>35</v>
      </c>
      <c r="C66" s="174"/>
      <c r="D66" s="175">
        <f>D31*$E$64/1000</f>
        <v>2.5756787243653923E-2</v>
      </c>
      <c r="E66" s="175">
        <f>E31*$E$64/1000</f>
        <v>2.2960336057200069E-2</v>
      </c>
      <c r="F66" s="175">
        <f>F31*$E$64/1000</f>
        <v>0</v>
      </c>
      <c r="G66" s="175">
        <f>G31*$E$64/1000</f>
        <v>3.3263050954661637E-2</v>
      </c>
      <c r="H66" s="175">
        <f>H31*$E$64/1000</f>
        <v>9.5373703622215672E-2</v>
      </c>
      <c r="I66" s="161">
        <f t="shared" ref="I66:I71" si="22">SUM(C66:H66)</f>
        <v>0.1773538778777313</v>
      </c>
    </row>
    <row r="67" spans="2:9" ht="15.6">
      <c r="B67" s="18" t="s">
        <v>38</v>
      </c>
      <c r="C67" s="175">
        <f>C32*$E$64/1000</f>
        <v>3.826722676200011E-2</v>
      </c>
      <c r="D67" s="174"/>
      <c r="E67" s="175">
        <f>E32*$E$64/1000</f>
        <v>0</v>
      </c>
      <c r="F67" s="175">
        <f>F32*$E$64/1000</f>
        <v>0</v>
      </c>
      <c r="G67" s="175">
        <f>G32*$E$64/1000</f>
        <v>2.9436328278461626E-3</v>
      </c>
      <c r="H67" s="175">
        <f>H32*$E$64/1000</f>
        <v>2.0016703229353904E-2</v>
      </c>
      <c r="I67" s="161">
        <f t="shared" si="22"/>
        <v>6.1227562819200179E-2</v>
      </c>
    </row>
    <row r="68" spans="2:9" ht="15.6">
      <c r="B68" s="18" t="s">
        <v>40</v>
      </c>
      <c r="C68" s="175">
        <f>C33*$E$64/1000</f>
        <v>4.8717123300853989E-2</v>
      </c>
      <c r="D68" s="175">
        <f>D33*$E$64/1000</f>
        <v>0</v>
      </c>
      <c r="E68" s="174"/>
      <c r="F68" s="175">
        <f>F33*$E$64/1000</f>
        <v>0</v>
      </c>
      <c r="G68" s="175">
        <f>G33*$E$64/1000</f>
        <v>4.4154492417692445E-3</v>
      </c>
      <c r="H68" s="175">
        <f>H33*$E$64/1000</f>
        <v>8.5365352007538715E-3</v>
      </c>
      <c r="I68" s="161">
        <f t="shared" si="22"/>
        <v>6.1669107743377104E-2</v>
      </c>
    </row>
    <row r="69" spans="2:9" ht="15.6">
      <c r="B69" s="18" t="s">
        <v>42</v>
      </c>
      <c r="C69" s="175">
        <f>C34*$E$64/1000</f>
        <v>1.2657621159738499E-2</v>
      </c>
      <c r="D69" s="175">
        <f>D34*$E$64/1000</f>
        <v>1.3246347725307732E-3</v>
      </c>
      <c r="E69" s="175">
        <f t="shared" ref="E69" si="23">E34*$E$64/1000</f>
        <v>1.4718164139230813E-4</v>
      </c>
      <c r="F69" s="174"/>
      <c r="G69" s="175">
        <f>G34*$E$64/1000</f>
        <v>0</v>
      </c>
      <c r="H69" s="175">
        <f>H34*$E$64/1000</f>
        <v>0</v>
      </c>
      <c r="I69" s="161">
        <f t="shared" si="22"/>
        <v>1.4129437573661582E-2</v>
      </c>
    </row>
    <row r="70" spans="2:9" ht="15.6">
      <c r="B70" s="18" t="s">
        <v>43</v>
      </c>
      <c r="C70" s="175">
        <f>C35*$E$64/1000</f>
        <v>8.978080124930796E-3</v>
      </c>
      <c r="D70" s="175">
        <f>D35*$E$64/1000</f>
        <v>1.7661796967076978E-2</v>
      </c>
      <c r="E70" s="175">
        <f t="shared" ref="E70:F70" si="24">E35*$E$64/1000</f>
        <v>1.7514615325684671E-2</v>
      </c>
      <c r="F70" s="175">
        <f t="shared" si="24"/>
        <v>6.9175371454384821E-3</v>
      </c>
      <c r="G70" s="174"/>
      <c r="H70" s="175">
        <f>H35*$E$64/1000</f>
        <v>0</v>
      </c>
      <c r="I70" s="161">
        <f t="shared" si="22"/>
        <v>5.1072029563130929E-2</v>
      </c>
    </row>
    <row r="71" spans="2:9" ht="15.6">
      <c r="B71" s="18" t="s">
        <v>45</v>
      </c>
      <c r="C71" s="175">
        <f>C36*$E$64/1000</f>
        <v>3.3704595878838561E-2</v>
      </c>
      <c r="D71" s="175">
        <f>D36*$E$64/1000</f>
        <v>3.2527142747700098E-2</v>
      </c>
      <c r="E71" s="175">
        <f t="shared" ref="E71:G71" si="25">E36*$E$64/1000</f>
        <v>4.0033406458707808E-2</v>
      </c>
      <c r="F71" s="175">
        <f t="shared" si="25"/>
        <v>1.5012527422015429E-2</v>
      </c>
      <c r="G71" s="175">
        <f t="shared" si="25"/>
        <v>0</v>
      </c>
      <c r="H71" s="174"/>
      <c r="I71" s="161">
        <f t="shared" si="22"/>
        <v>0.12127767250726192</v>
      </c>
    </row>
    <row r="72" spans="2:9" ht="18">
      <c r="B72" s="16" t="s">
        <v>247</v>
      </c>
      <c r="C72" s="161">
        <f t="shared" ref="C72:H72" si="26">SUM(C66:C71)</f>
        <v>0.14232464722636196</v>
      </c>
      <c r="D72" s="161">
        <f t="shared" si="26"/>
        <v>7.7270361730961773E-2</v>
      </c>
      <c r="E72" s="161">
        <f t="shared" si="26"/>
        <v>8.0655539482984845E-2</v>
      </c>
      <c r="F72" s="161">
        <f t="shared" si="26"/>
        <v>2.1930064567453909E-2</v>
      </c>
      <c r="G72" s="161">
        <f t="shared" si="26"/>
        <v>4.0622133024277043E-2</v>
      </c>
      <c r="H72" s="161">
        <f t="shared" si="26"/>
        <v>0.12392694205232345</v>
      </c>
      <c r="I72" s="161">
        <f>SUM(I66:I71)</f>
        <v>0.48672968808436301</v>
      </c>
    </row>
    <row r="75" spans="2:9" ht="15.6">
      <c r="B75" s="98" t="s">
        <v>236</v>
      </c>
      <c r="C75" s="98" t="s">
        <v>235</v>
      </c>
    </row>
    <row r="76" spans="2:9" ht="18">
      <c r="B76" s="18" t="s">
        <v>251</v>
      </c>
      <c r="C76" s="18">
        <f>'Fatores Emissao'!O6</f>
        <v>1</v>
      </c>
    </row>
    <row r="77" spans="2:9" ht="18">
      <c r="B77" s="18" t="s">
        <v>252</v>
      </c>
      <c r="C77" s="18">
        <f>'Fatores Emissao'!O7</f>
        <v>28</v>
      </c>
    </row>
    <row r="78" spans="2:9" ht="18">
      <c r="B78" s="18" t="s">
        <v>253</v>
      </c>
      <c r="C78" s="18">
        <f>'Fatores Emissao'!O8</f>
        <v>265</v>
      </c>
    </row>
    <row r="81" spans="2:9" ht="18">
      <c r="B81" s="5" t="s">
        <v>286</v>
      </c>
      <c r="C81" s="98" t="s">
        <v>35</v>
      </c>
      <c r="D81" s="98" t="s">
        <v>38</v>
      </c>
      <c r="E81" s="98" t="s">
        <v>40</v>
      </c>
      <c r="F81" s="98" t="s">
        <v>42</v>
      </c>
      <c r="G81" s="98" t="s">
        <v>43</v>
      </c>
      <c r="H81" s="98" t="s">
        <v>45</v>
      </c>
      <c r="I81" s="5" t="s">
        <v>257</v>
      </c>
    </row>
    <row r="82" spans="2:9" ht="15.6">
      <c r="B82" s="18" t="s">
        <v>35</v>
      </c>
      <c r="C82" s="11"/>
      <c r="D82" s="12">
        <f>(D44)*$C$76+(D55)*$C$77+(D66)*$C$78</f>
        <v>1019.8558412430885</v>
      </c>
      <c r="E82" s="12">
        <f t="shared" ref="E82:H82" si="27">(E44)*$C$76+(E55)*$C$77+(E66)*$C$78</f>
        <v>909.12863562241023</v>
      </c>
      <c r="F82" s="12">
        <f t="shared" si="27"/>
        <v>0</v>
      </c>
      <c r="G82" s="12">
        <f t="shared" si="27"/>
        <v>1317.0709721196456</v>
      </c>
      <c r="H82" s="12">
        <f t="shared" si="27"/>
        <v>3776.3804864315512</v>
      </c>
      <c r="I82" s="13">
        <f t="shared" ref="I82:I87" si="28">SUM(C82:H82)</f>
        <v>7022.4359354166954</v>
      </c>
    </row>
    <row r="83" spans="2:9" ht="15.6">
      <c r="B83" s="18" t="s">
        <v>38</v>
      </c>
      <c r="C83" s="12">
        <f>(C45)*$C$76+(C56)*$C$77+(C67)*$C$78</f>
        <v>1515.2143927040174</v>
      </c>
      <c r="D83" s="11"/>
      <c r="E83" s="12">
        <f t="shared" ref="C83:H87" si="29">(E45)*$C$76+(E56)*$C$77+(E67)*$C$78</f>
        <v>0</v>
      </c>
      <c r="F83" s="12">
        <f t="shared" si="29"/>
        <v>0</v>
      </c>
      <c r="G83" s="12">
        <f t="shared" si="29"/>
        <v>116.55495328492441</v>
      </c>
      <c r="H83" s="12">
        <f t="shared" si="29"/>
        <v>792.57368233748593</v>
      </c>
      <c r="I83" s="13">
        <f t="shared" si="28"/>
        <v>2424.3430283264279</v>
      </c>
    </row>
    <row r="84" spans="2:9" ht="15.6">
      <c r="B84" s="18" t="s">
        <v>40</v>
      </c>
      <c r="C84" s="12">
        <f t="shared" si="29"/>
        <v>1928.9844768654989</v>
      </c>
      <c r="D84" s="12">
        <f t="shared" si="29"/>
        <v>0</v>
      </c>
      <c r="E84" s="11"/>
      <c r="F84" s="12">
        <f t="shared" si="29"/>
        <v>0</v>
      </c>
      <c r="G84" s="12">
        <f t="shared" si="29"/>
        <v>174.83242992738661</v>
      </c>
      <c r="H84" s="12">
        <f t="shared" si="29"/>
        <v>338.00936452628082</v>
      </c>
      <c r="I84" s="13">
        <f t="shared" si="28"/>
        <v>2441.8262713191666</v>
      </c>
    </row>
    <row r="85" spans="2:9" ht="15.6">
      <c r="B85" s="18" t="s">
        <v>42</v>
      </c>
      <c r="C85" s="12">
        <f t="shared" si="29"/>
        <v>501.18629912517491</v>
      </c>
      <c r="D85" s="12">
        <f t="shared" si="29"/>
        <v>52.449728978215987</v>
      </c>
      <c r="E85" s="12">
        <f t="shared" si="29"/>
        <v>5.8277476642462203</v>
      </c>
      <c r="F85" s="11"/>
      <c r="G85" s="12">
        <f t="shared" si="29"/>
        <v>0</v>
      </c>
      <c r="H85" s="12">
        <f t="shared" si="29"/>
        <v>0</v>
      </c>
      <c r="I85" s="13">
        <f t="shared" si="28"/>
        <v>559.46377576763712</v>
      </c>
    </row>
    <row r="86" spans="2:9" ht="15.6">
      <c r="B86" s="18" t="s">
        <v>43</v>
      </c>
      <c r="C86" s="12">
        <f t="shared" si="29"/>
        <v>355.49260751901949</v>
      </c>
      <c r="D86" s="12">
        <f t="shared" si="29"/>
        <v>699.32971970954645</v>
      </c>
      <c r="E86" s="12">
        <f t="shared" si="29"/>
        <v>693.50197204530025</v>
      </c>
      <c r="F86" s="12">
        <f t="shared" si="29"/>
        <v>273.90414021957235</v>
      </c>
      <c r="G86" s="11"/>
      <c r="H86" s="12">
        <f t="shared" si="29"/>
        <v>0</v>
      </c>
      <c r="I86" s="13">
        <f t="shared" si="28"/>
        <v>2022.2284394934384</v>
      </c>
    </row>
    <row r="87" spans="2:9" ht="15.6">
      <c r="B87" s="18" t="s">
        <v>45</v>
      </c>
      <c r="C87" s="12">
        <f t="shared" si="29"/>
        <v>1334.5542151123843</v>
      </c>
      <c r="D87" s="12">
        <f t="shared" si="29"/>
        <v>1287.9322337984147</v>
      </c>
      <c r="E87" s="12">
        <f t="shared" si="29"/>
        <v>1585.1473646749719</v>
      </c>
      <c r="F87" s="12">
        <f t="shared" si="29"/>
        <v>594.43026175311445</v>
      </c>
      <c r="G87" s="12">
        <f t="shared" si="29"/>
        <v>0</v>
      </c>
      <c r="H87" s="11"/>
      <c r="I87" s="13">
        <f t="shared" si="28"/>
        <v>4802.0640753388861</v>
      </c>
    </row>
    <row r="88" spans="2:9" ht="18">
      <c r="B88" s="16" t="s">
        <v>258</v>
      </c>
      <c r="C88" s="13">
        <f t="shared" ref="C88:H88" si="30">SUM(C82:C87)</f>
        <v>5635.4319913260952</v>
      </c>
      <c r="D88" s="13">
        <f t="shared" si="30"/>
        <v>3059.5675237292658</v>
      </c>
      <c r="E88" s="13">
        <f t="shared" si="30"/>
        <v>3193.6057200069285</v>
      </c>
      <c r="F88" s="13">
        <f t="shared" si="30"/>
        <v>868.33440197268681</v>
      </c>
      <c r="G88" s="13">
        <f t="shared" si="30"/>
        <v>1608.4583553319565</v>
      </c>
      <c r="H88" s="13">
        <f t="shared" si="30"/>
        <v>4906.9635332953176</v>
      </c>
      <c r="I88" s="13">
        <f>SUM(I82:I87)</f>
        <v>19272.361525662251</v>
      </c>
    </row>
    <row r="89" spans="2:9">
      <c r="I89" s="114"/>
    </row>
    <row r="91" spans="2:9" ht="18">
      <c r="B91" s="5" t="s">
        <v>285</v>
      </c>
      <c r="C91" s="98" t="s">
        <v>35</v>
      </c>
      <c r="D91" s="98" t="s">
        <v>38</v>
      </c>
      <c r="E91" s="98" t="s">
        <v>40</v>
      </c>
      <c r="F91" s="98" t="s">
        <v>42</v>
      </c>
      <c r="G91" s="98" t="s">
        <v>43</v>
      </c>
      <c r="H91" s="98" t="s">
        <v>45</v>
      </c>
      <c r="I91" s="5" t="s">
        <v>260</v>
      </c>
    </row>
    <row r="92" spans="2:9" ht="15.6">
      <c r="B92" s="18" t="s">
        <v>35</v>
      </c>
      <c r="C92" s="11"/>
      <c r="D92" s="40">
        <f>D82/$I$88</f>
        <v>5.2918052615663742E-2</v>
      </c>
      <c r="E92" s="40">
        <f>E82/$I$88</f>
        <v>4.7172664045963104E-2</v>
      </c>
      <c r="F92" s="40">
        <f>F82/$I$88</f>
        <v>0</v>
      </c>
      <c r="G92" s="40">
        <f>G82/$I$88</f>
        <v>6.8339885092228603E-2</v>
      </c>
      <c r="H92" s="40">
        <f>H82/$I$88</f>
        <v>0.19594798911400063</v>
      </c>
      <c r="I92" s="163">
        <f t="shared" ref="I92:I97" si="31">SUM(C92:H92)</f>
        <v>0.36437859086785607</v>
      </c>
    </row>
    <row r="93" spans="2:9" ht="15.6">
      <c r="B93" s="18" t="s">
        <v>38</v>
      </c>
      <c r="C93" s="40">
        <f>C83/$I$88</f>
        <v>7.8621106743271857E-2</v>
      </c>
      <c r="D93" s="11"/>
      <c r="E93" s="40">
        <f t="shared" ref="E93:H96" si="32">E83/$I$88</f>
        <v>0</v>
      </c>
      <c r="F93" s="40">
        <f t="shared" si="32"/>
        <v>0</v>
      </c>
      <c r="G93" s="40">
        <f t="shared" si="32"/>
        <v>6.0477774417901425E-3</v>
      </c>
      <c r="H93" s="40">
        <f t="shared" si="32"/>
        <v>4.1124886604172968E-2</v>
      </c>
      <c r="I93" s="163">
        <f t="shared" si="31"/>
        <v>0.12579377078923495</v>
      </c>
    </row>
    <row r="94" spans="2:9" ht="15.6">
      <c r="B94" s="18" t="s">
        <v>40</v>
      </c>
      <c r="C94" s="40">
        <f t="shared" ref="C94:G97" si="33">C84/$I$88</f>
        <v>0.10009071666162685</v>
      </c>
      <c r="D94" s="12"/>
      <c r="E94" s="11"/>
      <c r="F94" s="40">
        <f t="shared" si="32"/>
        <v>0</v>
      </c>
      <c r="G94" s="40">
        <f t="shared" si="32"/>
        <v>9.0716661626852133E-3</v>
      </c>
      <c r="H94" s="40">
        <f t="shared" si="32"/>
        <v>1.7538554581191416E-2</v>
      </c>
      <c r="I94" s="163">
        <f t="shared" si="31"/>
        <v>0.12670093740550348</v>
      </c>
    </row>
    <row r="95" spans="2:9" ht="15.6">
      <c r="B95" s="18" t="s">
        <v>42</v>
      </c>
      <c r="C95" s="40">
        <f t="shared" si="33"/>
        <v>2.600544299969761E-2</v>
      </c>
      <c r="D95" s="40">
        <f t="shared" si="33"/>
        <v>2.7214998488055641E-3</v>
      </c>
      <c r="E95" s="40">
        <f t="shared" si="33"/>
        <v>3.0238887208950711E-4</v>
      </c>
      <c r="F95" s="11"/>
      <c r="G95" s="40">
        <f t="shared" si="32"/>
        <v>0</v>
      </c>
      <c r="H95" s="40">
        <f t="shared" si="32"/>
        <v>0</v>
      </c>
      <c r="I95" s="163">
        <f t="shared" si="31"/>
        <v>2.9029331720592678E-2</v>
      </c>
    </row>
    <row r="96" spans="2:9" ht="15.6">
      <c r="B96" s="18" t="s">
        <v>43</v>
      </c>
      <c r="C96" s="40">
        <f t="shared" si="33"/>
        <v>1.8445721197459936E-2</v>
      </c>
      <c r="D96" s="40">
        <f t="shared" si="33"/>
        <v>3.6286664650740853E-2</v>
      </c>
      <c r="E96" s="40">
        <f t="shared" si="33"/>
        <v>3.5984275778651348E-2</v>
      </c>
      <c r="F96" s="40">
        <f t="shared" si="33"/>
        <v>1.4212276988206833E-2</v>
      </c>
      <c r="G96" s="11"/>
      <c r="H96" s="40">
        <f t="shared" si="32"/>
        <v>0</v>
      </c>
      <c r="I96" s="163">
        <f t="shared" si="31"/>
        <v>0.10492893861505896</v>
      </c>
    </row>
    <row r="97" spans="2:9" ht="15.6">
      <c r="B97" s="18" t="s">
        <v>45</v>
      </c>
      <c r="C97" s="40">
        <f t="shared" si="33"/>
        <v>6.9247051708497126E-2</v>
      </c>
      <c r="D97" s="40">
        <f t="shared" si="33"/>
        <v>6.6827940731781069E-2</v>
      </c>
      <c r="E97" s="40">
        <f t="shared" si="33"/>
        <v>8.2249773208345936E-2</v>
      </c>
      <c r="F97" s="40">
        <f t="shared" si="33"/>
        <v>3.0843664953129724E-2</v>
      </c>
      <c r="G97" s="40">
        <f t="shared" si="33"/>
        <v>0</v>
      </c>
      <c r="H97" s="11"/>
      <c r="I97" s="163">
        <f t="shared" si="31"/>
        <v>0.24916843060175387</v>
      </c>
    </row>
    <row r="98" spans="2:9" ht="18">
      <c r="B98" s="16" t="s">
        <v>261</v>
      </c>
      <c r="C98" s="162">
        <f t="shared" ref="C98:I98" si="34">SUM(C92:C97)</f>
        <v>0.29241003931055343</v>
      </c>
      <c r="D98" s="162">
        <f t="shared" si="34"/>
        <v>0.15875415784699121</v>
      </c>
      <c r="E98" s="162">
        <f t="shared" si="34"/>
        <v>0.16570910190504989</v>
      </c>
      <c r="F98" s="162">
        <f t="shared" si="34"/>
        <v>4.5055941941336559E-2</v>
      </c>
      <c r="G98" s="162">
        <f t="shared" si="34"/>
        <v>8.3459328696703958E-2</v>
      </c>
      <c r="H98" s="162">
        <f t="shared" si="34"/>
        <v>0.254611430299365</v>
      </c>
      <c r="I98" s="163">
        <f t="shared" si="34"/>
        <v>0.99999999999999989</v>
      </c>
    </row>
    <row r="100" spans="2:9" ht="18">
      <c r="B100" s="260" t="s">
        <v>542</v>
      </c>
      <c r="C100" s="260"/>
      <c r="D100" s="260"/>
      <c r="E100" s="260"/>
      <c r="F100" s="260"/>
      <c r="G100" s="260"/>
      <c r="H100" s="260"/>
    </row>
    <row r="101" spans="2:9" s="155" customFormat="1" ht="15.6">
      <c r="B101" s="176" t="s">
        <v>36</v>
      </c>
      <c r="C101" s="177" t="s">
        <v>35</v>
      </c>
      <c r="D101" s="177" t="s">
        <v>38</v>
      </c>
      <c r="E101" s="177" t="s">
        <v>40</v>
      </c>
      <c r="F101" s="177" t="s">
        <v>42</v>
      </c>
      <c r="G101" s="177" t="s">
        <v>43</v>
      </c>
      <c r="H101" s="177" t="s">
        <v>45</v>
      </c>
    </row>
    <row r="102" spans="2:9" ht="15.6">
      <c r="B102" s="18" t="s">
        <v>35</v>
      </c>
      <c r="C102" s="171"/>
      <c r="D102" s="165">
        <f>D82/D22</f>
        <v>5.8277476642462203</v>
      </c>
      <c r="E102" s="165">
        <f>E82/E22</f>
        <v>5.8277476642462194</v>
      </c>
      <c r="F102" s="165"/>
      <c r="G102" s="165">
        <f t="shared" ref="G102:H104" si="35">G82/G22</f>
        <v>5.8277476642462194</v>
      </c>
      <c r="H102" s="165">
        <f t="shared" si="35"/>
        <v>5.8277476642462211</v>
      </c>
    </row>
    <row r="103" spans="2:9" ht="15.6">
      <c r="B103" s="18" t="s">
        <v>38</v>
      </c>
      <c r="C103" s="165">
        <f>C83/C23</f>
        <v>5.8277476642462211</v>
      </c>
      <c r="D103" s="171"/>
      <c r="E103" s="165"/>
      <c r="F103" s="165"/>
      <c r="G103" s="165">
        <f t="shared" si="35"/>
        <v>5.8277476642462203</v>
      </c>
      <c r="H103" s="165">
        <f t="shared" si="35"/>
        <v>5.8277476642462203</v>
      </c>
    </row>
    <row r="104" spans="2:9" ht="15.6">
      <c r="B104" s="18" t="s">
        <v>40</v>
      </c>
      <c r="C104" s="165">
        <f>C84/C24</f>
        <v>5.8277476642462203</v>
      </c>
      <c r="D104" s="165"/>
      <c r="E104" s="171"/>
      <c r="F104" s="165"/>
      <c r="G104" s="165">
        <f t="shared" si="35"/>
        <v>5.8277476642462203</v>
      </c>
      <c r="H104" s="165">
        <f t="shared" si="35"/>
        <v>5.8277476642462211</v>
      </c>
    </row>
    <row r="105" spans="2:9" ht="15.6">
      <c r="B105" s="18" t="s">
        <v>42</v>
      </c>
      <c r="C105" s="165">
        <f>C85/C25</f>
        <v>5.8277476642462203</v>
      </c>
      <c r="D105" s="165">
        <f t="shared" ref="D105:E107" si="36">D85/D25</f>
        <v>5.8277476642462211</v>
      </c>
      <c r="E105" s="165">
        <f t="shared" si="36"/>
        <v>5.8277476642462203</v>
      </c>
      <c r="F105" s="171"/>
      <c r="G105" s="165"/>
      <c r="H105" s="165"/>
    </row>
    <row r="106" spans="2:9" ht="15.6">
      <c r="B106" s="18" t="s">
        <v>43</v>
      </c>
      <c r="C106" s="165">
        <f>C86/C26</f>
        <v>5.8277476642462211</v>
      </c>
      <c r="D106" s="165">
        <f t="shared" si="36"/>
        <v>5.8277476642462203</v>
      </c>
      <c r="E106" s="165">
        <f t="shared" si="36"/>
        <v>5.8277476642462203</v>
      </c>
      <c r="F106" s="165">
        <f>F86/F26</f>
        <v>5.8277476642462203</v>
      </c>
      <c r="G106" s="171"/>
      <c r="H106" s="165"/>
    </row>
    <row r="107" spans="2:9" ht="15.6">
      <c r="B107" s="18" t="s">
        <v>45</v>
      </c>
      <c r="C107" s="165">
        <f>C87/C27</f>
        <v>5.8277476642462194</v>
      </c>
      <c r="D107" s="165">
        <f t="shared" si="36"/>
        <v>5.8277476642462203</v>
      </c>
      <c r="E107" s="165">
        <f t="shared" si="36"/>
        <v>5.8277476642462203</v>
      </c>
      <c r="F107" s="165">
        <f>F87/F27</f>
        <v>5.8277476642462203</v>
      </c>
      <c r="G107" s="165"/>
      <c r="H107" s="171"/>
    </row>
    <row r="115" spans="9:9">
      <c r="I115" s="114"/>
    </row>
  </sheetData>
  <mergeCells count="8">
    <mergeCell ref="C3:E3"/>
    <mergeCell ref="C10:E10"/>
    <mergeCell ref="C15:E15"/>
    <mergeCell ref="B40:I40"/>
    <mergeCell ref="B100:H100"/>
    <mergeCell ref="B42:D42"/>
    <mergeCell ref="B53:D53"/>
    <mergeCell ref="B64:D6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5D20-E2B8-4E28-89E3-0D864934AF05}">
  <dimension ref="B3:I115"/>
  <sheetViews>
    <sheetView showGridLines="0" topLeftCell="A91" zoomScale="70" zoomScaleNormal="70" workbookViewId="0">
      <selection activeCell="L105" sqref="L105"/>
    </sheetView>
  </sheetViews>
  <sheetFormatPr defaultRowHeight="14.4"/>
  <cols>
    <col min="2" max="2" width="31.1015625" customWidth="1"/>
    <col min="3" max="3" width="17.47265625" customWidth="1"/>
    <col min="4" max="4" width="14.578125" customWidth="1"/>
    <col min="5" max="5" width="15.41796875" customWidth="1"/>
    <col min="6" max="6" width="17.68359375" customWidth="1"/>
    <col min="7" max="7" width="16.47265625" customWidth="1"/>
    <col min="8" max="8" width="16.62890625" customWidth="1"/>
    <col min="9" max="9" width="22.20703125" customWidth="1"/>
    <col min="12" max="12" width="12.3125" customWidth="1"/>
    <col min="14" max="14" width="12.89453125" customWidth="1"/>
    <col min="15" max="15" width="8.83984375" customWidth="1"/>
    <col min="18" max="18" width="12.89453125" customWidth="1"/>
  </cols>
  <sheetData>
    <row r="3" spans="3:6" ht="15.6">
      <c r="C3" s="262" t="s">
        <v>338</v>
      </c>
      <c r="D3" s="262"/>
      <c r="E3" s="262"/>
      <c r="F3" s="195"/>
    </row>
    <row r="4" spans="3:6" ht="15.6">
      <c r="C4" s="18" t="s">
        <v>330</v>
      </c>
      <c r="D4" s="6" t="s">
        <v>560</v>
      </c>
      <c r="E4" s="6"/>
      <c r="F4" s="195"/>
    </row>
    <row r="5" spans="3:6" ht="15.6">
      <c r="C5" s="18" t="s">
        <v>352</v>
      </c>
      <c r="D5" s="81">
        <f>'Depot Base C1'!D5*'Fatores Emissao'!C97/'Fatores Emissao'!C98*'Fatores Emissao'!H19/'Fatores Emissao'!L83</f>
        <v>15.441264204545455</v>
      </c>
      <c r="E5" s="6" t="s">
        <v>334</v>
      </c>
      <c r="F5" s="195"/>
    </row>
    <row r="6" spans="3:6" ht="15.6">
      <c r="C6" s="18" t="s">
        <v>350</v>
      </c>
      <c r="D6" s="6">
        <v>14</v>
      </c>
      <c r="E6" s="6" t="s">
        <v>351</v>
      </c>
      <c r="F6" s="195"/>
    </row>
    <row r="7" spans="3:6" ht="15.6">
      <c r="C7" s="18" t="s">
        <v>276</v>
      </c>
      <c r="D7" s="78">
        <f>D5/D6</f>
        <v>1.1029474431818183</v>
      </c>
      <c r="E7" s="6" t="s">
        <v>277</v>
      </c>
    </row>
    <row r="8" spans="3:6" ht="15.6">
      <c r="C8" s="18" t="s">
        <v>377</v>
      </c>
      <c r="D8" s="6">
        <v>2</v>
      </c>
      <c r="E8" s="6" t="s">
        <v>378</v>
      </c>
    </row>
    <row r="10" spans="3:6" ht="15.6">
      <c r="C10" s="262" t="s">
        <v>402</v>
      </c>
      <c r="D10" s="262"/>
      <c r="E10" s="262"/>
    </row>
    <row r="11" spans="3:6" ht="18">
      <c r="C11" s="18" t="s">
        <v>356</v>
      </c>
      <c r="D11" s="196">
        <f>'Fatores Emissao'!C88</f>
        <v>2.4964270713079952</v>
      </c>
      <c r="E11" s="6" t="s">
        <v>280</v>
      </c>
    </row>
    <row r="12" spans="3:6" ht="18">
      <c r="C12" s="18" t="s">
        <v>354</v>
      </c>
      <c r="D12" s="196">
        <f>'Fatores Emissao'!D88</f>
        <v>0.15057814080905368</v>
      </c>
      <c r="E12" s="6" t="s">
        <v>503</v>
      </c>
    </row>
    <row r="13" spans="3:6" ht="18">
      <c r="C13" s="18" t="s">
        <v>355</v>
      </c>
      <c r="D13" s="196">
        <f>'Fatores Emissao'!E88</f>
        <v>6.8684765983077128E-2</v>
      </c>
      <c r="E13" s="6" t="s">
        <v>503</v>
      </c>
    </row>
    <row r="15" spans="3:6" ht="15.6">
      <c r="C15" s="262" t="s">
        <v>353</v>
      </c>
      <c r="D15" s="262"/>
      <c r="E15" s="262"/>
    </row>
    <row r="16" spans="3:6" ht="18">
      <c r="C16" s="18" t="s">
        <v>356</v>
      </c>
      <c r="D16" s="196">
        <f>D11*D7</f>
        <v>2.7534278553890279</v>
      </c>
      <c r="E16" s="6" t="s">
        <v>284</v>
      </c>
    </row>
    <row r="17" spans="2:9" ht="18">
      <c r="C17" s="18" t="s">
        <v>354</v>
      </c>
      <c r="D17" s="196">
        <f>D7*D12</f>
        <v>0.16607977540441757</v>
      </c>
      <c r="E17" s="6" t="s">
        <v>283</v>
      </c>
    </row>
    <row r="18" spans="2:9" ht="18">
      <c r="C18" s="18" t="s">
        <v>355</v>
      </c>
      <c r="D18" s="196">
        <f>D13*D7</f>
        <v>7.5755687026576438E-2</v>
      </c>
      <c r="E18" s="6" t="s">
        <v>283</v>
      </c>
    </row>
    <row r="21" spans="2:9" ht="15.6">
      <c r="B21" s="5" t="s">
        <v>188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5" t="s">
        <v>47</v>
      </c>
    </row>
    <row r="22" spans="2:9" ht="15.6">
      <c r="B22" s="10" t="s">
        <v>4</v>
      </c>
      <c r="C22" s="11">
        <f>'Movimentacao de Conteineres'!K30</f>
        <v>0</v>
      </c>
      <c r="D22" s="12">
        <f>'Movimentacao de Conteineres'!L30</f>
        <v>175</v>
      </c>
      <c r="E22" s="12">
        <f>'Movimentacao de Conteineres'!M30</f>
        <v>156</v>
      </c>
      <c r="F22" s="12">
        <f>'Movimentacao de Conteineres'!N30</f>
        <v>0</v>
      </c>
      <c r="G22" s="12">
        <f>'Movimentacao de Conteineres'!O30</f>
        <v>226</v>
      </c>
      <c r="H22" s="12">
        <f>'Movimentacao de Conteineres'!P30</f>
        <v>648</v>
      </c>
      <c r="I22" s="13">
        <f t="shared" ref="I22:I27" si="0">SUM(C22:H22)</f>
        <v>1205</v>
      </c>
    </row>
    <row r="23" spans="2:9" ht="15.6">
      <c r="B23" s="10" t="s">
        <v>5</v>
      </c>
      <c r="C23" s="12">
        <f>'Movimentacao de Conteineres'!K31</f>
        <v>260</v>
      </c>
      <c r="D23" s="11">
        <f>'Movimentacao de Conteineres'!L31</f>
        <v>0</v>
      </c>
      <c r="E23" s="12">
        <f>'Movimentacao de Conteineres'!M31</f>
        <v>0</v>
      </c>
      <c r="F23" s="12">
        <f>'Movimentacao de Conteineres'!N31</f>
        <v>0</v>
      </c>
      <c r="G23" s="12">
        <f>'Movimentacao de Conteineres'!O31</f>
        <v>20</v>
      </c>
      <c r="H23" s="12">
        <f>'Movimentacao de Conteineres'!P31</f>
        <v>136</v>
      </c>
      <c r="I23" s="13">
        <f t="shared" si="0"/>
        <v>416</v>
      </c>
    </row>
    <row r="24" spans="2:9" ht="15.6">
      <c r="B24" s="10" t="s">
        <v>6</v>
      </c>
      <c r="C24" s="12">
        <f>'Movimentacao de Conteineres'!K32</f>
        <v>331</v>
      </c>
      <c r="D24" s="12">
        <f>'Movimentacao de Conteineres'!L32</f>
        <v>0</v>
      </c>
      <c r="E24" s="11">
        <f>'Movimentacao de Conteineres'!M32</f>
        <v>0</v>
      </c>
      <c r="F24" s="12">
        <f>'Movimentacao de Conteineres'!N32</f>
        <v>0</v>
      </c>
      <c r="G24" s="12">
        <f>'Movimentacao de Conteineres'!O32</f>
        <v>30</v>
      </c>
      <c r="H24" s="12">
        <f>'Movimentacao de Conteineres'!P32</f>
        <v>58</v>
      </c>
      <c r="I24" s="13">
        <f t="shared" si="0"/>
        <v>419</v>
      </c>
    </row>
    <row r="25" spans="2:9" ht="15.6">
      <c r="B25" s="10" t="s">
        <v>7</v>
      </c>
      <c r="C25" s="12">
        <f>'Movimentacao de Conteineres'!K33</f>
        <v>86</v>
      </c>
      <c r="D25" s="12">
        <f>'Movimentacao de Conteineres'!L33</f>
        <v>9</v>
      </c>
      <c r="E25" s="12">
        <f>'Movimentacao de Conteineres'!M33</f>
        <v>1</v>
      </c>
      <c r="F25" s="11">
        <f>'Movimentacao de Conteineres'!N33</f>
        <v>0</v>
      </c>
      <c r="G25" s="12">
        <f>'Movimentacao de Conteineres'!O33</f>
        <v>0</v>
      </c>
      <c r="H25" s="12">
        <f>'Movimentacao de Conteineres'!P33</f>
        <v>0</v>
      </c>
      <c r="I25" s="13">
        <f t="shared" si="0"/>
        <v>96</v>
      </c>
    </row>
    <row r="26" spans="2:9" ht="15.6">
      <c r="B26" s="10" t="s">
        <v>8</v>
      </c>
      <c r="C26" s="12">
        <f>'Movimentacao de Conteineres'!K34</f>
        <v>61</v>
      </c>
      <c r="D26" s="12">
        <f>'Movimentacao de Conteineres'!L34</f>
        <v>120</v>
      </c>
      <c r="E26" s="12">
        <f>'Movimentacao de Conteineres'!M34</f>
        <v>119</v>
      </c>
      <c r="F26" s="12">
        <f>'Movimentacao de Conteineres'!N34</f>
        <v>47</v>
      </c>
      <c r="G26" s="11">
        <f>'Movimentacao de Conteineres'!O34</f>
        <v>0</v>
      </c>
      <c r="H26" s="12">
        <f>'Movimentacao de Conteineres'!P34</f>
        <v>0</v>
      </c>
      <c r="I26" s="13">
        <f t="shared" si="0"/>
        <v>347</v>
      </c>
    </row>
    <row r="27" spans="2:9" ht="15.6">
      <c r="B27" s="10" t="s">
        <v>9</v>
      </c>
      <c r="C27" s="12">
        <f>'Movimentacao de Conteineres'!K35</f>
        <v>229</v>
      </c>
      <c r="D27" s="12">
        <f>'Movimentacao de Conteineres'!L35</f>
        <v>221</v>
      </c>
      <c r="E27" s="12">
        <f>'Movimentacao de Conteineres'!M35</f>
        <v>272</v>
      </c>
      <c r="F27" s="12">
        <f>'Movimentacao de Conteineres'!N35</f>
        <v>102</v>
      </c>
      <c r="G27" s="12">
        <f>'Movimentacao de Conteineres'!O35</f>
        <v>0</v>
      </c>
      <c r="H27" s="11">
        <f>'Movimentacao de Conteineres'!P35</f>
        <v>0</v>
      </c>
      <c r="I27" s="13">
        <f t="shared" si="0"/>
        <v>824</v>
      </c>
    </row>
    <row r="28" spans="2:9" ht="15.6">
      <c r="B28" s="16" t="s">
        <v>48</v>
      </c>
      <c r="C28" s="13">
        <f t="shared" ref="C28:I28" si="1">SUM(C22:C27)</f>
        <v>967</v>
      </c>
      <c r="D28" s="13">
        <f t="shared" si="1"/>
        <v>525</v>
      </c>
      <c r="E28" s="13">
        <f t="shared" si="1"/>
        <v>548</v>
      </c>
      <c r="F28" s="13">
        <f t="shared" si="1"/>
        <v>149</v>
      </c>
      <c r="G28" s="13">
        <f t="shared" si="1"/>
        <v>276</v>
      </c>
      <c r="H28" s="13">
        <f t="shared" si="1"/>
        <v>842</v>
      </c>
      <c r="I28" s="13">
        <f t="shared" si="1"/>
        <v>3307</v>
      </c>
    </row>
    <row r="30" spans="2:9" ht="15.6">
      <c r="B30" s="5" t="s">
        <v>274</v>
      </c>
      <c r="C30" s="98" t="s">
        <v>35</v>
      </c>
      <c r="D30" s="98" t="s">
        <v>38</v>
      </c>
      <c r="E30" s="98" t="s">
        <v>40</v>
      </c>
      <c r="F30" s="98" t="s">
        <v>42</v>
      </c>
      <c r="G30" s="98" t="s">
        <v>43</v>
      </c>
      <c r="H30" s="98" t="s">
        <v>45</v>
      </c>
      <c r="I30" s="5" t="s">
        <v>47</v>
      </c>
    </row>
    <row r="31" spans="2:9" ht="15.6">
      <c r="B31" s="18" t="s">
        <v>35</v>
      </c>
      <c r="C31" s="11">
        <f>C22*$D$8</f>
        <v>0</v>
      </c>
      <c r="D31" s="12">
        <f t="shared" ref="D31:H31" si="2">D22*$D$8</f>
        <v>350</v>
      </c>
      <c r="E31" s="12">
        <f t="shared" si="2"/>
        <v>312</v>
      </c>
      <c r="F31" s="12">
        <f t="shared" si="2"/>
        <v>0</v>
      </c>
      <c r="G31" s="12">
        <f t="shared" si="2"/>
        <v>452</v>
      </c>
      <c r="H31" s="12">
        <f t="shared" si="2"/>
        <v>1296</v>
      </c>
      <c r="I31" s="13">
        <f t="shared" ref="I31:I36" si="3">SUM(C31:H31)</f>
        <v>2410</v>
      </c>
    </row>
    <row r="32" spans="2:9" ht="15.6">
      <c r="B32" s="18" t="s">
        <v>38</v>
      </c>
      <c r="C32" s="12">
        <f t="shared" ref="C32:H36" si="4">C23*$D$8</f>
        <v>520</v>
      </c>
      <c r="D32" s="11">
        <f t="shared" si="4"/>
        <v>0</v>
      </c>
      <c r="E32" s="12">
        <f t="shared" si="4"/>
        <v>0</v>
      </c>
      <c r="F32" s="12">
        <f t="shared" si="4"/>
        <v>0</v>
      </c>
      <c r="G32" s="12">
        <f t="shared" si="4"/>
        <v>40</v>
      </c>
      <c r="H32" s="12">
        <f t="shared" si="4"/>
        <v>272</v>
      </c>
      <c r="I32" s="13">
        <f t="shared" si="3"/>
        <v>832</v>
      </c>
    </row>
    <row r="33" spans="2:9" ht="15.6">
      <c r="B33" s="18" t="s">
        <v>40</v>
      </c>
      <c r="C33" s="12">
        <f t="shared" si="4"/>
        <v>662</v>
      </c>
      <c r="D33" s="12">
        <f t="shared" si="4"/>
        <v>0</v>
      </c>
      <c r="E33" s="11">
        <f t="shared" si="4"/>
        <v>0</v>
      </c>
      <c r="F33" s="12">
        <f t="shared" si="4"/>
        <v>0</v>
      </c>
      <c r="G33" s="12">
        <f t="shared" si="4"/>
        <v>60</v>
      </c>
      <c r="H33" s="12">
        <f t="shared" si="4"/>
        <v>116</v>
      </c>
      <c r="I33" s="13">
        <f t="shared" si="3"/>
        <v>838</v>
      </c>
    </row>
    <row r="34" spans="2:9" ht="15.6">
      <c r="B34" s="18" t="s">
        <v>42</v>
      </c>
      <c r="C34" s="12">
        <f t="shared" si="4"/>
        <v>172</v>
      </c>
      <c r="D34" s="12">
        <f t="shared" si="4"/>
        <v>18</v>
      </c>
      <c r="E34" s="12">
        <f t="shared" si="4"/>
        <v>2</v>
      </c>
      <c r="F34" s="11">
        <f t="shared" si="4"/>
        <v>0</v>
      </c>
      <c r="G34" s="12">
        <f t="shared" si="4"/>
        <v>0</v>
      </c>
      <c r="H34" s="12">
        <f t="shared" si="4"/>
        <v>0</v>
      </c>
      <c r="I34" s="13">
        <f t="shared" si="3"/>
        <v>192</v>
      </c>
    </row>
    <row r="35" spans="2:9" ht="15.6">
      <c r="B35" s="18" t="s">
        <v>43</v>
      </c>
      <c r="C35" s="12">
        <f t="shared" si="4"/>
        <v>122</v>
      </c>
      <c r="D35" s="12">
        <f t="shared" si="4"/>
        <v>240</v>
      </c>
      <c r="E35" s="12">
        <f t="shared" si="4"/>
        <v>238</v>
      </c>
      <c r="F35" s="12">
        <f t="shared" si="4"/>
        <v>94</v>
      </c>
      <c r="G35" s="11">
        <f t="shared" si="4"/>
        <v>0</v>
      </c>
      <c r="H35" s="12">
        <f t="shared" si="4"/>
        <v>0</v>
      </c>
      <c r="I35" s="13">
        <f t="shared" si="3"/>
        <v>694</v>
      </c>
    </row>
    <row r="36" spans="2:9" ht="15.6">
      <c r="B36" s="18" t="s">
        <v>45</v>
      </c>
      <c r="C36" s="12">
        <f t="shared" si="4"/>
        <v>458</v>
      </c>
      <c r="D36" s="12">
        <f t="shared" si="4"/>
        <v>442</v>
      </c>
      <c r="E36" s="12">
        <f t="shared" si="4"/>
        <v>544</v>
      </c>
      <c r="F36" s="12">
        <f t="shared" si="4"/>
        <v>204</v>
      </c>
      <c r="G36" s="12">
        <f t="shared" si="4"/>
        <v>0</v>
      </c>
      <c r="H36" s="11">
        <f t="shared" si="4"/>
        <v>0</v>
      </c>
      <c r="I36" s="13">
        <f t="shared" si="3"/>
        <v>1648</v>
      </c>
    </row>
    <row r="37" spans="2:9" ht="15.6">
      <c r="B37" s="16" t="s">
        <v>48</v>
      </c>
      <c r="C37" s="13">
        <f t="shared" ref="C37:H37" si="5">SUM(C31:C36)</f>
        <v>1934</v>
      </c>
      <c r="D37" s="13">
        <f t="shared" si="5"/>
        <v>1050</v>
      </c>
      <c r="E37" s="13">
        <f t="shared" si="5"/>
        <v>1096</v>
      </c>
      <c r="F37" s="13">
        <f t="shared" si="5"/>
        <v>298</v>
      </c>
      <c r="G37" s="13">
        <f t="shared" si="5"/>
        <v>552</v>
      </c>
      <c r="H37" s="13">
        <f t="shared" si="5"/>
        <v>1684</v>
      </c>
      <c r="I37" s="13">
        <f>SUM(I31:I36)</f>
        <v>6614</v>
      </c>
    </row>
    <row r="38" spans="2:9">
      <c r="I38" s="114"/>
    </row>
    <row r="39" spans="2:9">
      <c r="I39" s="114"/>
    </row>
    <row r="40" spans="2:9" ht="23.1">
      <c r="B40" s="273" t="s">
        <v>562</v>
      </c>
      <c r="C40" s="273"/>
      <c r="D40" s="273"/>
      <c r="E40" s="273"/>
      <c r="F40" s="273"/>
      <c r="G40" s="273"/>
      <c r="H40" s="273"/>
      <c r="I40" s="273"/>
    </row>
    <row r="42" spans="2:9" ht="18">
      <c r="B42" s="272" t="s">
        <v>271</v>
      </c>
      <c r="C42" s="272"/>
      <c r="D42" s="272"/>
      <c r="E42" s="170">
        <f>D16</f>
        <v>2.7534278553890279</v>
      </c>
      <c r="F42" s="164" t="s">
        <v>394</v>
      </c>
    </row>
    <row r="43" spans="2:9" ht="18">
      <c r="B43" s="5" t="s">
        <v>239</v>
      </c>
      <c r="C43" s="98" t="s">
        <v>35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240</v>
      </c>
    </row>
    <row r="44" spans="2:9" ht="15.6">
      <c r="B44" s="18" t="s">
        <v>35</v>
      </c>
      <c r="C44" s="11"/>
      <c r="D44" s="12">
        <f>D31*$E$42</f>
        <v>963.69974938615974</v>
      </c>
      <c r="E44" s="12">
        <f>E31*$E$42</f>
        <v>859.06949088137674</v>
      </c>
      <c r="F44" s="12">
        <f>F31*$E$42</f>
        <v>0</v>
      </c>
      <c r="G44" s="12">
        <f>G31*$E$42</f>
        <v>1244.5493906358406</v>
      </c>
      <c r="H44" s="12">
        <f>H31*$E$42</f>
        <v>3568.4425005841804</v>
      </c>
      <c r="I44" s="13">
        <f t="shared" ref="I44:I49" si="6">SUM(C44:H44)</f>
        <v>6635.7611314875576</v>
      </c>
    </row>
    <row r="45" spans="2:9" ht="15.6">
      <c r="B45" s="18" t="s">
        <v>38</v>
      </c>
      <c r="C45" s="12">
        <f>C32*$E$42</f>
        <v>1431.7824848022944</v>
      </c>
      <c r="D45" s="11"/>
      <c r="E45" s="12">
        <f>E32*$E$42</f>
        <v>0</v>
      </c>
      <c r="F45" s="12">
        <f>F32*$E$42</f>
        <v>0</v>
      </c>
      <c r="G45" s="12">
        <f>G32*$E$42</f>
        <v>110.13711421556111</v>
      </c>
      <c r="H45" s="12">
        <f>H32*$E$42</f>
        <v>748.93237666581558</v>
      </c>
      <c r="I45" s="13">
        <f t="shared" si="6"/>
        <v>2290.8519756836713</v>
      </c>
    </row>
    <row r="46" spans="2:9" ht="15.6">
      <c r="B46" s="18" t="s">
        <v>40</v>
      </c>
      <c r="C46" s="12">
        <f>C33*$E$42</f>
        <v>1822.7692402675364</v>
      </c>
      <c r="D46" s="12">
        <f>D33*$E$42</f>
        <v>0</v>
      </c>
      <c r="E46" s="11"/>
      <c r="F46" s="12">
        <f>F33*$E$42</f>
        <v>0</v>
      </c>
      <c r="G46" s="12">
        <f>G33*$E$42</f>
        <v>165.20567132334168</v>
      </c>
      <c r="H46" s="12">
        <f>H33*$E$42</f>
        <v>319.39763122512721</v>
      </c>
      <c r="I46" s="13">
        <f t="shared" si="6"/>
        <v>2307.3725428160051</v>
      </c>
    </row>
    <row r="47" spans="2:9" ht="15.6">
      <c r="B47" s="18" t="s">
        <v>42</v>
      </c>
      <c r="C47" s="12">
        <f>C34*$E$42</f>
        <v>473.58959112691281</v>
      </c>
      <c r="D47" s="12">
        <f>D34*$E$42</f>
        <v>49.561701397002501</v>
      </c>
      <c r="E47" s="12">
        <f>E34*$E$42</f>
        <v>5.5068557107780558</v>
      </c>
      <c r="F47" s="11"/>
      <c r="G47" s="12">
        <f>G34*$E$42</f>
        <v>0</v>
      </c>
      <c r="H47" s="12">
        <f>H34*$E$42</f>
        <v>0</v>
      </c>
      <c r="I47" s="13">
        <f t="shared" si="6"/>
        <v>528.65814823469339</v>
      </c>
    </row>
    <row r="48" spans="2:9" ht="15.6">
      <c r="B48" s="18" t="s">
        <v>43</v>
      </c>
      <c r="C48" s="12">
        <f>C35*$E$42</f>
        <v>335.91819835746139</v>
      </c>
      <c r="D48" s="12">
        <f>D35*$E$42</f>
        <v>660.8226852933667</v>
      </c>
      <c r="E48" s="12">
        <f>E35*$E$42</f>
        <v>655.31582958258866</v>
      </c>
      <c r="F48" s="12">
        <f>F35*$E$42</f>
        <v>258.8222184065686</v>
      </c>
      <c r="G48" s="11"/>
      <c r="H48" s="12">
        <f>H35*$E$42</f>
        <v>0</v>
      </c>
      <c r="I48" s="13">
        <f t="shared" si="6"/>
        <v>1910.8789316399852</v>
      </c>
    </row>
    <row r="49" spans="2:9" ht="15.6">
      <c r="B49" s="18" t="s">
        <v>45</v>
      </c>
      <c r="C49" s="12">
        <f>C36*$E$42</f>
        <v>1261.0699577681748</v>
      </c>
      <c r="D49" s="12">
        <f>D36*$E$42</f>
        <v>1217.0151120819503</v>
      </c>
      <c r="E49" s="12">
        <f>E36*$E$42</f>
        <v>1497.8647533316312</v>
      </c>
      <c r="F49" s="12">
        <f>F36*$E$42</f>
        <v>561.69928249936174</v>
      </c>
      <c r="G49" s="12">
        <f>G36*$E$42</f>
        <v>0</v>
      </c>
      <c r="H49" s="11"/>
      <c r="I49" s="13">
        <f t="shared" si="6"/>
        <v>4537.6491056811183</v>
      </c>
    </row>
    <row r="50" spans="2:9" ht="18">
      <c r="B50" s="16" t="s">
        <v>241</v>
      </c>
      <c r="C50" s="13">
        <f t="shared" ref="C50:H50" si="7">SUM(C44:C49)</f>
        <v>5325.12947232238</v>
      </c>
      <c r="D50" s="13">
        <f t="shared" si="7"/>
        <v>2891.099248158479</v>
      </c>
      <c r="E50" s="13">
        <f t="shared" si="7"/>
        <v>3017.7569295063745</v>
      </c>
      <c r="F50" s="13">
        <f t="shared" si="7"/>
        <v>820.52150090593034</v>
      </c>
      <c r="G50" s="13">
        <f t="shared" si="7"/>
        <v>1519.8921761747433</v>
      </c>
      <c r="H50" s="13">
        <f t="shared" si="7"/>
        <v>4636.7725084751228</v>
      </c>
      <c r="I50" s="13">
        <f>SUM(I44:I49)</f>
        <v>18211.171835543031</v>
      </c>
    </row>
    <row r="53" spans="2:9" ht="18">
      <c r="B53" s="272" t="s">
        <v>272</v>
      </c>
      <c r="C53" s="272"/>
      <c r="D53" s="272"/>
      <c r="E53" s="170">
        <f>D17</f>
        <v>0.16607977540441757</v>
      </c>
      <c r="F53" s="164" t="s">
        <v>395</v>
      </c>
    </row>
    <row r="54" spans="2:9" ht="18">
      <c r="B54" s="5" t="s">
        <v>255</v>
      </c>
      <c r="C54" s="98" t="s">
        <v>35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243</v>
      </c>
    </row>
    <row r="55" spans="2:9" ht="15.6">
      <c r="B55" s="18" t="s">
        <v>35</v>
      </c>
      <c r="C55" s="174"/>
      <c r="D55" s="175">
        <f t="shared" ref="D55:H58" si="8">D31*$E$53/1000</f>
        <v>5.8127921391546149E-2</v>
      </c>
      <c r="E55" s="175">
        <f t="shared" si="8"/>
        <v>5.1816889926178285E-2</v>
      </c>
      <c r="F55" s="175">
        <f t="shared" si="8"/>
        <v>0</v>
      </c>
      <c r="G55" s="175">
        <f t="shared" si="8"/>
        <v>7.506805848279674E-2</v>
      </c>
      <c r="H55" s="175">
        <f t="shared" si="8"/>
        <v>0.21523938892412517</v>
      </c>
      <c r="I55" s="161">
        <f t="shared" ref="I55:I60" si="9">SUM(C55:H55)</f>
        <v>0.40025225872464631</v>
      </c>
    </row>
    <row r="56" spans="2:9" ht="15.6">
      <c r="B56" s="18" t="s">
        <v>38</v>
      </c>
      <c r="C56" s="175">
        <f>C32*$E$53/1000</f>
        <v>8.6361483210297144E-2</v>
      </c>
      <c r="D56" s="174"/>
      <c r="E56" s="175">
        <f t="shared" si="8"/>
        <v>0</v>
      </c>
      <c r="F56" s="175">
        <f t="shared" si="8"/>
        <v>0</v>
      </c>
      <c r="G56" s="175">
        <f t="shared" si="8"/>
        <v>6.6431910161767029E-3</v>
      </c>
      <c r="H56" s="175">
        <f t="shared" si="8"/>
        <v>4.5173698910001579E-2</v>
      </c>
      <c r="I56" s="161">
        <f t="shared" si="9"/>
        <v>0.13817837313647544</v>
      </c>
    </row>
    <row r="57" spans="2:9" ht="15.6">
      <c r="B57" s="18" t="s">
        <v>40</v>
      </c>
      <c r="C57" s="175">
        <f t="shared" ref="C57:F60" si="10">C33*$E$53/1000</f>
        <v>0.10994481131772443</v>
      </c>
      <c r="D57" s="175">
        <f t="shared" si="10"/>
        <v>0</v>
      </c>
      <c r="E57" s="174"/>
      <c r="F57" s="175">
        <f t="shared" si="8"/>
        <v>0</v>
      </c>
      <c r="G57" s="175">
        <f t="shared" si="8"/>
        <v>9.9647865242650548E-3</v>
      </c>
      <c r="H57" s="175">
        <f t="shared" si="8"/>
        <v>1.9265253946912437E-2</v>
      </c>
      <c r="I57" s="161">
        <f t="shared" si="9"/>
        <v>0.13917485178890193</v>
      </c>
    </row>
    <row r="58" spans="2:9" ht="15.6">
      <c r="B58" s="18" t="s">
        <v>42</v>
      </c>
      <c r="C58" s="175">
        <f t="shared" si="10"/>
        <v>2.8565721369559822E-2</v>
      </c>
      <c r="D58" s="175">
        <f t="shared" si="10"/>
        <v>2.9894359572795164E-3</v>
      </c>
      <c r="E58" s="175">
        <f t="shared" si="10"/>
        <v>3.3215955080883512E-4</v>
      </c>
      <c r="F58" s="174"/>
      <c r="G58" s="175">
        <f t="shared" si="8"/>
        <v>0</v>
      </c>
      <c r="H58" s="175">
        <f t="shared" si="8"/>
        <v>0</v>
      </c>
      <c r="I58" s="161">
        <f t="shared" si="9"/>
        <v>3.1887316877648175E-2</v>
      </c>
    </row>
    <row r="59" spans="2:9" ht="15.6">
      <c r="B59" s="18" t="s">
        <v>43</v>
      </c>
      <c r="C59" s="175">
        <f t="shared" si="10"/>
        <v>2.0261732599338944E-2</v>
      </c>
      <c r="D59" s="175">
        <f t="shared" si="10"/>
        <v>3.9859146097060219E-2</v>
      </c>
      <c r="E59" s="175">
        <f t="shared" si="10"/>
        <v>3.9526986546251378E-2</v>
      </c>
      <c r="F59" s="175">
        <f t="shared" si="10"/>
        <v>1.5611498888015251E-2</v>
      </c>
      <c r="G59" s="174"/>
      <c r="H59" s="175">
        <f>H35*$E$53/1000</f>
        <v>0</v>
      </c>
      <c r="I59" s="161">
        <f t="shared" si="9"/>
        <v>0.11525936413066579</v>
      </c>
    </row>
    <row r="60" spans="2:9" ht="15.6">
      <c r="B60" s="18" t="s">
        <v>45</v>
      </c>
      <c r="C60" s="175">
        <f t="shared" si="10"/>
        <v>7.6064537135223251E-2</v>
      </c>
      <c r="D60" s="175">
        <f t="shared" si="10"/>
        <v>7.340726072875256E-2</v>
      </c>
      <c r="E60" s="175">
        <f t="shared" si="10"/>
        <v>9.0347397820003159E-2</v>
      </c>
      <c r="F60" s="175">
        <f t="shared" si="10"/>
        <v>3.3880274182501183E-2</v>
      </c>
      <c r="G60" s="175">
        <f>G36*$E$53/1000</f>
        <v>0</v>
      </c>
      <c r="H60" s="174"/>
      <c r="I60" s="161">
        <f t="shared" si="9"/>
        <v>0.27369946986648014</v>
      </c>
    </row>
    <row r="61" spans="2:9" ht="18">
      <c r="B61" s="16" t="s">
        <v>244</v>
      </c>
      <c r="C61" s="161">
        <f t="shared" ref="C61:H61" si="11">SUM(C55:C60)</f>
        <v>0.32119828563214359</v>
      </c>
      <c r="D61" s="161">
        <f t="shared" si="11"/>
        <v>0.17438376417463844</v>
      </c>
      <c r="E61" s="161">
        <f t="shared" si="11"/>
        <v>0.18202343384324166</v>
      </c>
      <c r="F61" s="161">
        <f t="shared" si="11"/>
        <v>4.9491773070516436E-2</v>
      </c>
      <c r="G61" s="161">
        <f t="shared" si="11"/>
        <v>9.1676036023238497E-2</v>
      </c>
      <c r="H61" s="161">
        <f t="shared" si="11"/>
        <v>0.27967834178103917</v>
      </c>
      <c r="I61" s="161">
        <f>SUM(I55:I60)</f>
        <v>1.0984516345248176</v>
      </c>
    </row>
    <row r="64" spans="2:9" ht="18">
      <c r="B64" s="272" t="s">
        <v>273</v>
      </c>
      <c r="C64" s="272"/>
      <c r="D64" s="272"/>
      <c r="E64" s="170">
        <f>D18</f>
        <v>7.5755687026576438E-2</v>
      </c>
      <c r="F64" s="164" t="s">
        <v>396</v>
      </c>
    </row>
    <row r="65" spans="2:9" ht="18">
      <c r="B65" s="5" t="s">
        <v>254</v>
      </c>
      <c r="C65" s="98" t="s">
        <v>35</v>
      </c>
      <c r="D65" s="98" t="s">
        <v>38</v>
      </c>
      <c r="E65" s="98" t="s">
        <v>40</v>
      </c>
      <c r="F65" s="98" t="s">
        <v>42</v>
      </c>
      <c r="G65" s="98" t="s">
        <v>43</v>
      </c>
      <c r="H65" s="98" t="s">
        <v>45</v>
      </c>
      <c r="I65" s="5" t="s">
        <v>246</v>
      </c>
    </row>
    <row r="66" spans="2:9" ht="15.6">
      <c r="B66" s="18" t="s">
        <v>35</v>
      </c>
      <c r="C66" s="174"/>
      <c r="D66" s="175">
        <f>D31*$E$64/1000</f>
        <v>2.6514490459301755E-2</v>
      </c>
      <c r="E66" s="175">
        <f>E31*$E$64/1000</f>
        <v>2.3635774352291847E-2</v>
      </c>
      <c r="F66" s="175">
        <f>F31*$E$64/1000</f>
        <v>0</v>
      </c>
      <c r="G66" s="175">
        <f>G31*$E$64/1000</f>
        <v>3.4241570536012553E-2</v>
      </c>
      <c r="H66" s="175">
        <f>H31*$E$64/1000</f>
        <v>9.8179370386443074E-2</v>
      </c>
      <c r="I66" s="161">
        <f t="shared" ref="I66:I71" si="12">SUM(C66:H66)</f>
        <v>0.18257120573404922</v>
      </c>
    </row>
    <row r="67" spans="2:9" ht="15.6">
      <c r="B67" s="18" t="s">
        <v>38</v>
      </c>
      <c r="C67" s="175">
        <f>C32*$E$64/1000</f>
        <v>3.9392957253819742E-2</v>
      </c>
      <c r="D67" s="174"/>
      <c r="E67" s="175">
        <f>E32*$E$64/1000</f>
        <v>0</v>
      </c>
      <c r="F67" s="175">
        <f>F32*$E$64/1000</f>
        <v>0</v>
      </c>
      <c r="G67" s="175">
        <f>G32*$E$64/1000</f>
        <v>3.0302274810630574E-3</v>
      </c>
      <c r="H67" s="175">
        <f>H32*$E$64/1000</f>
        <v>2.0605546871228793E-2</v>
      </c>
      <c r="I67" s="161">
        <f t="shared" si="12"/>
        <v>6.3028731606111582E-2</v>
      </c>
    </row>
    <row r="68" spans="2:9" ht="15.6">
      <c r="B68" s="18" t="s">
        <v>40</v>
      </c>
      <c r="C68" s="175">
        <f>C33*$E$64/1000</f>
        <v>5.0150264811593598E-2</v>
      </c>
      <c r="D68" s="175">
        <f>D33*$E$64/1000</f>
        <v>0</v>
      </c>
      <c r="E68" s="174"/>
      <c r="F68" s="175">
        <f>F33*$E$64/1000</f>
        <v>0</v>
      </c>
      <c r="G68" s="175">
        <f>G33*$E$64/1000</f>
        <v>4.545341221594586E-3</v>
      </c>
      <c r="H68" s="175">
        <f>H33*$E$64/1000</f>
        <v>8.7876596950828677E-3</v>
      </c>
      <c r="I68" s="161">
        <f t="shared" si="12"/>
        <v>6.3483265728271052E-2</v>
      </c>
    </row>
    <row r="69" spans="2:9" ht="15.6">
      <c r="B69" s="18" t="s">
        <v>42</v>
      </c>
      <c r="C69" s="175">
        <f>C34*$E$64/1000</f>
        <v>1.3029978168571148E-2</v>
      </c>
      <c r="D69" s="175">
        <f>D34*$E$64/1000</f>
        <v>1.3636023664783759E-3</v>
      </c>
      <c r="E69" s="175">
        <f t="shared" ref="E69:G71" si="13">E34*$E$64/1000</f>
        <v>1.5151137405315288E-4</v>
      </c>
      <c r="F69" s="174"/>
      <c r="G69" s="175">
        <f>G34*$E$64/1000</f>
        <v>0</v>
      </c>
      <c r="H69" s="175">
        <f>H34*$E$64/1000</f>
        <v>0</v>
      </c>
      <c r="I69" s="161">
        <f t="shared" si="12"/>
        <v>1.4545091909102676E-2</v>
      </c>
    </row>
    <row r="70" spans="2:9" ht="15.6">
      <c r="B70" s="18" t="s">
        <v>43</v>
      </c>
      <c r="C70" s="175">
        <f>C35*$E$64/1000</f>
        <v>9.2421938172423251E-3</v>
      </c>
      <c r="D70" s="175">
        <f>D35*$E$64/1000</f>
        <v>1.8181364886378344E-2</v>
      </c>
      <c r="E70" s="175">
        <f t="shared" si="13"/>
        <v>1.8029853512325195E-2</v>
      </c>
      <c r="F70" s="175">
        <f t="shared" si="13"/>
        <v>7.1210345804981852E-3</v>
      </c>
      <c r="G70" s="174"/>
      <c r="H70" s="175">
        <f>H35*$E$64/1000</f>
        <v>0</v>
      </c>
      <c r="I70" s="161">
        <f t="shared" si="12"/>
        <v>5.2574446796444047E-2</v>
      </c>
    </row>
    <row r="71" spans="2:9" ht="15.6">
      <c r="B71" s="18" t="s">
        <v>45</v>
      </c>
      <c r="C71" s="175">
        <f>C36*$E$64/1000</f>
        <v>3.4696104658172008E-2</v>
      </c>
      <c r="D71" s="175">
        <f>D36*$E$64/1000</f>
        <v>3.3484013665746784E-2</v>
      </c>
      <c r="E71" s="175">
        <f t="shared" si="13"/>
        <v>4.1211093742457586E-2</v>
      </c>
      <c r="F71" s="175">
        <f t="shared" si="13"/>
        <v>1.5454160153421593E-2</v>
      </c>
      <c r="G71" s="175">
        <f t="shared" si="13"/>
        <v>0</v>
      </c>
      <c r="H71" s="174"/>
      <c r="I71" s="161">
        <f t="shared" si="12"/>
        <v>0.12484537221979797</v>
      </c>
    </row>
    <row r="72" spans="2:9" ht="18">
      <c r="B72" s="16" t="s">
        <v>247</v>
      </c>
      <c r="C72" s="161">
        <f t="shared" ref="C72:H72" si="14">SUM(C66:C71)</f>
        <v>0.14651149870939884</v>
      </c>
      <c r="D72" s="161">
        <f t="shared" si="14"/>
        <v>7.9543471377905267E-2</v>
      </c>
      <c r="E72" s="161">
        <f t="shared" si="14"/>
        <v>8.3028232981127784E-2</v>
      </c>
      <c r="F72" s="161">
        <f t="shared" si="14"/>
        <v>2.2575194733919779E-2</v>
      </c>
      <c r="G72" s="161">
        <f t="shared" si="14"/>
        <v>4.1817139238670198E-2</v>
      </c>
      <c r="H72" s="161">
        <f t="shared" si="14"/>
        <v>0.12757257695275473</v>
      </c>
      <c r="I72" s="161">
        <f>SUM(I66:I71)</f>
        <v>0.50104811399377658</v>
      </c>
    </row>
    <row r="75" spans="2:9" ht="15.6">
      <c r="B75" s="98" t="s">
        <v>236</v>
      </c>
      <c r="C75" s="98" t="s">
        <v>235</v>
      </c>
    </row>
    <row r="76" spans="2:9" ht="18">
      <c r="B76" s="18" t="s">
        <v>251</v>
      </c>
      <c r="C76" s="18">
        <f>'Fatores Emissao'!O6</f>
        <v>1</v>
      </c>
    </row>
    <row r="77" spans="2:9" ht="18">
      <c r="B77" s="18" t="s">
        <v>252</v>
      </c>
      <c r="C77" s="18">
        <f>'Fatores Emissao'!O7</f>
        <v>28</v>
      </c>
    </row>
    <row r="78" spans="2:9" ht="18">
      <c r="B78" s="18" t="s">
        <v>253</v>
      </c>
      <c r="C78" s="18">
        <f>'Fatores Emissao'!O8</f>
        <v>265</v>
      </c>
    </row>
    <row r="81" spans="2:9" ht="18">
      <c r="B81" s="5" t="s">
        <v>286</v>
      </c>
      <c r="C81" s="98" t="s">
        <v>35</v>
      </c>
      <c r="D81" s="98" t="s">
        <v>38</v>
      </c>
      <c r="E81" s="98" t="s">
        <v>40</v>
      </c>
      <c r="F81" s="98" t="s">
        <v>42</v>
      </c>
      <c r="G81" s="98" t="s">
        <v>43</v>
      </c>
      <c r="H81" s="98" t="s">
        <v>45</v>
      </c>
      <c r="I81" s="5" t="s">
        <v>257</v>
      </c>
    </row>
    <row r="82" spans="2:9" ht="15.6">
      <c r="B82" s="18" t="s">
        <v>35</v>
      </c>
      <c r="C82" s="11"/>
      <c r="D82" s="12">
        <f>(D44)*$C$76+(D55)*$C$77+(D66)*$C$78</f>
        <v>972.353671156838</v>
      </c>
      <c r="E82" s="12">
        <f t="shared" ref="C82:H87" si="15">(E44)*$C$76+(E55)*$C$77+(E66)*$C$78</f>
        <v>866.78384400266702</v>
      </c>
      <c r="F82" s="12">
        <f t="shared" si="15"/>
        <v>0</v>
      </c>
      <c r="G82" s="12">
        <f t="shared" si="15"/>
        <v>1255.7253124654021</v>
      </c>
      <c r="H82" s="12">
        <f t="shared" si="15"/>
        <v>3600.4867366264634</v>
      </c>
      <c r="I82" s="13">
        <f t="shared" ref="I82:I87" si="16">SUM(C82:H82)</f>
        <v>6695.3495642513708</v>
      </c>
    </row>
    <row r="83" spans="2:9" ht="15.6">
      <c r="B83" s="18" t="s">
        <v>38</v>
      </c>
      <c r="C83" s="12">
        <f>(C45)*$C$76+(C56)*$C$77+(C67)*$C$78</f>
        <v>1444.639740004445</v>
      </c>
      <c r="D83" s="11"/>
      <c r="E83" s="12">
        <f t="shared" si="15"/>
        <v>0</v>
      </c>
      <c r="F83" s="12">
        <f t="shared" si="15"/>
        <v>0</v>
      </c>
      <c r="G83" s="12">
        <f t="shared" si="15"/>
        <v>111.12613384649576</v>
      </c>
      <c r="H83" s="12">
        <f t="shared" si="15"/>
        <v>755.65771015617133</v>
      </c>
      <c r="I83" s="13">
        <f t="shared" si="16"/>
        <v>2311.4235840071124</v>
      </c>
    </row>
    <row r="84" spans="2:9" ht="15.6">
      <c r="B84" s="18" t="s">
        <v>40</v>
      </c>
      <c r="C84" s="12">
        <f t="shared" si="15"/>
        <v>1839.1375151595048</v>
      </c>
      <c r="D84" s="12">
        <f t="shared" si="15"/>
        <v>0</v>
      </c>
      <c r="E84" s="11"/>
      <c r="F84" s="12">
        <f t="shared" si="15"/>
        <v>0</v>
      </c>
      <c r="G84" s="12">
        <f t="shared" si="15"/>
        <v>166.68920076974368</v>
      </c>
      <c r="H84" s="12">
        <f t="shared" si="15"/>
        <v>322.26578815483771</v>
      </c>
      <c r="I84" s="13">
        <f t="shared" si="16"/>
        <v>2328.0925040840862</v>
      </c>
    </row>
    <row r="85" spans="2:9" ht="15.6">
      <c r="B85" s="18" t="s">
        <v>42</v>
      </c>
      <c r="C85" s="12">
        <f t="shared" si="15"/>
        <v>477.84237553993182</v>
      </c>
      <c r="D85" s="12">
        <f t="shared" si="15"/>
        <v>50.006760230923092</v>
      </c>
      <c r="E85" s="12">
        <f t="shared" si="15"/>
        <v>5.5563066923247888</v>
      </c>
      <c r="F85" s="11"/>
      <c r="G85" s="12">
        <f t="shared" si="15"/>
        <v>0</v>
      </c>
      <c r="H85" s="12">
        <f t="shared" si="15"/>
        <v>0</v>
      </c>
      <c r="I85" s="13">
        <f t="shared" si="16"/>
        <v>533.40544246317972</v>
      </c>
    </row>
    <row r="86" spans="2:9" ht="15.6">
      <c r="B86" s="18" t="s">
        <v>43</v>
      </c>
      <c r="C86" s="12">
        <f t="shared" si="15"/>
        <v>338.93470823181212</v>
      </c>
      <c r="D86" s="12">
        <f t="shared" si="15"/>
        <v>666.75680307897471</v>
      </c>
      <c r="E86" s="12">
        <f t="shared" si="15"/>
        <v>661.20049638664989</v>
      </c>
      <c r="F86" s="12">
        <f t="shared" si="15"/>
        <v>261.14641453926504</v>
      </c>
      <c r="G86" s="11"/>
      <c r="H86" s="12">
        <f t="shared" si="15"/>
        <v>0</v>
      </c>
      <c r="I86" s="13">
        <f t="shared" si="16"/>
        <v>1928.038422236702</v>
      </c>
    </row>
    <row r="87" spans="2:9" ht="15.6">
      <c r="B87" s="18" t="s">
        <v>45</v>
      </c>
      <c r="C87" s="12">
        <f t="shared" si="15"/>
        <v>1272.3942325423768</v>
      </c>
      <c r="D87" s="12">
        <f t="shared" si="15"/>
        <v>1227.9437790037782</v>
      </c>
      <c r="E87" s="12">
        <f t="shared" si="15"/>
        <v>1511.3154203123427</v>
      </c>
      <c r="F87" s="12">
        <f t="shared" si="15"/>
        <v>566.74328261712844</v>
      </c>
      <c r="G87" s="12">
        <f t="shared" si="15"/>
        <v>0</v>
      </c>
      <c r="H87" s="11"/>
      <c r="I87" s="13">
        <f t="shared" si="16"/>
        <v>4578.3967144756261</v>
      </c>
    </row>
    <row r="88" spans="2:9" ht="18">
      <c r="B88" s="16" t="s">
        <v>258</v>
      </c>
      <c r="C88" s="13">
        <f t="shared" ref="C88:H88" si="17">SUM(C82:C87)</f>
        <v>5372.9485714780703</v>
      </c>
      <c r="D88" s="13">
        <f t="shared" si="17"/>
        <v>2917.0610134705139</v>
      </c>
      <c r="E88" s="13">
        <f t="shared" si="17"/>
        <v>3044.8560673939846</v>
      </c>
      <c r="F88" s="13">
        <f t="shared" si="17"/>
        <v>827.88969715639348</v>
      </c>
      <c r="G88" s="13">
        <f t="shared" si="17"/>
        <v>1533.5406470816415</v>
      </c>
      <c r="H88" s="13">
        <f t="shared" si="17"/>
        <v>4678.4102349374725</v>
      </c>
      <c r="I88" s="13">
        <f>SUM(I82:I87)</f>
        <v>18374.706231518074</v>
      </c>
    </row>
    <row r="89" spans="2:9">
      <c r="I89" s="114"/>
    </row>
    <row r="91" spans="2:9" ht="18">
      <c r="B91" s="5" t="s">
        <v>285</v>
      </c>
      <c r="C91" s="98" t="s">
        <v>35</v>
      </c>
      <c r="D91" s="98" t="s">
        <v>38</v>
      </c>
      <c r="E91" s="98" t="s">
        <v>40</v>
      </c>
      <c r="F91" s="98" t="s">
        <v>42</v>
      </c>
      <c r="G91" s="98" t="s">
        <v>43</v>
      </c>
      <c r="H91" s="98" t="s">
        <v>45</v>
      </c>
      <c r="I91" s="5" t="s">
        <v>260</v>
      </c>
    </row>
    <row r="92" spans="2:9" ht="15.6">
      <c r="B92" s="18" t="s">
        <v>35</v>
      </c>
      <c r="C92" s="11"/>
      <c r="D92" s="40">
        <f>D82/$I$88</f>
        <v>5.2918052615663749E-2</v>
      </c>
      <c r="E92" s="40">
        <f>E82/$I$88</f>
        <v>4.7172664045963111E-2</v>
      </c>
      <c r="F92" s="40">
        <f>F82/$I$88</f>
        <v>0</v>
      </c>
      <c r="G92" s="40">
        <f>G82/$I$88</f>
        <v>6.8339885092228603E-2</v>
      </c>
      <c r="H92" s="40">
        <f>H82/$I$88</f>
        <v>0.19594798911400066</v>
      </c>
      <c r="I92" s="163">
        <f t="shared" ref="I92:I97" si="18">SUM(C92:H92)</f>
        <v>0.36437859086785612</v>
      </c>
    </row>
    <row r="93" spans="2:9" ht="15.6">
      <c r="B93" s="18" t="s">
        <v>38</v>
      </c>
      <c r="C93" s="40">
        <f>C83/$I$88</f>
        <v>7.8621106743271857E-2</v>
      </c>
      <c r="D93" s="11"/>
      <c r="E93" s="40">
        <f t="shared" ref="E93:H96" si="19">E83/$I$88</f>
        <v>0</v>
      </c>
      <c r="F93" s="40">
        <f t="shared" si="19"/>
        <v>0</v>
      </c>
      <c r="G93" s="40">
        <f t="shared" si="19"/>
        <v>6.0477774417901425E-3</v>
      </c>
      <c r="H93" s="40">
        <f t="shared" si="19"/>
        <v>4.1124886604172975E-2</v>
      </c>
      <c r="I93" s="163">
        <f t="shared" si="18"/>
        <v>0.12579377078923498</v>
      </c>
    </row>
    <row r="94" spans="2:9" ht="15.6">
      <c r="B94" s="18" t="s">
        <v>40</v>
      </c>
      <c r="C94" s="40">
        <f t="shared" ref="C94:G97" si="20">C84/$I$88</f>
        <v>0.10009071666162685</v>
      </c>
      <c r="D94" s="12"/>
      <c r="E94" s="11"/>
      <c r="F94" s="40">
        <f t="shared" si="19"/>
        <v>0</v>
      </c>
      <c r="G94" s="40">
        <f t="shared" si="19"/>
        <v>9.0716661626852151E-3</v>
      </c>
      <c r="H94" s="40">
        <f t="shared" si="19"/>
        <v>1.7538554581191412E-2</v>
      </c>
      <c r="I94" s="163">
        <f t="shared" si="18"/>
        <v>0.12670093740550348</v>
      </c>
    </row>
    <row r="95" spans="2:9" ht="15.6">
      <c r="B95" s="18" t="s">
        <v>42</v>
      </c>
      <c r="C95" s="40">
        <f t="shared" si="20"/>
        <v>2.6005442999697613E-2</v>
      </c>
      <c r="D95" s="40">
        <f t="shared" si="20"/>
        <v>2.7214998488055641E-3</v>
      </c>
      <c r="E95" s="40">
        <f t="shared" si="20"/>
        <v>3.0238887208950717E-4</v>
      </c>
      <c r="F95" s="11"/>
      <c r="G95" s="40">
        <f t="shared" si="19"/>
        <v>0</v>
      </c>
      <c r="H95" s="40">
        <f t="shared" si="19"/>
        <v>0</v>
      </c>
      <c r="I95" s="163">
        <f t="shared" si="18"/>
        <v>2.9029331720592681E-2</v>
      </c>
    </row>
    <row r="96" spans="2:9" ht="15.6">
      <c r="B96" s="18" t="s">
        <v>43</v>
      </c>
      <c r="C96" s="40">
        <f t="shared" si="20"/>
        <v>1.8445721197459936E-2</v>
      </c>
      <c r="D96" s="40">
        <f t="shared" si="20"/>
        <v>3.628666465074086E-2</v>
      </c>
      <c r="E96" s="40">
        <f t="shared" si="20"/>
        <v>3.5984275778651355E-2</v>
      </c>
      <c r="F96" s="40">
        <f t="shared" si="20"/>
        <v>1.4212276988206833E-2</v>
      </c>
      <c r="G96" s="11"/>
      <c r="H96" s="40">
        <f t="shared" si="19"/>
        <v>0</v>
      </c>
      <c r="I96" s="163">
        <f t="shared" si="18"/>
        <v>0.10492893861505899</v>
      </c>
    </row>
    <row r="97" spans="2:9" ht="15.6">
      <c r="B97" s="18" t="s">
        <v>45</v>
      </c>
      <c r="C97" s="40">
        <f t="shared" si="20"/>
        <v>6.9247051708497154E-2</v>
      </c>
      <c r="D97" s="40">
        <f t="shared" si="20"/>
        <v>6.6827940731781069E-2</v>
      </c>
      <c r="E97" s="40">
        <f t="shared" si="20"/>
        <v>8.224977320834595E-2</v>
      </c>
      <c r="F97" s="40">
        <f t="shared" si="20"/>
        <v>3.0843664953129728E-2</v>
      </c>
      <c r="G97" s="40">
        <f t="shared" si="20"/>
        <v>0</v>
      </c>
      <c r="H97" s="11"/>
      <c r="I97" s="163">
        <f t="shared" si="18"/>
        <v>0.24916843060175389</v>
      </c>
    </row>
    <row r="98" spans="2:9" ht="18">
      <c r="B98" s="16" t="s">
        <v>261</v>
      </c>
      <c r="C98" s="162">
        <f t="shared" ref="C98:I98" si="21">SUM(C92:C97)</f>
        <v>0.29241003931055343</v>
      </c>
      <c r="D98" s="162">
        <f t="shared" si="21"/>
        <v>0.15875415784699126</v>
      </c>
      <c r="E98" s="162">
        <f t="shared" si="21"/>
        <v>0.16570910190504992</v>
      </c>
      <c r="F98" s="162">
        <f t="shared" si="21"/>
        <v>4.5055941941336559E-2</v>
      </c>
      <c r="G98" s="162">
        <f t="shared" si="21"/>
        <v>8.3459328696703958E-2</v>
      </c>
      <c r="H98" s="162">
        <f t="shared" si="21"/>
        <v>0.25461143029936506</v>
      </c>
      <c r="I98" s="163">
        <f t="shared" si="21"/>
        <v>1.0000000000000002</v>
      </c>
    </row>
    <row r="100" spans="2:9" ht="15.6">
      <c r="B100" s="260" t="s">
        <v>368</v>
      </c>
      <c r="C100" s="260"/>
      <c r="D100" s="260"/>
      <c r="E100" s="260"/>
      <c r="F100" s="260"/>
      <c r="G100" s="260"/>
      <c r="H100" s="260"/>
    </row>
    <row r="101" spans="2:9" s="155" customFormat="1" ht="18">
      <c r="B101" s="176" t="s">
        <v>266</v>
      </c>
      <c r="C101" s="177" t="s">
        <v>35</v>
      </c>
      <c r="D101" s="177" t="s">
        <v>38</v>
      </c>
      <c r="E101" s="177" t="s">
        <v>40</v>
      </c>
      <c r="F101" s="177" t="s">
        <v>42</v>
      </c>
      <c r="G101" s="177" t="s">
        <v>43</v>
      </c>
      <c r="H101" s="177" t="s">
        <v>45</v>
      </c>
    </row>
    <row r="102" spans="2:9" ht="15.6">
      <c r="B102" s="18" t="s">
        <v>35</v>
      </c>
      <c r="C102" s="171"/>
      <c r="D102" s="165">
        <f>D82/D22</f>
        <v>5.5563066923247888</v>
      </c>
      <c r="E102" s="165">
        <f>E82/E22</f>
        <v>5.5563066923247888</v>
      </c>
      <c r="F102" s="165"/>
      <c r="G102" s="165">
        <f t="shared" ref="G102:H104" si="22">G82/G22</f>
        <v>5.5563066923247879</v>
      </c>
      <c r="H102" s="165">
        <f t="shared" si="22"/>
        <v>5.5563066923247888</v>
      </c>
    </row>
    <row r="103" spans="2:9" ht="15.6">
      <c r="B103" s="18" t="s">
        <v>38</v>
      </c>
      <c r="C103" s="165">
        <f>C83/C23</f>
        <v>5.5563066923247888</v>
      </c>
      <c r="D103" s="171"/>
      <c r="E103" s="165"/>
      <c r="F103" s="165"/>
      <c r="G103" s="165">
        <f t="shared" si="22"/>
        <v>5.5563066923247879</v>
      </c>
      <c r="H103" s="165">
        <f t="shared" si="22"/>
        <v>5.5563066923247888</v>
      </c>
    </row>
    <row r="104" spans="2:9" ht="15.6">
      <c r="B104" s="18" t="s">
        <v>40</v>
      </c>
      <c r="C104" s="165">
        <f>C84/C24</f>
        <v>5.5563066923247879</v>
      </c>
      <c r="D104" s="165"/>
      <c r="E104" s="171"/>
      <c r="F104" s="165"/>
      <c r="G104" s="165">
        <f t="shared" si="22"/>
        <v>5.5563066923247897</v>
      </c>
      <c r="H104" s="165">
        <f t="shared" si="22"/>
        <v>5.5563066923247879</v>
      </c>
    </row>
    <row r="105" spans="2:9" ht="15.6">
      <c r="B105" s="18" t="s">
        <v>42</v>
      </c>
      <c r="C105" s="165">
        <f>C85/C25</f>
        <v>5.5563066923247888</v>
      </c>
      <c r="D105" s="165">
        <f t="shared" ref="D105:E107" si="23">D85/D25</f>
        <v>5.5563066923247879</v>
      </c>
      <c r="E105" s="165">
        <f t="shared" si="23"/>
        <v>5.5563066923247888</v>
      </c>
      <c r="F105" s="171"/>
      <c r="G105" s="165"/>
      <c r="H105" s="165"/>
    </row>
    <row r="106" spans="2:9" ht="15.6">
      <c r="B106" s="18" t="s">
        <v>43</v>
      </c>
      <c r="C106" s="165">
        <f>C86/C26</f>
        <v>5.5563066923247888</v>
      </c>
      <c r="D106" s="165">
        <f t="shared" si="23"/>
        <v>5.5563066923247897</v>
      </c>
      <c r="E106" s="165">
        <f t="shared" si="23"/>
        <v>5.5563066923247888</v>
      </c>
      <c r="F106" s="165">
        <f>F86/F26</f>
        <v>5.5563066923247879</v>
      </c>
      <c r="G106" s="171"/>
      <c r="H106" s="165"/>
    </row>
    <row r="107" spans="2:9" ht="15.6">
      <c r="B107" s="18" t="s">
        <v>45</v>
      </c>
      <c r="C107" s="165">
        <f>C87/C27</f>
        <v>5.5563066923247897</v>
      </c>
      <c r="D107" s="165">
        <f t="shared" si="23"/>
        <v>5.5563066923247879</v>
      </c>
      <c r="E107" s="165">
        <f t="shared" si="23"/>
        <v>5.5563066923247888</v>
      </c>
      <c r="F107" s="165">
        <f>F87/F27</f>
        <v>5.5563066923247888</v>
      </c>
      <c r="G107" s="165"/>
      <c r="H107" s="171"/>
    </row>
    <row r="115" spans="9:9">
      <c r="I115" s="114"/>
    </row>
  </sheetData>
  <mergeCells count="8">
    <mergeCell ref="B64:D64"/>
    <mergeCell ref="B100:H100"/>
    <mergeCell ref="C3:E3"/>
    <mergeCell ref="C10:E10"/>
    <mergeCell ref="C15:E15"/>
    <mergeCell ref="B40:I40"/>
    <mergeCell ref="B42:D42"/>
    <mergeCell ref="B53:D5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4B8B-DEB6-4A5B-971A-AAC9F4326821}">
  <dimension ref="B3:I115"/>
  <sheetViews>
    <sheetView showGridLines="0" topLeftCell="C100" zoomScale="85" zoomScaleNormal="85" workbookViewId="0">
      <selection activeCell="J107" sqref="J107"/>
    </sheetView>
  </sheetViews>
  <sheetFormatPr defaultRowHeight="14.4"/>
  <cols>
    <col min="2" max="2" width="32" customWidth="1"/>
    <col min="3" max="3" width="17.7890625" customWidth="1"/>
    <col min="4" max="4" width="13.05078125" customWidth="1"/>
    <col min="5" max="5" width="16.68359375" customWidth="1"/>
    <col min="6" max="6" width="16.83984375" customWidth="1"/>
    <col min="7" max="7" width="16.47265625" customWidth="1"/>
    <col min="8" max="8" width="13.3125" customWidth="1"/>
    <col min="9" max="9" width="22.20703125" customWidth="1"/>
    <col min="12" max="12" width="12.3125" customWidth="1"/>
    <col min="14" max="14" width="12.89453125" customWidth="1"/>
    <col min="15" max="15" width="8.83984375" customWidth="1"/>
    <col min="18" max="18" width="12.89453125" customWidth="1"/>
  </cols>
  <sheetData>
    <row r="3" spans="3:5" ht="15.6">
      <c r="C3" s="262" t="s">
        <v>338</v>
      </c>
      <c r="D3" s="262"/>
      <c r="E3" s="262"/>
    </row>
    <row r="4" spans="3:5" ht="15.6">
      <c r="C4" s="18" t="s">
        <v>330</v>
      </c>
      <c r="D4" s="6" t="s">
        <v>305</v>
      </c>
      <c r="E4" s="6"/>
    </row>
    <row r="5" spans="3:5" ht="15.6">
      <c r="C5" s="18" t="s">
        <v>352</v>
      </c>
      <c r="D5" s="6"/>
      <c r="E5" s="6" t="s">
        <v>334</v>
      </c>
    </row>
    <row r="6" spans="3:5" ht="15.6">
      <c r="C6" s="18" t="s">
        <v>350</v>
      </c>
      <c r="D6" s="6"/>
      <c r="E6" s="6" t="s">
        <v>351</v>
      </c>
    </row>
    <row r="7" spans="3:5" ht="15.6">
      <c r="C7" s="18" t="s">
        <v>276</v>
      </c>
      <c r="D7" s="78">
        <v>1.4</v>
      </c>
      <c r="E7" s="6" t="s">
        <v>277</v>
      </c>
    </row>
    <row r="8" spans="3:5" ht="15.6">
      <c r="C8" s="18" t="s">
        <v>377</v>
      </c>
      <c r="D8" s="6">
        <v>4</v>
      </c>
      <c r="E8" s="6" t="s">
        <v>378</v>
      </c>
    </row>
    <row r="10" spans="3:5" ht="15.6">
      <c r="C10" s="262" t="s">
        <v>357</v>
      </c>
      <c r="D10" s="262"/>
      <c r="E10" s="262"/>
    </row>
    <row r="11" spans="3:5" ht="18">
      <c r="C11" s="18" t="s">
        <v>356</v>
      </c>
      <c r="D11" s="232">
        <f>'Fatores Emissao'!C17</f>
        <v>2.6971979257200673</v>
      </c>
      <c r="E11" s="6" t="s">
        <v>280</v>
      </c>
    </row>
    <row r="12" spans="3:5" ht="18">
      <c r="C12" s="18" t="s">
        <v>354</v>
      </c>
      <c r="D12" s="196">
        <f>'Fatores Emissao'!D17</f>
        <v>0.15057814080905368</v>
      </c>
      <c r="E12" s="6" t="s">
        <v>503</v>
      </c>
    </row>
    <row r="13" spans="3:5" ht="18">
      <c r="C13" s="18" t="s">
        <v>355</v>
      </c>
      <c r="D13" s="196">
        <f>'Fatores Emissao'!E17</f>
        <v>6.8684765983077128E-2</v>
      </c>
      <c r="E13" s="6" t="s">
        <v>503</v>
      </c>
    </row>
    <row r="15" spans="3:5" ht="15.6">
      <c r="C15" s="262" t="s">
        <v>353</v>
      </c>
      <c r="D15" s="262"/>
      <c r="E15" s="262"/>
    </row>
    <row r="16" spans="3:5" ht="18">
      <c r="C16" s="18" t="s">
        <v>356</v>
      </c>
      <c r="D16" s="196">
        <f>D11*D7</f>
        <v>3.7760770960080938</v>
      </c>
      <c r="E16" s="6" t="s">
        <v>284</v>
      </c>
    </row>
    <row r="17" spans="2:9" ht="18">
      <c r="C17" s="18" t="s">
        <v>354</v>
      </c>
      <c r="D17" s="196">
        <f>D12*$D$7</f>
        <v>0.21080939713267516</v>
      </c>
      <c r="E17" s="6" t="s">
        <v>283</v>
      </c>
    </row>
    <row r="18" spans="2:9" ht="18">
      <c r="C18" s="18" t="s">
        <v>355</v>
      </c>
      <c r="D18" s="196">
        <f>D13*$D$7</f>
        <v>9.6158672376307971E-2</v>
      </c>
      <c r="E18" s="6" t="s">
        <v>283</v>
      </c>
    </row>
    <row r="21" spans="2:9" ht="15.6">
      <c r="B21" s="5" t="s">
        <v>188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5" t="s">
        <v>47</v>
      </c>
    </row>
    <row r="22" spans="2:9" ht="15.6">
      <c r="B22" s="10" t="s">
        <v>4</v>
      </c>
      <c r="C22" s="11">
        <f>'Movimentacao de Conteineres'!K30</f>
        <v>0</v>
      </c>
      <c r="D22" s="12">
        <f>'Movimentacao de Conteineres'!L30</f>
        <v>175</v>
      </c>
      <c r="E22" s="12">
        <f>'Movimentacao de Conteineres'!M30</f>
        <v>156</v>
      </c>
      <c r="F22" s="12">
        <f>'Movimentacao de Conteineres'!N30</f>
        <v>0</v>
      </c>
      <c r="G22" s="12">
        <f>'Movimentacao de Conteineres'!O30</f>
        <v>226</v>
      </c>
      <c r="H22" s="12">
        <f>'Movimentacao de Conteineres'!P30</f>
        <v>648</v>
      </c>
      <c r="I22" s="13">
        <f t="shared" ref="I22:I27" si="0">SUM(C22:H22)</f>
        <v>1205</v>
      </c>
    </row>
    <row r="23" spans="2:9" ht="15.6">
      <c r="B23" s="10" t="s">
        <v>5</v>
      </c>
      <c r="C23" s="12">
        <f>'Movimentacao de Conteineres'!K31</f>
        <v>260</v>
      </c>
      <c r="D23" s="11">
        <f>'Movimentacao de Conteineres'!L31</f>
        <v>0</v>
      </c>
      <c r="E23" s="12">
        <f>'Movimentacao de Conteineres'!M31</f>
        <v>0</v>
      </c>
      <c r="F23" s="12">
        <f>'Movimentacao de Conteineres'!N31</f>
        <v>0</v>
      </c>
      <c r="G23" s="12">
        <f>'Movimentacao de Conteineres'!O31</f>
        <v>20</v>
      </c>
      <c r="H23" s="12">
        <f>'Movimentacao de Conteineres'!P31</f>
        <v>136</v>
      </c>
      <c r="I23" s="13">
        <f t="shared" si="0"/>
        <v>416</v>
      </c>
    </row>
    <row r="24" spans="2:9" ht="15.6">
      <c r="B24" s="10" t="s">
        <v>6</v>
      </c>
      <c r="C24" s="12">
        <f>'Movimentacao de Conteineres'!K32</f>
        <v>331</v>
      </c>
      <c r="D24" s="12">
        <f>'Movimentacao de Conteineres'!L32</f>
        <v>0</v>
      </c>
      <c r="E24" s="11">
        <f>'Movimentacao de Conteineres'!M32</f>
        <v>0</v>
      </c>
      <c r="F24" s="12">
        <f>'Movimentacao de Conteineres'!N32</f>
        <v>0</v>
      </c>
      <c r="G24" s="12">
        <f>'Movimentacao de Conteineres'!O32</f>
        <v>30</v>
      </c>
      <c r="H24" s="12">
        <f>'Movimentacao de Conteineres'!P32</f>
        <v>58</v>
      </c>
      <c r="I24" s="13">
        <f t="shared" si="0"/>
        <v>419</v>
      </c>
    </row>
    <row r="25" spans="2:9" ht="15.6">
      <c r="B25" s="10" t="s">
        <v>7</v>
      </c>
      <c r="C25" s="12">
        <f>'Movimentacao de Conteineres'!K33</f>
        <v>86</v>
      </c>
      <c r="D25" s="12">
        <f>'Movimentacao de Conteineres'!L33</f>
        <v>9</v>
      </c>
      <c r="E25" s="12">
        <f>'Movimentacao de Conteineres'!M33</f>
        <v>1</v>
      </c>
      <c r="F25" s="11">
        <f>'Movimentacao de Conteineres'!N33</f>
        <v>0</v>
      </c>
      <c r="G25" s="12">
        <f>'Movimentacao de Conteineres'!O33</f>
        <v>0</v>
      </c>
      <c r="H25" s="12">
        <f>'Movimentacao de Conteineres'!P33</f>
        <v>0</v>
      </c>
      <c r="I25" s="13">
        <f t="shared" si="0"/>
        <v>96</v>
      </c>
    </row>
    <row r="26" spans="2:9" ht="15.6">
      <c r="B26" s="10" t="s">
        <v>8</v>
      </c>
      <c r="C26" s="12">
        <f>'Movimentacao de Conteineres'!K34</f>
        <v>61</v>
      </c>
      <c r="D26" s="12">
        <f>'Movimentacao de Conteineres'!L34</f>
        <v>120</v>
      </c>
      <c r="E26" s="12">
        <f>'Movimentacao de Conteineres'!M34</f>
        <v>119</v>
      </c>
      <c r="F26" s="12">
        <f>'Movimentacao de Conteineres'!N34</f>
        <v>47</v>
      </c>
      <c r="G26" s="11">
        <f>'Movimentacao de Conteineres'!O34</f>
        <v>0</v>
      </c>
      <c r="H26" s="12">
        <f>'Movimentacao de Conteineres'!P34</f>
        <v>0</v>
      </c>
      <c r="I26" s="13">
        <f t="shared" si="0"/>
        <v>347</v>
      </c>
    </row>
    <row r="27" spans="2:9" ht="15.6">
      <c r="B27" s="10" t="s">
        <v>9</v>
      </c>
      <c r="C27" s="12">
        <f>'Movimentacao de Conteineres'!K35</f>
        <v>229</v>
      </c>
      <c r="D27" s="12">
        <f>'Movimentacao de Conteineres'!L35</f>
        <v>221</v>
      </c>
      <c r="E27" s="12">
        <f>'Movimentacao de Conteineres'!M35</f>
        <v>272</v>
      </c>
      <c r="F27" s="12">
        <f>'Movimentacao de Conteineres'!N35</f>
        <v>102</v>
      </c>
      <c r="G27" s="12">
        <f>'Movimentacao de Conteineres'!O35</f>
        <v>0</v>
      </c>
      <c r="H27" s="11">
        <f>'Movimentacao de Conteineres'!P35</f>
        <v>0</v>
      </c>
      <c r="I27" s="13">
        <f t="shared" si="0"/>
        <v>824</v>
      </c>
    </row>
    <row r="28" spans="2:9" ht="15.6">
      <c r="B28" s="16" t="s">
        <v>48</v>
      </c>
      <c r="C28" s="13">
        <f t="shared" ref="C28:I28" si="1">SUM(C22:C27)</f>
        <v>967</v>
      </c>
      <c r="D28" s="13">
        <f t="shared" si="1"/>
        <v>525</v>
      </c>
      <c r="E28" s="13">
        <f t="shared" si="1"/>
        <v>548</v>
      </c>
      <c r="F28" s="13">
        <f t="shared" si="1"/>
        <v>149</v>
      </c>
      <c r="G28" s="13">
        <f t="shared" si="1"/>
        <v>276</v>
      </c>
      <c r="H28" s="13">
        <f t="shared" si="1"/>
        <v>842</v>
      </c>
      <c r="I28" s="13">
        <f t="shared" si="1"/>
        <v>3307</v>
      </c>
    </row>
    <row r="30" spans="2:9" ht="31.2">
      <c r="B30" s="176" t="s">
        <v>295</v>
      </c>
      <c r="C30" s="98" t="s">
        <v>35</v>
      </c>
      <c r="D30" s="98" t="s">
        <v>38</v>
      </c>
      <c r="E30" s="98" t="s">
        <v>40</v>
      </c>
      <c r="F30" s="98" t="s">
        <v>42</v>
      </c>
      <c r="G30" s="98" t="s">
        <v>43</v>
      </c>
      <c r="H30" s="98" t="s">
        <v>45</v>
      </c>
      <c r="I30" s="5" t="s">
        <v>47</v>
      </c>
    </row>
    <row r="31" spans="2:9" ht="15.6">
      <c r="B31" s="18" t="s">
        <v>35</v>
      </c>
      <c r="C31" s="11">
        <f>C22*$D$8</f>
        <v>0</v>
      </c>
      <c r="D31" s="12">
        <f t="shared" ref="D31:H31" si="2">D22*$D$8</f>
        <v>700</v>
      </c>
      <c r="E31" s="12">
        <f t="shared" si="2"/>
        <v>624</v>
      </c>
      <c r="F31" s="12">
        <f t="shared" si="2"/>
        <v>0</v>
      </c>
      <c r="G31" s="12">
        <f t="shared" si="2"/>
        <v>904</v>
      </c>
      <c r="H31" s="12">
        <f t="shared" si="2"/>
        <v>2592</v>
      </c>
      <c r="I31" s="13">
        <f t="shared" ref="I31:I36" si="3">SUM(C31:H31)</f>
        <v>4820</v>
      </c>
    </row>
    <row r="32" spans="2:9" ht="15.6">
      <c r="B32" s="18" t="s">
        <v>38</v>
      </c>
      <c r="C32" s="12">
        <f>C23*$D$8</f>
        <v>1040</v>
      </c>
      <c r="D32" s="11">
        <f t="shared" ref="D32:H32" si="4">D23*$D$8</f>
        <v>0</v>
      </c>
      <c r="E32" s="12">
        <f t="shared" si="4"/>
        <v>0</v>
      </c>
      <c r="F32" s="12">
        <f t="shared" si="4"/>
        <v>0</v>
      </c>
      <c r="G32" s="12">
        <f t="shared" si="4"/>
        <v>80</v>
      </c>
      <c r="H32" s="12">
        <f t="shared" si="4"/>
        <v>544</v>
      </c>
      <c r="I32" s="13">
        <f t="shared" si="3"/>
        <v>1664</v>
      </c>
    </row>
    <row r="33" spans="2:9" ht="15.6">
      <c r="B33" s="18" t="s">
        <v>40</v>
      </c>
      <c r="C33" s="12">
        <f t="shared" ref="C33:H33" si="5">C24*$D$8</f>
        <v>1324</v>
      </c>
      <c r="D33" s="12">
        <f t="shared" si="5"/>
        <v>0</v>
      </c>
      <c r="E33" s="11">
        <f t="shared" si="5"/>
        <v>0</v>
      </c>
      <c r="F33" s="12">
        <f t="shared" si="5"/>
        <v>0</v>
      </c>
      <c r="G33" s="12">
        <f t="shared" si="5"/>
        <v>120</v>
      </c>
      <c r="H33" s="12">
        <f t="shared" si="5"/>
        <v>232</v>
      </c>
      <c r="I33" s="13">
        <f t="shared" si="3"/>
        <v>1676</v>
      </c>
    </row>
    <row r="34" spans="2:9" ht="15.6">
      <c r="B34" s="18" t="s">
        <v>42</v>
      </c>
      <c r="C34" s="12">
        <f t="shared" ref="C34:H34" si="6">C25*$D$8</f>
        <v>344</v>
      </c>
      <c r="D34" s="12">
        <f t="shared" si="6"/>
        <v>36</v>
      </c>
      <c r="E34" s="12">
        <f t="shared" si="6"/>
        <v>4</v>
      </c>
      <c r="F34" s="11">
        <f t="shared" si="6"/>
        <v>0</v>
      </c>
      <c r="G34" s="12">
        <f t="shared" si="6"/>
        <v>0</v>
      </c>
      <c r="H34" s="12">
        <f t="shared" si="6"/>
        <v>0</v>
      </c>
      <c r="I34" s="13">
        <f t="shared" si="3"/>
        <v>384</v>
      </c>
    </row>
    <row r="35" spans="2:9" ht="15.6">
      <c r="B35" s="18" t="s">
        <v>43</v>
      </c>
      <c r="C35" s="12">
        <f t="shared" ref="C35:H35" si="7">C26*$D$8</f>
        <v>244</v>
      </c>
      <c r="D35" s="12">
        <f t="shared" si="7"/>
        <v>480</v>
      </c>
      <c r="E35" s="12">
        <f t="shared" si="7"/>
        <v>476</v>
      </c>
      <c r="F35" s="12">
        <f t="shared" si="7"/>
        <v>188</v>
      </c>
      <c r="G35" s="11">
        <f t="shared" si="7"/>
        <v>0</v>
      </c>
      <c r="H35" s="12">
        <f t="shared" si="7"/>
        <v>0</v>
      </c>
      <c r="I35" s="13">
        <f t="shared" si="3"/>
        <v>1388</v>
      </c>
    </row>
    <row r="36" spans="2:9" ht="15.6">
      <c r="B36" s="18" t="s">
        <v>45</v>
      </c>
      <c r="C36" s="12">
        <f t="shared" ref="C36:H36" si="8">C27*$D$8</f>
        <v>916</v>
      </c>
      <c r="D36" s="12">
        <f t="shared" si="8"/>
        <v>884</v>
      </c>
      <c r="E36" s="12">
        <f t="shared" si="8"/>
        <v>1088</v>
      </c>
      <c r="F36" s="12">
        <f t="shared" si="8"/>
        <v>408</v>
      </c>
      <c r="G36" s="12">
        <f t="shared" si="8"/>
        <v>0</v>
      </c>
      <c r="H36" s="11">
        <f t="shared" si="8"/>
        <v>0</v>
      </c>
      <c r="I36" s="13">
        <f t="shared" si="3"/>
        <v>3296</v>
      </c>
    </row>
    <row r="37" spans="2:9" ht="15.6">
      <c r="B37" s="16" t="s">
        <v>48</v>
      </c>
      <c r="C37" s="13">
        <f t="shared" ref="C37:H37" si="9">SUM(C31:C36)</f>
        <v>3868</v>
      </c>
      <c r="D37" s="13">
        <f t="shared" si="9"/>
        <v>2100</v>
      </c>
      <c r="E37" s="13">
        <f t="shared" si="9"/>
        <v>2192</v>
      </c>
      <c r="F37" s="13">
        <f t="shared" si="9"/>
        <v>596</v>
      </c>
      <c r="G37" s="13">
        <f t="shared" si="9"/>
        <v>1104</v>
      </c>
      <c r="H37" s="13">
        <f t="shared" si="9"/>
        <v>3368</v>
      </c>
      <c r="I37" s="13">
        <f>SUM(I31:I36)</f>
        <v>13228</v>
      </c>
    </row>
    <row r="38" spans="2:9">
      <c r="I38" s="114"/>
    </row>
    <row r="39" spans="2:9">
      <c r="I39" s="114"/>
    </row>
    <row r="40" spans="2:9" ht="23.1">
      <c r="B40" s="273" t="s">
        <v>483</v>
      </c>
      <c r="C40" s="273"/>
      <c r="D40" s="273"/>
      <c r="E40" s="273"/>
      <c r="F40" s="273"/>
      <c r="G40" s="273"/>
      <c r="H40" s="273"/>
      <c r="I40" s="273"/>
    </row>
    <row r="42" spans="2:9" ht="18">
      <c r="B42" s="272" t="s">
        <v>289</v>
      </c>
      <c r="C42" s="272"/>
      <c r="D42" s="272"/>
      <c r="E42" s="170">
        <f>D16</f>
        <v>3.7760770960080938</v>
      </c>
      <c r="F42" s="164" t="s">
        <v>394</v>
      </c>
    </row>
    <row r="43" spans="2:9" ht="18">
      <c r="B43" s="5" t="s">
        <v>239</v>
      </c>
      <c r="C43" s="98" t="s">
        <v>35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240</v>
      </c>
    </row>
    <row r="44" spans="2:9" ht="15.6">
      <c r="B44" s="18" t="s">
        <v>35</v>
      </c>
      <c r="C44" s="11"/>
      <c r="D44" s="12">
        <f>D31*$E$42</f>
        <v>2643.2539672056655</v>
      </c>
      <c r="E44" s="12">
        <f>E31*$E$42</f>
        <v>2356.2721079090506</v>
      </c>
      <c r="F44" s="12">
        <f>F31*$E$42</f>
        <v>0</v>
      </c>
      <c r="G44" s="12">
        <f>G31*$E$42</f>
        <v>3413.5736947913169</v>
      </c>
      <c r="H44" s="12">
        <f>H31*$E$42</f>
        <v>9787.5918328529788</v>
      </c>
      <c r="I44" s="13">
        <f t="shared" ref="I44:I49" si="10">SUM(C44:H44)</f>
        <v>18200.691602759012</v>
      </c>
    </row>
    <row r="45" spans="2:9" ht="15.6">
      <c r="B45" s="18" t="s">
        <v>38</v>
      </c>
      <c r="C45" s="12">
        <f>C32*$E$42</f>
        <v>3927.1201798484176</v>
      </c>
      <c r="D45" s="11"/>
      <c r="E45" s="12">
        <f>E32*$E$42</f>
        <v>0</v>
      </c>
      <c r="F45" s="12">
        <f>F32*$E$42</f>
        <v>0</v>
      </c>
      <c r="G45" s="12">
        <f>G32*$E$42</f>
        <v>302.08616768064752</v>
      </c>
      <c r="H45" s="12">
        <f>H32*$E$42</f>
        <v>2054.1859402284031</v>
      </c>
      <c r="I45" s="13">
        <f t="shared" si="10"/>
        <v>6283.3922877574678</v>
      </c>
    </row>
    <row r="46" spans="2:9" ht="15.6">
      <c r="B46" s="18" t="s">
        <v>40</v>
      </c>
      <c r="C46" s="12">
        <f>C33*$E$42</f>
        <v>4999.5260751147161</v>
      </c>
      <c r="D46" s="12">
        <f>D33*$E$42</f>
        <v>0</v>
      </c>
      <c r="E46" s="11"/>
      <c r="F46" s="12">
        <f>F33*$E$42</f>
        <v>0</v>
      </c>
      <c r="G46" s="12">
        <f>G33*$E$42</f>
        <v>453.12925152097125</v>
      </c>
      <c r="H46" s="12">
        <f>H33*$E$42</f>
        <v>876.04988627387775</v>
      </c>
      <c r="I46" s="13">
        <f t="shared" si="10"/>
        <v>6328.7052129095655</v>
      </c>
    </row>
    <row r="47" spans="2:9" ht="15.6">
      <c r="B47" s="18" t="s">
        <v>42</v>
      </c>
      <c r="C47" s="12">
        <f>C34*$E$42</f>
        <v>1298.9705210267844</v>
      </c>
      <c r="D47" s="12">
        <f>D34*$E$42</f>
        <v>135.93877545629138</v>
      </c>
      <c r="E47" s="12">
        <f>E34*$E$42</f>
        <v>15.104308384032375</v>
      </c>
      <c r="F47" s="11"/>
      <c r="G47" s="12">
        <f>G34*$E$42</f>
        <v>0</v>
      </c>
      <c r="H47" s="12">
        <f>H34*$E$42</f>
        <v>0</v>
      </c>
      <c r="I47" s="13">
        <f t="shared" si="10"/>
        <v>1450.0136048671079</v>
      </c>
    </row>
    <row r="48" spans="2:9" ht="15.6">
      <c r="B48" s="18" t="s">
        <v>43</v>
      </c>
      <c r="C48" s="12">
        <f>C35*$E$42</f>
        <v>921.36281142597488</v>
      </c>
      <c r="D48" s="12">
        <f>D35*$E$42</f>
        <v>1812.517006083885</v>
      </c>
      <c r="E48" s="12">
        <f>E35*$E$42</f>
        <v>1797.4126976998527</v>
      </c>
      <c r="F48" s="12">
        <f>F35*$E$42</f>
        <v>709.90249404952169</v>
      </c>
      <c r="G48" s="11"/>
      <c r="H48" s="12">
        <f>H35*$E$42</f>
        <v>0</v>
      </c>
      <c r="I48" s="13">
        <f t="shared" si="10"/>
        <v>5241.1950092592342</v>
      </c>
    </row>
    <row r="49" spans="2:9" ht="15.6">
      <c r="B49" s="18" t="s">
        <v>45</v>
      </c>
      <c r="C49" s="12">
        <f>C36*$E$42</f>
        <v>3458.8866199434137</v>
      </c>
      <c r="D49" s="12">
        <f>D36*$E$42</f>
        <v>3338.0521528711552</v>
      </c>
      <c r="E49" s="12">
        <f>E36*$E$42</f>
        <v>4108.3718804568061</v>
      </c>
      <c r="F49" s="12">
        <f>F36*$E$42</f>
        <v>1540.6394551713022</v>
      </c>
      <c r="G49" s="12">
        <f>G36*$E$42</f>
        <v>0</v>
      </c>
      <c r="H49" s="11"/>
      <c r="I49" s="13">
        <f t="shared" si="10"/>
        <v>12445.950108442677</v>
      </c>
    </row>
    <row r="50" spans="2:9" ht="18">
      <c r="B50" s="16" t="s">
        <v>241</v>
      </c>
      <c r="C50" s="13">
        <f t="shared" ref="C50:H50" si="11">SUM(C44:C49)</f>
        <v>14605.866207359308</v>
      </c>
      <c r="D50" s="13">
        <f t="shared" si="11"/>
        <v>7929.7619016169965</v>
      </c>
      <c r="E50" s="13">
        <f t="shared" si="11"/>
        <v>8277.1609944497432</v>
      </c>
      <c r="F50" s="13">
        <f t="shared" si="11"/>
        <v>2250.5419492208239</v>
      </c>
      <c r="G50" s="13">
        <f t="shared" si="11"/>
        <v>4168.7891139929361</v>
      </c>
      <c r="H50" s="13">
        <f t="shared" si="11"/>
        <v>12717.827659355258</v>
      </c>
      <c r="I50" s="13">
        <f>SUM(I44:I49)</f>
        <v>49949.947825995056</v>
      </c>
    </row>
    <row r="53" spans="2:9" ht="18">
      <c r="B53" s="272" t="s">
        <v>290</v>
      </c>
      <c r="C53" s="272"/>
      <c r="D53" s="272"/>
      <c r="E53" s="170">
        <f>D17</f>
        <v>0.21080939713267516</v>
      </c>
      <c r="F53" s="164" t="s">
        <v>395</v>
      </c>
    </row>
    <row r="54" spans="2:9" ht="18">
      <c r="B54" s="5" t="s">
        <v>255</v>
      </c>
      <c r="C54" s="98" t="s">
        <v>35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243</v>
      </c>
    </row>
    <row r="55" spans="2:9" ht="15.6">
      <c r="B55" s="18" t="s">
        <v>35</v>
      </c>
      <c r="C55" s="174"/>
      <c r="D55" s="175">
        <f>D31*$E$53/1000</f>
        <v>0.14756657799287262</v>
      </c>
      <c r="E55" s="175">
        <f>E31*$E$53/1000</f>
        <v>0.13154506381078929</v>
      </c>
      <c r="F55" s="175">
        <f>F31*$E$53/1000</f>
        <v>0</v>
      </c>
      <c r="G55" s="175">
        <f>G31*$E$53/1000</f>
        <v>0.19057169500793833</v>
      </c>
      <c r="H55" s="175">
        <f>H31*$E$53/1000</f>
        <v>0.546417957367894</v>
      </c>
      <c r="I55" s="161">
        <f t="shared" ref="I55:I60" si="12">SUM(C55:H55)</f>
        <v>1.0161012941794942</v>
      </c>
    </row>
    <row r="56" spans="2:9" ht="15.6">
      <c r="B56" s="18" t="s">
        <v>38</v>
      </c>
      <c r="C56" s="175">
        <f>C32*$E$53/1000</f>
        <v>0.21924177301798214</v>
      </c>
      <c r="D56" s="174"/>
      <c r="E56" s="175">
        <f>E32*$E$53/1000</f>
        <v>0</v>
      </c>
      <c r="F56" s="175">
        <f>F32*$E$53/1000</f>
        <v>0</v>
      </c>
      <c r="G56" s="175">
        <f>G32*$E$53/1000</f>
        <v>1.6864751770614014E-2</v>
      </c>
      <c r="H56" s="175">
        <f>H32*$E$53/1000</f>
        <v>0.11468031204017529</v>
      </c>
      <c r="I56" s="161">
        <f t="shared" si="12"/>
        <v>0.35078683682877143</v>
      </c>
    </row>
    <row r="57" spans="2:9" ht="15.6">
      <c r="B57" s="18" t="s">
        <v>40</v>
      </c>
      <c r="C57" s="175">
        <f>C33*$E$53/1000</f>
        <v>0.27911164180366188</v>
      </c>
      <c r="D57" s="175">
        <f>D33*$E$53/1000</f>
        <v>0</v>
      </c>
      <c r="E57" s="174"/>
      <c r="F57" s="175">
        <f>F33*$E$53/1000</f>
        <v>0</v>
      </c>
      <c r="G57" s="175">
        <f>G33*$E$53/1000</f>
        <v>2.5297127655921021E-2</v>
      </c>
      <c r="H57" s="175">
        <f>H33*$E$53/1000</f>
        <v>4.8907780134780636E-2</v>
      </c>
      <c r="I57" s="161">
        <f t="shared" si="12"/>
        <v>0.35331654959436354</v>
      </c>
    </row>
    <row r="58" spans="2:9" ht="15.6">
      <c r="B58" s="18" t="s">
        <v>42</v>
      </c>
      <c r="C58" s="175">
        <f>C34*$E$53/1000</f>
        <v>7.2518432613640257E-2</v>
      </c>
      <c r="D58" s="175">
        <f>D34*$E$53/1000</f>
        <v>7.5891382967763063E-3</v>
      </c>
      <c r="E58" s="175">
        <f>E34*$E$53/1000</f>
        <v>8.4323758853070067E-4</v>
      </c>
      <c r="F58" s="174"/>
      <c r="G58" s="175">
        <f>G34*$E$53/1000</f>
        <v>0</v>
      </c>
      <c r="H58" s="175">
        <f>H34*$E$53/1000</f>
        <v>0</v>
      </c>
      <c r="I58" s="161">
        <f t="shared" si="12"/>
        <v>8.0950808498947271E-2</v>
      </c>
    </row>
    <row r="59" spans="2:9" ht="15.6">
      <c r="B59" s="18" t="s">
        <v>43</v>
      </c>
      <c r="C59" s="175">
        <f>C35*$E$53/1000</f>
        <v>5.1437492900372736E-2</v>
      </c>
      <c r="D59" s="175">
        <f>D35*$E$53/1000</f>
        <v>0.10118851062368409</v>
      </c>
      <c r="E59" s="175">
        <f>E35*$E$53/1000</f>
        <v>0.10034527303515337</v>
      </c>
      <c r="F59" s="175">
        <f>F35*$E$53/1000</f>
        <v>3.9632166660942929E-2</v>
      </c>
      <c r="G59" s="174"/>
      <c r="H59" s="175">
        <f>H35*$E$53/1000</f>
        <v>0</v>
      </c>
      <c r="I59" s="161">
        <f t="shared" si="12"/>
        <v>0.29260344322015308</v>
      </c>
    </row>
    <row r="60" spans="2:9" ht="15.6">
      <c r="B60" s="18" t="s">
        <v>45</v>
      </c>
      <c r="C60" s="175">
        <f>C36*$E$53/1000</f>
        <v>0.19310140777353044</v>
      </c>
      <c r="D60" s="175">
        <f>D36*$E$53/1000</f>
        <v>0.18635550706528484</v>
      </c>
      <c r="E60" s="175">
        <f>E36*$E$53/1000</f>
        <v>0.22936062408035057</v>
      </c>
      <c r="F60" s="175">
        <f>F36*$E$53/1000</f>
        <v>8.6010234030131472E-2</v>
      </c>
      <c r="G60" s="175">
        <f>G36*$E$53/1000</f>
        <v>0</v>
      </c>
      <c r="H60" s="174"/>
      <c r="I60" s="161">
        <f t="shared" si="12"/>
        <v>0.69482777294929732</v>
      </c>
    </row>
    <row r="61" spans="2:9" ht="18">
      <c r="B61" s="16" t="s">
        <v>244</v>
      </c>
      <c r="C61" s="161">
        <f t="shared" ref="C61:H61" si="13">SUM(C55:C60)</f>
        <v>0.81541074810918746</v>
      </c>
      <c r="D61" s="161">
        <f t="shared" si="13"/>
        <v>0.44269973397861784</v>
      </c>
      <c r="E61" s="161">
        <f t="shared" si="13"/>
        <v>0.46209419851482392</v>
      </c>
      <c r="F61" s="161">
        <f t="shared" si="13"/>
        <v>0.12564240069107441</v>
      </c>
      <c r="G61" s="161">
        <f t="shared" si="13"/>
        <v>0.23273357443447334</v>
      </c>
      <c r="H61" s="161">
        <f t="shared" si="13"/>
        <v>0.71000604954284985</v>
      </c>
      <c r="I61" s="161">
        <f>SUM(I55:I60)</f>
        <v>2.7885867052710269</v>
      </c>
    </row>
    <row r="64" spans="2:9" ht="18">
      <c r="B64" s="272" t="s">
        <v>291</v>
      </c>
      <c r="C64" s="272"/>
      <c r="D64" s="272"/>
      <c r="E64" s="170">
        <f>D18</f>
        <v>9.6158672376307971E-2</v>
      </c>
      <c r="F64" s="164" t="s">
        <v>396</v>
      </c>
    </row>
    <row r="65" spans="2:9" ht="18">
      <c r="B65" s="5" t="s">
        <v>254</v>
      </c>
      <c r="C65" s="98" t="s">
        <v>35</v>
      </c>
      <c r="D65" s="98" t="s">
        <v>38</v>
      </c>
      <c r="E65" s="98" t="s">
        <v>40</v>
      </c>
      <c r="F65" s="98" t="s">
        <v>42</v>
      </c>
      <c r="G65" s="98" t="s">
        <v>43</v>
      </c>
      <c r="H65" s="98" t="s">
        <v>45</v>
      </c>
      <c r="I65" s="5" t="s">
        <v>246</v>
      </c>
    </row>
    <row r="66" spans="2:9" ht="15.6">
      <c r="B66" s="18" t="s">
        <v>35</v>
      </c>
      <c r="C66" s="174"/>
      <c r="D66" s="175">
        <f>D31*$E$64/1000</f>
        <v>6.7311070663415573E-2</v>
      </c>
      <c r="E66" s="175">
        <f>E31*$E$64/1000</f>
        <v>6.0003011562816178E-2</v>
      </c>
      <c r="F66" s="175">
        <f>F31*$E$64/1000</f>
        <v>0</v>
      </c>
      <c r="G66" s="175">
        <f>G31*$E$64/1000</f>
        <v>8.6927439828182407E-2</v>
      </c>
      <c r="H66" s="175">
        <f>H31*$E$64/1000</f>
        <v>0.24924327879939026</v>
      </c>
      <c r="I66" s="161">
        <f t="shared" ref="I66:I71" si="14">SUM(C66:H66)</f>
        <v>0.46348480085380439</v>
      </c>
    </row>
    <row r="67" spans="2:9" ht="15.6">
      <c r="B67" s="18" t="s">
        <v>38</v>
      </c>
      <c r="C67" s="175">
        <f>C32*$E$64/1000</f>
        <v>0.1000050192713603</v>
      </c>
      <c r="D67" s="174"/>
      <c r="E67" s="175">
        <f>E32*$E$64/1000</f>
        <v>0</v>
      </c>
      <c r="F67" s="175">
        <f>F32*$E$64/1000</f>
        <v>0</v>
      </c>
      <c r="G67" s="175">
        <f>G32*$E$64/1000</f>
        <v>7.6926937901046375E-3</v>
      </c>
      <c r="H67" s="175">
        <f>H32*$E$64/1000</f>
        <v>5.2310317772711536E-2</v>
      </c>
      <c r="I67" s="161">
        <f t="shared" si="14"/>
        <v>0.16000803083417647</v>
      </c>
    </row>
    <row r="68" spans="2:9" ht="15.6">
      <c r="B68" s="18" t="s">
        <v>40</v>
      </c>
      <c r="C68" s="175">
        <f>C33*$E$64/1000</f>
        <v>0.12731408222623175</v>
      </c>
      <c r="D68" s="175">
        <f>D33*$E$64/1000</f>
        <v>0</v>
      </c>
      <c r="E68" s="174"/>
      <c r="F68" s="175">
        <f>F33*$E$64/1000</f>
        <v>0</v>
      </c>
      <c r="G68" s="175">
        <f>G33*$E$64/1000</f>
        <v>1.1539040685156958E-2</v>
      </c>
      <c r="H68" s="175">
        <f>H33*$E$64/1000</f>
        <v>2.230881199130345E-2</v>
      </c>
      <c r="I68" s="161">
        <f t="shared" si="14"/>
        <v>0.16116193490269215</v>
      </c>
    </row>
    <row r="69" spans="2:9" ht="15.6">
      <c r="B69" s="18" t="s">
        <v>42</v>
      </c>
      <c r="C69" s="175">
        <f>C34*$E$64/1000</f>
        <v>3.3078583297449948E-2</v>
      </c>
      <c r="D69" s="175">
        <f>D34*$E$64/1000</f>
        <v>3.4617122055470868E-3</v>
      </c>
      <c r="E69" s="175">
        <f>E34*$E$64/1000</f>
        <v>3.846346895052319E-4</v>
      </c>
      <c r="F69" s="174"/>
      <c r="G69" s="175">
        <f>G34*$E$64/1000</f>
        <v>0</v>
      </c>
      <c r="H69" s="175">
        <f>H34*$E$64/1000</f>
        <v>0</v>
      </c>
      <c r="I69" s="161">
        <f t="shared" si="14"/>
        <v>3.6924930192502266E-2</v>
      </c>
    </row>
    <row r="70" spans="2:9" ht="15.6">
      <c r="B70" s="18" t="s">
        <v>43</v>
      </c>
      <c r="C70" s="175">
        <f>C35*$E$64/1000</f>
        <v>2.3462716059819144E-2</v>
      </c>
      <c r="D70" s="175">
        <f>D35*$E$64/1000</f>
        <v>4.615616274062783E-2</v>
      </c>
      <c r="E70" s="175">
        <f>E35*$E$64/1000</f>
        <v>4.5771528051122591E-2</v>
      </c>
      <c r="F70" s="175">
        <f>F35*$E$64/1000</f>
        <v>1.80778304067459E-2</v>
      </c>
      <c r="G70" s="174"/>
      <c r="H70" s="175">
        <f>H35*$E$64/1000</f>
        <v>0</v>
      </c>
      <c r="I70" s="161">
        <f t="shared" si="14"/>
        <v>0.13346823725831547</v>
      </c>
    </row>
    <row r="71" spans="2:9" ht="15.6">
      <c r="B71" s="18" t="s">
        <v>45</v>
      </c>
      <c r="C71" s="175">
        <f>C36*$E$64/1000</f>
        <v>8.8081343896698097E-2</v>
      </c>
      <c r="D71" s="175">
        <f>D36*$E$64/1000</f>
        <v>8.5004266380656252E-2</v>
      </c>
      <c r="E71" s="175">
        <f>E36*$E$64/1000</f>
        <v>0.10462063554542307</v>
      </c>
      <c r="F71" s="175">
        <f>F36*$E$64/1000</f>
        <v>3.9232738329533653E-2</v>
      </c>
      <c r="G71" s="175">
        <f>G36*$E$64/1000</f>
        <v>0</v>
      </c>
      <c r="H71" s="174"/>
      <c r="I71" s="161">
        <f t="shared" si="14"/>
        <v>0.31693898415231109</v>
      </c>
    </row>
    <row r="72" spans="2:9" ht="18">
      <c r="B72" s="16" t="s">
        <v>247</v>
      </c>
      <c r="C72" s="161">
        <f t="shared" ref="C72:H72" si="15">SUM(C66:C71)</f>
        <v>0.37194174475155922</v>
      </c>
      <c r="D72" s="161">
        <f t="shared" si="15"/>
        <v>0.20193321199024675</v>
      </c>
      <c r="E72" s="161">
        <f t="shared" si="15"/>
        <v>0.21077980984886707</v>
      </c>
      <c r="F72" s="161">
        <f t="shared" si="15"/>
        <v>5.7310568736279557E-2</v>
      </c>
      <c r="G72" s="161">
        <f t="shared" si="15"/>
        <v>0.106159174303444</v>
      </c>
      <c r="H72" s="161">
        <f t="shared" si="15"/>
        <v>0.32386240856340526</v>
      </c>
      <c r="I72" s="161">
        <f>SUM(I66:I71)</f>
        <v>1.2719869181938019</v>
      </c>
    </row>
    <row r="75" spans="2:9" ht="15.6">
      <c r="B75" s="98" t="s">
        <v>236</v>
      </c>
      <c r="C75" s="98" t="s">
        <v>235</v>
      </c>
    </row>
    <row r="76" spans="2:9" ht="18">
      <c r="B76" s="18" t="s">
        <v>251</v>
      </c>
      <c r="C76" s="18">
        <f>'Fatores Emissao'!O6</f>
        <v>1</v>
      </c>
    </row>
    <row r="77" spans="2:9" ht="18">
      <c r="B77" s="18" t="s">
        <v>252</v>
      </c>
      <c r="C77" s="18">
        <f>'Fatores Emissao'!O7</f>
        <v>28</v>
      </c>
    </row>
    <row r="78" spans="2:9" ht="18">
      <c r="B78" s="18" t="s">
        <v>253</v>
      </c>
      <c r="C78" s="18">
        <f>'Fatores Emissao'!O8</f>
        <v>265</v>
      </c>
    </row>
    <row r="81" spans="2:9" ht="33.6">
      <c r="B81" s="176" t="s">
        <v>292</v>
      </c>
      <c r="C81" s="98" t="s">
        <v>35</v>
      </c>
      <c r="D81" s="98" t="s">
        <v>38</v>
      </c>
      <c r="E81" s="98" t="s">
        <v>40</v>
      </c>
      <c r="F81" s="98" t="s">
        <v>42</v>
      </c>
      <c r="G81" s="98" t="s">
        <v>43</v>
      </c>
      <c r="H81" s="98" t="s">
        <v>45</v>
      </c>
      <c r="I81" s="5" t="s">
        <v>257</v>
      </c>
    </row>
    <row r="82" spans="2:9" ht="15.6">
      <c r="B82" s="18" t="s">
        <v>35</v>
      </c>
      <c r="C82" s="11"/>
      <c r="D82" s="12">
        <f t="shared" ref="D82:H82" si="16">(D44)*$C$76+(D55)*$C$77+(D66)*$C$78</f>
        <v>2665.2232651152713</v>
      </c>
      <c r="E82" s="12">
        <f t="shared" si="16"/>
        <v>2375.8561677598991</v>
      </c>
      <c r="F82" s="12">
        <f t="shared" si="16"/>
        <v>0</v>
      </c>
      <c r="G82" s="12">
        <f t="shared" si="16"/>
        <v>3441.9454738060076</v>
      </c>
      <c r="H82" s="12">
        <f t="shared" si="16"/>
        <v>9868.9410045411187</v>
      </c>
      <c r="I82" s="13">
        <f t="shared" ref="I82:I87" si="17">SUM(C82:H82)</f>
        <v>18351.965911222294</v>
      </c>
    </row>
    <row r="83" spans="2:9" ht="15.6">
      <c r="B83" s="18" t="s">
        <v>38</v>
      </c>
      <c r="C83" s="12">
        <f t="shared" ref="C83:H87" si="18">(C45)*$C$76+(C56)*$C$77+(C67)*$C$78</f>
        <v>3959.7602795998318</v>
      </c>
      <c r="D83" s="11"/>
      <c r="E83" s="12">
        <f t="shared" si="18"/>
        <v>0</v>
      </c>
      <c r="F83" s="12">
        <f t="shared" si="18"/>
        <v>0</v>
      </c>
      <c r="G83" s="12">
        <f t="shared" si="18"/>
        <v>304.59694458460245</v>
      </c>
      <c r="H83" s="12">
        <f t="shared" si="18"/>
        <v>2071.2592231752969</v>
      </c>
      <c r="I83" s="13">
        <f t="shared" si="17"/>
        <v>6335.616447359731</v>
      </c>
    </row>
    <row r="84" spans="2:9" ht="15.6">
      <c r="B84" s="18" t="s">
        <v>40</v>
      </c>
      <c r="C84" s="12">
        <f t="shared" si="18"/>
        <v>5041.0794328751699</v>
      </c>
      <c r="D84" s="12">
        <f t="shared" si="18"/>
        <v>0</v>
      </c>
      <c r="E84" s="11"/>
      <c r="F84" s="12">
        <f t="shared" si="18"/>
        <v>0</v>
      </c>
      <c r="G84" s="12">
        <f t="shared" si="18"/>
        <v>456.89541687690365</v>
      </c>
      <c r="H84" s="12">
        <f t="shared" si="18"/>
        <v>883.33113929534693</v>
      </c>
      <c r="I84" s="13">
        <f t="shared" si="17"/>
        <v>6381.3059890474196</v>
      </c>
    </row>
    <row r="85" spans="2:9" ht="15.6">
      <c r="B85" s="18" t="s">
        <v>42</v>
      </c>
      <c r="C85" s="12">
        <f t="shared" si="18"/>
        <v>1309.7668617137904</v>
      </c>
      <c r="D85" s="12">
        <f t="shared" si="18"/>
        <v>137.0686250630711</v>
      </c>
      <c r="E85" s="12">
        <f t="shared" si="18"/>
        <v>15.229847229230122</v>
      </c>
      <c r="F85" s="11"/>
      <c r="G85" s="12">
        <f t="shared" si="18"/>
        <v>0</v>
      </c>
      <c r="H85" s="12">
        <f t="shared" si="18"/>
        <v>0</v>
      </c>
      <c r="I85" s="13">
        <f t="shared" si="17"/>
        <v>1462.0653340060915</v>
      </c>
    </row>
    <row r="86" spans="2:9" ht="15.6">
      <c r="B86" s="18" t="s">
        <v>43</v>
      </c>
      <c r="C86" s="12">
        <f t="shared" si="18"/>
        <v>929.02068098303744</v>
      </c>
      <c r="D86" s="12">
        <f t="shared" si="18"/>
        <v>1827.5816675076146</v>
      </c>
      <c r="E86" s="12">
        <f t="shared" si="18"/>
        <v>1812.3518202783846</v>
      </c>
      <c r="F86" s="12">
        <f t="shared" si="18"/>
        <v>715.80281977381583</v>
      </c>
      <c r="G86" s="11"/>
      <c r="H86" s="12">
        <f t="shared" si="18"/>
        <v>0</v>
      </c>
      <c r="I86" s="13">
        <f t="shared" si="17"/>
        <v>5284.756988542852</v>
      </c>
    </row>
    <row r="87" spans="2:9" ht="15.6">
      <c r="B87" s="18" t="s">
        <v>45</v>
      </c>
      <c r="C87" s="12">
        <f t="shared" si="18"/>
        <v>3487.6350154936977</v>
      </c>
      <c r="D87" s="12">
        <f t="shared" si="18"/>
        <v>3365.7962376598571</v>
      </c>
      <c r="E87" s="12">
        <f t="shared" si="18"/>
        <v>4142.5184463505939</v>
      </c>
      <c r="F87" s="12">
        <f t="shared" si="18"/>
        <v>1553.4444173814722</v>
      </c>
      <c r="G87" s="12">
        <f t="shared" si="18"/>
        <v>0</v>
      </c>
      <c r="H87" s="11"/>
      <c r="I87" s="13">
        <f t="shared" si="17"/>
        <v>12549.39411688562</v>
      </c>
    </row>
    <row r="88" spans="2:9" ht="18">
      <c r="B88" s="16" t="s">
        <v>258</v>
      </c>
      <c r="C88" s="13">
        <f t="shared" ref="C88:H88" si="19">SUM(C82:C87)</f>
        <v>14727.262270665526</v>
      </c>
      <c r="D88" s="13">
        <f t="shared" si="19"/>
        <v>7995.6697953458142</v>
      </c>
      <c r="E88" s="13">
        <f t="shared" si="19"/>
        <v>8345.9562816181078</v>
      </c>
      <c r="F88" s="13">
        <f t="shared" si="19"/>
        <v>2269.2472371552881</v>
      </c>
      <c r="G88" s="13">
        <f t="shared" si="19"/>
        <v>4203.4378352675139</v>
      </c>
      <c r="H88" s="13">
        <f t="shared" si="19"/>
        <v>12823.531367011763</v>
      </c>
      <c r="I88" s="13">
        <f>SUM(I82:I87)</f>
        <v>50365.104787064003</v>
      </c>
    </row>
    <row r="89" spans="2:9">
      <c r="I89" s="114"/>
    </row>
    <row r="91" spans="2:9" ht="33.6">
      <c r="B91" s="176" t="s">
        <v>293</v>
      </c>
      <c r="C91" s="98" t="s">
        <v>35</v>
      </c>
      <c r="D91" s="98" t="s">
        <v>38</v>
      </c>
      <c r="E91" s="98" t="s">
        <v>40</v>
      </c>
      <c r="F91" s="98" t="s">
        <v>42</v>
      </c>
      <c r="G91" s="98" t="s">
        <v>43</v>
      </c>
      <c r="H91" s="98" t="s">
        <v>45</v>
      </c>
      <c r="I91" s="5" t="s">
        <v>260</v>
      </c>
    </row>
    <row r="92" spans="2:9" ht="15.6">
      <c r="B92" s="18" t="s">
        <v>35</v>
      </c>
      <c r="C92" s="11"/>
      <c r="D92" s="40">
        <f>D82/$I$88</f>
        <v>5.2918052615663749E-2</v>
      </c>
      <c r="E92" s="40">
        <f>E82/$I$88</f>
        <v>4.7172664045963118E-2</v>
      </c>
      <c r="F92" s="40">
        <f>F82/$I$88</f>
        <v>0</v>
      </c>
      <c r="G92" s="40">
        <f>G82/$I$88</f>
        <v>6.8339885092228617E-2</v>
      </c>
      <c r="H92" s="40">
        <f>H82/$I$88</f>
        <v>0.19594798911400063</v>
      </c>
      <c r="I92" s="163">
        <f t="shared" ref="I92:I97" si="20">SUM(C92:H92)</f>
        <v>0.36437859086785612</v>
      </c>
    </row>
    <row r="93" spans="2:9" ht="15.6">
      <c r="B93" s="18" t="s">
        <v>38</v>
      </c>
      <c r="C93" s="40">
        <f>C83/$I$88</f>
        <v>7.8621106743271871E-2</v>
      </c>
      <c r="D93" s="11"/>
      <c r="E93" s="40">
        <f t="shared" ref="E93:H96" si="21">E83/$I$88</f>
        <v>0</v>
      </c>
      <c r="F93" s="40">
        <f t="shared" si="21"/>
        <v>0</v>
      </c>
      <c r="G93" s="40">
        <f t="shared" si="21"/>
        <v>6.0477774417901434E-3</v>
      </c>
      <c r="H93" s="40">
        <f t="shared" si="21"/>
        <v>4.1124886604172982E-2</v>
      </c>
      <c r="I93" s="163">
        <f t="shared" si="20"/>
        <v>0.12579377078923501</v>
      </c>
    </row>
    <row r="94" spans="2:9" ht="15.6">
      <c r="B94" s="18" t="s">
        <v>40</v>
      </c>
      <c r="C94" s="40">
        <f t="shared" ref="C94:G97" si="22">C84/$I$88</f>
        <v>0.10009071666162686</v>
      </c>
      <c r="D94" s="12"/>
      <c r="E94" s="11"/>
      <c r="F94" s="40">
        <f t="shared" si="21"/>
        <v>0</v>
      </c>
      <c r="G94" s="40">
        <f t="shared" si="21"/>
        <v>9.0716661626852151E-3</v>
      </c>
      <c r="H94" s="40">
        <f t="shared" si="21"/>
        <v>1.7538554581191412E-2</v>
      </c>
      <c r="I94" s="163">
        <f t="shared" si="20"/>
        <v>0.12670093740550348</v>
      </c>
    </row>
    <row r="95" spans="2:9" ht="15.6">
      <c r="B95" s="18" t="s">
        <v>42</v>
      </c>
      <c r="C95" s="40">
        <f t="shared" si="22"/>
        <v>2.6005442999697613E-2</v>
      </c>
      <c r="D95" s="40">
        <f t="shared" si="22"/>
        <v>2.7214998488055645E-3</v>
      </c>
      <c r="E95" s="40">
        <f t="shared" si="22"/>
        <v>3.0238887208950717E-4</v>
      </c>
      <c r="F95" s="11"/>
      <c r="G95" s="40">
        <f t="shared" si="21"/>
        <v>0</v>
      </c>
      <c r="H95" s="40">
        <f t="shared" si="21"/>
        <v>0</v>
      </c>
      <c r="I95" s="163">
        <f t="shared" si="20"/>
        <v>2.9029331720592681E-2</v>
      </c>
    </row>
    <row r="96" spans="2:9" ht="15.6">
      <c r="B96" s="18" t="s">
        <v>43</v>
      </c>
      <c r="C96" s="40">
        <f t="shared" si="22"/>
        <v>1.8445721197459936E-2</v>
      </c>
      <c r="D96" s="40">
        <f t="shared" si="22"/>
        <v>3.628666465074086E-2</v>
      </c>
      <c r="E96" s="40">
        <f t="shared" si="22"/>
        <v>3.5984275778651355E-2</v>
      </c>
      <c r="F96" s="40">
        <f t="shared" si="22"/>
        <v>1.4212276988206839E-2</v>
      </c>
      <c r="G96" s="11"/>
      <c r="H96" s="40">
        <f t="shared" si="21"/>
        <v>0</v>
      </c>
      <c r="I96" s="163">
        <f t="shared" si="20"/>
        <v>0.104928938615059</v>
      </c>
    </row>
    <row r="97" spans="2:9" ht="15.6">
      <c r="B97" s="18" t="s">
        <v>45</v>
      </c>
      <c r="C97" s="40">
        <f t="shared" si="22"/>
        <v>6.924705170849714E-2</v>
      </c>
      <c r="D97" s="40">
        <f t="shared" si="22"/>
        <v>6.6827940731781083E-2</v>
      </c>
      <c r="E97" s="40">
        <f t="shared" si="22"/>
        <v>8.2249773208345964E-2</v>
      </c>
      <c r="F97" s="40">
        <f t="shared" si="22"/>
        <v>3.0843664953129728E-2</v>
      </c>
      <c r="G97" s="40">
        <f t="shared" si="22"/>
        <v>0</v>
      </c>
      <c r="H97" s="11"/>
      <c r="I97" s="163">
        <f t="shared" si="20"/>
        <v>0.24916843060175392</v>
      </c>
    </row>
    <row r="98" spans="2:9" ht="18">
      <c r="B98" s="16" t="s">
        <v>261</v>
      </c>
      <c r="C98" s="162">
        <f t="shared" ref="C98:I98" si="23">SUM(C92:C97)</f>
        <v>0.29241003931055343</v>
      </c>
      <c r="D98" s="162">
        <f t="shared" si="23"/>
        <v>0.15875415784699126</v>
      </c>
      <c r="E98" s="162">
        <f t="shared" si="23"/>
        <v>0.16570910190504995</v>
      </c>
      <c r="F98" s="162">
        <f t="shared" si="23"/>
        <v>4.5055941941336566E-2</v>
      </c>
      <c r="G98" s="162">
        <f t="shared" si="23"/>
        <v>8.3459328696703985E-2</v>
      </c>
      <c r="H98" s="162">
        <f t="shared" si="23"/>
        <v>0.25461143029936506</v>
      </c>
      <c r="I98" s="163">
        <f t="shared" si="23"/>
        <v>1.0000000000000002</v>
      </c>
    </row>
    <row r="100" spans="2:9" ht="18">
      <c r="C100" s="260" t="s">
        <v>543</v>
      </c>
      <c r="D100" s="260"/>
      <c r="E100" s="260"/>
      <c r="F100" s="260"/>
      <c r="G100" s="260"/>
      <c r="H100" s="260"/>
    </row>
    <row r="101" spans="2:9" s="155" customFormat="1" ht="15.6">
      <c r="B101" s="176" t="s">
        <v>36</v>
      </c>
      <c r="C101" s="177" t="s">
        <v>35</v>
      </c>
      <c r="D101" s="177" t="s">
        <v>38</v>
      </c>
      <c r="E101" s="177" t="s">
        <v>40</v>
      </c>
      <c r="F101" s="177" t="s">
        <v>42</v>
      </c>
      <c r="G101" s="177" t="s">
        <v>43</v>
      </c>
      <c r="H101" s="177" t="s">
        <v>45</v>
      </c>
    </row>
    <row r="102" spans="2:9" ht="15.6">
      <c r="B102" s="18" t="s">
        <v>35</v>
      </c>
      <c r="C102" s="171"/>
      <c r="D102" s="165">
        <f>D82/D22</f>
        <v>15.229847229230122</v>
      </c>
      <c r="E102" s="165">
        <f>E82/E22</f>
        <v>15.229847229230122</v>
      </c>
      <c r="F102" s="165"/>
      <c r="G102" s="165">
        <f t="shared" ref="G102:H104" si="24">G82/G22</f>
        <v>15.229847229230122</v>
      </c>
      <c r="H102" s="165">
        <f t="shared" si="24"/>
        <v>15.229847229230121</v>
      </c>
    </row>
    <row r="103" spans="2:9" ht="15.6">
      <c r="B103" s="18" t="s">
        <v>38</v>
      </c>
      <c r="C103" s="165">
        <f>C83/C23</f>
        <v>15.229847229230122</v>
      </c>
      <c r="D103" s="171"/>
      <c r="E103" s="165"/>
      <c r="F103" s="165"/>
      <c r="G103" s="165">
        <f t="shared" si="24"/>
        <v>15.229847229230122</v>
      </c>
      <c r="H103" s="165">
        <f t="shared" si="24"/>
        <v>15.229847229230124</v>
      </c>
    </row>
    <row r="104" spans="2:9" ht="15.6">
      <c r="B104" s="18" t="s">
        <v>40</v>
      </c>
      <c r="C104" s="165">
        <f>C84/C24</f>
        <v>15.229847229230121</v>
      </c>
      <c r="D104" s="165"/>
      <c r="E104" s="171"/>
      <c r="F104" s="165"/>
      <c r="G104" s="165">
        <f t="shared" si="24"/>
        <v>15.229847229230122</v>
      </c>
      <c r="H104" s="165">
        <f t="shared" si="24"/>
        <v>15.229847229230119</v>
      </c>
    </row>
    <row r="105" spans="2:9" ht="15.6">
      <c r="B105" s="18" t="s">
        <v>42</v>
      </c>
      <c r="C105" s="165">
        <f>C85/C25</f>
        <v>15.229847229230121</v>
      </c>
      <c r="D105" s="165">
        <f t="shared" ref="D105:E107" si="25">D85/D25</f>
        <v>15.229847229230122</v>
      </c>
      <c r="E105" s="165">
        <f t="shared" si="25"/>
        <v>15.229847229230122</v>
      </c>
      <c r="F105" s="171"/>
      <c r="G105" s="165"/>
      <c r="H105" s="165"/>
    </row>
    <row r="106" spans="2:9" ht="15.6">
      <c r="B106" s="18" t="s">
        <v>43</v>
      </c>
      <c r="C106" s="165">
        <f>C86/C26</f>
        <v>15.229847229230122</v>
      </c>
      <c r="D106" s="165">
        <f t="shared" si="25"/>
        <v>15.229847229230122</v>
      </c>
      <c r="E106" s="165">
        <f t="shared" si="25"/>
        <v>15.229847229230122</v>
      </c>
      <c r="F106" s="165">
        <f>F86/F26</f>
        <v>15.229847229230124</v>
      </c>
      <c r="G106" s="171"/>
      <c r="H106" s="165"/>
    </row>
    <row r="107" spans="2:9" ht="15.6">
      <c r="B107" s="18" t="s">
        <v>45</v>
      </c>
      <c r="C107" s="165">
        <f>C87/C27</f>
        <v>15.229847229230121</v>
      </c>
      <c r="D107" s="165">
        <f t="shared" si="25"/>
        <v>15.229847229230122</v>
      </c>
      <c r="E107" s="165">
        <f t="shared" si="25"/>
        <v>15.229847229230124</v>
      </c>
      <c r="F107" s="165">
        <f>F87/F27</f>
        <v>15.229847229230121</v>
      </c>
      <c r="G107" s="165"/>
      <c r="H107" s="171"/>
    </row>
    <row r="115" spans="9:9">
      <c r="I115" s="114"/>
    </row>
  </sheetData>
  <mergeCells count="8">
    <mergeCell ref="C100:H100"/>
    <mergeCell ref="B53:D53"/>
    <mergeCell ref="B64:D64"/>
    <mergeCell ref="C3:E3"/>
    <mergeCell ref="C10:E10"/>
    <mergeCell ref="C15:E15"/>
    <mergeCell ref="B40:I40"/>
    <mergeCell ref="B42:D42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6144-8A74-4AE0-B125-138FFD49704C}">
  <dimension ref="B3:I115"/>
  <sheetViews>
    <sheetView showGridLines="0" topLeftCell="A101" zoomScale="70" zoomScaleNormal="70" workbookViewId="0">
      <selection activeCell="M106" sqref="M106"/>
    </sheetView>
  </sheetViews>
  <sheetFormatPr defaultRowHeight="14.4"/>
  <cols>
    <col min="2" max="2" width="32" customWidth="1"/>
    <col min="3" max="3" width="17.7890625" customWidth="1"/>
    <col min="4" max="4" width="13.05078125" customWidth="1"/>
    <col min="5" max="5" width="16.68359375" customWidth="1"/>
    <col min="6" max="6" width="16.83984375" customWidth="1"/>
    <col min="7" max="7" width="16.47265625" customWidth="1"/>
    <col min="8" max="8" width="13.3125" customWidth="1"/>
    <col min="9" max="9" width="22.20703125" customWidth="1"/>
    <col min="12" max="12" width="12.3125" customWidth="1"/>
    <col min="14" max="14" width="12.89453125" customWidth="1"/>
    <col min="15" max="15" width="8.83984375" customWidth="1"/>
    <col min="18" max="18" width="12.89453125" customWidth="1"/>
  </cols>
  <sheetData>
    <row r="3" spans="3:5" ht="15.6">
      <c r="C3" s="262" t="s">
        <v>338</v>
      </c>
      <c r="D3" s="262"/>
      <c r="E3" s="262"/>
    </row>
    <row r="4" spans="3:5" ht="15.6">
      <c r="C4" s="18" t="s">
        <v>330</v>
      </c>
      <c r="D4" s="6" t="s">
        <v>560</v>
      </c>
      <c r="E4" s="6"/>
    </row>
    <row r="5" spans="3:5" ht="15.6">
      <c r="C5" s="18" t="s">
        <v>352</v>
      </c>
      <c r="D5" s="6"/>
      <c r="E5" s="6" t="s">
        <v>334</v>
      </c>
    </row>
    <row r="6" spans="3:5" ht="15.6">
      <c r="C6" s="18" t="s">
        <v>350</v>
      </c>
      <c r="D6" s="6"/>
      <c r="E6" s="6" t="s">
        <v>351</v>
      </c>
    </row>
    <row r="7" spans="3:5" ht="15.6">
      <c r="C7" s="18" t="s">
        <v>276</v>
      </c>
      <c r="D7" s="78">
        <f>'RTG Base C1'!D7*'Fatores Emissao'!C97/'Fatores Emissao'!C98*'Fatores Emissao'!H19/'Fatores Emissao'!L83</f>
        <v>1.4411846590909092</v>
      </c>
      <c r="E7" s="6" t="s">
        <v>277</v>
      </c>
    </row>
    <row r="8" spans="3:5" ht="15.6">
      <c r="C8" s="18" t="s">
        <v>377</v>
      </c>
      <c r="D8" s="6">
        <v>4</v>
      </c>
      <c r="E8" s="6" t="s">
        <v>378</v>
      </c>
    </row>
    <row r="10" spans="3:5" ht="15.6">
      <c r="C10" s="262" t="s">
        <v>357</v>
      </c>
      <c r="D10" s="262"/>
      <c r="E10" s="262"/>
    </row>
    <row r="11" spans="3:5" ht="18">
      <c r="C11" s="18" t="s">
        <v>356</v>
      </c>
      <c r="D11" s="232">
        <f>'Fatores Emissao'!C88</f>
        <v>2.4964270713079952</v>
      </c>
      <c r="E11" s="6" t="s">
        <v>280</v>
      </c>
    </row>
    <row r="12" spans="3:5" ht="18">
      <c r="C12" s="18" t="s">
        <v>354</v>
      </c>
      <c r="D12" s="232">
        <f>'Fatores Emissao'!D88</f>
        <v>0.15057814080905368</v>
      </c>
      <c r="E12" s="6" t="s">
        <v>503</v>
      </c>
    </row>
    <row r="13" spans="3:5" ht="18">
      <c r="C13" s="18" t="s">
        <v>355</v>
      </c>
      <c r="D13" s="232">
        <f>'Fatores Emissao'!E88</f>
        <v>6.8684765983077128E-2</v>
      </c>
      <c r="E13" s="6" t="s">
        <v>503</v>
      </c>
    </row>
    <row r="15" spans="3:5" ht="15.6">
      <c r="C15" s="262" t="s">
        <v>353</v>
      </c>
      <c r="D15" s="262"/>
      <c r="E15" s="262"/>
    </row>
    <row r="16" spans="3:5" ht="18">
      <c r="C16" s="18" t="s">
        <v>356</v>
      </c>
      <c r="D16" s="196">
        <f>D11*D7</f>
        <v>3.5978123977083301</v>
      </c>
      <c r="E16" s="6" t="s">
        <v>284</v>
      </c>
    </row>
    <row r="17" spans="2:9" ht="18">
      <c r="C17" s="18" t="s">
        <v>354</v>
      </c>
      <c r="D17" s="196">
        <f>D12*$D$7</f>
        <v>0.21701090652843896</v>
      </c>
      <c r="E17" s="6" t="s">
        <v>283</v>
      </c>
    </row>
    <row r="18" spans="2:9" ht="18">
      <c r="C18" s="18" t="s">
        <v>355</v>
      </c>
      <c r="D18" s="196">
        <f>D13*$D$7</f>
        <v>9.898743104805989E-2</v>
      </c>
      <c r="E18" s="6" t="s">
        <v>283</v>
      </c>
    </row>
    <row r="21" spans="2:9" ht="15.6">
      <c r="B21" s="5" t="s">
        <v>188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5" t="s">
        <v>47</v>
      </c>
    </row>
    <row r="22" spans="2:9" ht="15.6">
      <c r="B22" s="10" t="s">
        <v>4</v>
      </c>
      <c r="C22" s="11">
        <f>'Movimentacao de Conteineres'!K30</f>
        <v>0</v>
      </c>
      <c r="D22" s="12">
        <f>'Movimentacao de Conteineres'!L30</f>
        <v>175</v>
      </c>
      <c r="E22" s="12">
        <f>'Movimentacao de Conteineres'!M30</f>
        <v>156</v>
      </c>
      <c r="F22" s="12">
        <f>'Movimentacao de Conteineres'!N30</f>
        <v>0</v>
      </c>
      <c r="G22" s="12">
        <f>'Movimentacao de Conteineres'!O30</f>
        <v>226</v>
      </c>
      <c r="H22" s="12">
        <f>'Movimentacao de Conteineres'!P30</f>
        <v>648</v>
      </c>
      <c r="I22" s="13">
        <f t="shared" ref="I22:I27" si="0">SUM(C22:H22)</f>
        <v>1205</v>
      </c>
    </row>
    <row r="23" spans="2:9" ht="15.6">
      <c r="B23" s="10" t="s">
        <v>5</v>
      </c>
      <c r="C23" s="12">
        <f>'Movimentacao de Conteineres'!K31</f>
        <v>260</v>
      </c>
      <c r="D23" s="11">
        <f>'Movimentacao de Conteineres'!L31</f>
        <v>0</v>
      </c>
      <c r="E23" s="12">
        <f>'Movimentacao de Conteineres'!M31</f>
        <v>0</v>
      </c>
      <c r="F23" s="12">
        <f>'Movimentacao de Conteineres'!N31</f>
        <v>0</v>
      </c>
      <c r="G23" s="12">
        <f>'Movimentacao de Conteineres'!O31</f>
        <v>20</v>
      </c>
      <c r="H23" s="12">
        <f>'Movimentacao de Conteineres'!P31</f>
        <v>136</v>
      </c>
      <c r="I23" s="13">
        <f t="shared" si="0"/>
        <v>416</v>
      </c>
    </row>
    <row r="24" spans="2:9" ht="15.6">
      <c r="B24" s="10" t="s">
        <v>6</v>
      </c>
      <c r="C24" s="12">
        <f>'Movimentacao de Conteineres'!K32</f>
        <v>331</v>
      </c>
      <c r="D24" s="12">
        <f>'Movimentacao de Conteineres'!L32</f>
        <v>0</v>
      </c>
      <c r="E24" s="11">
        <f>'Movimentacao de Conteineres'!M32</f>
        <v>0</v>
      </c>
      <c r="F24" s="12">
        <f>'Movimentacao de Conteineres'!N32</f>
        <v>0</v>
      </c>
      <c r="G24" s="12">
        <f>'Movimentacao de Conteineres'!O32</f>
        <v>30</v>
      </c>
      <c r="H24" s="12">
        <f>'Movimentacao de Conteineres'!P32</f>
        <v>58</v>
      </c>
      <c r="I24" s="13">
        <f t="shared" si="0"/>
        <v>419</v>
      </c>
    </row>
    <row r="25" spans="2:9" ht="15.6">
      <c r="B25" s="10" t="s">
        <v>7</v>
      </c>
      <c r="C25" s="12">
        <f>'Movimentacao de Conteineres'!K33</f>
        <v>86</v>
      </c>
      <c r="D25" s="12">
        <f>'Movimentacao de Conteineres'!L33</f>
        <v>9</v>
      </c>
      <c r="E25" s="12">
        <f>'Movimentacao de Conteineres'!M33</f>
        <v>1</v>
      </c>
      <c r="F25" s="11">
        <f>'Movimentacao de Conteineres'!N33</f>
        <v>0</v>
      </c>
      <c r="G25" s="12">
        <f>'Movimentacao de Conteineres'!O33</f>
        <v>0</v>
      </c>
      <c r="H25" s="12">
        <f>'Movimentacao de Conteineres'!P33</f>
        <v>0</v>
      </c>
      <c r="I25" s="13">
        <f t="shared" si="0"/>
        <v>96</v>
      </c>
    </row>
    <row r="26" spans="2:9" ht="15.6">
      <c r="B26" s="10" t="s">
        <v>8</v>
      </c>
      <c r="C26" s="12">
        <f>'Movimentacao de Conteineres'!K34</f>
        <v>61</v>
      </c>
      <c r="D26" s="12">
        <f>'Movimentacao de Conteineres'!L34</f>
        <v>120</v>
      </c>
      <c r="E26" s="12">
        <f>'Movimentacao de Conteineres'!M34</f>
        <v>119</v>
      </c>
      <c r="F26" s="12">
        <f>'Movimentacao de Conteineres'!N34</f>
        <v>47</v>
      </c>
      <c r="G26" s="11">
        <f>'Movimentacao de Conteineres'!O34</f>
        <v>0</v>
      </c>
      <c r="H26" s="12">
        <f>'Movimentacao de Conteineres'!P34</f>
        <v>0</v>
      </c>
      <c r="I26" s="13">
        <f t="shared" si="0"/>
        <v>347</v>
      </c>
    </row>
    <row r="27" spans="2:9" ht="15.6">
      <c r="B27" s="10" t="s">
        <v>9</v>
      </c>
      <c r="C27" s="12">
        <f>'Movimentacao de Conteineres'!K35</f>
        <v>229</v>
      </c>
      <c r="D27" s="12">
        <f>'Movimentacao de Conteineres'!L35</f>
        <v>221</v>
      </c>
      <c r="E27" s="12">
        <f>'Movimentacao de Conteineres'!M35</f>
        <v>272</v>
      </c>
      <c r="F27" s="12">
        <f>'Movimentacao de Conteineres'!N35</f>
        <v>102</v>
      </c>
      <c r="G27" s="12">
        <f>'Movimentacao de Conteineres'!O35</f>
        <v>0</v>
      </c>
      <c r="H27" s="11">
        <f>'Movimentacao de Conteineres'!P35</f>
        <v>0</v>
      </c>
      <c r="I27" s="13">
        <f t="shared" si="0"/>
        <v>824</v>
      </c>
    </row>
    <row r="28" spans="2:9" ht="15.6">
      <c r="B28" s="16" t="s">
        <v>48</v>
      </c>
      <c r="C28" s="13">
        <f t="shared" ref="C28:I28" si="1">SUM(C22:C27)</f>
        <v>967</v>
      </c>
      <c r="D28" s="13">
        <f t="shared" si="1"/>
        <v>525</v>
      </c>
      <c r="E28" s="13">
        <f t="shared" si="1"/>
        <v>548</v>
      </c>
      <c r="F28" s="13">
        <f t="shared" si="1"/>
        <v>149</v>
      </c>
      <c r="G28" s="13">
        <f t="shared" si="1"/>
        <v>276</v>
      </c>
      <c r="H28" s="13">
        <f t="shared" si="1"/>
        <v>842</v>
      </c>
      <c r="I28" s="13">
        <f t="shared" si="1"/>
        <v>3307</v>
      </c>
    </row>
    <row r="30" spans="2:9" ht="31.2">
      <c r="B30" s="176" t="s">
        <v>295</v>
      </c>
      <c r="C30" s="98" t="s">
        <v>35</v>
      </c>
      <c r="D30" s="98" t="s">
        <v>38</v>
      </c>
      <c r="E30" s="98" t="s">
        <v>40</v>
      </c>
      <c r="F30" s="98" t="s">
        <v>42</v>
      </c>
      <c r="G30" s="98" t="s">
        <v>43</v>
      </c>
      <c r="H30" s="98" t="s">
        <v>45</v>
      </c>
      <c r="I30" s="5" t="s">
        <v>47</v>
      </c>
    </row>
    <row r="31" spans="2:9" ht="15.6">
      <c r="B31" s="18" t="s">
        <v>35</v>
      </c>
      <c r="C31" s="11">
        <f>C22*$D$8</f>
        <v>0</v>
      </c>
      <c r="D31" s="12">
        <f t="shared" ref="D31:H32" si="2">D22*$D$8</f>
        <v>700</v>
      </c>
      <c r="E31" s="12">
        <f t="shared" si="2"/>
        <v>624</v>
      </c>
      <c r="F31" s="12">
        <f t="shared" si="2"/>
        <v>0</v>
      </c>
      <c r="G31" s="12">
        <f t="shared" si="2"/>
        <v>904</v>
      </c>
      <c r="H31" s="12">
        <f t="shared" si="2"/>
        <v>2592</v>
      </c>
      <c r="I31" s="13">
        <f t="shared" ref="I31:I36" si="3">SUM(C31:H31)</f>
        <v>4820</v>
      </c>
    </row>
    <row r="32" spans="2:9" ht="15.6">
      <c r="B32" s="18" t="s">
        <v>38</v>
      </c>
      <c r="C32" s="12">
        <f>C23*$D$8</f>
        <v>1040</v>
      </c>
      <c r="D32" s="11">
        <f t="shared" si="2"/>
        <v>0</v>
      </c>
      <c r="E32" s="12">
        <f t="shared" si="2"/>
        <v>0</v>
      </c>
      <c r="F32" s="12">
        <f t="shared" si="2"/>
        <v>0</v>
      </c>
      <c r="G32" s="12">
        <f t="shared" si="2"/>
        <v>80</v>
      </c>
      <c r="H32" s="12">
        <f t="shared" si="2"/>
        <v>544</v>
      </c>
      <c r="I32" s="13">
        <f t="shared" si="3"/>
        <v>1664</v>
      </c>
    </row>
    <row r="33" spans="2:9" ht="15.6">
      <c r="B33" s="18" t="s">
        <v>40</v>
      </c>
      <c r="C33" s="12">
        <f t="shared" ref="C33:H36" si="4">C24*$D$8</f>
        <v>1324</v>
      </c>
      <c r="D33" s="12">
        <f t="shared" si="4"/>
        <v>0</v>
      </c>
      <c r="E33" s="11">
        <f t="shared" si="4"/>
        <v>0</v>
      </c>
      <c r="F33" s="12">
        <f t="shared" si="4"/>
        <v>0</v>
      </c>
      <c r="G33" s="12">
        <f t="shared" si="4"/>
        <v>120</v>
      </c>
      <c r="H33" s="12">
        <f t="shared" si="4"/>
        <v>232</v>
      </c>
      <c r="I33" s="13">
        <f t="shared" si="3"/>
        <v>1676</v>
      </c>
    </row>
    <row r="34" spans="2:9" ht="15.6">
      <c r="B34" s="18" t="s">
        <v>42</v>
      </c>
      <c r="C34" s="12">
        <f t="shared" si="4"/>
        <v>344</v>
      </c>
      <c r="D34" s="12">
        <f t="shared" si="4"/>
        <v>36</v>
      </c>
      <c r="E34" s="12">
        <f t="shared" si="4"/>
        <v>4</v>
      </c>
      <c r="F34" s="11">
        <f t="shared" si="4"/>
        <v>0</v>
      </c>
      <c r="G34" s="12">
        <f t="shared" si="4"/>
        <v>0</v>
      </c>
      <c r="H34" s="12">
        <f t="shared" si="4"/>
        <v>0</v>
      </c>
      <c r="I34" s="13">
        <f t="shared" si="3"/>
        <v>384</v>
      </c>
    </row>
    <row r="35" spans="2:9" ht="15.6">
      <c r="B35" s="18" t="s">
        <v>43</v>
      </c>
      <c r="C35" s="12">
        <f t="shared" si="4"/>
        <v>244</v>
      </c>
      <c r="D35" s="12">
        <f t="shared" si="4"/>
        <v>480</v>
      </c>
      <c r="E35" s="12">
        <f t="shared" si="4"/>
        <v>476</v>
      </c>
      <c r="F35" s="12">
        <f t="shared" si="4"/>
        <v>188</v>
      </c>
      <c r="G35" s="11">
        <f t="shared" si="4"/>
        <v>0</v>
      </c>
      <c r="H35" s="12">
        <f t="shared" si="4"/>
        <v>0</v>
      </c>
      <c r="I35" s="13">
        <f t="shared" si="3"/>
        <v>1388</v>
      </c>
    </row>
    <row r="36" spans="2:9" ht="15.6">
      <c r="B36" s="18" t="s">
        <v>45</v>
      </c>
      <c r="C36" s="12">
        <f t="shared" si="4"/>
        <v>916</v>
      </c>
      <c r="D36" s="12">
        <f t="shared" si="4"/>
        <v>884</v>
      </c>
      <c r="E36" s="12">
        <f t="shared" si="4"/>
        <v>1088</v>
      </c>
      <c r="F36" s="12">
        <f t="shared" si="4"/>
        <v>408</v>
      </c>
      <c r="G36" s="12">
        <f t="shared" si="4"/>
        <v>0</v>
      </c>
      <c r="H36" s="11">
        <f t="shared" si="4"/>
        <v>0</v>
      </c>
      <c r="I36" s="13">
        <f t="shared" si="3"/>
        <v>3296</v>
      </c>
    </row>
    <row r="37" spans="2:9" ht="15.6">
      <c r="B37" s="16" t="s">
        <v>48</v>
      </c>
      <c r="C37" s="13">
        <f t="shared" ref="C37:H37" si="5">SUM(C31:C36)</f>
        <v>3868</v>
      </c>
      <c r="D37" s="13">
        <f t="shared" si="5"/>
        <v>2100</v>
      </c>
      <c r="E37" s="13">
        <f t="shared" si="5"/>
        <v>2192</v>
      </c>
      <c r="F37" s="13">
        <f t="shared" si="5"/>
        <v>596</v>
      </c>
      <c r="G37" s="13">
        <f t="shared" si="5"/>
        <v>1104</v>
      </c>
      <c r="H37" s="13">
        <f t="shared" si="5"/>
        <v>3368</v>
      </c>
      <c r="I37" s="13">
        <f>SUM(I31:I36)</f>
        <v>13228</v>
      </c>
    </row>
    <row r="38" spans="2:9">
      <c r="I38" s="114"/>
    </row>
    <row r="39" spans="2:9">
      <c r="I39" s="114"/>
    </row>
    <row r="40" spans="2:9" ht="23.1">
      <c r="B40" s="273" t="s">
        <v>562</v>
      </c>
      <c r="C40" s="273"/>
      <c r="D40" s="273"/>
      <c r="E40" s="273"/>
      <c r="F40" s="273"/>
      <c r="G40" s="273"/>
      <c r="H40" s="273"/>
      <c r="I40" s="273"/>
    </row>
    <row r="42" spans="2:9" ht="18">
      <c r="B42" s="272" t="s">
        <v>289</v>
      </c>
      <c r="C42" s="272"/>
      <c r="D42" s="272"/>
      <c r="E42" s="170">
        <f>D16</f>
        <v>3.5978123977083301</v>
      </c>
      <c r="F42" s="164" t="s">
        <v>394</v>
      </c>
    </row>
    <row r="43" spans="2:9" ht="18">
      <c r="B43" s="5" t="s">
        <v>239</v>
      </c>
      <c r="C43" s="98" t="s">
        <v>35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240</v>
      </c>
    </row>
    <row r="44" spans="2:9" ht="15.6">
      <c r="B44" s="18" t="s">
        <v>35</v>
      </c>
      <c r="C44" s="11"/>
      <c r="D44" s="12">
        <f>D31*$E$42</f>
        <v>2518.4686783958309</v>
      </c>
      <c r="E44" s="12">
        <f>E31*$E$42</f>
        <v>2245.0349361699978</v>
      </c>
      <c r="F44" s="12">
        <f>F31*$E$42</f>
        <v>0</v>
      </c>
      <c r="G44" s="12">
        <f>G31*$E$42</f>
        <v>3252.4224075283305</v>
      </c>
      <c r="H44" s="12">
        <f>H31*$E$42</f>
        <v>9325.5297348599906</v>
      </c>
      <c r="I44" s="13">
        <f t="shared" ref="I44:I49" si="6">SUM(C44:H44)</f>
        <v>17341.45575695415</v>
      </c>
    </row>
    <row r="45" spans="2:9" ht="15.6">
      <c r="B45" s="18" t="s">
        <v>38</v>
      </c>
      <c r="C45" s="12">
        <f>C32*$E$42</f>
        <v>3741.7248936166634</v>
      </c>
      <c r="D45" s="11"/>
      <c r="E45" s="12">
        <f>E32*$E$42</f>
        <v>0</v>
      </c>
      <c r="F45" s="12">
        <f>F32*$E$42</f>
        <v>0</v>
      </c>
      <c r="G45" s="12">
        <f>G32*$E$42</f>
        <v>287.8249918166664</v>
      </c>
      <c r="H45" s="12">
        <f>H32*$E$42</f>
        <v>1957.2099443533316</v>
      </c>
      <c r="I45" s="13">
        <f t="shared" si="6"/>
        <v>5986.7598297866616</v>
      </c>
    </row>
    <row r="46" spans="2:9" ht="15.6">
      <c r="B46" s="18" t="s">
        <v>40</v>
      </c>
      <c r="C46" s="12">
        <f>C33*$E$42</f>
        <v>4763.5036145658287</v>
      </c>
      <c r="D46" s="12">
        <f>D33*$E$42</f>
        <v>0</v>
      </c>
      <c r="E46" s="11"/>
      <c r="F46" s="12">
        <f>F33*$E$42</f>
        <v>0</v>
      </c>
      <c r="G46" s="12">
        <f>G33*$E$42</f>
        <v>431.7374877249996</v>
      </c>
      <c r="H46" s="12">
        <f>H33*$E$42</f>
        <v>834.6924762683326</v>
      </c>
      <c r="I46" s="13">
        <f t="shared" si="6"/>
        <v>6029.9335785591611</v>
      </c>
    </row>
    <row r="47" spans="2:9" ht="15.6">
      <c r="B47" s="18" t="s">
        <v>42</v>
      </c>
      <c r="C47" s="12">
        <f>C34*$E$42</f>
        <v>1237.6474648116655</v>
      </c>
      <c r="D47" s="12">
        <f>D34*$E$42</f>
        <v>129.52124631749987</v>
      </c>
      <c r="E47" s="12">
        <f>E34*$E$42</f>
        <v>14.39124959083332</v>
      </c>
      <c r="F47" s="11"/>
      <c r="G47" s="12">
        <f>G34*$E$42</f>
        <v>0</v>
      </c>
      <c r="H47" s="12">
        <f>H34*$E$42</f>
        <v>0</v>
      </c>
      <c r="I47" s="13">
        <f t="shared" si="6"/>
        <v>1381.5599607199986</v>
      </c>
    </row>
    <row r="48" spans="2:9" ht="15.6">
      <c r="B48" s="18" t="s">
        <v>43</v>
      </c>
      <c r="C48" s="12">
        <f>C35*$E$42</f>
        <v>877.86622504083255</v>
      </c>
      <c r="D48" s="12">
        <f>D35*$E$42</f>
        <v>1726.9499508999984</v>
      </c>
      <c r="E48" s="12">
        <f>E35*$E$42</f>
        <v>1712.5587013091651</v>
      </c>
      <c r="F48" s="12">
        <f>F35*$E$42</f>
        <v>676.38873076916605</v>
      </c>
      <c r="G48" s="11"/>
      <c r="H48" s="12">
        <f>H35*$E$42</f>
        <v>0</v>
      </c>
      <c r="I48" s="13">
        <f t="shared" si="6"/>
        <v>4993.7636080191614</v>
      </c>
    </row>
    <row r="49" spans="2:9" ht="15.6">
      <c r="B49" s="18" t="s">
        <v>45</v>
      </c>
      <c r="C49" s="12">
        <f>C36*$E$42</f>
        <v>3295.5961563008304</v>
      </c>
      <c r="D49" s="12">
        <f>D36*$E$42</f>
        <v>3180.4661595741636</v>
      </c>
      <c r="E49" s="12">
        <f>E36*$E$42</f>
        <v>3914.4198887066632</v>
      </c>
      <c r="F49" s="12">
        <f>F36*$E$42</f>
        <v>1467.9074582649987</v>
      </c>
      <c r="G49" s="12">
        <f>G36*$E$42</f>
        <v>0</v>
      </c>
      <c r="H49" s="11"/>
      <c r="I49" s="13">
        <f t="shared" si="6"/>
        <v>11858.389662846657</v>
      </c>
    </row>
    <row r="50" spans="2:9" ht="18">
      <c r="B50" s="16" t="s">
        <v>241</v>
      </c>
      <c r="C50" s="13">
        <f t="shared" ref="C50:H50" si="7">SUM(C44:C49)</f>
        <v>13916.338354335821</v>
      </c>
      <c r="D50" s="13">
        <f t="shared" si="7"/>
        <v>7555.4060351874923</v>
      </c>
      <c r="E50" s="13">
        <f t="shared" si="7"/>
        <v>7886.4047757766593</v>
      </c>
      <c r="F50" s="13">
        <f t="shared" si="7"/>
        <v>2144.2961890341649</v>
      </c>
      <c r="G50" s="13">
        <f t="shared" si="7"/>
        <v>3971.9848870699961</v>
      </c>
      <c r="H50" s="13">
        <f t="shared" si="7"/>
        <v>12117.432155481654</v>
      </c>
      <c r="I50" s="13">
        <f>SUM(I44:I49)</f>
        <v>47591.862396885786</v>
      </c>
    </row>
    <row r="53" spans="2:9" ht="18">
      <c r="B53" s="272" t="s">
        <v>290</v>
      </c>
      <c r="C53" s="272"/>
      <c r="D53" s="272"/>
      <c r="E53" s="170">
        <f>D17</f>
        <v>0.21701090652843896</v>
      </c>
      <c r="F53" s="164" t="s">
        <v>395</v>
      </c>
    </row>
    <row r="54" spans="2:9" ht="18">
      <c r="B54" s="5" t="s">
        <v>255</v>
      </c>
      <c r="C54" s="98" t="s">
        <v>35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243</v>
      </c>
    </row>
    <row r="55" spans="2:9" ht="15.6">
      <c r="B55" s="18" t="s">
        <v>35</v>
      </c>
      <c r="C55" s="174"/>
      <c r="D55" s="175">
        <f>D31*$E$53/1000</f>
        <v>0.15190763456990727</v>
      </c>
      <c r="E55" s="175">
        <f>E31*$E$53/1000</f>
        <v>0.13541480567374592</v>
      </c>
      <c r="F55" s="175">
        <f>F31*$E$53/1000</f>
        <v>0</v>
      </c>
      <c r="G55" s="175">
        <f>G31*$E$53/1000</f>
        <v>0.1961778595017088</v>
      </c>
      <c r="H55" s="175">
        <f>H31*$E$53/1000</f>
        <v>0.56249226972171384</v>
      </c>
      <c r="I55" s="161">
        <f t="shared" ref="I55:I60" si="8">SUM(C55:H55)</f>
        <v>1.0459925694670758</v>
      </c>
    </row>
    <row r="56" spans="2:9" ht="15.6">
      <c r="B56" s="18" t="s">
        <v>38</v>
      </c>
      <c r="C56" s="175">
        <f>C32*$E$53/1000</f>
        <v>0.2256913427895765</v>
      </c>
      <c r="D56" s="174"/>
      <c r="E56" s="175">
        <f>E32*$E$53/1000</f>
        <v>0</v>
      </c>
      <c r="F56" s="175">
        <f>F32*$E$53/1000</f>
        <v>0</v>
      </c>
      <c r="G56" s="175">
        <f>G32*$E$53/1000</f>
        <v>1.7360872522275115E-2</v>
      </c>
      <c r="H56" s="175">
        <f>H32*$E$53/1000</f>
        <v>0.11805393315147081</v>
      </c>
      <c r="I56" s="161">
        <f t="shared" si="8"/>
        <v>0.36110614846332245</v>
      </c>
    </row>
    <row r="57" spans="2:9" ht="15.6">
      <c r="B57" s="18" t="s">
        <v>40</v>
      </c>
      <c r="C57" s="175">
        <f>C33*$E$53/1000</f>
        <v>0.28732244024365322</v>
      </c>
      <c r="D57" s="175">
        <f>D33*$E$53/1000</f>
        <v>0</v>
      </c>
      <c r="E57" s="174"/>
      <c r="F57" s="175">
        <f>F33*$E$53/1000</f>
        <v>0</v>
      </c>
      <c r="G57" s="175">
        <f>G33*$E$53/1000</f>
        <v>2.6041308783412674E-2</v>
      </c>
      <c r="H57" s="175">
        <f>H33*$E$53/1000</f>
        <v>5.0346530314597841E-2</v>
      </c>
      <c r="I57" s="161">
        <f t="shared" si="8"/>
        <v>0.36371027934166372</v>
      </c>
    </row>
    <row r="58" spans="2:9" ht="15.6">
      <c r="B58" s="18" t="s">
        <v>42</v>
      </c>
      <c r="C58" s="175">
        <f>C34*$E$53/1000</f>
        <v>7.4651751845783001E-2</v>
      </c>
      <c r="D58" s="175">
        <f>D34*$E$53/1000</f>
        <v>7.8123926350238022E-3</v>
      </c>
      <c r="E58" s="175">
        <f>E34*$E$53/1000</f>
        <v>8.6804362611375588E-4</v>
      </c>
      <c r="F58" s="174"/>
      <c r="G58" s="175">
        <f>G34*$E$53/1000</f>
        <v>0</v>
      </c>
      <c r="H58" s="175">
        <f>H34*$E$53/1000</f>
        <v>0</v>
      </c>
      <c r="I58" s="161">
        <f t="shared" si="8"/>
        <v>8.3332188106920557E-2</v>
      </c>
    </row>
    <row r="59" spans="2:9" ht="15.6">
      <c r="B59" s="18" t="s">
        <v>43</v>
      </c>
      <c r="C59" s="175">
        <f>C35*$E$53/1000</f>
        <v>5.2950661192939105E-2</v>
      </c>
      <c r="D59" s="175">
        <f>D35*$E$53/1000</f>
        <v>0.1041652351336507</v>
      </c>
      <c r="E59" s="175">
        <f>E35*$E$53/1000</f>
        <v>0.10329719150753695</v>
      </c>
      <c r="F59" s="175">
        <f>F35*$E$53/1000</f>
        <v>4.0798050427346522E-2</v>
      </c>
      <c r="G59" s="174"/>
      <c r="H59" s="175">
        <f>H35*$E$53/1000</f>
        <v>0</v>
      </c>
      <c r="I59" s="161">
        <f t="shared" si="8"/>
        <v>0.30121113826147328</v>
      </c>
    </row>
    <row r="60" spans="2:9" ht="15.6">
      <c r="B60" s="18" t="s">
        <v>45</v>
      </c>
      <c r="C60" s="175">
        <f>C36*$E$53/1000</f>
        <v>0.19878199038005009</v>
      </c>
      <c r="D60" s="175">
        <f>D36*$E$53/1000</f>
        <v>0.19183764137114004</v>
      </c>
      <c r="E60" s="175">
        <f>E36*$E$53/1000</f>
        <v>0.23610786630294162</v>
      </c>
      <c r="F60" s="175">
        <f>F36*$E$53/1000</f>
        <v>8.8540449863603099E-2</v>
      </c>
      <c r="G60" s="175">
        <f>G36*$E$53/1000</f>
        <v>0</v>
      </c>
      <c r="H60" s="174"/>
      <c r="I60" s="161">
        <f t="shared" si="8"/>
        <v>0.71526794791773485</v>
      </c>
    </row>
    <row r="61" spans="2:9" ht="18">
      <c r="B61" s="16" t="s">
        <v>244</v>
      </c>
      <c r="C61" s="161">
        <f t="shared" ref="C61:H61" si="9">SUM(C55:C60)</f>
        <v>0.83939818645200193</v>
      </c>
      <c r="D61" s="161">
        <f t="shared" si="9"/>
        <v>0.45572290370972179</v>
      </c>
      <c r="E61" s="161">
        <f t="shared" si="9"/>
        <v>0.47568790711033826</v>
      </c>
      <c r="F61" s="161">
        <f t="shared" si="9"/>
        <v>0.12933850029094962</v>
      </c>
      <c r="G61" s="161">
        <f t="shared" si="9"/>
        <v>0.23958004080739659</v>
      </c>
      <c r="H61" s="161">
        <f t="shared" si="9"/>
        <v>0.73089273318778247</v>
      </c>
      <c r="I61" s="161">
        <f>SUM(I55:I60)</f>
        <v>2.8706202715581908</v>
      </c>
    </row>
    <row r="64" spans="2:9" ht="18">
      <c r="B64" s="272" t="s">
        <v>291</v>
      </c>
      <c r="C64" s="272"/>
      <c r="D64" s="272"/>
      <c r="E64" s="170">
        <f>D18</f>
        <v>9.898743104805989E-2</v>
      </c>
      <c r="F64" s="164" t="s">
        <v>396</v>
      </c>
    </row>
    <row r="65" spans="2:9" ht="18">
      <c r="B65" s="5" t="s">
        <v>254</v>
      </c>
      <c r="C65" s="98" t="s">
        <v>35</v>
      </c>
      <c r="D65" s="98" t="s">
        <v>38</v>
      </c>
      <c r="E65" s="98" t="s">
        <v>40</v>
      </c>
      <c r="F65" s="98" t="s">
        <v>42</v>
      </c>
      <c r="G65" s="98" t="s">
        <v>43</v>
      </c>
      <c r="H65" s="98" t="s">
        <v>45</v>
      </c>
      <c r="I65" s="5" t="s">
        <v>246</v>
      </c>
    </row>
    <row r="66" spans="2:9" ht="15.6">
      <c r="B66" s="18" t="s">
        <v>35</v>
      </c>
      <c r="C66" s="174"/>
      <c r="D66" s="175">
        <f>D31*$E$64/1000</f>
        <v>6.9291201733641922E-2</v>
      </c>
      <c r="E66" s="175">
        <f>E31*$E$64/1000</f>
        <v>6.1768156973989373E-2</v>
      </c>
      <c r="F66" s="175">
        <f>F31*$E$64/1000</f>
        <v>0</v>
      </c>
      <c r="G66" s="175">
        <f>G31*$E$64/1000</f>
        <v>8.9484637667446132E-2</v>
      </c>
      <c r="H66" s="175">
        <f>H31*$E$64/1000</f>
        <v>0.25657542127657124</v>
      </c>
      <c r="I66" s="161">
        <f t="shared" ref="I66:I71" si="10">SUM(C66:H66)</f>
        <v>0.47711941765164867</v>
      </c>
    </row>
    <row r="67" spans="2:9" ht="15.6">
      <c r="B67" s="18" t="s">
        <v>38</v>
      </c>
      <c r="C67" s="175">
        <f>C32*$E$64/1000</f>
        <v>0.10294692828998228</v>
      </c>
      <c r="D67" s="174"/>
      <c r="E67" s="175">
        <f>E32*$E$64/1000</f>
        <v>0</v>
      </c>
      <c r="F67" s="175">
        <f>F32*$E$64/1000</f>
        <v>0</v>
      </c>
      <c r="G67" s="175">
        <f>G32*$E$64/1000</f>
        <v>7.918994483844791E-3</v>
      </c>
      <c r="H67" s="175">
        <f>H32*$E$64/1000</f>
        <v>5.3849162490144577E-2</v>
      </c>
      <c r="I67" s="161">
        <f t="shared" si="10"/>
        <v>0.16471508526397166</v>
      </c>
    </row>
    <row r="68" spans="2:9" ht="15.6">
      <c r="B68" s="18" t="s">
        <v>40</v>
      </c>
      <c r="C68" s="175">
        <f>C33*$E$64/1000</f>
        <v>0.1310593587076313</v>
      </c>
      <c r="D68" s="175">
        <f>D33*$E$64/1000</f>
        <v>0</v>
      </c>
      <c r="E68" s="174"/>
      <c r="F68" s="175">
        <f>F33*$E$64/1000</f>
        <v>0</v>
      </c>
      <c r="G68" s="175">
        <f>G33*$E$64/1000</f>
        <v>1.1878491725767187E-2</v>
      </c>
      <c r="H68" s="175">
        <f>H33*$E$64/1000</f>
        <v>2.2965084003149894E-2</v>
      </c>
      <c r="I68" s="161">
        <f t="shared" si="10"/>
        <v>0.16590293443654838</v>
      </c>
    </row>
    <row r="69" spans="2:9" ht="15.6">
      <c r="B69" s="18" t="s">
        <v>42</v>
      </c>
      <c r="C69" s="175">
        <f>C34*$E$64/1000</f>
        <v>3.4051676280532607E-2</v>
      </c>
      <c r="D69" s="175">
        <f>D34*$E$64/1000</f>
        <v>3.5635475177301559E-3</v>
      </c>
      <c r="E69" s="175">
        <f>E34*$E$64/1000</f>
        <v>3.9594972419223958E-4</v>
      </c>
      <c r="F69" s="174"/>
      <c r="G69" s="175">
        <f>G34*$E$64/1000</f>
        <v>0</v>
      </c>
      <c r="H69" s="175">
        <f>H34*$E$64/1000</f>
        <v>0</v>
      </c>
      <c r="I69" s="161">
        <f t="shared" si="10"/>
        <v>3.8011173522455005E-2</v>
      </c>
    </row>
    <row r="70" spans="2:9" ht="15.6">
      <c r="B70" s="18" t="s">
        <v>43</v>
      </c>
      <c r="C70" s="175">
        <f>C35*$E$64/1000</f>
        <v>2.4152933175726612E-2</v>
      </c>
      <c r="D70" s="175">
        <f>D35*$E$64/1000</f>
        <v>4.7513966903068749E-2</v>
      </c>
      <c r="E70" s="175">
        <f>E35*$E$64/1000</f>
        <v>4.7118017178876509E-2</v>
      </c>
      <c r="F70" s="175">
        <f>F35*$E$64/1000</f>
        <v>1.8609637037035259E-2</v>
      </c>
      <c r="G70" s="174"/>
      <c r="H70" s="175">
        <f>H35*$E$64/1000</f>
        <v>0</v>
      </c>
      <c r="I70" s="161">
        <f t="shared" si="10"/>
        <v>0.13739455429470712</v>
      </c>
    </row>
    <row r="71" spans="2:9" ht="15.6">
      <c r="B71" s="18" t="s">
        <v>45</v>
      </c>
      <c r="C71" s="175">
        <f>C36*$E$64/1000</f>
        <v>9.0672486840022853E-2</v>
      </c>
      <c r="D71" s="175">
        <f>D36*$E$64/1000</f>
        <v>8.7504889046484943E-2</v>
      </c>
      <c r="E71" s="175">
        <f>E36*$E$64/1000</f>
        <v>0.10769832498028915</v>
      </c>
      <c r="F71" s="175">
        <f>F36*$E$64/1000</f>
        <v>4.0386871867608434E-2</v>
      </c>
      <c r="G71" s="175">
        <f>G36*$E$64/1000</f>
        <v>0</v>
      </c>
      <c r="H71" s="174"/>
      <c r="I71" s="161">
        <f t="shared" si="10"/>
        <v>0.32626257273440534</v>
      </c>
    </row>
    <row r="72" spans="2:9" ht="18">
      <c r="B72" s="16" t="s">
        <v>247</v>
      </c>
      <c r="C72" s="161">
        <f t="shared" ref="C72:H72" si="11">SUM(C66:C71)</f>
        <v>0.3828833832938956</v>
      </c>
      <c r="D72" s="161">
        <f t="shared" si="11"/>
        <v>0.20787360520092577</v>
      </c>
      <c r="E72" s="161">
        <f t="shared" si="11"/>
        <v>0.2169804488573473</v>
      </c>
      <c r="F72" s="161">
        <f t="shared" si="11"/>
        <v>5.8996508904643696E-2</v>
      </c>
      <c r="G72" s="161">
        <f t="shared" si="11"/>
        <v>0.10928212387705812</v>
      </c>
      <c r="H72" s="161">
        <f t="shared" si="11"/>
        <v>0.33338966776986573</v>
      </c>
      <c r="I72" s="161">
        <f>SUM(I66:I71)</f>
        <v>1.309405737903736</v>
      </c>
    </row>
    <row r="75" spans="2:9" ht="15.6">
      <c r="B75" s="98" t="s">
        <v>236</v>
      </c>
      <c r="C75" s="98" t="s">
        <v>235</v>
      </c>
    </row>
    <row r="76" spans="2:9" ht="18">
      <c r="B76" s="18" t="s">
        <v>251</v>
      </c>
      <c r="C76" s="18">
        <f>'Fatores Emissao'!O6</f>
        <v>1</v>
      </c>
    </row>
    <row r="77" spans="2:9" ht="18">
      <c r="B77" s="18" t="s">
        <v>252</v>
      </c>
      <c r="C77" s="18">
        <f>'Fatores Emissao'!O7</f>
        <v>28</v>
      </c>
    </row>
    <row r="78" spans="2:9" ht="18">
      <c r="B78" s="18" t="s">
        <v>253</v>
      </c>
      <c r="C78" s="18">
        <f>'Fatores Emissao'!O8</f>
        <v>265</v>
      </c>
    </row>
    <row r="81" spans="2:9" ht="33.6">
      <c r="B81" s="176" t="s">
        <v>292</v>
      </c>
      <c r="C81" s="98" t="s">
        <v>35</v>
      </c>
      <c r="D81" s="98" t="s">
        <v>38</v>
      </c>
      <c r="E81" s="98" t="s">
        <v>40</v>
      </c>
      <c r="F81" s="98" t="s">
        <v>42</v>
      </c>
      <c r="G81" s="98" t="s">
        <v>43</v>
      </c>
      <c r="H81" s="98" t="s">
        <v>45</v>
      </c>
      <c r="I81" s="5" t="s">
        <v>257</v>
      </c>
    </row>
    <row r="82" spans="2:9" ht="15.6">
      <c r="B82" s="18" t="s">
        <v>35</v>
      </c>
      <c r="C82" s="11"/>
      <c r="D82" s="12">
        <f t="shared" ref="D82:H82" si="12">(D44)*$C$76+(D55)*$C$77+(D66)*$C$78</f>
        <v>2541.0842606232031</v>
      </c>
      <c r="E82" s="12">
        <f t="shared" si="12"/>
        <v>2265.1951123269696</v>
      </c>
      <c r="F82" s="12">
        <f t="shared" si="12"/>
        <v>0</v>
      </c>
      <c r="G82" s="12">
        <f t="shared" si="12"/>
        <v>3281.6288165762517</v>
      </c>
      <c r="H82" s="12">
        <f t="shared" si="12"/>
        <v>9409.2720050504904</v>
      </c>
      <c r="I82" s="13">
        <f t="shared" ref="I82:I87" si="13">SUM(C82:H82)</f>
        <v>17497.180194576915</v>
      </c>
    </row>
    <row r="83" spans="2:9" ht="15.6">
      <c r="B83" s="18" t="s">
        <v>38</v>
      </c>
      <c r="C83" s="12">
        <f t="shared" ref="C83:H87" si="14">(C45)*$C$76+(C56)*$C$77+(C67)*$C$78</f>
        <v>3775.325187211617</v>
      </c>
      <c r="D83" s="11"/>
      <c r="E83" s="12">
        <f t="shared" si="14"/>
        <v>0</v>
      </c>
      <c r="F83" s="12">
        <f t="shared" si="14"/>
        <v>0</v>
      </c>
      <c r="G83" s="12">
        <f t="shared" si="14"/>
        <v>290.40962978550897</v>
      </c>
      <c r="H83" s="12">
        <f t="shared" si="14"/>
        <v>1974.7854825414611</v>
      </c>
      <c r="I83" s="13">
        <f t="shared" si="13"/>
        <v>6040.5202995385871</v>
      </c>
    </row>
    <row r="84" spans="2:9" ht="15.6">
      <c r="B84" s="18" t="s">
        <v>40</v>
      </c>
      <c r="C84" s="12">
        <f t="shared" si="14"/>
        <v>4806.2793729501727</v>
      </c>
      <c r="D84" s="12">
        <f t="shared" si="14"/>
        <v>0</v>
      </c>
      <c r="E84" s="11"/>
      <c r="F84" s="12">
        <f t="shared" si="14"/>
        <v>0</v>
      </c>
      <c r="G84" s="12">
        <f t="shared" si="14"/>
        <v>435.61444467826345</v>
      </c>
      <c r="H84" s="12">
        <f t="shared" si="14"/>
        <v>842.18792637797605</v>
      </c>
      <c r="I84" s="13">
        <f t="shared" si="13"/>
        <v>6084.0817440064129</v>
      </c>
    </row>
    <row r="85" spans="2:9" ht="15.6">
      <c r="B85" s="18" t="s">
        <v>42</v>
      </c>
      <c r="C85" s="12">
        <f t="shared" si="14"/>
        <v>1248.7614080776884</v>
      </c>
      <c r="D85" s="12">
        <f t="shared" si="14"/>
        <v>130.68433340347903</v>
      </c>
      <c r="E85" s="12">
        <f t="shared" si="14"/>
        <v>14.520481489275449</v>
      </c>
      <c r="F85" s="11"/>
      <c r="G85" s="12">
        <f t="shared" si="14"/>
        <v>0</v>
      </c>
      <c r="H85" s="12">
        <f t="shared" si="14"/>
        <v>0</v>
      </c>
      <c r="I85" s="13">
        <f t="shared" si="13"/>
        <v>1393.9662229704429</v>
      </c>
    </row>
    <row r="86" spans="2:9" ht="15.6">
      <c r="B86" s="18" t="s">
        <v>43</v>
      </c>
      <c r="C86" s="12">
        <f t="shared" si="14"/>
        <v>885.74937084580233</v>
      </c>
      <c r="D86" s="12">
        <f t="shared" si="14"/>
        <v>1742.4577787130538</v>
      </c>
      <c r="E86" s="12">
        <f t="shared" si="14"/>
        <v>1727.9372972237784</v>
      </c>
      <c r="F86" s="12">
        <f t="shared" si="14"/>
        <v>682.46262999594614</v>
      </c>
      <c r="G86" s="11"/>
      <c r="H86" s="12">
        <f t="shared" si="14"/>
        <v>0</v>
      </c>
      <c r="I86" s="13">
        <f t="shared" si="13"/>
        <v>5038.6070767785814</v>
      </c>
    </row>
    <row r="87" spans="2:9" ht="15.6">
      <c r="B87" s="18" t="s">
        <v>45</v>
      </c>
      <c r="C87" s="12">
        <f t="shared" si="14"/>
        <v>3325.1902610440779</v>
      </c>
      <c r="D87" s="12">
        <f t="shared" si="14"/>
        <v>3209.0264091298741</v>
      </c>
      <c r="E87" s="12">
        <f t="shared" si="14"/>
        <v>3949.5709650829222</v>
      </c>
      <c r="F87" s="12">
        <f t="shared" si="14"/>
        <v>1481.0891119060959</v>
      </c>
      <c r="G87" s="12">
        <f t="shared" si="14"/>
        <v>0</v>
      </c>
      <c r="H87" s="11"/>
      <c r="I87" s="13">
        <f t="shared" si="13"/>
        <v>11964.876747162971</v>
      </c>
    </row>
    <row r="88" spans="2:9" ht="18">
      <c r="B88" s="16" t="s">
        <v>258</v>
      </c>
      <c r="C88" s="13">
        <f t="shared" ref="C88:H88" si="15">SUM(C82:C87)</f>
        <v>14041.305600129359</v>
      </c>
      <c r="D88" s="13">
        <f t="shared" si="15"/>
        <v>7623.2527818696099</v>
      </c>
      <c r="E88" s="13">
        <f t="shared" si="15"/>
        <v>7957.223856122946</v>
      </c>
      <c r="F88" s="13">
        <f t="shared" si="15"/>
        <v>2163.5517419020421</v>
      </c>
      <c r="G88" s="13">
        <f t="shared" si="15"/>
        <v>4007.6528910400239</v>
      </c>
      <c r="H88" s="13">
        <f t="shared" si="15"/>
        <v>12226.245413969928</v>
      </c>
      <c r="I88" s="13">
        <f>SUM(I82:I87)</f>
        <v>48019.232285033911</v>
      </c>
    </row>
    <row r="89" spans="2:9">
      <c r="I89" s="114"/>
    </row>
    <row r="91" spans="2:9" ht="33.6">
      <c r="B91" s="176" t="s">
        <v>293</v>
      </c>
      <c r="C91" s="98" t="s">
        <v>35</v>
      </c>
      <c r="D91" s="98" t="s">
        <v>38</v>
      </c>
      <c r="E91" s="98" t="s">
        <v>40</v>
      </c>
      <c r="F91" s="98" t="s">
        <v>42</v>
      </c>
      <c r="G91" s="98" t="s">
        <v>43</v>
      </c>
      <c r="H91" s="98" t="s">
        <v>45</v>
      </c>
      <c r="I91" s="5" t="s">
        <v>260</v>
      </c>
    </row>
    <row r="92" spans="2:9" ht="15.6">
      <c r="B92" s="18" t="s">
        <v>35</v>
      </c>
      <c r="C92" s="11"/>
      <c r="D92" s="40">
        <f>D82/$I$88</f>
        <v>5.2918052615663735E-2</v>
      </c>
      <c r="E92" s="40">
        <f>E82/$I$88</f>
        <v>4.7172664045963097E-2</v>
      </c>
      <c r="F92" s="40">
        <f>F82/$I$88</f>
        <v>0</v>
      </c>
      <c r="G92" s="40">
        <f>G82/$I$88</f>
        <v>6.8339885092228603E-2</v>
      </c>
      <c r="H92" s="40">
        <f>H82/$I$88</f>
        <v>0.19594798911400058</v>
      </c>
      <c r="I92" s="163">
        <f t="shared" ref="I92:I97" si="16">SUM(C92:H92)</f>
        <v>0.36437859086785601</v>
      </c>
    </row>
    <row r="93" spans="2:9" ht="15.6">
      <c r="B93" s="18" t="s">
        <v>38</v>
      </c>
      <c r="C93" s="40">
        <f>C83/$I$88</f>
        <v>7.8621106743271857E-2</v>
      </c>
      <c r="D93" s="11"/>
      <c r="E93" s="40">
        <f t="shared" ref="E93:H96" si="17">E83/$I$88</f>
        <v>0</v>
      </c>
      <c r="F93" s="40">
        <f t="shared" si="17"/>
        <v>0</v>
      </c>
      <c r="G93" s="40">
        <f t="shared" si="17"/>
        <v>6.0477774417901416E-3</v>
      </c>
      <c r="H93" s="40">
        <f t="shared" si="17"/>
        <v>4.1124886604172968E-2</v>
      </c>
      <c r="I93" s="163">
        <f t="shared" si="16"/>
        <v>0.12579377078923495</v>
      </c>
    </row>
    <row r="94" spans="2:9" ht="15.6">
      <c r="B94" s="18" t="s">
        <v>40</v>
      </c>
      <c r="C94" s="40">
        <f t="shared" ref="C94:G97" si="18">C84/$I$88</f>
        <v>0.10009071666162683</v>
      </c>
      <c r="D94" s="12"/>
      <c r="E94" s="11"/>
      <c r="F94" s="40">
        <f t="shared" si="17"/>
        <v>0</v>
      </c>
      <c r="G94" s="40">
        <f t="shared" si="17"/>
        <v>9.0716661626852133E-3</v>
      </c>
      <c r="H94" s="40">
        <f t="shared" si="17"/>
        <v>1.7538554581191412E-2</v>
      </c>
      <c r="I94" s="163">
        <f t="shared" si="16"/>
        <v>0.12670093740550348</v>
      </c>
    </row>
    <row r="95" spans="2:9" ht="15.6">
      <c r="B95" s="18" t="s">
        <v>42</v>
      </c>
      <c r="C95" s="40">
        <f t="shared" si="18"/>
        <v>2.6005442999697606E-2</v>
      </c>
      <c r="D95" s="40">
        <f t="shared" si="18"/>
        <v>2.7214998488055636E-3</v>
      </c>
      <c r="E95" s="40">
        <f t="shared" si="18"/>
        <v>3.0238887208950711E-4</v>
      </c>
      <c r="F95" s="11"/>
      <c r="G95" s="40">
        <f t="shared" si="17"/>
        <v>0</v>
      </c>
      <c r="H95" s="40">
        <f t="shared" si="17"/>
        <v>0</v>
      </c>
      <c r="I95" s="163">
        <f t="shared" si="16"/>
        <v>2.9029331720592674E-2</v>
      </c>
    </row>
    <row r="96" spans="2:9" ht="15.6">
      <c r="B96" s="18" t="s">
        <v>43</v>
      </c>
      <c r="C96" s="40">
        <f t="shared" si="18"/>
        <v>1.8445721197459932E-2</v>
      </c>
      <c r="D96" s="40">
        <f t="shared" si="18"/>
        <v>3.6286664650740853E-2</v>
      </c>
      <c r="E96" s="40">
        <f t="shared" si="18"/>
        <v>3.5984275778651341E-2</v>
      </c>
      <c r="F96" s="40">
        <f t="shared" si="18"/>
        <v>1.4212276988206835E-2</v>
      </c>
      <c r="G96" s="11"/>
      <c r="H96" s="40">
        <f t="shared" si="17"/>
        <v>0</v>
      </c>
      <c r="I96" s="163">
        <f t="shared" si="16"/>
        <v>0.10492893861505896</v>
      </c>
    </row>
    <row r="97" spans="2:9" ht="15.6">
      <c r="B97" s="18" t="s">
        <v>45</v>
      </c>
      <c r="C97" s="40">
        <f t="shared" si="18"/>
        <v>6.9247051708497126E-2</v>
      </c>
      <c r="D97" s="40">
        <f t="shared" si="18"/>
        <v>6.6827940731781069E-2</v>
      </c>
      <c r="E97" s="40">
        <f t="shared" si="18"/>
        <v>8.2249773208345936E-2</v>
      </c>
      <c r="F97" s="40">
        <f t="shared" si="18"/>
        <v>3.0843664953129728E-2</v>
      </c>
      <c r="G97" s="40">
        <f t="shared" si="18"/>
        <v>0</v>
      </c>
      <c r="H97" s="11"/>
      <c r="I97" s="163">
        <f t="shared" si="16"/>
        <v>0.24916843060175387</v>
      </c>
    </row>
    <row r="98" spans="2:9" ht="18">
      <c r="B98" s="16" t="s">
        <v>261</v>
      </c>
      <c r="C98" s="162">
        <f t="shared" ref="C98:I98" si="19">SUM(C92:C97)</f>
        <v>0.29241003931055337</v>
      </c>
      <c r="D98" s="162">
        <f t="shared" si="19"/>
        <v>0.15875415784699121</v>
      </c>
      <c r="E98" s="162">
        <f t="shared" si="19"/>
        <v>0.16570910190504989</v>
      </c>
      <c r="F98" s="162">
        <f t="shared" si="19"/>
        <v>4.5055941941336566E-2</v>
      </c>
      <c r="G98" s="162">
        <f t="shared" si="19"/>
        <v>8.3459328696703958E-2</v>
      </c>
      <c r="H98" s="162">
        <f t="shared" si="19"/>
        <v>0.25461143029936495</v>
      </c>
      <c r="I98" s="163">
        <f t="shared" si="19"/>
        <v>0.99999999999999989</v>
      </c>
    </row>
    <row r="101" spans="2:9" s="155" customFormat="1" ht="33.6">
      <c r="B101" s="176" t="s">
        <v>294</v>
      </c>
      <c r="C101" s="177" t="s">
        <v>35</v>
      </c>
      <c r="D101" s="177" t="s">
        <v>38</v>
      </c>
      <c r="E101" s="177" t="s">
        <v>40</v>
      </c>
      <c r="F101" s="177" t="s">
        <v>42</v>
      </c>
      <c r="G101" s="177" t="s">
        <v>43</v>
      </c>
      <c r="H101" s="177" t="s">
        <v>45</v>
      </c>
    </row>
    <row r="102" spans="2:9" ht="15.6">
      <c r="B102" s="18" t="s">
        <v>35</v>
      </c>
      <c r="C102" s="171"/>
      <c r="D102" s="165">
        <f>D82/D22</f>
        <v>14.520481489275447</v>
      </c>
      <c r="E102" s="165">
        <f>E82/E22</f>
        <v>14.520481489275445</v>
      </c>
      <c r="F102" s="165"/>
      <c r="G102" s="165">
        <f t="shared" ref="G102:H104" si="20">G82/G22</f>
        <v>14.520481489275451</v>
      </c>
      <c r="H102" s="165">
        <f t="shared" si="20"/>
        <v>14.520481489275449</v>
      </c>
    </row>
    <row r="103" spans="2:9" ht="15.6">
      <c r="B103" s="18" t="s">
        <v>38</v>
      </c>
      <c r="C103" s="165">
        <f>C83/C23</f>
        <v>14.520481489275451</v>
      </c>
      <c r="D103" s="171"/>
      <c r="E103" s="165"/>
      <c r="F103" s="165"/>
      <c r="G103" s="165">
        <f t="shared" si="20"/>
        <v>14.520481489275449</v>
      </c>
      <c r="H103" s="165">
        <f t="shared" si="20"/>
        <v>14.520481489275449</v>
      </c>
    </row>
    <row r="104" spans="2:9" ht="15.6">
      <c r="B104" s="18" t="s">
        <v>40</v>
      </c>
      <c r="C104" s="165">
        <f>C84/C24</f>
        <v>14.520481489275447</v>
      </c>
      <c r="D104" s="165"/>
      <c r="E104" s="171"/>
      <c r="F104" s="165"/>
      <c r="G104" s="165">
        <f t="shared" si="20"/>
        <v>14.520481489275449</v>
      </c>
      <c r="H104" s="165">
        <f t="shared" si="20"/>
        <v>14.520481489275449</v>
      </c>
    </row>
    <row r="105" spans="2:9" ht="15.6">
      <c r="B105" s="18" t="s">
        <v>42</v>
      </c>
      <c r="C105" s="165">
        <f>C85/C25</f>
        <v>14.520481489275447</v>
      </c>
      <c r="D105" s="165">
        <f t="shared" ref="D105:E107" si="21">D85/D25</f>
        <v>14.520481489275447</v>
      </c>
      <c r="E105" s="165">
        <f t="shared" si="21"/>
        <v>14.520481489275449</v>
      </c>
      <c r="F105" s="171"/>
      <c r="G105" s="165"/>
      <c r="H105" s="165"/>
    </row>
    <row r="106" spans="2:9" ht="15.6">
      <c r="B106" s="18" t="s">
        <v>43</v>
      </c>
      <c r="C106" s="165">
        <f>C86/C26</f>
        <v>14.520481489275449</v>
      </c>
      <c r="D106" s="165">
        <f t="shared" si="21"/>
        <v>14.520481489275449</v>
      </c>
      <c r="E106" s="165">
        <f t="shared" si="21"/>
        <v>14.520481489275449</v>
      </c>
      <c r="F106" s="165">
        <f>F86/F26</f>
        <v>14.520481489275451</v>
      </c>
      <c r="G106" s="171"/>
      <c r="H106" s="165"/>
    </row>
    <row r="107" spans="2:9" ht="15.6">
      <c r="B107" s="18" t="s">
        <v>45</v>
      </c>
      <c r="C107" s="165">
        <f>C87/C27</f>
        <v>14.520481489275449</v>
      </c>
      <c r="D107" s="165">
        <f t="shared" si="21"/>
        <v>14.520481489275449</v>
      </c>
      <c r="E107" s="165">
        <f t="shared" si="21"/>
        <v>14.520481489275449</v>
      </c>
      <c r="F107" s="165">
        <f>F87/F27</f>
        <v>14.520481489275451</v>
      </c>
      <c r="G107" s="165"/>
      <c r="H107" s="171"/>
    </row>
    <row r="115" spans="9:9">
      <c r="I115" s="114"/>
    </row>
  </sheetData>
  <mergeCells count="7">
    <mergeCell ref="B64:D64"/>
    <mergeCell ref="C3:E3"/>
    <mergeCell ref="C10:E10"/>
    <mergeCell ref="C15:E15"/>
    <mergeCell ref="B40:I40"/>
    <mergeCell ref="B42:D42"/>
    <mergeCell ref="B53:D5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164F-A128-4C7D-BD64-AFFEF127C23D}">
  <dimension ref="A3:J115"/>
  <sheetViews>
    <sheetView showGridLines="0" topLeftCell="A103" zoomScale="85" zoomScaleNormal="85" workbookViewId="0">
      <selection activeCell="I107" sqref="I107"/>
    </sheetView>
  </sheetViews>
  <sheetFormatPr defaultRowHeight="14.4"/>
  <cols>
    <col min="2" max="2" width="32" customWidth="1"/>
    <col min="3" max="3" width="17.7890625" customWidth="1"/>
    <col min="4" max="4" width="13.05078125" customWidth="1"/>
    <col min="5" max="5" width="14.7890625" customWidth="1"/>
    <col min="6" max="6" width="16.83984375" customWidth="1"/>
    <col min="7" max="7" width="16.47265625" customWidth="1"/>
    <col min="8" max="8" width="13.3125" customWidth="1"/>
    <col min="9" max="9" width="22.20703125" customWidth="1"/>
    <col min="12" max="12" width="12.3125" customWidth="1"/>
    <col min="14" max="14" width="12.89453125" customWidth="1"/>
    <col min="15" max="15" width="8.83984375" customWidth="1"/>
    <col min="18" max="18" width="12.89453125" customWidth="1"/>
  </cols>
  <sheetData>
    <row r="3" spans="3:5" ht="15.6">
      <c r="C3" s="262" t="s">
        <v>338</v>
      </c>
      <c r="D3" s="262"/>
      <c r="E3" s="262"/>
    </row>
    <row r="4" spans="3:5" ht="15.6">
      <c r="C4" s="18" t="s">
        <v>330</v>
      </c>
      <c r="D4" s="6" t="s">
        <v>305</v>
      </c>
      <c r="E4" s="6"/>
    </row>
    <row r="5" spans="3:5" ht="15.6">
      <c r="C5" s="18" t="s">
        <v>352</v>
      </c>
      <c r="D5" s="6">
        <v>5.85</v>
      </c>
      <c r="E5" s="6" t="s">
        <v>334</v>
      </c>
    </row>
    <row r="6" spans="3:5" ht="15.6">
      <c r="C6" s="18" t="s">
        <v>350</v>
      </c>
      <c r="D6" s="6">
        <v>6</v>
      </c>
      <c r="E6" s="6" t="s">
        <v>351</v>
      </c>
    </row>
    <row r="7" spans="3:5" ht="15.6">
      <c r="C7" s="18" t="s">
        <v>276</v>
      </c>
      <c r="D7" s="78">
        <f>D5/D6</f>
        <v>0.97499999999999998</v>
      </c>
      <c r="E7" s="6" t="s">
        <v>277</v>
      </c>
    </row>
    <row r="8" spans="3:5" ht="15.6">
      <c r="C8" s="18" t="s">
        <v>377</v>
      </c>
      <c r="D8" s="6">
        <v>2</v>
      </c>
      <c r="E8" s="6" t="s">
        <v>378</v>
      </c>
    </row>
    <row r="10" spans="3:5" ht="15.6">
      <c r="C10" s="262" t="s">
        <v>357</v>
      </c>
      <c r="D10" s="262"/>
      <c r="E10" s="262"/>
    </row>
    <row r="11" spans="3:5" ht="18">
      <c r="C11" s="18" t="s">
        <v>356</v>
      </c>
      <c r="D11" s="232">
        <f>'Fatores Emissao'!C17</f>
        <v>2.6971979257200673</v>
      </c>
      <c r="E11" s="6" t="s">
        <v>280</v>
      </c>
    </row>
    <row r="12" spans="3:5" ht="18">
      <c r="C12" s="18" t="s">
        <v>354</v>
      </c>
      <c r="D12" s="196">
        <f>'Fatores Emissao'!D17</f>
        <v>0.15057814080905368</v>
      </c>
      <c r="E12" s="6" t="s">
        <v>503</v>
      </c>
    </row>
    <row r="13" spans="3:5" ht="18">
      <c r="C13" s="18" t="s">
        <v>355</v>
      </c>
      <c r="D13" s="196">
        <f>'Fatores Emissao'!E17</f>
        <v>6.8684765983077128E-2</v>
      </c>
      <c r="E13" s="6" t="s">
        <v>503</v>
      </c>
    </row>
    <row r="15" spans="3:5" ht="15.6">
      <c r="C15" s="262" t="s">
        <v>353</v>
      </c>
      <c r="D15" s="262"/>
      <c r="E15" s="262"/>
    </row>
    <row r="16" spans="3:5" ht="18">
      <c r="C16" s="18" t="s">
        <v>356</v>
      </c>
      <c r="D16" s="196">
        <f>D11*$D$7</f>
        <v>2.6297679775770657</v>
      </c>
      <c r="E16" s="6" t="s">
        <v>284</v>
      </c>
    </row>
    <row r="17" spans="2:9" ht="18">
      <c r="C17" s="18" t="s">
        <v>354</v>
      </c>
      <c r="D17" s="196">
        <f>D12*$D$7</f>
        <v>0.14681368728882735</v>
      </c>
      <c r="E17" s="6" t="s">
        <v>283</v>
      </c>
    </row>
    <row r="18" spans="2:9" ht="18">
      <c r="C18" s="18" t="s">
        <v>355</v>
      </c>
      <c r="D18" s="196">
        <f t="shared" ref="D18" si="0">D13*$D$7</f>
        <v>6.6967646833500205E-2</v>
      </c>
      <c r="E18" s="6" t="s">
        <v>283</v>
      </c>
    </row>
    <row r="21" spans="2:9" ht="15.6">
      <c r="B21" s="5" t="s">
        <v>188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5" t="s">
        <v>47</v>
      </c>
    </row>
    <row r="22" spans="2:9" ht="15.6">
      <c r="B22" s="10" t="s">
        <v>4</v>
      </c>
      <c r="C22" s="11">
        <f>'Movimentacao de Conteineres'!K30</f>
        <v>0</v>
      </c>
      <c r="D22" s="12">
        <f>'Movimentacao de Conteineres'!L30</f>
        <v>175</v>
      </c>
      <c r="E22" s="12">
        <f>'Movimentacao de Conteineres'!M30</f>
        <v>156</v>
      </c>
      <c r="F22" s="12">
        <f>'Movimentacao de Conteineres'!N30</f>
        <v>0</v>
      </c>
      <c r="G22" s="12">
        <f>'Movimentacao de Conteineres'!O30</f>
        <v>226</v>
      </c>
      <c r="H22" s="12">
        <f>'Movimentacao de Conteineres'!P30</f>
        <v>648</v>
      </c>
      <c r="I22" s="13">
        <f t="shared" ref="I22:I27" si="1">SUM(C22:H22)</f>
        <v>1205</v>
      </c>
    </row>
    <row r="23" spans="2:9" ht="15.6">
      <c r="B23" s="10" t="s">
        <v>5</v>
      </c>
      <c r="C23" s="12">
        <f>'Movimentacao de Conteineres'!K31</f>
        <v>260</v>
      </c>
      <c r="D23" s="11">
        <f>'Movimentacao de Conteineres'!L31</f>
        <v>0</v>
      </c>
      <c r="E23" s="12">
        <f>'Movimentacao de Conteineres'!M31</f>
        <v>0</v>
      </c>
      <c r="F23" s="12">
        <f>'Movimentacao de Conteineres'!N31</f>
        <v>0</v>
      </c>
      <c r="G23" s="12">
        <f>'Movimentacao de Conteineres'!O31</f>
        <v>20</v>
      </c>
      <c r="H23" s="12">
        <f>'Movimentacao de Conteineres'!P31</f>
        <v>136</v>
      </c>
      <c r="I23" s="13">
        <f t="shared" si="1"/>
        <v>416</v>
      </c>
    </row>
    <row r="24" spans="2:9" ht="15.6">
      <c r="B24" s="10" t="s">
        <v>6</v>
      </c>
      <c r="C24" s="12">
        <f>'Movimentacao de Conteineres'!K32</f>
        <v>331</v>
      </c>
      <c r="D24" s="12">
        <f>'Movimentacao de Conteineres'!L32</f>
        <v>0</v>
      </c>
      <c r="E24" s="11">
        <f>'Movimentacao de Conteineres'!M32</f>
        <v>0</v>
      </c>
      <c r="F24" s="12">
        <f>'Movimentacao de Conteineres'!N32</f>
        <v>0</v>
      </c>
      <c r="G24" s="12">
        <f>'Movimentacao de Conteineres'!O32</f>
        <v>30</v>
      </c>
      <c r="H24" s="12">
        <f>'Movimentacao de Conteineres'!P32</f>
        <v>58</v>
      </c>
      <c r="I24" s="13">
        <f t="shared" si="1"/>
        <v>419</v>
      </c>
    </row>
    <row r="25" spans="2:9" ht="15.6">
      <c r="B25" s="10" t="s">
        <v>7</v>
      </c>
      <c r="C25" s="12">
        <f>'Movimentacao de Conteineres'!K33</f>
        <v>86</v>
      </c>
      <c r="D25" s="12">
        <f>'Movimentacao de Conteineres'!L33</f>
        <v>9</v>
      </c>
      <c r="E25" s="12">
        <f>'Movimentacao de Conteineres'!M33</f>
        <v>1</v>
      </c>
      <c r="F25" s="11">
        <f>'Movimentacao de Conteineres'!N33</f>
        <v>0</v>
      </c>
      <c r="G25" s="12">
        <f>'Movimentacao de Conteineres'!O33</f>
        <v>0</v>
      </c>
      <c r="H25" s="12">
        <f>'Movimentacao de Conteineres'!P33</f>
        <v>0</v>
      </c>
      <c r="I25" s="13">
        <f t="shared" si="1"/>
        <v>96</v>
      </c>
    </row>
    <row r="26" spans="2:9" ht="15.6">
      <c r="B26" s="10" t="s">
        <v>8</v>
      </c>
      <c r="C26" s="12">
        <f>'Movimentacao de Conteineres'!K34</f>
        <v>61</v>
      </c>
      <c r="D26" s="12">
        <f>'Movimentacao de Conteineres'!L34</f>
        <v>120</v>
      </c>
      <c r="E26" s="12">
        <f>'Movimentacao de Conteineres'!M34</f>
        <v>119</v>
      </c>
      <c r="F26" s="12">
        <f>'Movimentacao de Conteineres'!N34</f>
        <v>47</v>
      </c>
      <c r="G26" s="11">
        <f>'Movimentacao de Conteineres'!O34</f>
        <v>0</v>
      </c>
      <c r="H26" s="12">
        <f>'Movimentacao de Conteineres'!P34</f>
        <v>0</v>
      </c>
      <c r="I26" s="13">
        <f t="shared" si="1"/>
        <v>347</v>
      </c>
    </row>
    <row r="27" spans="2:9" ht="15.6">
      <c r="B27" s="10" t="s">
        <v>9</v>
      </c>
      <c r="C27" s="12">
        <f>'Movimentacao de Conteineres'!K35</f>
        <v>229</v>
      </c>
      <c r="D27" s="12">
        <f>'Movimentacao de Conteineres'!L35</f>
        <v>221</v>
      </c>
      <c r="E27" s="12">
        <f>'Movimentacao de Conteineres'!M35</f>
        <v>272</v>
      </c>
      <c r="F27" s="12">
        <f>'Movimentacao de Conteineres'!N35</f>
        <v>102</v>
      </c>
      <c r="G27" s="12">
        <f>'Movimentacao de Conteineres'!O35</f>
        <v>0</v>
      </c>
      <c r="H27" s="11">
        <f>'Movimentacao de Conteineres'!P35</f>
        <v>0</v>
      </c>
      <c r="I27" s="13">
        <f t="shared" si="1"/>
        <v>824</v>
      </c>
    </row>
    <row r="28" spans="2:9" ht="15.6">
      <c r="B28" s="16" t="s">
        <v>48</v>
      </c>
      <c r="C28" s="13">
        <f t="shared" ref="C28:I28" si="2">SUM(C22:C27)</f>
        <v>967</v>
      </c>
      <c r="D28" s="13">
        <f t="shared" si="2"/>
        <v>525</v>
      </c>
      <c r="E28" s="13">
        <f t="shared" si="2"/>
        <v>548</v>
      </c>
      <c r="F28" s="13">
        <f t="shared" si="2"/>
        <v>149</v>
      </c>
      <c r="G28" s="13">
        <f t="shared" si="2"/>
        <v>276</v>
      </c>
      <c r="H28" s="13">
        <f t="shared" si="2"/>
        <v>842</v>
      </c>
      <c r="I28" s="13">
        <f t="shared" si="2"/>
        <v>3307</v>
      </c>
    </row>
    <row r="30" spans="2:9" ht="31.2">
      <c r="B30" s="176" t="s">
        <v>359</v>
      </c>
      <c r="C30" s="98" t="s">
        <v>35</v>
      </c>
      <c r="D30" s="98" t="s">
        <v>38</v>
      </c>
      <c r="E30" s="98" t="s">
        <v>40</v>
      </c>
      <c r="F30" s="98" t="s">
        <v>42</v>
      </c>
      <c r="G30" s="98" t="s">
        <v>43</v>
      </c>
      <c r="H30" s="98" t="s">
        <v>45</v>
      </c>
      <c r="I30" s="5" t="s">
        <v>47</v>
      </c>
    </row>
    <row r="31" spans="2:9" ht="15.6">
      <c r="B31" s="18" t="s">
        <v>35</v>
      </c>
      <c r="C31" s="11">
        <f>C22*$D$8</f>
        <v>0</v>
      </c>
      <c r="D31" s="12">
        <f t="shared" ref="D31:H31" si="3">D22*$D$8</f>
        <v>350</v>
      </c>
      <c r="E31" s="12">
        <f t="shared" si="3"/>
        <v>312</v>
      </c>
      <c r="F31" s="12">
        <f t="shared" si="3"/>
        <v>0</v>
      </c>
      <c r="G31" s="12">
        <f t="shared" si="3"/>
        <v>452</v>
      </c>
      <c r="H31" s="12">
        <f t="shared" si="3"/>
        <v>1296</v>
      </c>
      <c r="I31" s="13">
        <f t="shared" ref="I31:I36" si="4">SUM(C31:H31)</f>
        <v>2410</v>
      </c>
    </row>
    <row r="32" spans="2:9" ht="15.6">
      <c r="B32" s="18" t="s">
        <v>38</v>
      </c>
      <c r="C32" s="12">
        <f t="shared" ref="C32:H32" si="5">C23*$D$8</f>
        <v>520</v>
      </c>
      <c r="D32" s="11">
        <f t="shared" si="5"/>
        <v>0</v>
      </c>
      <c r="E32" s="12">
        <f t="shared" si="5"/>
        <v>0</v>
      </c>
      <c r="F32" s="12">
        <f t="shared" si="5"/>
        <v>0</v>
      </c>
      <c r="G32" s="12">
        <f t="shared" si="5"/>
        <v>40</v>
      </c>
      <c r="H32" s="12">
        <f t="shared" si="5"/>
        <v>272</v>
      </c>
      <c r="I32" s="13">
        <f t="shared" si="4"/>
        <v>832</v>
      </c>
    </row>
    <row r="33" spans="2:9" ht="15.6">
      <c r="B33" s="18" t="s">
        <v>40</v>
      </c>
      <c r="C33" s="12">
        <f t="shared" ref="C33:H33" si="6">C24*$D$8</f>
        <v>662</v>
      </c>
      <c r="D33" s="12">
        <f t="shared" si="6"/>
        <v>0</v>
      </c>
      <c r="E33" s="11">
        <f t="shared" si="6"/>
        <v>0</v>
      </c>
      <c r="F33" s="12">
        <f t="shared" si="6"/>
        <v>0</v>
      </c>
      <c r="G33" s="12">
        <f t="shared" si="6"/>
        <v>60</v>
      </c>
      <c r="H33" s="12">
        <f t="shared" si="6"/>
        <v>116</v>
      </c>
      <c r="I33" s="13">
        <f t="shared" si="4"/>
        <v>838</v>
      </c>
    </row>
    <row r="34" spans="2:9" ht="15.6">
      <c r="B34" s="18" t="s">
        <v>42</v>
      </c>
      <c r="C34" s="12">
        <f t="shared" ref="C34:H34" si="7">C25*$D$8</f>
        <v>172</v>
      </c>
      <c r="D34" s="12">
        <f t="shared" si="7"/>
        <v>18</v>
      </c>
      <c r="E34" s="12">
        <f t="shared" si="7"/>
        <v>2</v>
      </c>
      <c r="F34" s="11">
        <f t="shared" si="7"/>
        <v>0</v>
      </c>
      <c r="G34" s="12">
        <f t="shared" si="7"/>
        <v>0</v>
      </c>
      <c r="H34" s="12">
        <f t="shared" si="7"/>
        <v>0</v>
      </c>
      <c r="I34" s="13">
        <f t="shared" si="4"/>
        <v>192</v>
      </c>
    </row>
    <row r="35" spans="2:9" ht="15.6">
      <c r="B35" s="18" t="s">
        <v>43</v>
      </c>
      <c r="C35" s="12">
        <f t="shared" ref="C35:H35" si="8">C26*$D$8</f>
        <v>122</v>
      </c>
      <c r="D35" s="12">
        <f t="shared" si="8"/>
        <v>240</v>
      </c>
      <c r="E35" s="12">
        <f t="shared" si="8"/>
        <v>238</v>
      </c>
      <c r="F35" s="12">
        <f t="shared" si="8"/>
        <v>94</v>
      </c>
      <c r="G35" s="11">
        <f t="shared" si="8"/>
        <v>0</v>
      </c>
      <c r="H35" s="12">
        <f t="shared" si="8"/>
        <v>0</v>
      </c>
      <c r="I35" s="13">
        <f t="shared" si="4"/>
        <v>694</v>
      </c>
    </row>
    <row r="36" spans="2:9" ht="15.6">
      <c r="B36" s="18" t="s">
        <v>45</v>
      </c>
      <c r="C36" s="12">
        <f t="shared" ref="C36:H36" si="9">C27*$D$8</f>
        <v>458</v>
      </c>
      <c r="D36" s="12">
        <f t="shared" si="9"/>
        <v>442</v>
      </c>
      <c r="E36" s="12">
        <f t="shared" si="9"/>
        <v>544</v>
      </c>
      <c r="F36" s="12">
        <f t="shared" si="9"/>
        <v>204</v>
      </c>
      <c r="G36" s="12">
        <f t="shared" si="9"/>
        <v>0</v>
      </c>
      <c r="H36" s="11">
        <f t="shared" si="9"/>
        <v>0</v>
      </c>
      <c r="I36" s="13">
        <f t="shared" si="4"/>
        <v>1648</v>
      </c>
    </row>
    <row r="37" spans="2:9" ht="15.6">
      <c r="B37" s="16" t="s">
        <v>48</v>
      </c>
      <c r="C37" s="13">
        <f t="shared" ref="C37:H37" si="10">SUM(C31:C36)</f>
        <v>1934</v>
      </c>
      <c r="D37" s="13">
        <f t="shared" si="10"/>
        <v>1050</v>
      </c>
      <c r="E37" s="13">
        <f t="shared" si="10"/>
        <v>1096</v>
      </c>
      <c r="F37" s="13">
        <f t="shared" si="10"/>
        <v>298</v>
      </c>
      <c r="G37" s="13">
        <f t="shared" si="10"/>
        <v>552</v>
      </c>
      <c r="H37" s="13">
        <f t="shared" si="10"/>
        <v>1684</v>
      </c>
      <c r="I37" s="13">
        <f>SUM(I31:I36)</f>
        <v>6614</v>
      </c>
    </row>
    <row r="38" spans="2:9">
      <c r="I38" s="114"/>
    </row>
    <row r="39" spans="2:9">
      <c r="I39" s="114"/>
    </row>
    <row r="40" spans="2:9" ht="23.1">
      <c r="B40" s="273" t="s">
        <v>483</v>
      </c>
      <c r="C40" s="273"/>
      <c r="D40" s="273"/>
      <c r="E40" s="273"/>
      <c r="F40" s="273"/>
      <c r="G40" s="273"/>
      <c r="H40" s="273"/>
      <c r="I40" s="273"/>
    </row>
    <row r="42" spans="2:9" ht="18">
      <c r="B42" s="272" t="s">
        <v>296</v>
      </c>
      <c r="C42" s="272"/>
      <c r="D42" s="272"/>
      <c r="E42" s="170">
        <f>D16</f>
        <v>2.6297679775770657</v>
      </c>
      <c r="F42" s="164" t="s">
        <v>394</v>
      </c>
    </row>
    <row r="43" spans="2:9" ht="18">
      <c r="B43" s="5" t="s">
        <v>239</v>
      </c>
      <c r="C43" s="98" t="s">
        <v>35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240</v>
      </c>
    </row>
    <row r="44" spans="2:9" ht="15.6">
      <c r="B44" s="18" t="s">
        <v>35</v>
      </c>
      <c r="C44" s="11"/>
      <c r="D44" s="12">
        <f>D31*$E$42</f>
        <v>920.41879215197298</v>
      </c>
      <c r="E44" s="12">
        <f>E31*$E$42</f>
        <v>820.48760900404454</v>
      </c>
      <c r="F44" s="12">
        <f>F31*$E$42</f>
        <v>0</v>
      </c>
      <c r="G44" s="12">
        <f>G31*$E$42</f>
        <v>1188.6551258648337</v>
      </c>
      <c r="H44" s="12">
        <f>H31*$E$42</f>
        <v>3408.1792989398773</v>
      </c>
      <c r="I44" s="13">
        <f t="shared" ref="I44:I49" si="11">SUM(C44:H44)</f>
        <v>6337.7408259607291</v>
      </c>
    </row>
    <row r="45" spans="2:9" ht="15.6">
      <c r="B45" s="18" t="s">
        <v>38</v>
      </c>
      <c r="C45" s="12">
        <f>C32*$E$42</f>
        <v>1367.4793483400742</v>
      </c>
      <c r="D45" s="11"/>
      <c r="E45" s="12">
        <f>E32*$E$42</f>
        <v>0</v>
      </c>
      <c r="F45" s="12">
        <f>F32*$E$42</f>
        <v>0</v>
      </c>
      <c r="G45" s="12">
        <f>G32*$E$42</f>
        <v>105.19071910308263</v>
      </c>
      <c r="H45" s="12">
        <f>H32*$E$42</f>
        <v>715.2968899009619</v>
      </c>
      <c r="I45" s="13">
        <f t="shared" si="11"/>
        <v>2187.9669573441188</v>
      </c>
    </row>
    <row r="46" spans="2:9" ht="15.6">
      <c r="B46" s="18" t="s">
        <v>40</v>
      </c>
      <c r="C46" s="12">
        <f>C33*$E$42</f>
        <v>1740.9064011560174</v>
      </c>
      <c r="D46" s="12">
        <f>D33*$E$42</f>
        <v>0</v>
      </c>
      <c r="E46" s="11"/>
      <c r="F46" s="12">
        <f>F33*$E$42</f>
        <v>0</v>
      </c>
      <c r="G46" s="12">
        <f>G33*$E$42</f>
        <v>157.78607865462394</v>
      </c>
      <c r="H46" s="12">
        <f>H33*$E$42</f>
        <v>305.05308539893963</v>
      </c>
      <c r="I46" s="13">
        <f t="shared" si="11"/>
        <v>2203.7455652095809</v>
      </c>
    </row>
    <row r="47" spans="2:9" ht="15.6">
      <c r="B47" s="18" t="s">
        <v>42</v>
      </c>
      <c r="C47" s="12">
        <f>C34*$E$42</f>
        <v>452.32009214325529</v>
      </c>
      <c r="D47" s="12">
        <f>D34*$E$42</f>
        <v>47.335823596387186</v>
      </c>
      <c r="E47" s="12">
        <f>E34*$E$42</f>
        <v>5.2595359551541314</v>
      </c>
      <c r="F47" s="11"/>
      <c r="G47" s="12">
        <f>G34*$E$42</f>
        <v>0</v>
      </c>
      <c r="H47" s="12">
        <f>H34*$E$42</f>
        <v>0</v>
      </c>
      <c r="I47" s="13">
        <f t="shared" si="11"/>
        <v>504.91545169479662</v>
      </c>
    </row>
    <row r="48" spans="2:9" ht="15.6">
      <c r="B48" s="18" t="s">
        <v>43</v>
      </c>
      <c r="C48" s="12">
        <f>C35*$E$42</f>
        <v>320.83169326440202</v>
      </c>
      <c r="D48" s="12">
        <f>D35*$E$42</f>
        <v>631.14431461849574</v>
      </c>
      <c r="E48" s="12">
        <f>E35*$E$42</f>
        <v>625.88477866334165</v>
      </c>
      <c r="F48" s="12">
        <f>F35*$E$42</f>
        <v>247.19818989224419</v>
      </c>
      <c r="G48" s="11"/>
      <c r="H48" s="12">
        <f>H35*$E$42</f>
        <v>0</v>
      </c>
      <c r="I48" s="13">
        <f t="shared" si="11"/>
        <v>1825.0589764384838</v>
      </c>
    </row>
    <row r="49" spans="2:9" ht="15.6">
      <c r="B49" s="18" t="s">
        <v>45</v>
      </c>
      <c r="C49" s="12">
        <f>C36*$E$42</f>
        <v>1204.4337337302961</v>
      </c>
      <c r="D49" s="12">
        <f>D36*$E$42</f>
        <v>1162.3574460890629</v>
      </c>
      <c r="E49" s="12">
        <f>E36*$E$42</f>
        <v>1430.5937798019238</v>
      </c>
      <c r="F49" s="12">
        <f>F36*$E$42</f>
        <v>536.4726674257214</v>
      </c>
      <c r="G49" s="12">
        <f>G36*$E$42</f>
        <v>0</v>
      </c>
      <c r="H49" s="11"/>
      <c r="I49" s="13">
        <f t="shared" si="11"/>
        <v>4333.8576270470048</v>
      </c>
    </row>
    <row r="50" spans="2:9" ht="18">
      <c r="B50" s="16" t="s">
        <v>241</v>
      </c>
      <c r="C50" s="13">
        <f t="shared" ref="C50:H50" si="12">SUM(C44:C49)</f>
        <v>5085.9712686340454</v>
      </c>
      <c r="D50" s="13">
        <f t="shared" si="12"/>
        <v>2761.2563764559191</v>
      </c>
      <c r="E50" s="13">
        <f t="shared" si="12"/>
        <v>2882.225703424464</v>
      </c>
      <c r="F50" s="13">
        <f t="shared" si="12"/>
        <v>783.67085731796556</v>
      </c>
      <c r="G50" s="13">
        <f t="shared" si="12"/>
        <v>1451.6319236225402</v>
      </c>
      <c r="H50" s="13">
        <f t="shared" si="12"/>
        <v>4428.5292742397787</v>
      </c>
      <c r="I50" s="13">
        <f>SUM(I44:I49)</f>
        <v>17393.285403694714</v>
      </c>
    </row>
    <row r="53" spans="2:9" ht="18">
      <c r="B53" s="272" t="s">
        <v>297</v>
      </c>
      <c r="C53" s="272"/>
      <c r="D53" s="272"/>
      <c r="E53" s="170">
        <f>D17</f>
        <v>0.14681368728882735</v>
      </c>
      <c r="F53" s="164" t="s">
        <v>395</v>
      </c>
    </row>
    <row r="54" spans="2:9" ht="18">
      <c r="B54" s="5" t="s">
        <v>255</v>
      </c>
      <c r="C54" s="98" t="s">
        <v>35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243</v>
      </c>
    </row>
    <row r="55" spans="2:9" ht="15.6">
      <c r="B55" s="18" t="s">
        <v>35</v>
      </c>
      <c r="C55" s="174"/>
      <c r="D55" s="175">
        <f>D31*$E$53/1000</f>
        <v>5.1384790551089569E-2</v>
      </c>
      <c r="E55" s="175">
        <f>E31*$E$53/1000</f>
        <v>4.5805870434114132E-2</v>
      </c>
      <c r="F55" s="175">
        <f>F31*$E$53/1000</f>
        <v>0</v>
      </c>
      <c r="G55" s="175">
        <f>G31*$E$53/1000</f>
        <v>6.635978665454996E-2</v>
      </c>
      <c r="H55" s="175">
        <f>H31*$E$53/1000</f>
        <v>0.19027053872632024</v>
      </c>
      <c r="I55" s="161">
        <f t="shared" ref="I55:I60" si="13">SUM(C55:H55)</f>
        <v>0.35382098636607395</v>
      </c>
    </row>
    <row r="56" spans="2:9" ht="15.6">
      <c r="B56" s="18" t="s">
        <v>38</v>
      </c>
      <c r="C56" s="175">
        <f>C32*$E$53/1000</f>
        <v>7.6343117390190215E-2</v>
      </c>
      <c r="D56" s="174"/>
      <c r="E56" s="175">
        <f>E32*$E$53/1000</f>
        <v>0</v>
      </c>
      <c r="F56" s="175">
        <f>F32*$E$53/1000</f>
        <v>0</v>
      </c>
      <c r="G56" s="175">
        <f>G32*$E$53/1000</f>
        <v>5.8725474915530939E-3</v>
      </c>
      <c r="H56" s="175">
        <f>H32*$E$53/1000</f>
        <v>3.9933322942561043E-2</v>
      </c>
      <c r="I56" s="161">
        <f t="shared" si="13"/>
        <v>0.12214898782430436</v>
      </c>
    </row>
    <row r="57" spans="2:9" ht="15.6">
      <c r="B57" s="18" t="s">
        <v>40</v>
      </c>
      <c r="C57" s="175">
        <f>C33*$E$53/1000</f>
        <v>9.7190660985203708E-2</v>
      </c>
      <c r="D57" s="175">
        <f>D33*$E$53/1000</f>
        <v>0</v>
      </c>
      <c r="E57" s="174"/>
      <c r="F57" s="175">
        <f>F33*$E$53/1000</f>
        <v>0</v>
      </c>
      <c r="G57" s="175">
        <f>G33*$E$53/1000</f>
        <v>8.80882123732964E-3</v>
      </c>
      <c r="H57" s="175">
        <f>H33*$E$53/1000</f>
        <v>1.703038772550397E-2</v>
      </c>
      <c r="I57" s="161">
        <f t="shared" si="13"/>
        <v>0.12302986994803732</v>
      </c>
    </row>
    <row r="58" spans="2:9" ht="15.6">
      <c r="B58" s="18" t="s">
        <v>42</v>
      </c>
      <c r="C58" s="175">
        <f>C34*$E$53/1000</f>
        <v>2.5251954213678304E-2</v>
      </c>
      <c r="D58" s="175">
        <f>D34*$E$53/1000</f>
        <v>2.6426463711988922E-3</v>
      </c>
      <c r="E58" s="175">
        <f>E34*$E$53/1000</f>
        <v>2.9362737457765467E-4</v>
      </c>
      <c r="F58" s="174"/>
      <c r="G58" s="175">
        <f>G34*$E$53/1000</f>
        <v>0</v>
      </c>
      <c r="H58" s="175">
        <f>H34*$E$53/1000</f>
        <v>0</v>
      </c>
      <c r="I58" s="161">
        <f t="shared" si="13"/>
        <v>2.8188227959454852E-2</v>
      </c>
    </row>
    <row r="59" spans="2:9" ht="15.6">
      <c r="B59" s="18" t="s">
        <v>43</v>
      </c>
      <c r="C59" s="175">
        <f>C35*$E$53/1000</f>
        <v>1.7911269849236938E-2</v>
      </c>
      <c r="D59" s="175">
        <f>D35*$E$53/1000</f>
        <v>3.523528494931856E-2</v>
      </c>
      <c r="E59" s="175">
        <f>E35*$E$53/1000</f>
        <v>3.4941657574740909E-2</v>
      </c>
      <c r="F59" s="175">
        <f>F35*$E$53/1000</f>
        <v>1.3800486605149771E-2</v>
      </c>
      <c r="G59" s="174"/>
      <c r="H59" s="175">
        <f>H35*$E$53/1000</f>
        <v>0</v>
      </c>
      <c r="I59" s="161">
        <f t="shared" si="13"/>
        <v>0.10188869897844618</v>
      </c>
    </row>
    <row r="60" spans="2:9" ht="15.6">
      <c r="B60" s="18" t="s">
        <v>45</v>
      </c>
      <c r="C60" s="175">
        <f>C36*$E$53/1000</f>
        <v>6.7240668778282928E-2</v>
      </c>
      <c r="D60" s="175">
        <f>D36*$E$53/1000</f>
        <v>6.4891649781661689E-2</v>
      </c>
      <c r="E60" s="175">
        <f>E36*$E$53/1000</f>
        <v>7.9866645885122087E-2</v>
      </c>
      <c r="F60" s="175">
        <f>F36*$E$53/1000</f>
        <v>2.9949992206920781E-2</v>
      </c>
      <c r="G60" s="175">
        <f>G36*$E$53/1000</f>
        <v>0</v>
      </c>
      <c r="H60" s="174"/>
      <c r="I60" s="161">
        <f t="shared" si="13"/>
        <v>0.24194895665198751</v>
      </c>
    </row>
    <row r="61" spans="2:9" ht="18">
      <c r="B61" s="16" t="s">
        <v>244</v>
      </c>
      <c r="C61" s="161">
        <f t="shared" ref="C61:H61" si="14">SUM(C55:C60)</f>
        <v>0.28393767121659208</v>
      </c>
      <c r="D61" s="161">
        <f t="shared" si="14"/>
        <v>0.15415437165326873</v>
      </c>
      <c r="E61" s="161">
        <f t="shared" si="14"/>
        <v>0.16090780126855478</v>
      </c>
      <c r="F61" s="161">
        <f t="shared" si="14"/>
        <v>4.3750478812070552E-2</v>
      </c>
      <c r="G61" s="161">
        <f t="shared" si="14"/>
        <v>8.1041155383432692E-2</v>
      </c>
      <c r="H61" s="161">
        <f t="shared" si="14"/>
        <v>0.24723424939438526</v>
      </c>
      <c r="I61" s="161">
        <f>SUM(I55:I60)</f>
        <v>0.97102572772830431</v>
      </c>
    </row>
    <row r="64" spans="2:9" ht="18">
      <c r="B64" s="272" t="s">
        <v>298</v>
      </c>
      <c r="C64" s="272"/>
      <c r="D64" s="272"/>
      <c r="E64" s="170">
        <f>D18</f>
        <v>6.6967646833500205E-2</v>
      </c>
      <c r="F64" s="164" t="s">
        <v>397</v>
      </c>
    </row>
    <row r="65" spans="2:9" ht="18">
      <c r="B65" s="5" t="s">
        <v>254</v>
      </c>
      <c r="C65" s="98" t="s">
        <v>35</v>
      </c>
      <c r="D65" s="98" t="s">
        <v>38</v>
      </c>
      <c r="E65" s="98" t="s">
        <v>40</v>
      </c>
      <c r="F65" s="98" t="s">
        <v>42</v>
      </c>
      <c r="G65" s="98" t="s">
        <v>43</v>
      </c>
      <c r="H65" s="98" t="s">
        <v>45</v>
      </c>
      <c r="I65" s="5" t="s">
        <v>246</v>
      </c>
    </row>
    <row r="66" spans="2:9" ht="15.6">
      <c r="B66" s="18" t="s">
        <v>35</v>
      </c>
      <c r="C66" s="174"/>
      <c r="D66" s="175">
        <f>D31*$E$64/1000</f>
        <v>2.3438676391725071E-2</v>
      </c>
      <c r="E66" s="175">
        <f>E31*$E$64/1000</f>
        <v>2.0893905812052065E-2</v>
      </c>
      <c r="F66" s="175">
        <f>F31*$E$64/1000</f>
        <v>0</v>
      </c>
      <c r="G66" s="175">
        <f>G31*$E$64/1000</f>
        <v>3.0269376368742093E-2</v>
      </c>
      <c r="H66" s="175">
        <f>H31*$E$64/1000</f>
        <v>8.6790070296216271E-2</v>
      </c>
      <c r="I66" s="161">
        <f t="shared" ref="I66:I71" si="15">SUM(C66:H66)</f>
        <v>0.16139202886873549</v>
      </c>
    </row>
    <row r="67" spans="2:9" ht="15.6">
      <c r="B67" s="18" t="s">
        <v>38</v>
      </c>
      <c r="C67" s="175">
        <f>C32*$E$64/1000</f>
        <v>3.482317635342011E-2</v>
      </c>
      <c r="D67" s="174"/>
      <c r="E67" s="175">
        <f>E32*$E$64/1000</f>
        <v>0</v>
      </c>
      <c r="F67" s="175">
        <f>F32*$E$64/1000</f>
        <v>0</v>
      </c>
      <c r="G67" s="175">
        <f>G32*$E$64/1000</f>
        <v>2.6787058733400084E-3</v>
      </c>
      <c r="H67" s="175">
        <f>H32*$E$64/1000</f>
        <v>1.8215199938712054E-2</v>
      </c>
      <c r="I67" s="161">
        <f t="shared" si="15"/>
        <v>5.5717082165472172E-2</v>
      </c>
    </row>
    <row r="68" spans="2:9" ht="15.6">
      <c r="B68" s="18" t="s">
        <v>40</v>
      </c>
      <c r="C68" s="175">
        <f>C33*$E$64/1000</f>
        <v>4.4332582203777136E-2</v>
      </c>
      <c r="D68" s="175">
        <f>D33*$E$64/1000</f>
        <v>0</v>
      </c>
      <c r="E68" s="174"/>
      <c r="F68" s="175">
        <f>F33*$E$64/1000</f>
        <v>0</v>
      </c>
      <c r="G68" s="175">
        <f>G33*$E$64/1000</f>
        <v>4.0180588100100128E-3</v>
      </c>
      <c r="H68" s="175">
        <f>H33*$E$64/1000</f>
        <v>7.768247032686023E-3</v>
      </c>
      <c r="I68" s="161">
        <f t="shared" si="15"/>
        <v>5.6118888046473178E-2</v>
      </c>
    </row>
    <row r="69" spans="2:9" ht="15.6">
      <c r="B69" s="18" t="s">
        <v>42</v>
      </c>
      <c r="C69" s="175">
        <f>C34*$E$64/1000</f>
        <v>1.1518435255362036E-2</v>
      </c>
      <c r="D69" s="175">
        <f>D34*$E$64/1000</f>
        <v>1.2054176430030038E-3</v>
      </c>
      <c r="E69" s="175">
        <f>E34*$E$64/1000</f>
        <v>1.3393529366700042E-4</v>
      </c>
      <c r="F69" s="174"/>
      <c r="G69" s="175">
        <f>G34*$E$64/1000</f>
        <v>0</v>
      </c>
      <c r="H69" s="175">
        <f>H34*$E$64/1000</f>
        <v>0</v>
      </c>
      <c r="I69" s="161">
        <f t="shared" si="15"/>
        <v>1.285778819203204E-2</v>
      </c>
    </row>
    <row r="70" spans="2:9" ht="15.6">
      <c r="B70" s="18" t="s">
        <v>43</v>
      </c>
      <c r="C70" s="175">
        <f>C35*$E$64/1000</f>
        <v>8.1700529136870242E-3</v>
      </c>
      <c r="D70" s="175">
        <f>D35*$E$64/1000</f>
        <v>1.6072235240040051E-2</v>
      </c>
      <c r="E70" s="175">
        <f>E35*$E$64/1000</f>
        <v>1.5938299946373049E-2</v>
      </c>
      <c r="F70" s="175">
        <f>F35*$E$64/1000</f>
        <v>6.2949588023490195E-3</v>
      </c>
      <c r="G70" s="174"/>
      <c r="H70" s="175">
        <f>H35*$E$64/1000</f>
        <v>0</v>
      </c>
      <c r="I70" s="161">
        <f t="shared" si="15"/>
        <v>4.6475546902449143E-2</v>
      </c>
    </row>
    <row r="71" spans="2:9" ht="15.6">
      <c r="B71" s="18" t="s">
        <v>45</v>
      </c>
      <c r="C71" s="175">
        <f>C36*$E$64/1000</f>
        <v>3.0671182249743092E-2</v>
      </c>
      <c r="D71" s="175">
        <f>D36*$E$64/1000</f>
        <v>2.9599699900407093E-2</v>
      </c>
      <c r="E71" s="175">
        <f>E36*$E$64/1000</f>
        <v>3.6430399877424108E-2</v>
      </c>
      <c r="F71" s="175">
        <f>F36*$E$64/1000</f>
        <v>1.3661399954034042E-2</v>
      </c>
      <c r="G71" s="175">
        <f>G36*$E$64/1000</f>
        <v>0</v>
      </c>
      <c r="H71" s="174"/>
      <c r="I71" s="161">
        <f t="shared" si="15"/>
        <v>0.11036268198160833</v>
      </c>
    </row>
    <row r="72" spans="2:9" ht="18">
      <c r="B72" s="16" t="s">
        <v>247</v>
      </c>
      <c r="C72" s="161">
        <f t="shared" ref="C72:H72" si="16">SUM(C66:C71)</f>
        <v>0.12951542897598939</v>
      </c>
      <c r="D72" s="161">
        <f t="shared" si="16"/>
        <v>7.0316029175175224E-2</v>
      </c>
      <c r="E72" s="161">
        <f t="shared" si="16"/>
        <v>7.3396540929516224E-2</v>
      </c>
      <c r="F72" s="161">
        <f t="shared" si="16"/>
        <v>1.9956358756383061E-2</v>
      </c>
      <c r="G72" s="161">
        <f t="shared" si="16"/>
        <v>3.6966141052092116E-2</v>
      </c>
      <c r="H72" s="161">
        <f t="shared" si="16"/>
        <v>0.11277351726761435</v>
      </c>
      <c r="I72" s="161">
        <f>SUM(I66:I71)</f>
        <v>0.44292401615677035</v>
      </c>
    </row>
    <row r="75" spans="2:9" ht="15.6">
      <c r="B75" s="98" t="s">
        <v>236</v>
      </c>
      <c r="C75" s="98" t="s">
        <v>235</v>
      </c>
    </row>
    <row r="76" spans="2:9" ht="18">
      <c r="B76" s="18" t="s">
        <v>251</v>
      </c>
      <c r="C76" s="18">
        <f>'Fatores Emissao'!O6</f>
        <v>1</v>
      </c>
    </row>
    <row r="77" spans="2:9" ht="18">
      <c r="B77" s="18" t="s">
        <v>252</v>
      </c>
      <c r="C77" s="18">
        <f>'Fatores Emissao'!O7</f>
        <v>28</v>
      </c>
    </row>
    <row r="78" spans="2:9" ht="18">
      <c r="B78" s="18" t="s">
        <v>253</v>
      </c>
      <c r="C78" s="18">
        <f>'Fatores Emissao'!O8</f>
        <v>265</v>
      </c>
    </row>
    <row r="81" spans="1:10" s="155" customFormat="1" ht="33.6">
      <c r="A81"/>
      <c r="B81" s="176" t="s">
        <v>299</v>
      </c>
      <c r="C81" s="182" t="s">
        <v>35</v>
      </c>
      <c r="D81" s="182" t="s">
        <v>38</v>
      </c>
      <c r="E81" s="182" t="s">
        <v>40</v>
      </c>
      <c r="F81" s="182" t="s">
        <v>42</v>
      </c>
      <c r="G81" s="182" t="s">
        <v>43</v>
      </c>
      <c r="H81" s="182" t="s">
        <v>45</v>
      </c>
      <c r="I81" s="5" t="s">
        <v>257</v>
      </c>
      <c r="J81"/>
    </row>
    <row r="82" spans="1:10" ht="15.6">
      <c r="B82" s="18" t="s">
        <v>35</v>
      </c>
      <c r="C82" s="11"/>
      <c r="D82" s="12">
        <f t="shared" ref="D82:H82" si="17">(D44)*$C$76+(D55)*$C$77+(D66)*$C$78</f>
        <v>928.0688155312107</v>
      </c>
      <c r="E82" s="12">
        <f t="shared" si="17"/>
        <v>827.3070584163936</v>
      </c>
      <c r="F82" s="12">
        <f t="shared" si="17"/>
        <v>0</v>
      </c>
      <c r="G82" s="12">
        <f t="shared" si="17"/>
        <v>1198.5345846288778</v>
      </c>
      <c r="H82" s="12">
        <f t="shared" si="17"/>
        <v>3436.5062426527115</v>
      </c>
      <c r="I82" s="13">
        <f t="shared" ref="I82:I87" si="18">SUM(C82:H82)</f>
        <v>6390.4167012291937</v>
      </c>
    </row>
    <row r="83" spans="1:10" ht="15.6">
      <c r="B83" s="18" t="s">
        <v>38</v>
      </c>
      <c r="C83" s="12">
        <f>(C45)*$C$76+(C56)*$C$77+(C67)*$C$78</f>
        <v>1378.8450973606557</v>
      </c>
      <c r="D83" s="11"/>
      <c r="E83" s="12">
        <f t="shared" ref="C83:H87" si="19">(E45)*$C$76+(E56)*$C$77+(E67)*$C$78</f>
        <v>0</v>
      </c>
      <c r="F83" s="12">
        <f t="shared" si="19"/>
        <v>0</v>
      </c>
      <c r="G83" s="12">
        <f t="shared" si="19"/>
        <v>106.06500748928121</v>
      </c>
      <c r="H83" s="12">
        <f t="shared" si="19"/>
        <v>721.24205092711236</v>
      </c>
      <c r="I83" s="13">
        <f t="shared" si="18"/>
        <v>2206.1521557770493</v>
      </c>
    </row>
    <row r="84" spans="1:10" ht="15.6">
      <c r="B84" s="18" t="s">
        <v>40</v>
      </c>
      <c r="C84" s="12">
        <f t="shared" si="19"/>
        <v>1755.3758739476041</v>
      </c>
      <c r="D84" s="12">
        <f t="shared" si="19"/>
        <v>0</v>
      </c>
      <c r="E84" s="11"/>
      <c r="F84" s="12">
        <f t="shared" si="19"/>
        <v>0</v>
      </c>
      <c r="G84" s="12">
        <f t="shared" si="19"/>
        <v>159.09751123392181</v>
      </c>
      <c r="H84" s="12">
        <f t="shared" si="19"/>
        <v>307.58852171891556</v>
      </c>
      <c r="I84" s="13">
        <f t="shared" si="18"/>
        <v>2222.0619069004415</v>
      </c>
    </row>
    <row r="85" spans="1:10" ht="15.6">
      <c r="B85" s="18" t="s">
        <v>42</v>
      </c>
      <c r="C85" s="12">
        <f t="shared" si="19"/>
        <v>456.07953220390925</v>
      </c>
      <c r="D85" s="12">
        <f t="shared" si="19"/>
        <v>47.729253370176551</v>
      </c>
      <c r="E85" s="12">
        <f t="shared" si="19"/>
        <v>5.3032503744640609</v>
      </c>
      <c r="F85" s="11"/>
      <c r="G85" s="12">
        <f t="shared" si="19"/>
        <v>0</v>
      </c>
      <c r="H85" s="12">
        <f t="shared" si="19"/>
        <v>0</v>
      </c>
      <c r="I85" s="13">
        <f t="shared" si="18"/>
        <v>509.11203594854987</v>
      </c>
    </row>
    <row r="86" spans="1:10" ht="15.6">
      <c r="B86" s="18" t="s">
        <v>43</v>
      </c>
      <c r="C86" s="12">
        <f t="shared" si="19"/>
        <v>323.4982728423077</v>
      </c>
      <c r="D86" s="12">
        <f t="shared" si="19"/>
        <v>636.39004493568723</v>
      </c>
      <c r="E86" s="12">
        <f t="shared" si="19"/>
        <v>631.08679456122331</v>
      </c>
      <c r="F86" s="12">
        <f t="shared" si="19"/>
        <v>249.25276759981088</v>
      </c>
      <c r="G86" s="11"/>
      <c r="H86" s="12">
        <f t="shared" si="19"/>
        <v>0</v>
      </c>
      <c r="I86" s="13">
        <f t="shared" si="18"/>
        <v>1840.227879939029</v>
      </c>
    </row>
    <row r="87" spans="1:10" ht="15.6">
      <c r="B87" s="18" t="s">
        <v>45</v>
      </c>
      <c r="C87" s="12">
        <f t="shared" si="19"/>
        <v>1214.44433575227</v>
      </c>
      <c r="D87" s="12">
        <f t="shared" si="19"/>
        <v>1172.0183327565574</v>
      </c>
      <c r="E87" s="12">
        <f t="shared" si="19"/>
        <v>1442.4841018542247</v>
      </c>
      <c r="F87" s="12">
        <f t="shared" si="19"/>
        <v>540.93153819533416</v>
      </c>
      <c r="G87" s="12">
        <f t="shared" si="19"/>
        <v>0</v>
      </c>
      <c r="H87" s="11"/>
      <c r="I87" s="13">
        <f t="shared" si="18"/>
        <v>4369.8783085583864</v>
      </c>
    </row>
    <row r="88" spans="1:10" ht="18">
      <c r="B88" s="16" t="s">
        <v>258</v>
      </c>
      <c r="C88" s="13">
        <f t="shared" ref="C88:H88" si="20">SUM(C82:C87)</f>
        <v>5128.2431121067475</v>
      </c>
      <c r="D88" s="13">
        <f t="shared" si="20"/>
        <v>2784.2064465936319</v>
      </c>
      <c r="E88" s="13">
        <f t="shared" si="20"/>
        <v>2906.1812052063055</v>
      </c>
      <c r="F88" s="13">
        <f t="shared" si="20"/>
        <v>790.18430579514506</v>
      </c>
      <c r="G88" s="13">
        <f t="shared" si="20"/>
        <v>1463.6971033520808</v>
      </c>
      <c r="H88" s="13">
        <f t="shared" si="20"/>
        <v>4465.3368152987387</v>
      </c>
      <c r="I88" s="13">
        <f>SUM(I82:I87)</f>
        <v>17537.848988352649</v>
      </c>
    </row>
    <row r="89" spans="1:10">
      <c r="I89" s="114"/>
    </row>
    <row r="91" spans="1:10" s="155" customFormat="1" ht="33.6">
      <c r="A91"/>
      <c r="B91" s="176" t="s">
        <v>300</v>
      </c>
      <c r="C91" s="182" t="s">
        <v>35</v>
      </c>
      <c r="D91" s="182" t="s">
        <v>38</v>
      </c>
      <c r="E91" s="182" t="s">
        <v>40</v>
      </c>
      <c r="F91" s="182" t="s">
        <v>42</v>
      </c>
      <c r="G91" s="182" t="s">
        <v>43</v>
      </c>
      <c r="H91" s="182" t="s">
        <v>45</v>
      </c>
      <c r="I91" s="5" t="s">
        <v>260</v>
      </c>
      <c r="J91"/>
    </row>
    <row r="92" spans="1:10" ht="15.6">
      <c r="B92" s="18" t="s">
        <v>35</v>
      </c>
      <c r="C92" s="11"/>
      <c r="D92" s="40">
        <f>D82/$I$88</f>
        <v>5.2918052615663749E-2</v>
      </c>
      <c r="E92" s="40">
        <f>E82/$I$88</f>
        <v>4.7172664045963118E-2</v>
      </c>
      <c r="F92" s="40">
        <f>F82/$I$88</f>
        <v>0</v>
      </c>
      <c r="G92" s="40">
        <f>G82/$I$88</f>
        <v>6.8339885092228617E-2</v>
      </c>
      <c r="H92" s="40">
        <f>H82/$I$88</f>
        <v>0.1959479891140006</v>
      </c>
      <c r="I92" s="163">
        <f t="shared" ref="I92:I97" si="21">SUM(C92:H92)</f>
        <v>0.36437859086785607</v>
      </c>
    </row>
    <row r="93" spans="1:10" ht="15.6">
      <c r="B93" s="18" t="s">
        <v>38</v>
      </c>
      <c r="C93" s="40">
        <f>C83/$I$88</f>
        <v>7.8621106743271843E-2</v>
      </c>
      <c r="D93" s="11"/>
      <c r="E93" s="40">
        <f t="shared" ref="E93:H96" si="22">E83/$I$88</f>
        <v>0</v>
      </c>
      <c r="F93" s="40">
        <f t="shared" si="22"/>
        <v>0</v>
      </c>
      <c r="G93" s="40">
        <f t="shared" si="22"/>
        <v>6.0477774417901416E-3</v>
      </c>
      <c r="H93" s="40">
        <f t="shared" si="22"/>
        <v>4.1124886604172975E-2</v>
      </c>
      <c r="I93" s="163">
        <f t="shared" si="21"/>
        <v>0.12579377078923495</v>
      </c>
    </row>
    <row r="94" spans="1:10" ht="15.6">
      <c r="B94" s="18" t="s">
        <v>40</v>
      </c>
      <c r="C94" s="40">
        <f t="shared" ref="C94:G97" si="23">C84/$I$88</f>
        <v>0.10009071666162685</v>
      </c>
      <c r="D94" s="12"/>
      <c r="E94" s="11"/>
      <c r="F94" s="40">
        <f t="shared" si="22"/>
        <v>0</v>
      </c>
      <c r="G94" s="40">
        <f t="shared" si="22"/>
        <v>9.0716661626852116E-3</v>
      </c>
      <c r="H94" s="40">
        <f t="shared" si="22"/>
        <v>1.7538554581191412E-2</v>
      </c>
      <c r="I94" s="163">
        <f t="shared" si="21"/>
        <v>0.12670093740550348</v>
      </c>
    </row>
    <row r="95" spans="1:10" ht="15.6">
      <c r="B95" s="18" t="s">
        <v>42</v>
      </c>
      <c r="C95" s="40">
        <f t="shared" si="23"/>
        <v>2.6005442999697613E-2</v>
      </c>
      <c r="D95" s="40">
        <f t="shared" si="23"/>
        <v>2.7214998488055641E-3</v>
      </c>
      <c r="E95" s="40">
        <f t="shared" si="23"/>
        <v>3.0238887208950711E-4</v>
      </c>
      <c r="F95" s="11"/>
      <c r="G95" s="40">
        <f t="shared" si="22"/>
        <v>0</v>
      </c>
      <c r="H95" s="40">
        <f t="shared" si="22"/>
        <v>0</v>
      </c>
      <c r="I95" s="163">
        <f t="shared" si="21"/>
        <v>2.9029331720592681E-2</v>
      </c>
    </row>
    <row r="96" spans="1:10" ht="15.6">
      <c r="B96" s="18" t="s">
        <v>43</v>
      </c>
      <c r="C96" s="40">
        <f t="shared" si="23"/>
        <v>1.8445721197459932E-2</v>
      </c>
      <c r="D96" s="40">
        <f t="shared" si="23"/>
        <v>3.6286664650740846E-2</v>
      </c>
      <c r="E96" s="40">
        <f t="shared" si="23"/>
        <v>3.5984275778651348E-2</v>
      </c>
      <c r="F96" s="40">
        <f t="shared" si="23"/>
        <v>1.4212276988206835E-2</v>
      </c>
      <c r="G96" s="11"/>
      <c r="H96" s="40">
        <f t="shared" si="22"/>
        <v>0</v>
      </c>
      <c r="I96" s="163">
        <f t="shared" si="21"/>
        <v>0.10492893861505896</v>
      </c>
    </row>
    <row r="97" spans="2:9" ht="15.6">
      <c r="B97" s="18" t="s">
        <v>45</v>
      </c>
      <c r="C97" s="40">
        <f t="shared" si="23"/>
        <v>6.924705170849714E-2</v>
      </c>
      <c r="D97" s="40">
        <f t="shared" si="23"/>
        <v>6.6827940731781069E-2</v>
      </c>
      <c r="E97" s="40">
        <f t="shared" si="23"/>
        <v>8.224977320834595E-2</v>
      </c>
      <c r="F97" s="40">
        <f t="shared" si="23"/>
        <v>3.0843664953129721E-2</v>
      </c>
      <c r="G97" s="40">
        <f t="shared" si="23"/>
        <v>0</v>
      </c>
      <c r="H97" s="11"/>
      <c r="I97" s="163">
        <f t="shared" si="21"/>
        <v>0.24916843060175387</v>
      </c>
    </row>
    <row r="98" spans="2:9" ht="18">
      <c r="B98" s="16" t="s">
        <v>261</v>
      </c>
      <c r="C98" s="162">
        <f t="shared" ref="C98:I98" si="24">SUM(C92:C97)</f>
        <v>0.29241003931055337</v>
      </c>
      <c r="D98" s="162">
        <f t="shared" si="24"/>
        <v>0.15875415784699121</v>
      </c>
      <c r="E98" s="162">
        <f t="shared" si="24"/>
        <v>0.16570910190504992</v>
      </c>
      <c r="F98" s="162">
        <f t="shared" si="24"/>
        <v>4.5055941941336553E-2</v>
      </c>
      <c r="G98" s="162">
        <f t="shared" si="24"/>
        <v>8.3459328696703972E-2</v>
      </c>
      <c r="H98" s="162">
        <f t="shared" si="24"/>
        <v>0.254611430299365</v>
      </c>
      <c r="I98" s="163">
        <f t="shared" si="24"/>
        <v>0.99999999999999989</v>
      </c>
    </row>
    <row r="100" spans="2:9" ht="15.6">
      <c r="C100" s="277" t="s">
        <v>544</v>
      </c>
      <c r="D100" s="277"/>
      <c r="E100" s="277"/>
      <c r="F100" s="277"/>
      <c r="G100" s="277"/>
      <c r="H100" s="277"/>
    </row>
    <row r="101" spans="2:9" s="155" customFormat="1" ht="15.6">
      <c r="B101" s="176" t="s">
        <v>36</v>
      </c>
      <c r="C101" s="177" t="s">
        <v>35</v>
      </c>
      <c r="D101" s="177" t="s">
        <v>38</v>
      </c>
      <c r="E101" s="177" t="s">
        <v>40</v>
      </c>
      <c r="F101" s="177" t="s">
        <v>42</v>
      </c>
      <c r="G101" s="177" t="s">
        <v>43</v>
      </c>
      <c r="H101" s="177" t="s">
        <v>45</v>
      </c>
    </row>
    <row r="102" spans="2:9" ht="15.6">
      <c r="B102" s="18" t="s">
        <v>35</v>
      </c>
      <c r="C102" s="171"/>
      <c r="D102" s="165">
        <f>D82/D22</f>
        <v>5.3032503744640609</v>
      </c>
      <c r="E102" s="165">
        <f>E82/E22</f>
        <v>5.3032503744640618</v>
      </c>
      <c r="F102" s="165"/>
      <c r="G102" s="165">
        <f t="shared" ref="G102:H104" si="25">G82/G22</f>
        <v>5.3032503744640609</v>
      </c>
      <c r="H102" s="165">
        <f t="shared" si="25"/>
        <v>5.3032503744640609</v>
      </c>
    </row>
    <row r="103" spans="2:9" ht="15.6">
      <c r="B103" s="18" t="s">
        <v>38</v>
      </c>
      <c r="C103" s="165">
        <f>C83/C23</f>
        <v>5.30325037446406</v>
      </c>
      <c r="D103" s="171"/>
      <c r="E103" s="165"/>
      <c r="F103" s="165"/>
      <c r="G103" s="165">
        <f t="shared" si="25"/>
        <v>5.3032503744640609</v>
      </c>
      <c r="H103" s="165">
        <f t="shared" si="25"/>
        <v>5.3032503744640618</v>
      </c>
    </row>
    <row r="104" spans="2:9" ht="15.6">
      <c r="B104" s="18" t="s">
        <v>40</v>
      </c>
      <c r="C104" s="165">
        <f>C84/C24</f>
        <v>5.3032503744640609</v>
      </c>
      <c r="D104" s="165"/>
      <c r="E104" s="171"/>
      <c r="F104" s="165"/>
      <c r="G104" s="165">
        <f t="shared" si="25"/>
        <v>5.30325037446406</v>
      </c>
      <c r="H104" s="165">
        <f t="shared" si="25"/>
        <v>5.3032503744640618</v>
      </c>
    </row>
    <row r="105" spans="2:9" ht="15.6">
      <c r="B105" s="18" t="s">
        <v>42</v>
      </c>
      <c r="C105" s="165">
        <f>C85/C25</f>
        <v>5.3032503744640609</v>
      </c>
      <c r="D105" s="165">
        <f t="shared" ref="D105:E107" si="26">D85/D25</f>
        <v>5.3032503744640609</v>
      </c>
      <c r="E105" s="165">
        <f t="shared" si="26"/>
        <v>5.3032503744640609</v>
      </c>
      <c r="F105" s="171"/>
      <c r="G105" s="165"/>
      <c r="H105" s="165"/>
    </row>
    <row r="106" spans="2:9" ht="15.6">
      <c r="B106" s="18" t="s">
        <v>43</v>
      </c>
      <c r="C106" s="165">
        <f>C86/C26</f>
        <v>5.3032503744640609</v>
      </c>
      <c r="D106" s="165">
        <f t="shared" si="26"/>
        <v>5.30325037446406</v>
      </c>
      <c r="E106" s="165">
        <f t="shared" si="26"/>
        <v>5.3032503744640618</v>
      </c>
      <c r="F106" s="165">
        <f>F86/F26</f>
        <v>5.3032503744640609</v>
      </c>
      <c r="G106" s="171"/>
      <c r="H106" s="165"/>
    </row>
    <row r="107" spans="2:9" ht="15.6">
      <c r="B107" s="18" t="s">
        <v>45</v>
      </c>
      <c r="C107" s="165">
        <f>C87/C27</f>
        <v>5.3032503744640609</v>
      </c>
      <c r="D107" s="165">
        <f t="shared" si="26"/>
        <v>5.30325037446406</v>
      </c>
      <c r="E107" s="165">
        <f t="shared" si="26"/>
        <v>5.3032503744640618</v>
      </c>
      <c r="F107" s="165">
        <f>F87/F27</f>
        <v>5.30325037446406</v>
      </c>
      <c r="G107" s="165"/>
      <c r="H107" s="171"/>
    </row>
    <row r="115" spans="9:9">
      <c r="I115" s="114"/>
    </row>
  </sheetData>
  <mergeCells count="8">
    <mergeCell ref="C3:E3"/>
    <mergeCell ref="C10:E10"/>
    <mergeCell ref="C15:E15"/>
    <mergeCell ref="C100:H100"/>
    <mergeCell ref="B42:D42"/>
    <mergeCell ref="B53:D53"/>
    <mergeCell ref="B64:D64"/>
    <mergeCell ref="B40:I40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CC49-092D-43A2-BB79-B9610E5E0751}">
  <dimension ref="A3:J115"/>
  <sheetViews>
    <sheetView showGridLines="0" topLeftCell="A93" zoomScale="70" zoomScaleNormal="70" workbookViewId="0">
      <selection activeCell="N103" sqref="N103"/>
    </sheetView>
  </sheetViews>
  <sheetFormatPr defaultRowHeight="14.4"/>
  <cols>
    <col min="2" max="2" width="32" customWidth="1"/>
    <col min="3" max="3" width="17.7890625" customWidth="1"/>
    <col min="4" max="4" width="13.05078125" customWidth="1"/>
    <col min="5" max="5" width="14.5234375" customWidth="1"/>
    <col min="6" max="6" width="16.83984375" customWidth="1"/>
    <col min="7" max="7" width="16.47265625" customWidth="1"/>
    <col min="8" max="8" width="13.3125" customWidth="1"/>
    <col min="9" max="9" width="22.20703125" customWidth="1"/>
    <col min="12" max="12" width="12.3125" customWidth="1"/>
    <col min="14" max="14" width="12.89453125" customWidth="1"/>
    <col min="15" max="15" width="8.83984375" customWidth="1"/>
    <col min="18" max="18" width="12.89453125" customWidth="1"/>
  </cols>
  <sheetData>
    <row r="3" spans="3:5" ht="15.6">
      <c r="C3" s="262" t="s">
        <v>338</v>
      </c>
      <c r="D3" s="262"/>
      <c r="E3" s="262"/>
    </row>
    <row r="4" spans="3:5" ht="15.6">
      <c r="C4" s="18" t="s">
        <v>330</v>
      </c>
      <c r="D4" s="6" t="s">
        <v>560</v>
      </c>
      <c r="E4" s="6"/>
    </row>
    <row r="5" spans="3:5" ht="15.6">
      <c r="C5" s="18" t="s">
        <v>352</v>
      </c>
      <c r="D5" s="78">
        <f>'TT Base C1'!D5*'Fatores Emissao'!C97/'Fatores Emissao'!C98*'Fatores Emissao'!H19/'Fatores Emissao'!L83</f>
        <v>6.0220930397727264</v>
      </c>
      <c r="E5" s="6" t="s">
        <v>334</v>
      </c>
    </row>
    <row r="6" spans="3:5" ht="15.6">
      <c r="C6" s="18" t="s">
        <v>350</v>
      </c>
      <c r="D6" s="6">
        <v>6</v>
      </c>
      <c r="E6" s="6" t="s">
        <v>351</v>
      </c>
    </row>
    <row r="7" spans="3:5" ht="15.6">
      <c r="C7" s="18" t="s">
        <v>276</v>
      </c>
      <c r="D7" s="78">
        <f>D5/D6</f>
        <v>1.0036821732954544</v>
      </c>
      <c r="E7" s="6" t="s">
        <v>277</v>
      </c>
    </row>
    <row r="8" spans="3:5" ht="15.6">
      <c r="C8" s="18" t="s">
        <v>377</v>
      </c>
      <c r="D8" s="6">
        <v>2</v>
      </c>
      <c r="E8" s="6" t="s">
        <v>378</v>
      </c>
    </row>
    <row r="10" spans="3:5" ht="15.6">
      <c r="C10" s="262" t="s">
        <v>357</v>
      </c>
      <c r="D10" s="262"/>
      <c r="E10" s="262"/>
    </row>
    <row r="11" spans="3:5" ht="18">
      <c r="C11" s="18" t="s">
        <v>356</v>
      </c>
      <c r="D11" s="232">
        <f>'Fatores Emissao'!C88</f>
        <v>2.4964270713079952</v>
      </c>
      <c r="E11" s="6" t="s">
        <v>280</v>
      </c>
    </row>
    <row r="12" spans="3:5" ht="18">
      <c r="C12" s="18" t="s">
        <v>354</v>
      </c>
      <c r="D12" s="196">
        <f>'Fatores Emissao'!D88</f>
        <v>0.15057814080905368</v>
      </c>
      <c r="E12" s="6" t="s">
        <v>503</v>
      </c>
    </row>
    <row r="13" spans="3:5" ht="18">
      <c r="C13" s="18" t="s">
        <v>355</v>
      </c>
      <c r="D13" s="196">
        <f>'Fatores Emissao'!E88</f>
        <v>6.8684765983077128E-2</v>
      </c>
      <c r="E13" s="6" t="s">
        <v>503</v>
      </c>
    </row>
    <row r="15" spans="3:5" ht="15.6">
      <c r="C15" s="262" t="s">
        <v>353</v>
      </c>
      <c r="D15" s="262"/>
      <c r="E15" s="262"/>
    </row>
    <row r="16" spans="3:5" ht="18">
      <c r="C16" s="18" t="s">
        <v>356</v>
      </c>
      <c r="D16" s="196">
        <f>D11*$D$7</f>
        <v>2.5056193484040148</v>
      </c>
      <c r="E16" s="6" t="s">
        <v>284</v>
      </c>
    </row>
    <row r="17" spans="2:9" ht="18">
      <c r="C17" s="18" t="s">
        <v>354</v>
      </c>
      <c r="D17" s="196">
        <f t="shared" ref="D17:D18" si="0">D12*$D$7</f>
        <v>0.15113259561801995</v>
      </c>
      <c r="E17" s="6" t="s">
        <v>283</v>
      </c>
    </row>
    <row r="18" spans="2:9" ht="18">
      <c r="C18" s="18" t="s">
        <v>355</v>
      </c>
      <c r="D18" s="196">
        <f t="shared" si="0"/>
        <v>6.8937675194184547E-2</v>
      </c>
      <c r="E18" s="6" t="s">
        <v>283</v>
      </c>
    </row>
    <row r="21" spans="2:9" ht="15.6">
      <c r="B21" s="5" t="s">
        <v>188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5" t="s">
        <v>47</v>
      </c>
    </row>
    <row r="22" spans="2:9" ht="15.6">
      <c r="B22" s="10" t="s">
        <v>4</v>
      </c>
      <c r="C22" s="11">
        <f>'Movimentacao de Conteineres'!K30</f>
        <v>0</v>
      </c>
      <c r="D22" s="12">
        <f>'Movimentacao de Conteineres'!L30</f>
        <v>175</v>
      </c>
      <c r="E22" s="12">
        <f>'Movimentacao de Conteineres'!M30</f>
        <v>156</v>
      </c>
      <c r="F22" s="12">
        <f>'Movimentacao de Conteineres'!N30</f>
        <v>0</v>
      </c>
      <c r="G22" s="12">
        <f>'Movimentacao de Conteineres'!O30</f>
        <v>226</v>
      </c>
      <c r="H22" s="12">
        <f>'Movimentacao de Conteineres'!P30</f>
        <v>648</v>
      </c>
      <c r="I22" s="13">
        <f t="shared" ref="I22:I27" si="1">SUM(C22:H22)</f>
        <v>1205</v>
      </c>
    </row>
    <row r="23" spans="2:9" ht="15.6">
      <c r="B23" s="10" t="s">
        <v>5</v>
      </c>
      <c r="C23" s="12">
        <f>'Movimentacao de Conteineres'!K31</f>
        <v>260</v>
      </c>
      <c r="D23" s="11">
        <f>'Movimentacao de Conteineres'!L31</f>
        <v>0</v>
      </c>
      <c r="E23" s="12">
        <f>'Movimentacao de Conteineres'!M31</f>
        <v>0</v>
      </c>
      <c r="F23" s="12">
        <f>'Movimentacao de Conteineres'!N31</f>
        <v>0</v>
      </c>
      <c r="G23" s="12">
        <f>'Movimentacao de Conteineres'!O31</f>
        <v>20</v>
      </c>
      <c r="H23" s="12">
        <f>'Movimentacao de Conteineres'!P31</f>
        <v>136</v>
      </c>
      <c r="I23" s="13">
        <f t="shared" si="1"/>
        <v>416</v>
      </c>
    </row>
    <row r="24" spans="2:9" ht="15.6">
      <c r="B24" s="10" t="s">
        <v>6</v>
      </c>
      <c r="C24" s="12">
        <f>'Movimentacao de Conteineres'!K32</f>
        <v>331</v>
      </c>
      <c r="D24" s="12">
        <f>'Movimentacao de Conteineres'!L32</f>
        <v>0</v>
      </c>
      <c r="E24" s="11">
        <f>'Movimentacao de Conteineres'!M32</f>
        <v>0</v>
      </c>
      <c r="F24" s="12">
        <f>'Movimentacao de Conteineres'!N32</f>
        <v>0</v>
      </c>
      <c r="G24" s="12">
        <f>'Movimentacao de Conteineres'!O32</f>
        <v>30</v>
      </c>
      <c r="H24" s="12">
        <f>'Movimentacao de Conteineres'!P32</f>
        <v>58</v>
      </c>
      <c r="I24" s="13">
        <f t="shared" si="1"/>
        <v>419</v>
      </c>
    </row>
    <row r="25" spans="2:9" ht="15.6">
      <c r="B25" s="10" t="s">
        <v>7</v>
      </c>
      <c r="C25" s="12">
        <f>'Movimentacao de Conteineres'!K33</f>
        <v>86</v>
      </c>
      <c r="D25" s="12">
        <f>'Movimentacao de Conteineres'!L33</f>
        <v>9</v>
      </c>
      <c r="E25" s="12">
        <f>'Movimentacao de Conteineres'!M33</f>
        <v>1</v>
      </c>
      <c r="F25" s="11">
        <f>'Movimentacao de Conteineres'!N33</f>
        <v>0</v>
      </c>
      <c r="G25" s="12">
        <f>'Movimentacao de Conteineres'!O33</f>
        <v>0</v>
      </c>
      <c r="H25" s="12">
        <f>'Movimentacao de Conteineres'!P33</f>
        <v>0</v>
      </c>
      <c r="I25" s="13">
        <f t="shared" si="1"/>
        <v>96</v>
      </c>
    </row>
    <row r="26" spans="2:9" ht="15.6">
      <c r="B26" s="10" t="s">
        <v>8</v>
      </c>
      <c r="C26" s="12">
        <f>'Movimentacao de Conteineres'!K34</f>
        <v>61</v>
      </c>
      <c r="D26" s="12">
        <f>'Movimentacao de Conteineres'!L34</f>
        <v>120</v>
      </c>
      <c r="E26" s="12">
        <f>'Movimentacao de Conteineres'!M34</f>
        <v>119</v>
      </c>
      <c r="F26" s="12">
        <f>'Movimentacao de Conteineres'!N34</f>
        <v>47</v>
      </c>
      <c r="G26" s="11">
        <f>'Movimentacao de Conteineres'!O34</f>
        <v>0</v>
      </c>
      <c r="H26" s="12">
        <f>'Movimentacao de Conteineres'!P34</f>
        <v>0</v>
      </c>
      <c r="I26" s="13">
        <f t="shared" si="1"/>
        <v>347</v>
      </c>
    </row>
    <row r="27" spans="2:9" ht="15.6">
      <c r="B27" s="10" t="s">
        <v>9</v>
      </c>
      <c r="C27" s="12">
        <f>'Movimentacao de Conteineres'!K35</f>
        <v>229</v>
      </c>
      <c r="D27" s="12">
        <f>'Movimentacao de Conteineres'!L35</f>
        <v>221</v>
      </c>
      <c r="E27" s="12">
        <f>'Movimentacao de Conteineres'!M35</f>
        <v>272</v>
      </c>
      <c r="F27" s="12">
        <f>'Movimentacao de Conteineres'!N35</f>
        <v>102</v>
      </c>
      <c r="G27" s="12">
        <f>'Movimentacao de Conteineres'!O35</f>
        <v>0</v>
      </c>
      <c r="H27" s="11">
        <f>'Movimentacao de Conteineres'!P35</f>
        <v>0</v>
      </c>
      <c r="I27" s="13">
        <f t="shared" si="1"/>
        <v>824</v>
      </c>
    </row>
    <row r="28" spans="2:9" ht="15.6">
      <c r="B28" s="16" t="s">
        <v>48</v>
      </c>
      <c r="C28" s="13">
        <f t="shared" ref="C28:I28" si="2">SUM(C22:C27)</f>
        <v>967</v>
      </c>
      <c r="D28" s="13">
        <f t="shared" si="2"/>
        <v>525</v>
      </c>
      <c r="E28" s="13">
        <f t="shared" si="2"/>
        <v>548</v>
      </c>
      <c r="F28" s="13">
        <f t="shared" si="2"/>
        <v>149</v>
      </c>
      <c r="G28" s="13">
        <f t="shared" si="2"/>
        <v>276</v>
      </c>
      <c r="H28" s="13">
        <f t="shared" si="2"/>
        <v>842</v>
      </c>
      <c r="I28" s="13">
        <f t="shared" si="2"/>
        <v>3307</v>
      </c>
    </row>
    <row r="30" spans="2:9" ht="31.2">
      <c r="B30" s="176" t="s">
        <v>359</v>
      </c>
      <c r="C30" s="98" t="s">
        <v>35</v>
      </c>
      <c r="D30" s="98" t="s">
        <v>38</v>
      </c>
      <c r="E30" s="98" t="s">
        <v>40</v>
      </c>
      <c r="F30" s="98" t="s">
        <v>42</v>
      </c>
      <c r="G30" s="98" t="s">
        <v>43</v>
      </c>
      <c r="H30" s="98" t="s">
        <v>45</v>
      </c>
      <c r="I30" s="5" t="s">
        <v>47</v>
      </c>
    </row>
    <row r="31" spans="2:9" ht="15.6">
      <c r="B31" s="18" t="s">
        <v>35</v>
      </c>
      <c r="C31" s="11">
        <f>C22*$D$8</f>
        <v>0</v>
      </c>
      <c r="D31" s="12">
        <f t="shared" ref="D31:H31" si="3">D22*$D$8</f>
        <v>350</v>
      </c>
      <c r="E31" s="12">
        <f t="shared" si="3"/>
        <v>312</v>
      </c>
      <c r="F31" s="12">
        <f t="shared" si="3"/>
        <v>0</v>
      </c>
      <c r="G31" s="12">
        <f t="shared" si="3"/>
        <v>452</v>
      </c>
      <c r="H31" s="12">
        <f t="shared" si="3"/>
        <v>1296</v>
      </c>
      <c r="I31" s="13">
        <f t="shared" ref="I31:I36" si="4">SUM(C31:H31)</f>
        <v>2410</v>
      </c>
    </row>
    <row r="32" spans="2:9" ht="15.6">
      <c r="B32" s="18" t="s">
        <v>38</v>
      </c>
      <c r="C32" s="12">
        <f t="shared" ref="C32:H36" si="5">C23*$D$8</f>
        <v>520</v>
      </c>
      <c r="D32" s="11">
        <f t="shared" si="5"/>
        <v>0</v>
      </c>
      <c r="E32" s="12">
        <f t="shared" si="5"/>
        <v>0</v>
      </c>
      <c r="F32" s="12">
        <f t="shared" si="5"/>
        <v>0</v>
      </c>
      <c r="G32" s="12">
        <f t="shared" si="5"/>
        <v>40</v>
      </c>
      <c r="H32" s="12">
        <f t="shared" si="5"/>
        <v>272</v>
      </c>
      <c r="I32" s="13">
        <f t="shared" si="4"/>
        <v>832</v>
      </c>
    </row>
    <row r="33" spans="2:9" ht="15.6">
      <c r="B33" s="18" t="s">
        <v>40</v>
      </c>
      <c r="C33" s="12">
        <f t="shared" si="5"/>
        <v>662</v>
      </c>
      <c r="D33" s="12">
        <f t="shared" si="5"/>
        <v>0</v>
      </c>
      <c r="E33" s="11">
        <f t="shared" si="5"/>
        <v>0</v>
      </c>
      <c r="F33" s="12">
        <f t="shared" si="5"/>
        <v>0</v>
      </c>
      <c r="G33" s="12">
        <f t="shared" si="5"/>
        <v>60</v>
      </c>
      <c r="H33" s="12">
        <f t="shared" si="5"/>
        <v>116</v>
      </c>
      <c r="I33" s="13">
        <f t="shared" si="4"/>
        <v>838</v>
      </c>
    </row>
    <row r="34" spans="2:9" ht="15.6">
      <c r="B34" s="18" t="s">
        <v>42</v>
      </c>
      <c r="C34" s="12">
        <f t="shared" si="5"/>
        <v>172</v>
      </c>
      <c r="D34" s="12">
        <f t="shared" si="5"/>
        <v>18</v>
      </c>
      <c r="E34" s="12">
        <f t="shared" si="5"/>
        <v>2</v>
      </c>
      <c r="F34" s="11">
        <f t="shared" si="5"/>
        <v>0</v>
      </c>
      <c r="G34" s="12">
        <f t="shared" si="5"/>
        <v>0</v>
      </c>
      <c r="H34" s="12">
        <f t="shared" si="5"/>
        <v>0</v>
      </c>
      <c r="I34" s="13">
        <f t="shared" si="4"/>
        <v>192</v>
      </c>
    </row>
    <row r="35" spans="2:9" ht="15.6">
      <c r="B35" s="18" t="s">
        <v>43</v>
      </c>
      <c r="C35" s="12">
        <f t="shared" si="5"/>
        <v>122</v>
      </c>
      <c r="D35" s="12">
        <f t="shared" si="5"/>
        <v>240</v>
      </c>
      <c r="E35" s="12">
        <f t="shared" si="5"/>
        <v>238</v>
      </c>
      <c r="F35" s="12">
        <f t="shared" si="5"/>
        <v>94</v>
      </c>
      <c r="G35" s="11">
        <f t="shared" si="5"/>
        <v>0</v>
      </c>
      <c r="H35" s="12">
        <f t="shared" si="5"/>
        <v>0</v>
      </c>
      <c r="I35" s="13">
        <f t="shared" si="4"/>
        <v>694</v>
      </c>
    </row>
    <row r="36" spans="2:9" ht="15.6">
      <c r="B36" s="18" t="s">
        <v>45</v>
      </c>
      <c r="C36" s="12">
        <f t="shared" si="5"/>
        <v>458</v>
      </c>
      <c r="D36" s="12">
        <f t="shared" si="5"/>
        <v>442</v>
      </c>
      <c r="E36" s="12">
        <f t="shared" si="5"/>
        <v>544</v>
      </c>
      <c r="F36" s="12">
        <f t="shared" si="5"/>
        <v>204</v>
      </c>
      <c r="G36" s="12">
        <f t="shared" si="5"/>
        <v>0</v>
      </c>
      <c r="H36" s="11">
        <f t="shared" si="5"/>
        <v>0</v>
      </c>
      <c r="I36" s="13">
        <f t="shared" si="4"/>
        <v>1648</v>
      </c>
    </row>
    <row r="37" spans="2:9" ht="15.6">
      <c r="B37" s="16" t="s">
        <v>48</v>
      </c>
      <c r="C37" s="13">
        <f t="shared" ref="C37:H37" si="6">SUM(C31:C36)</f>
        <v>1934</v>
      </c>
      <c r="D37" s="13">
        <f t="shared" si="6"/>
        <v>1050</v>
      </c>
      <c r="E37" s="13">
        <f t="shared" si="6"/>
        <v>1096</v>
      </c>
      <c r="F37" s="13">
        <f t="shared" si="6"/>
        <v>298</v>
      </c>
      <c r="G37" s="13">
        <f t="shared" si="6"/>
        <v>552</v>
      </c>
      <c r="H37" s="13">
        <f t="shared" si="6"/>
        <v>1684</v>
      </c>
      <c r="I37" s="13">
        <f>SUM(I31:I36)</f>
        <v>6614</v>
      </c>
    </row>
    <row r="38" spans="2:9">
      <c r="I38" s="114"/>
    </row>
    <row r="39" spans="2:9">
      <c r="I39" s="114"/>
    </row>
    <row r="40" spans="2:9" ht="23.1">
      <c r="B40" s="273" t="s">
        <v>562</v>
      </c>
      <c r="C40" s="273"/>
      <c r="D40" s="273"/>
      <c r="E40" s="273"/>
      <c r="F40" s="273"/>
      <c r="G40" s="273"/>
      <c r="H40" s="273"/>
      <c r="I40" s="273"/>
    </row>
    <row r="42" spans="2:9" ht="18">
      <c r="B42" s="272" t="s">
        <v>296</v>
      </c>
      <c r="C42" s="272"/>
      <c r="D42" s="272"/>
      <c r="E42" s="159">
        <f>D16</f>
        <v>2.5056193484040148</v>
      </c>
      <c r="F42" s="164" t="s">
        <v>394</v>
      </c>
    </row>
    <row r="43" spans="2:9" ht="18">
      <c r="B43" s="5" t="s">
        <v>239</v>
      </c>
      <c r="C43" s="98" t="s">
        <v>35</v>
      </c>
      <c r="D43" s="98" t="s">
        <v>38</v>
      </c>
      <c r="E43" s="98" t="s">
        <v>40</v>
      </c>
      <c r="F43" s="98" t="s">
        <v>42</v>
      </c>
      <c r="G43" s="98" t="s">
        <v>43</v>
      </c>
      <c r="H43" s="98" t="s">
        <v>45</v>
      </c>
      <c r="I43" s="5" t="s">
        <v>240</v>
      </c>
    </row>
    <row r="44" spans="2:9" ht="15.6">
      <c r="B44" s="18" t="s">
        <v>35</v>
      </c>
      <c r="C44" s="11"/>
      <c r="D44" s="12">
        <f>D31*$E$42</f>
        <v>876.96677194140523</v>
      </c>
      <c r="E44" s="12">
        <f>E31*$E$42</f>
        <v>781.75323670205262</v>
      </c>
      <c r="F44" s="12">
        <f>F31*$E$42</f>
        <v>0</v>
      </c>
      <c r="G44" s="12">
        <f>G31*$E$42</f>
        <v>1132.5399454786148</v>
      </c>
      <c r="H44" s="12">
        <f>H31*$E$42</f>
        <v>3247.2826755316032</v>
      </c>
      <c r="I44" s="13">
        <f t="shared" ref="I44:I49" si="7">SUM(C44:H44)</f>
        <v>6038.5426296536752</v>
      </c>
    </row>
    <row r="45" spans="2:9" ht="15.6">
      <c r="B45" s="18" t="s">
        <v>38</v>
      </c>
      <c r="C45" s="12">
        <f>C32*$E$42</f>
        <v>1302.9220611700878</v>
      </c>
      <c r="D45" s="11"/>
      <c r="E45" s="12">
        <f>E32*$E$42</f>
        <v>0</v>
      </c>
      <c r="F45" s="12">
        <f>F32*$E$42</f>
        <v>0</v>
      </c>
      <c r="G45" s="12">
        <f>G32*$E$42</f>
        <v>100.22477393616059</v>
      </c>
      <c r="H45" s="12">
        <f>H32*$E$42</f>
        <v>681.52846276589207</v>
      </c>
      <c r="I45" s="13">
        <f t="shared" si="7"/>
        <v>2084.6752978721406</v>
      </c>
    </row>
    <row r="46" spans="2:9" ht="15.6">
      <c r="B46" s="18" t="s">
        <v>40</v>
      </c>
      <c r="C46" s="12">
        <f>C33*$E$42</f>
        <v>1658.7200086434577</v>
      </c>
      <c r="D46" s="12">
        <f>D33*$E$42</f>
        <v>0</v>
      </c>
      <c r="E46" s="11"/>
      <c r="F46" s="12">
        <f>F33*$E$42</f>
        <v>0</v>
      </c>
      <c r="G46" s="12">
        <f>G33*$E$42</f>
        <v>150.33716090424087</v>
      </c>
      <c r="H46" s="12">
        <f>H33*$E$42</f>
        <v>290.65184441486571</v>
      </c>
      <c r="I46" s="13">
        <f t="shared" si="7"/>
        <v>2099.7090139625643</v>
      </c>
    </row>
    <row r="47" spans="2:9" ht="15.6">
      <c r="B47" s="18" t="s">
        <v>42</v>
      </c>
      <c r="C47" s="12">
        <f>C34*$E$42</f>
        <v>430.96652792549054</v>
      </c>
      <c r="D47" s="12">
        <f>D34*$E$42</f>
        <v>45.101148271272265</v>
      </c>
      <c r="E47" s="12">
        <f>E34*$E$42</f>
        <v>5.0112386968080296</v>
      </c>
      <c r="F47" s="11"/>
      <c r="G47" s="12">
        <f>G34*$E$42</f>
        <v>0</v>
      </c>
      <c r="H47" s="12">
        <f>H34*$E$42</f>
        <v>0</v>
      </c>
      <c r="I47" s="13">
        <f t="shared" si="7"/>
        <v>481.07891489357087</v>
      </c>
    </row>
    <row r="48" spans="2:9" ht="15.6">
      <c r="B48" s="18" t="s">
        <v>43</v>
      </c>
      <c r="C48" s="12">
        <f>C35*$E$42</f>
        <v>305.6855605052898</v>
      </c>
      <c r="D48" s="12">
        <f>D35*$E$42</f>
        <v>601.3486436169635</v>
      </c>
      <c r="E48" s="12">
        <f>E35*$E$42</f>
        <v>596.33740492015556</v>
      </c>
      <c r="F48" s="12">
        <f>F35*$E$42</f>
        <v>235.52821874997738</v>
      </c>
      <c r="G48" s="11"/>
      <c r="H48" s="12">
        <f>H35*$E$42</f>
        <v>0</v>
      </c>
      <c r="I48" s="13">
        <f t="shared" si="7"/>
        <v>1738.8998277923863</v>
      </c>
    </row>
    <row r="49" spans="2:9" ht="15.6">
      <c r="B49" s="18" t="s">
        <v>45</v>
      </c>
      <c r="C49" s="12">
        <f>C36*$E$42</f>
        <v>1147.5736615690387</v>
      </c>
      <c r="D49" s="12">
        <f>D36*$E$42</f>
        <v>1107.4837519945745</v>
      </c>
      <c r="E49" s="12">
        <f>E36*$E$42</f>
        <v>1363.0569255317841</v>
      </c>
      <c r="F49" s="12">
        <f>F36*$E$42</f>
        <v>511.146347074419</v>
      </c>
      <c r="G49" s="12">
        <f>G36*$E$42</f>
        <v>0</v>
      </c>
      <c r="H49" s="11"/>
      <c r="I49" s="13">
        <f t="shared" si="7"/>
        <v>4129.2606861698168</v>
      </c>
    </row>
    <row r="50" spans="2:9" ht="18">
      <c r="B50" s="16" t="s">
        <v>241</v>
      </c>
      <c r="C50" s="13">
        <f t="shared" ref="C50:H50" si="8">SUM(C44:C49)</f>
        <v>4845.8678198133639</v>
      </c>
      <c r="D50" s="13">
        <f t="shared" si="8"/>
        <v>2630.9003158242153</v>
      </c>
      <c r="E50" s="13">
        <f t="shared" si="8"/>
        <v>2746.1588058508005</v>
      </c>
      <c r="F50" s="13">
        <f t="shared" si="8"/>
        <v>746.67456582439638</v>
      </c>
      <c r="G50" s="13">
        <f t="shared" si="8"/>
        <v>1383.1018803190161</v>
      </c>
      <c r="H50" s="13">
        <f t="shared" si="8"/>
        <v>4219.4629827123608</v>
      </c>
      <c r="I50" s="13">
        <f>SUM(I44:I49)</f>
        <v>16572.166370344152</v>
      </c>
    </row>
    <row r="53" spans="2:9" ht="18">
      <c r="B53" s="272" t="s">
        <v>297</v>
      </c>
      <c r="C53" s="272"/>
      <c r="D53" s="272"/>
      <c r="E53" s="159">
        <f>D17</f>
        <v>0.15113259561801995</v>
      </c>
      <c r="F53" s="164" t="s">
        <v>395</v>
      </c>
    </row>
    <row r="54" spans="2:9" ht="18">
      <c r="B54" s="5" t="s">
        <v>255</v>
      </c>
      <c r="C54" s="98" t="s">
        <v>35</v>
      </c>
      <c r="D54" s="98" t="s">
        <v>38</v>
      </c>
      <c r="E54" s="98" t="s">
        <v>40</v>
      </c>
      <c r="F54" s="98" t="s">
        <v>42</v>
      </c>
      <c r="G54" s="98" t="s">
        <v>43</v>
      </c>
      <c r="H54" s="98" t="s">
        <v>45</v>
      </c>
      <c r="I54" s="5" t="s">
        <v>243</v>
      </c>
    </row>
    <row r="55" spans="2:9" ht="15.6">
      <c r="B55" s="18" t="s">
        <v>35</v>
      </c>
      <c r="C55" s="174"/>
      <c r="D55" s="175">
        <f>D31*$E$53/1000</f>
        <v>5.2896408466306978E-2</v>
      </c>
      <c r="E55" s="175">
        <f>E31*$E$53/1000</f>
        <v>4.7153369832822221E-2</v>
      </c>
      <c r="F55" s="175">
        <f>F31*$E$53/1000</f>
        <v>0</v>
      </c>
      <c r="G55" s="175">
        <f>G31*$E$53/1000</f>
        <v>6.831193321934502E-2</v>
      </c>
      <c r="H55" s="175">
        <f>H31*$E$53/1000</f>
        <v>0.19586784392095385</v>
      </c>
      <c r="I55" s="161">
        <f t="shared" ref="I55:I60" si="9">SUM(C55:H55)</f>
        <v>0.36422955543942809</v>
      </c>
    </row>
    <row r="56" spans="2:9" ht="15.6">
      <c r="B56" s="18" t="s">
        <v>38</v>
      </c>
      <c r="C56" s="175">
        <f>C32*$E$53/1000</f>
        <v>7.8588949721370371E-2</v>
      </c>
      <c r="D56" s="174"/>
      <c r="E56" s="175">
        <f>E32*$E$53/1000</f>
        <v>0</v>
      </c>
      <c r="F56" s="175">
        <f>F32*$E$53/1000</f>
        <v>0</v>
      </c>
      <c r="G56" s="175">
        <f>G32*$E$53/1000</f>
        <v>6.0453038247207979E-3</v>
      </c>
      <c r="H56" s="175">
        <f>H32*$E$53/1000</f>
        <v>4.1108066008101421E-2</v>
      </c>
      <c r="I56" s="161">
        <f t="shared" si="9"/>
        <v>0.12574231955419257</v>
      </c>
    </row>
    <row r="57" spans="2:9" ht="15.6">
      <c r="B57" s="18" t="s">
        <v>40</v>
      </c>
      <c r="C57" s="175">
        <f>C33*$E$53/1000</f>
        <v>0.1000497782991292</v>
      </c>
      <c r="D57" s="175">
        <f>D33*$E$53/1000</f>
        <v>0</v>
      </c>
      <c r="E57" s="174"/>
      <c r="F57" s="175">
        <f>F33*$E$53/1000</f>
        <v>0</v>
      </c>
      <c r="G57" s="175">
        <f>G33*$E$53/1000</f>
        <v>9.0679557370811972E-3</v>
      </c>
      <c r="H57" s="175">
        <f>H33*$E$53/1000</f>
        <v>1.7531381091690314E-2</v>
      </c>
      <c r="I57" s="161">
        <f t="shared" si="9"/>
        <v>0.1266491151279007</v>
      </c>
    </row>
    <row r="58" spans="2:9" ht="15.6">
      <c r="B58" s="18" t="s">
        <v>42</v>
      </c>
      <c r="C58" s="175">
        <f>C34*$E$53/1000</f>
        <v>2.599480644629943E-2</v>
      </c>
      <c r="D58" s="175">
        <f>D34*$E$53/1000</f>
        <v>2.720386721124359E-3</v>
      </c>
      <c r="E58" s="175">
        <f>E34*$E$53/1000</f>
        <v>3.0226519123603988E-4</v>
      </c>
      <c r="F58" s="174"/>
      <c r="G58" s="175">
        <f>G34*$E$53/1000</f>
        <v>0</v>
      </c>
      <c r="H58" s="175">
        <f>H34*$E$53/1000</f>
        <v>0</v>
      </c>
      <c r="I58" s="161">
        <f t="shared" si="9"/>
        <v>2.901745835865983E-2</v>
      </c>
    </row>
    <row r="59" spans="2:9" ht="15.6">
      <c r="B59" s="18" t="s">
        <v>43</v>
      </c>
      <c r="C59" s="175">
        <f>C35*$E$53/1000</f>
        <v>1.8438176665398435E-2</v>
      </c>
      <c r="D59" s="175">
        <f>D35*$E$53/1000</f>
        <v>3.6271822948324789E-2</v>
      </c>
      <c r="E59" s="175">
        <f>E35*$E$53/1000</f>
        <v>3.5969557757088752E-2</v>
      </c>
      <c r="F59" s="175">
        <f>F35*$E$53/1000</f>
        <v>1.4206463988093875E-2</v>
      </c>
      <c r="G59" s="174"/>
      <c r="H59" s="175">
        <f>H35*$E$53/1000</f>
        <v>0</v>
      </c>
      <c r="I59" s="161">
        <f t="shared" si="9"/>
        <v>0.10488602135890585</v>
      </c>
    </row>
    <row r="60" spans="2:9" ht="15.6">
      <c r="B60" s="18" t="s">
        <v>45</v>
      </c>
      <c r="C60" s="175">
        <f>C36*$E$53/1000</f>
        <v>6.921872879305313E-2</v>
      </c>
      <c r="D60" s="175">
        <f>D36*$E$53/1000</f>
        <v>6.6800607263164821E-2</v>
      </c>
      <c r="E60" s="175">
        <f>E36*$E$53/1000</f>
        <v>8.2216132016202842E-2</v>
      </c>
      <c r="F60" s="175">
        <f>F36*$E$53/1000</f>
        <v>3.0831049506076069E-2</v>
      </c>
      <c r="G60" s="175">
        <f>G36*$E$53/1000</f>
        <v>0</v>
      </c>
      <c r="H60" s="174"/>
      <c r="I60" s="161">
        <f t="shared" si="9"/>
        <v>0.24906651757849688</v>
      </c>
    </row>
    <row r="61" spans="2:9" ht="18">
      <c r="B61" s="16" t="s">
        <v>244</v>
      </c>
      <c r="C61" s="161">
        <f t="shared" ref="C61:H61" si="10">SUM(C55:C60)</f>
        <v>0.29229043992525056</v>
      </c>
      <c r="D61" s="161">
        <f t="shared" si="10"/>
        <v>0.15868922539892094</v>
      </c>
      <c r="E61" s="161">
        <f t="shared" si="10"/>
        <v>0.16564132479734986</v>
      </c>
      <c r="F61" s="161">
        <f t="shared" si="10"/>
        <v>4.5037513494169942E-2</v>
      </c>
      <c r="G61" s="161">
        <f t="shared" si="10"/>
        <v>8.3425192781147017E-2</v>
      </c>
      <c r="H61" s="161">
        <f t="shared" si="10"/>
        <v>0.2545072910207456</v>
      </c>
      <c r="I61" s="161">
        <f>SUM(I55:I60)</f>
        <v>0.99959098741758401</v>
      </c>
    </row>
    <row r="64" spans="2:9" ht="18">
      <c r="B64" s="272" t="s">
        <v>298</v>
      </c>
      <c r="C64" s="272"/>
      <c r="D64" s="272"/>
      <c r="E64" s="159">
        <f>D18</f>
        <v>6.8937675194184547E-2</v>
      </c>
      <c r="F64" s="164" t="s">
        <v>397</v>
      </c>
    </row>
    <row r="65" spans="2:9" ht="18">
      <c r="B65" s="5" t="s">
        <v>254</v>
      </c>
      <c r="C65" s="98" t="s">
        <v>35</v>
      </c>
      <c r="D65" s="98" t="s">
        <v>38</v>
      </c>
      <c r="E65" s="98" t="s">
        <v>40</v>
      </c>
      <c r="F65" s="98" t="s">
        <v>42</v>
      </c>
      <c r="G65" s="98" t="s">
        <v>43</v>
      </c>
      <c r="H65" s="98" t="s">
        <v>45</v>
      </c>
      <c r="I65" s="5" t="s">
        <v>246</v>
      </c>
    </row>
    <row r="66" spans="2:9" ht="15.6">
      <c r="B66" s="18" t="s">
        <v>35</v>
      </c>
      <c r="C66" s="174"/>
      <c r="D66" s="175">
        <f>D31*$E$64/1000</f>
        <v>2.4128186317964592E-2</v>
      </c>
      <c r="E66" s="175">
        <f>E31*$E$64/1000</f>
        <v>2.1508554660585578E-2</v>
      </c>
      <c r="F66" s="175">
        <f>F31*$E$64/1000</f>
        <v>0</v>
      </c>
      <c r="G66" s="175">
        <f>G31*$E$64/1000</f>
        <v>3.1159829187771413E-2</v>
      </c>
      <c r="H66" s="175">
        <f>H31*$E$64/1000</f>
        <v>8.9343227051663171E-2</v>
      </c>
      <c r="I66" s="161">
        <f t="shared" ref="I66:I71" si="11">SUM(C66:H66)</f>
        <v>0.16613979721798475</v>
      </c>
    </row>
    <row r="67" spans="2:9" ht="15.6">
      <c r="B67" s="18" t="s">
        <v>38</v>
      </c>
      <c r="C67" s="175">
        <f>C32*$E$64/1000</f>
        <v>3.5847591100975962E-2</v>
      </c>
      <c r="D67" s="174"/>
      <c r="E67" s="175">
        <f>E32*$E$64/1000</f>
        <v>0</v>
      </c>
      <c r="F67" s="175">
        <f>F32*$E$64/1000</f>
        <v>0</v>
      </c>
      <c r="G67" s="175">
        <f>G32*$E$64/1000</f>
        <v>2.757507007767382E-3</v>
      </c>
      <c r="H67" s="175">
        <f>H32*$E$64/1000</f>
        <v>1.8751047652818199E-2</v>
      </c>
      <c r="I67" s="161">
        <f t="shared" si="11"/>
        <v>5.7356145761561547E-2</v>
      </c>
    </row>
    <row r="68" spans="2:9" ht="15.6">
      <c r="B68" s="18" t="s">
        <v>40</v>
      </c>
      <c r="C68" s="175">
        <f>C33*$E$64/1000</f>
        <v>4.5636740978550173E-2</v>
      </c>
      <c r="D68" s="175">
        <f>D33*$E$64/1000</f>
        <v>0</v>
      </c>
      <c r="E68" s="174"/>
      <c r="F68" s="175">
        <f>F33*$E$64/1000</f>
        <v>0</v>
      </c>
      <c r="G68" s="175">
        <f>G33*$E$64/1000</f>
        <v>4.1362605116510723E-3</v>
      </c>
      <c r="H68" s="175">
        <f>H33*$E$64/1000</f>
        <v>7.9967703225254077E-3</v>
      </c>
      <c r="I68" s="161">
        <f t="shared" si="11"/>
        <v>5.7769771812726654E-2</v>
      </c>
    </row>
    <row r="69" spans="2:9" ht="15.6">
      <c r="B69" s="18" t="s">
        <v>42</v>
      </c>
      <c r="C69" s="175">
        <f>C34*$E$64/1000</f>
        <v>1.1857280133399742E-2</v>
      </c>
      <c r="D69" s="175">
        <f>D34*$E$64/1000</f>
        <v>1.2408781534953219E-3</v>
      </c>
      <c r="E69" s="175">
        <f>E34*$E$64/1000</f>
        <v>1.3787535038836909E-4</v>
      </c>
      <c r="F69" s="174"/>
      <c r="G69" s="175">
        <f>G34*$E$64/1000</f>
        <v>0</v>
      </c>
      <c r="H69" s="175">
        <f>H34*$E$64/1000</f>
        <v>0</v>
      </c>
      <c r="I69" s="161">
        <f t="shared" si="11"/>
        <v>1.3236033637283432E-2</v>
      </c>
    </row>
    <row r="70" spans="2:9" ht="15.6">
      <c r="B70" s="18" t="s">
        <v>43</v>
      </c>
      <c r="C70" s="175">
        <f>C35*$E$64/1000</f>
        <v>8.4103963736905148E-3</v>
      </c>
      <c r="D70" s="175">
        <f>D35*$E$64/1000</f>
        <v>1.6545042046604289E-2</v>
      </c>
      <c r="E70" s="175">
        <f>E35*$E$64/1000</f>
        <v>1.6407166696215919E-2</v>
      </c>
      <c r="F70" s="175">
        <f>F35*$E$64/1000</f>
        <v>6.4801414682533476E-3</v>
      </c>
      <c r="G70" s="174"/>
      <c r="H70" s="175">
        <f>H35*$E$64/1000</f>
        <v>0</v>
      </c>
      <c r="I70" s="161">
        <f t="shared" si="11"/>
        <v>4.7842746584764069E-2</v>
      </c>
    </row>
    <row r="71" spans="2:9" ht="15.6">
      <c r="B71" s="18" t="s">
        <v>45</v>
      </c>
      <c r="C71" s="175">
        <f>C36*$E$64/1000</f>
        <v>3.1573455238936524E-2</v>
      </c>
      <c r="D71" s="175">
        <f>D36*$E$64/1000</f>
        <v>3.0470452435829572E-2</v>
      </c>
      <c r="E71" s="175">
        <f>E36*$E$64/1000</f>
        <v>3.7502095305636397E-2</v>
      </c>
      <c r="F71" s="175">
        <f>F36*$E$64/1000</f>
        <v>1.4063285739613646E-2</v>
      </c>
      <c r="G71" s="175">
        <f>G36*$E$64/1000</f>
        <v>0</v>
      </c>
      <c r="H71" s="174"/>
      <c r="I71" s="161">
        <f t="shared" si="11"/>
        <v>0.11360928872001615</v>
      </c>
    </row>
    <row r="72" spans="2:9" ht="18">
      <c r="B72" s="16" t="s">
        <v>247</v>
      </c>
      <c r="C72" s="161">
        <f t="shared" ref="C72:H72" si="12">SUM(C66:C71)</f>
        <v>0.13332546382555291</v>
      </c>
      <c r="D72" s="161">
        <f t="shared" si="12"/>
        <v>7.2384558953893771E-2</v>
      </c>
      <c r="E72" s="161">
        <f t="shared" si="12"/>
        <v>7.5555692012826275E-2</v>
      </c>
      <c r="F72" s="161">
        <f t="shared" si="12"/>
        <v>2.0543427207866994E-2</v>
      </c>
      <c r="G72" s="161">
        <f t="shared" si="12"/>
        <v>3.8053596707189864E-2</v>
      </c>
      <c r="H72" s="161">
        <f t="shared" si="12"/>
        <v>0.11609104502700678</v>
      </c>
      <c r="I72" s="161">
        <f>SUM(I66:I71)</f>
        <v>0.45595378373433654</v>
      </c>
    </row>
    <row r="75" spans="2:9" ht="15.6">
      <c r="B75" s="98" t="s">
        <v>236</v>
      </c>
      <c r="C75" s="98" t="s">
        <v>235</v>
      </c>
    </row>
    <row r="76" spans="2:9" ht="18">
      <c r="B76" s="18" t="s">
        <v>251</v>
      </c>
      <c r="C76" s="18">
        <f>'Fatores Emissao'!O6</f>
        <v>1</v>
      </c>
    </row>
    <row r="77" spans="2:9" ht="18">
      <c r="B77" s="18" t="s">
        <v>252</v>
      </c>
      <c r="C77" s="18">
        <f>'Fatores Emissao'!O7</f>
        <v>28</v>
      </c>
    </row>
    <row r="78" spans="2:9" ht="18">
      <c r="B78" s="18" t="s">
        <v>253</v>
      </c>
      <c r="C78" s="18">
        <f>'Fatores Emissao'!O8</f>
        <v>265</v>
      </c>
    </row>
    <row r="81" spans="1:10" s="155" customFormat="1" ht="33.6">
      <c r="A81"/>
      <c r="B81" s="176" t="s">
        <v>299</v>
      </c>
      <c r="C81" s="182" t="s">
        <v>35</v>
      </c>
      <c r="D81" s="182" t="s">
        <v>38</v>
      </c>
      <c r="E81" s="182" t="s">
        <v>40</v>
      </c>
      <c r="F81" s="182" t="s">
        <v>42</v>
      </c>
      <c r="G81" s="182" t="s">
        <v>43</v>
      </c>
      <c r="H81" s="182" t="s">
        <v>45</v>
      </c>
      <c r="I81" s="5" t="s">
        <v>257</v>
      </c>
      <c r="J81"/>
    </row>
    <row r="82" spans="1:10" ht="15.6">
      <c r="B82" s="18" t="s">
        <v>35</v>
      </c>
      <c r="C82" s="11"/>
      <c r="D82" s="12">
        <f t="shared" ref="C82:H87" si="13">(D44)*$C$76+(D55)*$C$77+(D66)*$C$78</f>
        <v>884.84184075272242</v>
      </c>
      <c r="E82" s="12">
        <f t="shared" si="13"/>
        <v>788.77329804242675</v>
      </c>
      <c r="F82" s="12">
        <f t="shared" si="13"/>
        <v>0</v>
      </c>
      <c r="G82" s="12">
        <f t="shared" si="13"/>
        <v>1142.7100343435159</v>
      </c>
      <c r="H82" s="12">
        <f t="shared" si="13"/>
        <v>3276.4429303300808</v>
      </c>
      <c r="I82" s="13">
        <f t="shared" ref="I82:I87" si="14">SUM(C82:H82)</f>
        <v>6092.7681034687457</v>
      </c>
    </row>
    <row r="83" spans="1:10" ht="15.6">
      <c r="B83" s="18" t="s">
        <v>38</v>
      </c>
      <c r="C83" s="12">
        <f>(C45)*$C$76+(C56)*$C$77+(C67)*$C$78</f>
        <v>1314.6221634040446</v>
      </c>
      <c r="D83" s="11"/>
      <c r="E83" s="12">
        <f t="shared" si="13"/>
        <v>0</v>
      </c>
      <c r="F83" s="12">
        <f t="shared" si="13"/>
        <v>0</v>
      </c>
      <c r="G83" s="12">
        <f t="shared" si="13"/>
        <v>101.12478180031113</v>
      </c>
      <c r="H83" s="12">
        <f t="shared" si="13"/>
        <v>687.64851624211576</v>
      </c>
      <c r="I83" s="13">
        <f t="shared" si="14"/>
        <v>2103.3954614464715</v>
      </c>
    </row>
    <row r="84" spans="1:10" ht="15.6">
      <c r="B84" s="18" t="s">
        <v>40</v>
      </c>
      <c r="C84" s="12">
        <f t="shared" si="13"/>
        <v>1673.6151387951491</v>
      </c>
      <c r="D84" s="12">
        <f t="shared" si="13"/>
        <v>0</v>
      </c>
      <c r="E84" s="11"/>
      <c r="F84" s="12">
        <f t="shared" si="13"/>
        <v>0</v>
      </c>
      <c r="G84" s="12">
        <f t="shared" si="13"/>
        <v>151.6871727004667</v>
      </c>
      <c r="H84" s="12">
        <f t="shared" si="13"/>
        <v>293.26186722090227</v>
      </c>
      <c r="I84" s="13">
        <f t="shared" si="14"/>
        <v>2118.5641787165182</v>
      </c>
    </row>
    <row r="85" spans="1:10" ht="15.6">
      <c r="B85" s="18" t="s">
        <v>42</v>
      </c>
      <c r="C85" s="12">
        <f t="shared" si="13"/>
        <v>434.83656174133785</v>
      </c>
      <c r="D85" s="12">
        <f t="shared" si="13"/>
        <v>45.506151810140004</v>
      </c>
      <c r="E85" s="12">
        <f t="shared" si="13"/>
        <v>5.0562390900155565</v>
      </c>
      <c r="F85" s="11"/>
      <c r="G85" s="12">
        <f t="shared" si="13"/>
        <v>0</v>
      </c>
      <c r="H85" s="12">
        <f t="shared" si="13"/>
        <v>0</v>
      </c>
      <c r="I85" s="13">
        <f t="shared" si="14"/>
        <v>485.39895264149339</v>
      </c>
    </row>
    <row r="86" spans="1:10" ht="15.6">
      <c r="B86" s="18" t="s">
        <v>43</v>
      </c>
      <c r="C86" s="12">
        <f t="shared" si="13"/>
        <v>308.43058449094895</v>
      </c>
      <c r="D86" s="12">
        <f t="shared" si="13"/>
        <v>606.74869080186681</v>
      </c>
      <c r="E86" s="12">
        <f t="shared" si="13"/>
        <v>601.69245171185128</v>
      </c>
      <c r="F86" s="12">
        <f t="shared" si="13"/>
        <v>237.64323723073113</v>
      </c>
      <c r="G86" s="11"/>
      <c r="H86" s="12">
        <f t="shared" si="13"/>
        <v>0</v>
      </c>
      <c r="I86" s="13">
        <f t="shared" si="14"/>
        <v>1754.5149642353981</v>
      </c>
    </row>
    <row r="87" spans="1:10" ht="15.6">
      <c r="B87" s="18" t="s">
        <v>45</v>
      </c>
      <c r="C87" s="12">
        <f t="shared" si="13"/>
        <v>1157.8787516135624</v>
      </c>
      <c r="D87" s="12">
        <f t="shared" si="13"/>
        <v>1117.4288388934381</v>
      </c>
      <c r="E87" s="12">
        <f t="shared" si="13"/>
        <v>1375.2970324842315</v>
      </c>
      <c r="F87" s="12">
        <f t="shared" si="13"/>
        <v>515.73638718158668</v>
      </c>
      <c r="G87" s="12">
        <f t="shared" si="13"/>
        <v>0</v>
      </c>
      <c r="H87" s="11"/>
      <c r="I87" s="13">
        <f t="shared" si="14"/>
        <v>4166.3410101728186</v>
      </c>
    </row>
    <row r="88" spans="1:10" ht="18">
      <c r="B88" s="16" t="s">
        <v>258</v>
      </c>
      <c r="C88" s="13">
        <f t="shared" ref="C88:H88" si="15">SUM(C82:C87)</f>
        <v>4889.3832000450429</v>
      </c>
      <c r="D88" s="13">
        <f t="shared" si="15"/>
        <v>2654.5255222581673</v>
      </c>
      <c r="E88" s="13">
        <f t="shared" si="15"/>
        <v>2770.8190213285252</v>
      </c>
      <c r="F88" s="13">
        <f t="shared" si="15"/>
        <v>753.37962441231775</v>
      </c>
      <c r="G88" s="13">
        <f t="shared" si="15"/>
        <v>1395.5219888442939</v>
      </c>
      <c r="H88" s="13">
        <f t="shared" si="15"/>
        <v>4257.353313793099</v>
      </c>
      <c r="I88" s="13">
        <f>SUM(I82:I87)</f>
        <v>16720.982670681446</v>
      </c>
    </row>
    <row r="89" spans="1:10">
      <c r="I89" s="114"/>
    </row>
    <row r="91" spans="1:10" s="155" customFormat="1" ht="33.6">
      <c r="A91"/>
      <c r="B91" s="176" t="s">
        <v>300</v>
      </c>
      <c r="C91" s="182" t="s">
        <v>35</v>
      </c>
      <c r="D91" s="182" t="s">
        <v>38</v>
      </c>
      <c r="E91" s="182" t="s">
        <v>40</v>
      </c>
      <c r="F91" s="182" t="s">
        <v>42</v>
      </c>
      <c r="G91" s="182" t="s">
        <v>43</v>
      </c>
      <c r="H91" s="182" t="s">
        <v>45</v>
      </c>
      <c r="I91" s="5" t="s">
        <v>260</v>
      </c>
      <c r="J91"/>
    </row>
    <row r="92" spans="1:10" ht="15.6">
      <c r="B92" s="18" t="s">
        <v>35</v>
      </c>
      <c r="C92" s="11"/>
      <c r="D92" s="40">
        <f>D82/$I$88</f>
        <v>5.2918052615663742E-2</v>
      </c>
      <c r="E92" s="40">
        <f>E82/$I$88</f>
        <v>4.7172664045963104E-2</v>
      </c>
      <c r="F92" s="40">
        <f>F82/$I$88</f>
        <v>0</v>
      </c>
      <c r="G92" s="40">
        <f>G82/$I$88</f>
        <v>6.8339885092228617E-2</v>
      </c>
      <c r="H92" s="40">
        <f>H82/$I$88</f>
        <v>0.1959479891140006</v>
      </c>
      <c r="I92" s="163">
        <f t="shared" ref="I92:I97" si="16">SUM(C92:H92)</f>
        <v>0.36437859086785607</v>
      </c>
    </row>
    <row r="93" spans="1:10" ht="15.6">
      <c r="B93" s="18" t="s">
        <v>38</v>
      </c>
      <c r="C93" s="40">
        <f>C83/$I$88</f>
        <v>7.8621106743271843E-2</v>
      </c>
      <c r="D93" s="11"/>
      <c r="E93" s="40">
        <f t="shared" ref="E93:H96" si="17">E83/$I$88</f>
        <v>0</v>
      </c>
      <c r="F93" s="40">
        <f t="shared" si="17"/>
        <v>0</v>
      </c>
      <c r="G93" s="40">
        <f t="shared" si="17"/>
        <v>6.0477774417901416E-3</v>
      </c>
      <c r="H93" s="40">
        <f t="shared" si="17"/>
        <v>4.1124886604172968E-2</v>
      </c>
      <c r="I93" s="163">
        <f t="shared" si="16"/>
        <v>0.12579377078923495</v>
      </c>
    </row>
    <row r="94" spans="1:10" ht="15.6">
      <c r="B94" s="18" t="s">
        <v>40</v>
      </c>
      <c r="C94" s="40">
        <f t="shared" ref="C94:G97" si="18">C84/$I$88</f>
        <v>0.10009071666162685</v>
      </c>
      <c r="D94" s="12"/>
      <c r="E94" s="11"/>
      <c r="F94" s="40">
        <f t="shared" si="17"/>
        <v>0</v>
      </c>
      <c r="G94" s="40">
        <f t="shared" si="17"/>
        <v>9.0716661626852133E-3</v>
      </c>
      <c r="H94" s="40">
        <f t="shared" si="17"/>
        <v>1.7538554581191412E-2</v>
      </c>
      <c r="I94" s="163">
        <f t="shared" si="16"/>
        <v>0.12670093740550348</v>
      </c>
    </row>
    <row r="95" spans="1:10" ht="15.6">
      <c r="B95" s="18" t="s">
        <v>42</v>
      </c>
      <c r="C95" s="40">
        <f t="shared" si="18"/>
        <v>2.600544299969761E-2</v>
      </c>
      <c r="D95" s="40">
        <f t="shared" si="18"/>
        <v>2.7214998488055636E-3</v>
      </c>
      <c r="E95" s="40">
        <f t="shared" si="18"/>
        <v>3.0238887208950711E-4</v>
      </c>
      <c r="F95" s="11"/>
      <c r="G95" s="40">
        <f t="shared" si="17"/>
        <v>0</v>
      </c>
      <c r="H95" s="40">
        <f t="shared" si="17"/>
        <v>0</v>
      </c>
      <c r="I95" s="163">
        <f t="shared" si="16"/>
        <v>2.9029331720592678E-2</v>
      </c>
    </row>
    <row r="96" spans="1:10" ht="15.6">
      <c r="B96" s="18" t="s">
        <v>43</v>
      </c>
      <c r="C96" s="40">
        <f t="shared" si="18"/>
        <v>1.8445721197459932E-2</v>
      </c>
      <c r="D96" s="40">
        <f t="shared" si="18"/>
        <v>3.6286664650740853E-2</v>
      </c>
      <c r="E96" s="40">
        <f t="shared" si="18"/>
        <v>3.5984275778651348E-2</v>
      </c>
      <c r="F96" s="40">
        <f t="shared" si="18"/>
        <v>1.4212276988206832E-2</v>
      </c>
      <c r="G96" s="11"/>
      <c r="H96" s="40">
        <f t="shared" si="17"/>
        <v>0</v>
      </c>
      <c r="I96" s="163">
        <f t="shared" si="16"/>
        <v>0.10492893861505896</v>
      </c>
    </row>
    <row r="97" spans="2:9" ht="15.6">
      <c r="B97" s="18" t="s">
        <v>45</v>
      </c>
      <c r="C97" s="40">
        <f t="shared" si="18"/>
        <v>6.9247051708497126E-2</v>
      </c>
      <c r="D97" s="40">
        <f t="shared" si="18"/>
        <v>6.6827940731781069E-2</v>
      </c>
      <c r="E97" s="40">
        <f t="shared" si="18"/>
        <v>8.2249773208345936E-2</v>
      </c>
      <c r="F97" s="40">
        <f t="shared" si="18"/>
        <v>3.0843664953129721E-2</v>
      </c>
      <c r="G97" s="40">
        <f t="shared" si="18"/>
        <v>0</v>
      </c>
      <c r="H97" s="11"/>
      <c r="I97" s="163">
        <f t="shared" si="16"/>
        <v>0.24916843060175387</v>
      </c>
    </row>
    <row r="98" spans="2:9" ht="18">
      <c r="B98" s="16" t="s">
        <v>261</v>
      </c>
      <c r="C98" s="162">
        <f t="shared" ref="C98:I98" si="19">SUM(C92:C97)</f>
        <v>0.29241003931055337</v>
      </c>
      <c r="D98" s="162">
        <f t="shared" si="19"/>
        <v>0.15875415784699121</v>
      </c>
      <c r="E98" s="162">
        <f t="shared" si="19"/>
        <v>0.16570910190504989</v>
      </c>
      <c r="F98" s="162">
        <f t="shared" si="19"/>
        <v>4.5055941941336553E-2</v>
      </c>
      <c r="G98" s="162">
        <f t="shared" si="19"/>
        <v>8.3459328696703972E-2</v>
      </c>
      <c r="H98" s="162">
        <f t="shared" si="19"/>
        <v>0.25461143029936495</v>
      </c>
      <c r="I98" s="163">
        <f t="shared" si="19"/>
        <v>0.99999999999999989</v>
      </c>
    </row>
    <row r="101" spans="2:9" s="155" customFormat="1" ht="33.6">
      <c r="B101" s="176" t="s">
        <v>301</v>
      </c>
      <c r="C101" s="177" t="s">
        <v>35</v>
      </c>
      <c r="D101" s="177" t="s">
        <v>38</v>
      </c>
      <c r="E101" s="177" t="s">
        <v>40</v>
      </c>
      <c r="F101" s="177" t="s">
        <v>42</v>
      </c>
      <c r="G101" s="177" t="s">
        <v>43</v>
      </c>
      <c r="H101" s="177" t="s">
        <v>45</v>
      </c>
    </row>
    <row r="102" spans="2:9" ht="15.6">
      <c r="B102" s="18" t="s">
        <v>35</v>
      </c>
      <c r="C102" s="171"/>
      <c r="D102" s="165">
        <f>D82/D22</f>
        <v>5.0562390900155565</v>
      </c>
      <c r="E102" s="165">
        <f>E82/E22</f>
        <v>5.0562390900155565</v>
      </c>
      <c r="F102" s="165"/>
      <c r="G102" s="165">
        <f t="shared" ref="G102:H104" si="20">G82/G22</f>
        <v>5.0562390900155574</v>
      </c>
      <c r="H102" s="165">
        <f t="shared" si="20"/>
        <v>5.0562390900155565</v>
      </c>
    </row>
    <row r="103" spans="2:9" ht="15.6">
      <c r="B103" s="18" t="s">
        <v>38</v>
      </c>
      <c r="C103" s="165">
        <f>C83/C23</f>
        <v>5.0562390900155565</v>
      </c>
      <c r="D103" s="171"/>
      <c r="E103" s="165"/>
      <c r="F103" s="165"/>
      <c r="G103" s="165">
        <f t="shared" si="20"/>
        <v>5.0562390900155565</v>
      </c>
      <c r="H103" s="165">
        <f t="shared" si="20"/>
        <v>5.0562390900155574</v>
      </c>
    </row>
    <row r="104" spans="2:9" ht="15.6">
      <c r="B104" s="18" t="s">
        <v>40</v>
      </c>
      <c r="C104" s="165">
        <f>C84/C24</f>
        <v>5.0562390900155556</v>
      </c>
      <c r="D104" s="165"/>
      <c r="E104" s="171"/>
      <c r="F104" s="165"/>
      <c r="G104" s="165">
        <f t="shared" si="20"/>
        <v>5.0562390900155565</v>
      </c>
      <c r="H104" s="165">
        <f t="shared" si="20"/>
        <v>5.0562390900155565</v>
      </c>
    </row>
    <row r="105" spans="2:9" ht="15.6">
      <c r="B105" s="18" t="s">
        <v>42</v>
      </c>
      <c r="C105" s="165">
        <f>C85/C25</f>
        <v>5.0562390900155565</v>
      </c>
      <c r="D105" s="165">
        <f t="shared" ref="D105:E107" si="21">D85/D25</f>
        <v>5.0562390900155556</v>
      </c>
      <c r="E105" s="165">
        <f t="shared" si="21"/>
        <v>5.0562390900155565</v>
      </c>
      <c r="F105" s="171"/>
      <c r="G105" s="165"/>
      <c r="H105" s="165"/>
    </row>
    <row r="106" spans="2:9" ht="15.6">
      <c r="B106" s="18" t="s">
        <v>43</v>
      </c>
      <c r="C106" s="165">
        <f>C86/C26</f>
        <v>5.0562390900155565</v>
      </c>
      <c r="D106" s="165">
        <f t="shared" si="21"/>
        <v>5.0562390900155565</v>
      </c>
      <c r="E106" s="165">
        <f t="shared" si="21"/>
        <v>5.0562390900155574</v>
      </c>
      <c r="F106" s="165">
        <f>F86/F26</f>
        <v>5.0562390900155556</v>
      </c>
      <c r="G106" s="171"/>
      <c r="H106" s="165"/>
    </row>
    <row r="107" spans="2:9" ht="15.6">
      <c r="B107" s="18" t="s">
        <v>45</v>
      </c>
      <c r="C107" s="165">
        <f>C87/C27</f>
        <v>5.0562390900155565</v>
      </c>
      <c r="D107" s="165">
        <f t="shared" si="21"/>
        <v>5.0562390900155565</v>
      </c>
      <c r="E107" s="165">
        <f t="shared" si="21"/>
        <v>5.0562390900155574</v>
      </c>
      <c r="F107" s="165">
        <f>F87/F27</f>
        <v>5.0562390900155556</v>
      </c>
      <c r="G107" s="165"/>
      <c r="H107" s="171"/>
    </row>
    <row r="115" spans="9:9">
      <c r="I115" s="114"/>
    </row>
  </sheetData>
  <mergeCells count="7">
    <mergeCell ref="B64:D64"/>
    <mergeCell ref="C3:E3"/>
    <mergeCell ref="C10:E10"/>
    <mergeCell ref="C15:E15"/>
    <mergeCell ref="B40:I40"/>
    <mergeCell ref="B42:D42"/>
    <mergeCell ref="B53:D5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245A-0DB9-47F2-BA8D-E512154954AB}">
  <dimension ref="B1:I28"/>
  <sheetViews>
    <sheetView showGridLines="0" zoomScale="85" zoomScaleNormal="85" workbookViewId="0">
      <selection activeCell="B18" sqref="B18"/>
    </sheetView>
  </sheetViews>
  <sheetFormatPr defaultRowHeight="15.6"/>
  <cols>
    <col min="1" max="1" width="8.83984375" style="169"/>
    <col min="2" max="2" width="32.47265625" style="169" customWidth="1"/>
    <col min="3" max="3" width="13.7890625" style="169" customWidth="1"/>
    <col min="4" max="4" width="11.68359375" style="169" customWidth="1"/>
    <col min="5" max="5" width="11" style="169" customWidth="1"/>
    <col min="6" max="6" width="12.3125" style="169" customWidth="1"/>
    <col min="7" max="7" width="14.3671875" style="169" customWidth="1"/>
    <col min="8" max="8" width="16.3125" style="169" customWidth="1"/>
    <col min="9" max="16384" width="8.83984375" style="169"/>
  </cols>
  <sheetData>
    <row r="1" spans="2:9">
      <c r="B1" s="191" t="s">
        <v>360</v>
      </c>
    </row>
    <row r="2" spans="2:9">
      <c r="B2" s="191"/>
    </row>
    <row r="3" spans="2:9" ht="23.1">
      <c r="B3" s="273" t="s">
        <v>483</v>
      </c>
      <c r="C3" s="273"/>
      <c r="D3" s="273"/>
      <c r="E3" s="273"/>
      <c r="F3" s="273"/>
      <c r="G3" s="273"/>
      <c r="H3" s="273"/>
      <c r="I3" s="273"/>
    </row>
    <row r="5" spans="2:9" ht="18">
      <c r="B5" s="260" t="s">
        <v>546</v>
      </c>
      <c r="C5" s="260"/>
      <c r="D5" s="260"/>
      <c r="E5" s="260"/>
      <c r="F5" s="260"/>
      <c r="G5" s="260"/>
      <c r="H5" s="260"/>
    </row>
    <row r="6" spans="2:9">
      <c r="B6" s="176" t="s">
        <v>36</v>
      </c>
      <c r="C6" s="177" t="s">
        <v>35</v>
      </c>
      <c r="D6" s="177" t="s">
        <v>38</v>
      </c>
      <c r="E6" s="177" t="s">
        <v>40</v>
      </c>
      <c r="F6" s="177" t="s">
        <v>42</v>
      </c>
      <c r="G6" s="177" t="s">
        <v>43</v>
      </c>
      <c r="H6" s="177" t="s">
        <v>45</v>
      </c>
    </row>
    <row r="7" spans="2:9">
      <c r="B7" s="18" t="s">
        <v>35</v>
      </c>
      <c r="C7" s="171">
        <f>'RTG Base C1'!C102+'TT Base C1'!C102</f>
        <v>0</v>
      </c>
      <c r="D7" s="165">
        <f>'RTG Base C1'!D102+'TT Base C1'!D102</f>
        <v>20.533097603694184</v>
      </c>
      <c r="E7" s="165">
        <f>'RTG Base C1'!E102+'TT Base C1'!E102</f>
        <v>20.533097603694184</v>
      </c>
      <c r="F7" s="165">
        <f>'RTG Base C1'!F102+'TT Base C1'!F102</f>
        <v>0</v>
      </c>
      <c r="G7" s="165">
        <f>'RTG Base C1'!G102+'TT Base C1'!G102</f>
        <v>20.533097603694184</v>
      </c>
      <c r="H7" s="165">
        <f>'RTG Base C1'!H102+'TT Base C1'!H102</f>
        <v>20.533097603694181</v>
      </c>
    </row>
    <row r="8" spans="2:9">
      <c r="B8" s="18" t="s">
        <v>38</v>
      </c>
      <c r="C8" s="165">
        <f>'RTG Base C1'!C103+'TT Base C1'!C103</f>
        <v>20.533097603694181</v>
      </c>
      <c r="D8" s="171">
        <f>'RTG Base C1'!D103+'TT Base C1'!D103</f>
        <v>0</v>
      </c>
      <c r="E8" s="165">
        <f>'RTG Base C1'!E103+'TT Base C1'!E103</f>
        <v>0</v>
      </c>
      <c r="F8" s="165">
        <f>'RTG Base C1'!F103+'TT Base C1'!F103</f>
        <v>0</v>
      </c>
      <c r="G8" s="165">
        <f>'RTG Base C1'!G103+'TT Base C1'!G103</f>
        <v>20.533097603694184</v>
      </c>
      <c r="H8" s="165">
        <f>'RTG Base C1'!H103+'TT Base C1'!H103</f>
        <v>20.533097603694188</v>
      </c>
    </row>
    <row r="9" spans="2:9">
      <c r="B9" s="18" t="s">
        <v>40</v>
      </c>
      <c r="C9" s="165">
        <f>'RTG Base C1'!C104+'TT Base C1'!C104</f>
        <v>20.533097603694181</v>
      </c>
      <c r="D9" s="165">
        <f>'RTG Base C1'!D104+'TT Base C1'!D104</f>
        <v>0</v>
      </c>
      <c r="E9" s="171">
        <f>'RTG Base C1'!E104+'TT Base C1'!E104</f>
        <v>0</v>
      </c>
      <c r="F9" s="165">
        <f>'RTG Base C1'!F104+'TT Base C1'!F104</f>
        <v>0</v>
      </c>
      <c r="G9" s="165">
        <f>'RTG Base C1'!G104+'TT Base C1'!G104</f>
        <v>20.533097603694181</v>
      </c>
      <c r="H9" s="165">
        <f>'RTG Base C1'!H104+'TT Base C1'!H104</f>
        <v>20.533097603694181</v>
      </c>
    </row>
    <row r="10" spans="2:9">
      <c r="B10" s="18" t="s">
        <v>42</v>
      </c>
      <c r="C10" s="165">
        <f>'RTG Base C1'!C105+'TT Base C1'!C105</f>
        <v>20.533097603694181</v>
      </c>
      <c r="D10" s="165">
        <f>'RTG Base C1'!D105+'TT Base C1'!D105</f>
        <v>20.533097603694184</v>
      </c>
      <c r="E10" s="165">
        <f>'RTG Base C1'!E105+'TT Base C1'!E105</f>
        <v>20.533097603694184</v>
      </c>
      <c r="F10" s="171">
        <f>'RTG Base C1'!F105+'TT Base C1'!F105</f>
        <v>0</v>
      </c>
      <c r="G10" s="165">
        <f>'RTG Base C1'!G105+'TT Base C1'!G105</f>
        <v>0</v>
      </c>
      <c r="H10" s="165">
        <f>'RTG Base C1'!H105+'TT Base C1'!H105</f>
        <v>0</v>
      </c>
    </row>
    <row r="11" spans="2:9">
      <c r="B11" s="18" t="s">
        <v>43</v>
      </c>
      <c r="C11" s="165">
        <f>'RTG Base C1'!C106+'TT Base C1'!C106</f>
        <v>20.533097603694184</v>
      </c>
      <c r="D11" s="165">
        <f>'RTG Base C1'!D106+'TT Base C1'!D106</f>
        <v>20.533097603694181</v>
      </c>
      <c r="E11" s="165">
        <f>'RTG Base C1'!E106+'TT Base C1'!E106</f>
        <v>20.533097603694184</v>
      </c>
      <c r="F11" s="165">
        <f>'RTG Base C1'!F106+'TT Base C1'!F106</f>
        <v>20.533097603694184</v>
      </c>
      <c r="G11" s="171">
        <f>'RTG Base C1'!G106+'TT Base C1'!G106</f>
        <v>0</v>
      </c>
      <c r="H11" s="165">
        <f>'RTG Base C1'!H106+'TT Base C1'!H106</f>
        <v>0</v>
      </c>
    </row>
    <row r="12" spans="2:9">
      <c r="B12" s="18" t="s">
        <v>45</v>
      </c>
      <c r="C12" s="165">
        <f>'RTG Base C1'!C107+'TT Base C1'!C107</f>
        <v>20.533097603694181</v>
      </c>
      <c r="D12" s="165">
        <f>'RTG Base C1'!D107+'TT Base C1'!D107</f>
        <v>20.533097603694181</v>
      </c>
      <c r="E12" s="165">
        <f>'RTG Base C1'!E107+'TT Base C1'!E107</f>
        <v>20.533097603694188</v>
      </c>
      <c r="F12" s="165">
        <f>'RTG Base C1'!F107+'TT Base C1'!F107</f>
        <v>20.533097603694181</v>
      </c>
      <c r="G12" s="165">
        <f>'RTG Base C1'!G107+'TT Base C1'!G107</f>
        <v>0</v>
      </c>
      <c r="H12" s="171">
        <f>'RTG Base C1'!H107+'TT Base C1'!H107</f>
        <v>0</v>
      </c>
    </row>
    <row r="14" spans="2:9" ht="18">
      <c r="B14" s="176" t="s">
        <v>256</v>
      </c>
      <c r="C14" s="12">
        <f>'RTG Base C1'!I88+'TT Base C1'!I88</f>
        <v>67902.953775416652</v>
      </c>
    </row>
    <row r="17" spans="2:9" ht="23.1">
      <c r="B17" s="273" t="s">
        <v>562</v>
      </c>
      <c r="C17" s="273"/>
      <c r="D17" s="273"/>
      <c r="E17" s="273"/>
      <c r="F17" s="273"/>
      <c r="G17" s="273"/>
      <c r="H17" s="273"/>
      <c r="I17" s="273"/>
    </row>
    <row r="19" spans="2:9" ht="18">
      <c r="B19" s="260" t="s">
        <v>545</v>
      </c>
      <c r="C19" s="260"/>
      <c r="D19" s="260"/>
      <c r="E19" s="260"/>
      <c r="F19" s="260"/>
      <c r="G19" s="260"/>
      <c r="H19" s="260"/>
    </row>
    <row r="20" spans="2:9" ht="18">
      <c r="B20" s="176" t="s">
        <v>266</v>
      </c>
      <c r="C20" s="177" t="s">
        <v>35</v>
      </c>
      <c r="D20" s="177" t="s">
        <v>38</v>
      </c>
      <c r="E20" s="177" t="s">
        <v>40</v>
      </c>
      <c r="F20" s="177" t="s">
        <v>42</v>
      </c>
      <c r="G20" s="177" t="s">
        <v>43</v>
      </c>
      <c r="H20" s="177" t="s">
        <v>45</v>
      </c>
    </row>
    <row r="21" spans="2:9">
      <c r="B21" s="18" t="s">
        <v>35</v>
      </c>
      <c r="C21" s="171">
        <f>'RTG C2'!C102+'TT C2'!C102</f>
        <v>0</v>
      </c>
      <c r="D21" s="165">
        <f>'RTG C2'!D102+'TT C2'!D102</f>
        <v>19.576720579291003</v>
      </c>
      <c r="E21" s="165">
        <f>'RTG C2'!E102+'TT C2'!E102</f>
        <v>19.576720579291003</v>
      </c>
      <c r="F21" s="165">
        <f>'RTG C2'!F102+'TT C2'!F102</f>
        <v>0</v>
      </c>
      <c r="G21" s="165">
        <f>'RTG C2'!G102+'TT C2'!G102</f>
        <v>19.576720579291006</v>
      </c>
      <c r="H21" s="165">
        <f>'RTG C2'!H102+'TT C2'!H102</f>
        <v>19.576720579291006</v>
      </c>
    </row>
    <row r="22" spans="2:9">
      <c r="B22" s="18" t="s">
        <v>38</v>
      </c>
      <c r="C22" s="165">
        <f>'RTG C2'!C103+'TT C2'!C103</f>
        <v>19.576720579291006</v>
      </c>
      <c r="D22" s="171">
        <f>'RTG C2'!D103+'TT C2'!D103</f>
        <v>0</v>
      </c>
      <c r="E22" s="165">
        <f>'RTG C2'!E103+'TT C2'!E103</f>
        <v>0</v>
      </c>
      <c r="F22" s="165">
        <f>'RTG C2'!F103+'TT C2'!F103</f>
        <v>0</v>
      </c>
      <c r="G22" s="165">
        <f>'RTG C2'!G103+'TT C2'!G103</f>
        <v>19.576720579291006</v>
      </c>
      <c r="H22" s="165">
        <f>'RTG C2'!H103+'TT C2'!H103</f>
        <v>19.576720579291006</v>
      </c>
    </row>
    <row r="23" spans="2:9">
      <c r="B23" s="18" t="s">
        <v>40</v>
      </c>
      <c r="C23" s="165">
        <f>'RTG C2'!C104+'TT C2'!C104</f>
        <v>19.576720579291003</v>
      </c>
      <c r="D23" s="165">
        <f>'RTG C2'!D104+'TT C2'!D104</f>
        <v>0</v>
      </c>
      <c r="E23" s="171">
        <f>'RTG C2'!E104+'TT C2'!E104</f>
        <v>0</v>
      </c>
      <c r="F23" s="165">
        <f>'RTG C2'!F104+'TT C2'!F104</f>
        <v>0</v>
      </c>
      <c r="G23" s="165">
        <f>'RTG C2'!G104+'TT C2'!G104</f>
        <v>19.576720579291006</v>
      </c>
      <c r="H23" s="165">
        <f>'RTG C2'!H104+'TT C2'!H104</f>
        <v>19.576720579291006</v>
      </c>
    </row>
    <row r="24" spans="2:9">
      <c r="B24" s="18" t="s">
        <v>42</v>
      </c>
      <c r="C24" s="165">
        <f>'RTG C2'!C105+'TT C2'!C105</f>
        <v>19.576720579291003</v>
      </c>
      <c r="D24" s="165">
        <f>'RTG C2'!D105+'TT C2'!D105</f>
        <v>19.576720579291003</v>
      </c>
      <c r="E24" s="165">
        <f>'RTG C2'!E105+'TT C2'!E105</f>
        <v>19.576720579291006</v>
      </c>
      <c r="F24" s="171">
        <f>'RTG C2'!F105+'TT C2'!F105</f>
        <v>0</v>
      </c>
      <c r="G24" s="165">
        <f>'RTG C2'!G105+'TT C2'!G105</f>
        <v>0</v>
      </c>
      <c r="H24" s="165">
        <f>'RTG C2'!H105+'TT C2'!H105</f>
        <v>0</v>
      </c>
    </row>
    <row r="25" spans="2:9">
      <c r="B25" s="18" t="s">
        <v>43</v>
      </c>
      <c r="C25" s="165">
        <f>'RTG C2'!C106+'TT C2'!C106</f>
        <v>19.576720579291006</v>
      </c>
      <c r="D25" s="165">
        <f>'RTG C2'!D106+'TT C2'!D106</f>
        <v>19.576720579291006</v>
      </c>
      <c r="E25" s="165">
        <f>'RTG C2'!E106+'TT C2'!E106</f>
        <v>19.576720579291006</v>
      </c>
      <c r="F25" s="165">
        <f>'RTG C2'!F106+'TT C2'!F106</f>
        <v>19.576720579291006</v>
      </c>
      <c r="G25" s="171">
        <f>'RTG C2'!G106+'TT C2'!G106</f>
        <v>0</v>
      </c>
      <c r="H25" s="165">
        <f>'RTG C2'!H106+'TT C2'!H106</f>
        <v>0</v>
      </c>
    </row>
    <row r="26" spans="2:9">
      <c r="B26" s="18" t="s">
        <v>45</v>
      </c>
      <c r="C26" s="165">
        <f>'RTG C2'!C107+'TT C2'!C107</f>
        <v>19.576720579291006</v>
      </c>
      <c r="D26" s="165">
        <f>'RTG C2'!D107+'TT C2'!D107</f>
        <v>19.576720579291006</v>
      </c>
      <c r="E26" s="165">
        <f>'RTG C2'!E107+'TT C2'!E107</f>
        <v>19.576720579291006</v>
      </c>
      <c r="F26" s="165">
        <f>'RTG C2'!F107+'TT C2'!F107</f>
        <v>19.576720579291006</v>
      </c>
      <c r="G26" s="165">
        <f>'RTG C2'!G107+'TT C2'!G107</f>
        <v>0</v>
      </c>
      <c r="H26" s="171">
        <f>'RTG C2'!H107+'TT C2'!H107</f>
        <v>0</v>
      </c>
    </row>
    <row r="28" spans="2:9" ht="18">
      <c r="B28" s="176" t="s">
        <v>256</v>
      </c>
      <c r="C28" s="12">
        <f>'RTG C2'!I88+'TT C2'!I88</f>
        <v>64740.214955715361</v>
      </c>
    </row>
  </sheetData>
  <mergeCells count="4">
    <mergeCell ref="B5:H5"/>
    <mergeCell ref="B3:I3"/>
    <mergeCell ref="B17:I17"/>
    <mergeCell ref="B19:H19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5D66-D03B-40D0-9259-57010DC511FF}">
  <dimension ref="B2:Q199"/>
  <sheetViews>
    <sheetView showGridLines="0" topLeftCell="A82" zoomScaleNormal="100" workbookViewId="0">
      <selection activeCell="C199" sqref="C199"/>
    </sheetView>
  </sheetViews>
  <sheetFormatPr defaultRowHeight="15.6"/>
  <cols>
    <col min="1" max="1" width="8.83984375" style="169"/>
    <col min="2" max="2" width="25.9453125" style="169" customWidth="1"/>
    <col min="3" max="3" width="16.89453125" style="169" customWidth="1"/>
    <col min="4" max="4" width="16.7890625" style="169" customWidth="1"/>
    <col min="5" max="5" width="14.578125" style="169" customWidth="1"/>
    <col min="6" max="6" width="13.20703125" style="169" customWidth="1"/>
    <col min="7" max="7" width="10.68359375" style="169" customWidth="1"/>
    <col min="8" max="8" width="12.3671875" style="169" customWidth="1"/>
    <col min="9" max="9" width="13.62890625" style="169" customWidth="1"/>
    <col min="10" max="10" width="2.578125" style="169" customWidth="1"/>
    <col min="11" max="11" width="23.734375" style="169" customWidth="1"/>
    <col min="12" max="12" width="13.05078125" style="169" customWidth="1"/>
    <col min="13" max="13" width="22.15625" style="169" customWidth="1"/>
    <col min="14" max="14" width="18.3125" style="169" bestFit="1" customWidth="1"/>
    <col min="15" max="15" width="15.20703125" style="169" customWidth="1"/>
    <col min="16" max="16" width="14.83984375" style="169" customWidth="1"/>
    <col min="17" max="17" width="14.3125" style="169" customWidth="1"/>
    <col min="18" max="18" width="13.734375" style="169" customWidth="1"/>
    <col min="19" max="19" width="12.3671875" style="169" customWidth="1"/>
    <col min="20" max="20" width="24.83984375" style="169" customWidth="1"/>
    <col min="21" max="24" width="8.83984375" style="169"/>
    <col min="25" max="25" width="16.47265625" style="169" customWidth="1"/>
    <col min="26" max="16384" width="8.83984375" style="169"/>
  </cols>
  <sheetData>
    <row r="2" spans="2:6">
      <c r="B2" s="191" t="s">
        <v>367</v>
      </c>
    </row>
    <row r="3" spans="2:6">
      <c r="B3" s="191" t="s">
        <v>366</v>
      </c>
    </row>
    <row r="5" spans="2:6">
      <c r="E5" s="260" t="s">
        <v>364</v>
      </c>
      <c r="F5" s="260"/>
    </row>
    <row r="6" spans="2:6">
      <c r="B6" s="98" t="s">
        <v>361</v>
      </c>
      <c r="C6" s="98" t="s">
        <v>362</v>
      </c>
      <c r="D6" s="98" t="s">
        <v>379</v>
      </c>
      <c r="E6" s="98" t="s">
        <v>304</v>
      </c>
      <c r="F6" s="98" t="s">
        <v>363</v>
      </c>
    </row>
    <row r="7" spans="2:6">
      <c r="B7" s="6" t="s">
        <v>9</v>
      </c>
      <c r="C7" s="6" t="s">
        <v>8</v>
      </c>
      <c r="D7" s="227">
        <f>CabotageProforma_KAB01!AN21</f>
        <v>0.37587637299267557</v>
      </c>
      <c r="E7" s="81">
        <f>CabotageProforma_KAB01!AQ21</f>
        <v>23.895407404796593</v>
      </c>
      <c r="F7" s="81">
        <f>D7*CabotageProforma_KAB01!$J$7</f>
        <v>0.75175274598535113</v>
      </c>
    </row>
    <row r="8" spans="2:6">
      <c r="B8" s="6" t="s">
        <v>8</v>
      </c>
      <c r="C8" s="6" t="s">
        <v>7</v>
      </c>
      <c r="D8" s="227">
        <f>CabotageProforma_KAB01!AN22</f>
        <v>2.0170134405992233</v>
      </c>
      <c r="E8" s="81">
        <f>CabotageProforma_KAB01!AQ22</f>
        <v>128.22767336069302</v>
      </c>
      <c r="F8" s="81">
        <f>D8*CabotageProforma_KAB01!$J$7</f>
        <v>4.0340268811984465</v>
      </c>
    </row>
    <row r="9" spans="2:6">
      <c r="B9" s="6" t="s">
        <v>7</v>
      </c>
      <c r="C9" s="6" t="s">
        <v>6</v>
      </c>
      <c r="D9" s="227">
        <f>CabotageProforma_KAB01!AN23</f>
        <v>0.96351607049443455</v>
      </c>
      <c r="E9" s="81">
        <f>CabotageProforma_KAB01!AQ23</f>
        <v>61.25298544612113</v>
      </c>
      <c r="F9" s="81">
        <f>D9*CabotageProforma_KAB01!$J$7</f>
        <v>1.9270321409888691</v>
      </c>
    </row>
    <row r="10" spans="2:6">
      <c r="B10" s="6" t="s">
        <v>6</v>
      </c>
      <c r="C10" s="6" t="s">
        <v>5</v>
      </c>
      <c r="D10" s="227">
        <f>CabotageProforma_KAB01!AN24</f>
        <v>1.1863739452320123</v>
      </c>
      <c r="E10" s="81">
        <f>CabotageProforma_KAB01!AQ24</f>
        <v>71.960454965387342</v>
      </c>
      <c r="F10" s="81">
        <f>D10*CabotageProforma_KAB01!$J$7</f>
        <v>2.3727478904640247</v>
      </c>
    </row>
    <row r="11" spans="2:6">
      <c r="B11" s="6" t="s">
        <v>5</v>
      </c>
      <c r="C11" s="6" t="s">
        <v>4</v>
      </c>
      <c r="D11" s="227">
        <f>CabotageProforma_KAB01!AN25+CabotageProforma_KAB01!AN26</f>
        <v>3.9329202760352251</v>
      </c>
      <c r="E11" s="81">
        <f>CabotageProforma_KAB01!AQ25+CabotageProforma_KAB01!AQ26</f>
        <v>257.12885683214864</v>
      </c>
      <c r="F11" s="81">
        <f>D11*CabotageProforma_KAB01!$J$7</f>
        <v>7.8658405520704502</v>
      </c>
    </row>
    <row r="12" spans="2:6">
      <c r="B12" s="6" t="s">
        <v>4</v>
      </c>
      <c r="C12" s="6" t="s">
        <v>5</v>
      </c>
      <c r="D12" s="227">
        <f>CabotageProforma_KAB01!AN27+CabotageProforma_KAB01!AN28</f>
        <v>3.6099916769591287</v>
      </c>
      <c r="E12" s="81">
        <f>CabotageProforma_KAB01!AQ27+CabotageProforma_KAB01!AQ28</f>
        <v>221.61319050397859</v>
      </c>
      <c r="F12" s="81">
        <f>D12*CabotageProforma_KAB01!$J$7</f>
        <v>7.2199833539182574</v>
      </c>
    </row>
    <row r="13" spans="2:6">
      <c r="B13" s="6" t="s">
        <v>5</v>
      </c>
      <c r="C13" s="6" t="s">
        <v>6</v>
      </c>
      <c r="D13" s="227">
        <f>CabotageProforma_KAB01!AN29</f>
        <v>1.1408553386566966</v>
      </c>
      <c r="E13" s="81">
        <f>CabotageProforma_KAB01!AQ29</f>
        <v>72.52774679604876</v>
      </c>
      <c r="F13" s="81">
        <f>D13*CabotageProforma_KAB01!$J$7</f>
        <v>2.2817106773133933</v>
      </c>
    </row>
    <row r="14" spans="2:6">
      <c r="B14" s="6" t="s">
        <v>6</v>
      </c>
      <c r="C14" s="6" t="s">
        <v>9</v>
      </c>
      <c r="D14" s="227">
        <f>CabotageProforma_KAB01!AN30</f>
        <v>3.2452123948036302</v>
      </c>
      <c r="E14" s="81">
        <f>CabotageProforma_KAB01!AQ30</f>
        <v>206.30870087525315</v>
      </c>
      <c r="F14" s="81">
        <f>D14*CabotageProforma_KAB01!$J$7</f>
        <v>6.4904247896072604</v>
      </c>
    </row>
    <row r="15" spans="2:6">
      <c r="D15" s="198"/>
    </row>
    <row r="16" spans="2:6">
      <c r="D16" s="198"/>
    </row>
    <row r="17" spans="2:9">
      <c r="C17" s="263" t="s">
        <v>234</v>
      </c>
      <c r="D17" s="264"/>
      <c r="E17" s="265"/>
    </row>
    <row r="18" spans="2:9" ht="18">
      <c r="B18" s="34" t="s">
        <v>221</v>
      </c>
      <c r="C18" s="180" t="s">
        <v>310</v>
      </c>
      <c r="D18" s="180" t="s">
        <v>311</v>
      </c>
      <c r="E18" s="180" t="s">
        <v>312</v>
      </c>
    </row>
    <row r="19" spans="2:9">
      <c r="B19" s="84" t="s">
        <v>306</v>
      </c>
      <c r="C19" s="113">
        <f>'Fatores Emissao'!C62</f>
        <v>3114</v>
      </c>
      <c r="D19" s="181">
        <f>'Fatores Emissao'!D62</f>
        <v>0.05</v>
      </c>
      <c r="E19" s="181">
        <f>'Fatores Emissao'!E62</f>
        <v>0.18</v>
      </c>
    </row>
    <row r="20" spans="2:9">
      <c r="B20" s="84" t="s">
        <v>215</v>
      </c>
      <c r="C20" s="113">
        <f>'Fatores Emissao'!C63</f>
        <v>3206</v>
      </c>
      <c r="D20" s="181">
        <f>'Fatores Emissao'!D63</f>
        <v>0.05</v>
      </c>
      <c r="E20" s="181">
        <f>'Fatores Emissao'!E63</f>
        <v>0.18</v>
      </c>
    </row>
    <row r="22" spans="2:9">
      <c r="B22" s="98" t="s">
        <v>236</v>
      </c>
      <c r="C22" s="98" t="s">
        <v>235</v>
      </c>
    </row>
    <row r="23" spans="2:9" ht="18">
      <c r="B23" s="18" t="s">
        <v>251</v>
      </c>
      <c r="C23" s="18">
        <v>1</v>
      </c>
    </row>
    <row r="24" spans="2:9" ht="18">
      <c r="B24" s="18" t="s">
        <v>252</v>
      </c>
      <c r="C24" s="18">
        <v>28</v>
      </c>
    </row>
    <row r="25" spans="2:9" ht="18">
      <c r="B25" s="18" t="s">
        <v>253</v>
      </c>
      <c r="C25" s="18">
        <v>265</v>
      </c>
    </row>
    <row r="26" spans="2:9">
      <c r="D26" s="198"/>
    </row>
    <row r="28" spans="2:9">
      <c r="B28" s="5" t="s">
        <v>188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5" t="s">
        <v>47</v>
      </c>
    </row>
    <row r="29" spans="2:9">
      <c r="B29" s="10" t="s">
        <v>4</v>
      </c>
      <c r="C29" s="11">
        <f>'Movimentacao de Conteineres'!K30</f>
        <v>0</v>
      </c>
      <c r="D29" s="12">
        <f>'Movimentacao de Conteineres'!L30</f>
        <v>175</v>
      </c>
      <c r="E29" s="12">
        <f>'Movimentacao de Conteineres'!M30</f>
        <v>156</v>
      </c>
      <c r="F29" s="12">
        <f>'Movimentacao de Conteineres'!N30</f>
        <v>0</v>
      </c>
      <c r="G29" s="12">
        <f>'Movimentacao de Conteineres'!O30</f>
        <v>226</v>
      </c>
      <c r="H29" s="12">
        <f>'Movimentacao de Conteineres'!P30</f>
        <v>648</v>
      </c>
      <c r="I29" s="13">
        <f t="shared" ref="I29:I34" si="0">SUM(C29:H29)</f>
        <v>1205</v>
      </c>
    </row>
    <row r="30" spans="2:9">
      <c r="B30" s="10" t="s">
        <v>5</v>
      </c>
      <c r="C30" s="12">
        <f>'Movimentacao de Conteineres'!K31</f>
        <v>260</v>
      </c>
      <c r="D30" s="11">
        <f>'Movimentacao de Conteineres'!L31</f>
        <v>0</v>
      </c>
      <c r="E30" s="12">
        <f>'Movimentacao de Conteineres'!M31</f>
        <v>0</v>
      </c>
      <c r="F30" s="12">
        <f>'Movimentacao de Conteineres'!N31</f>
        <v>0</v>
      </c>
      <c r="G30" s="12">
        <f>'Movimentacao de Conteineres'!O31</f>
        <v>20</v>
      </c>
      <c r="H30" s="12">
        <f>'Movimentacao de Conteineres'!P31</f>
        <v>136</v>
      </c>
      <c r="I30" s="13">
        <f t="shared" si="0"/>
        <v>416</v>
      </c>
    </row>
    <row r="31" spans="2:9">
      <c r="B31" s="10" t="s">
        <v>6</v>
      </c>
      <c r="C31" s="12">
        <f>'Movimentacao de Conteineres'!K32</f>
        <v>331</v>
      </c>
      <c r="D31" s="12">
        <f>'Movimentacao de Conteineres'!L32</f>
        <v>0</v>
      </c>
      <c r="E31" s="11">
        <f>'Movimentacao de Conteineres'!M32</f>
        <v>0</v>
      </c>
      <c r="F31" s="12">
        <f>'Movimentacao de Conteineres'!N32</f>
        <v>0</v>
      </c>
      <c r="G31" s="12">
        <f>'Movimentacao de Conteineres'!O32</f>
        <v>30</v>
      </c>
      <c r="H31" s="12">
        <f>'Movimentacao de Conteineres'!P32</f>
        <v>58</v>
      </c>
      <c r="I31" s="13">
        <f t="shared" si="0"/>
        <v>419</v>
      </c>
    </row>
    <row r="32" spans="2:9">
      <c r="B32" s="10" t="s">
        <v>7</v>
      </c>
      <c r="C32" s="12">
        <f>'Movimentacao de Conteineres'!K33</f>
        <v>86</v>
      </c>
      <c r="D32" s="12">
        <f>'Movimentacao de Conteineres'!L33</f>
        <v>9</v>
      </c>
      <c r="E32" s="12">
        <f>'Movimentacao de Conteineres'!M33</f>
        <v>1</v>
      </c>
      <c r="F32" s="11">
        <f>'Movimentacao de Conteineres'!N33</f>
        <v>0</v>
      </c>
      <c r="G32" s="12">
        <f>'Movimentacao de Conteineres'!O33</f>
        <v>0</v>
      </c>
      <c r="H32" s="12">
        <f>'Movimentacao de Conteineres'!P33</f>
        <v>0</v>
      </c>
      <c r="I32" s="13">
        <f t="shared" si="0"/>
        <v>96</v>
      </c>
    </row>
    <row r="33" spans="2:17">
      <c r="B33" s="10" t="s">
        <v>8</v>
      </c>
      <c r="C33" s="12">
        <f>'Movimentacao de Conteineres'!K34</f>
        <v>61</v>
      </c>
      <c r="D33" s="12">
        <f>'Movimentacao de Conteineres'!L34</f>
        <v>120</v>
      </c>
      <c r="E33" s="12">
        <f>'Movimentacao de Conteineres'!M34</f>
        <v>119</v>
      </c>
      <c r="F33" s="12">
        <f>'Movimentacao de Conteineres'!N34</f>
        <v>47</v>
      </c>
      <c r="G33" s="11">
        <f>'Movimentacao de Conteineres'!O34</f>
        <v>0</v>
      </c>
      <c r="H33" s="12">
        <f>'Movimentacao de Conteineres'!P34</f>
        <v>0</v>
      </c>
      <c r="I33" s="13">
        <f t="shared" si="0"/>
        <v>347</v>
      </c>
    </row>
    <row r="34" spans="2:17">
      <c r="B34" s="10" t="s">
        <v>9</v>
      </c>
      <c r="C34" s="12">
        <f>'Movimentacao de Conteineres'!K35</f>
        <v>229</v>
      </c>
      <c r="D34" s="12">
        <f>'Movimentacao de Conteineres'!L35</f>
        <v>221</v>
      </c>
      <c r="E34" s="12">
        <f>'Movimentacao de Conteineres'!M35</f>
        <v>272</v>
      </c>
      <c r="F34" s="12">
        <f>'Movimentacao de Conteineres'!N35</f>
        <v>102</v>
      </c>
      <c r="G34" s="12">
        <f>'Movimentacao de Conteineres'!O35</f>
        <v>0</v>
      </c>
      <c r="H34" s="11">
        <f>'Movimentacao de Conteineres'!P35</f>
        <v>0</v>
      </c>
      <c r="I34" s="13">
        <f t="shared" si="0"/>
        <v>824</v>
      </c>
    </row>
    <row r="35" spans="2:17">
      <c r="B35" s="16" t="s">
        <v>48</v>
      </c>
      <c r="C35" s="13">
        <f t="shared" ref="C35:I35" si="1">SUM(C29:C34)</f>
        <v>967</v>
      </c>
      <c r="D35" s="13">
        <f t="shared" si="1"/>
        <v>525</v>
      </c>
      <c r="E35" s="13">
        <f t="shared" si="1"/>
        <v>548</v>
      </c>
      <c r="F35" s="13">
        <f t="shared" si="1"/>
        <v>149</v>
      </c>
      <c r="G35" s="13">
        <f t="shared" si="1"/>
        <v>276</v>
      </c>
      <c r="H35" s="13">
        <f t="shared" si="1"/>
        <v>842</v>
      </c>
      <c r="I35" s="13">
        <f t="shared" si="1"/>
        <v>3307</v>
      </c>
    </row>
    <row r="38" spans="2:17">
      <c r="B38" s="98" t="s">
        <v>303</v>
      </c>
      <c r="C38" s="179" t="s">
        <v>9</v>
      </c>
      <c r="D38" s="179" t="s">
        <v>8</v>
      </c>
    </row>
    <row r="39" spans="2:17">
      <c r="B39" s="98" t="s">
        <v>307</v>
      </c>
      <c r="C39" s="98" t="s">
        <v>306</v>
      </c>
      <c r="D39" s="98" t="s">
        <v>305</v>
      </c>
      <c r="E39" s="98" t="s">
        <v>235</v>
      </c>
      <c r="F39" s="178" t="s">
        <v>309</v>
      </c>
    </row>
    <row r="40" spans="2:17" ht="18">
      <c r="B40" s="199" t="s">
        <v>356</v>
      </c>
      <c r="C40" s="12">
        <f>E7*$C$19</f>
        <v>74410.298658536587</v>
      </c>
      <c r="D40" s="12">
        <f>F7*$C$20</f>
        <v>2410.1193036290356</v>
      </c>
      <c r="E40" s="12">
        <f>$C$23</f>
        <v>1</v>
      </c>
      <c r="F40" s="12">
        <f>(C40+D40)*E40</f>
        <v>76820.417962165622</v>
      </c>
    </row>
    <row r="41" spans="2:17" ht="18">
      <c r="B41" s="199" t="s">
        <v>354</v>
      </c>
      <c r="C41" s="39">
        <f>E7*$D$19</f>
        <v>1.1947703702398298</v>
      </c>
      <c r="D41" s="39">
        <f>F7*$D$20</f>
        <v>3.7587637299267562E-2</v>
      </c>
      <c r="E41" s="18">
        <f>$C$24</f>
        <v>28</v>
      </c>
      <c r="F41" s="12">
        <f t="shared" ref="F41:F42" si="2">(C41+D41)*E41</f>
        <v>34.506024211094726</v>
      </c>
    </row>
    <row r="42" spans="2:17" ht="18">
      <c r="B42" s="199" t="s">
        <v>355</v>
      </c>
      <c r="C42" s="194">
        <f>E7*$E$19</f>
        <v>4.301173332863387</v>
      </c>
      <c r="D42" s="194">
        <f>F7*$E$20</f>
        <v>0.1353154942773632</v>
      </c>
      <c r="E42" s="18">
        <f>$C$25</f>
        <v>265</v>
      </c>
      <c r="F42" s="12">
        <f t="shared" si="2"/>
        <v>1175.6695391922988</v>
      </c>
    </row>
    <row r="43" spans="2:17" ht="15.6" customHeight="1">
      <c r="B43" s="278" t="s">
        <v>10</v>
      </c>
      <c r="C43" s="278"/>
      <c r="D43" s="278"/>
      <c r="E43" s="278"/>
      <c r="F43" s="200">
        <f>SUM(F40:F42)</f>
        <v>78030.593525569013</v>
      </c>
    </row>
    <row r="44" spans="2:17" ht="15.6" customHeight="1"/>
    <row r="45" spans="2:17">
      <c r="B45" s="98" t="s">
        <v>303</v>
      </c>
      <c r="C45" s="179" t="str">
        <f>C38</f>
        <v>BRSSZ</v>
      </c>
      <c r="D45" s="179" t="str">
        <f>D38</f>
        <v>BRIGI</v>
      </c>
      <c r="K45" s="98" t="s">
        <v>303</v>
      </c>
      <c r="L45" s="179" t="str">
        <f>C45</f>
        <v>BRSSZ</v>
      </c>
      <c r="M45" s="179" t="str">
        <f>D45</f>
        <v>BRIGI</v>
      </c>
    </row>
    <row r="46" spans="2:17" ht="15.6" customHeight="1">
      <c r="B46" s="5" t="s">
        <v>365</v>
      </c>
      <c r="C46" s="4" t="s">
        <v>4</v>
      </c>
      <c r="D46" s="4" t="s">
        <v>5</v>
      </c>
      <c r="E46" s="4" t="s">
        <v>6</v>
      </c>
      <c r="F46" s="4" t="s">
        <v>7</v>
      </c>
      <c r="G46" s="4" t="s">
        <v>8</v>
      </c>
      <c r="H46" s="4" t="s">
        <v>9</v>
      </c>
      <c r="I46" s="5" t="s">
        <v>47</v>
      </c>
      <c r="K46" s="5" t="s">
        <v>308</v>
      </c>
      <c r="L46" s="4" t="s">
        <v>4</v>
      </c>
      <c r="M46" s="4" t="s">
        <v>5</v>
      </c>
      <c r="N46" s="4" t="s">
        <v>6</v>
      </c>
      <c r="O46" s="4" t="s">
        <v>7</v>
      </c>
      <c r="P46" s="4" t="s">
        <v>8</v>
      </c>
      <c r="Q46" s="4" t="s">
        <v>9</v>
      </c>
    </row>
    <row r="47" spans="2:17">
      <c r="B47" s="10" t="s">
        <v>4</v>
      </c>
      <c r="C47" s="11"/>
      <c r="D47" s="12"/>
      <c r="E47" s="12"/>
      <c r="F47" s="12"/>
      <c r="G47" s="12">
        <f>G29</f>
        <v>226</v>
      </c>
      <c r="H47" s="12"/>
      <c r="I47" s="13">
        <f t="shared" ref="I47:I52" si="3">SUM(C47:H47)</f>
        <v>226</v>
      </c>
      <c r="K47" s="10" t="s">
        <v>4</v>
      </c>
      <c r="L47" s="171">
        <f>IF(C47=0,0,$F$43/$I$53)</f>
        <v>0</v>
      </c>
      <c r="M47" s="60">
        <f t="shared" ref="M47:M52" si="4">IF(D47=0,0,$F$43/$I$53)</f>
        <v>0</v>
      </c>
      <c r="N47" s="60">
        <f t="shared" ref="N47:N52" si="5">IF(E47=0,0,$F$43/$I$53)</f>
        <v>0</v>
      </c>
      <c r="O47" s="60">
        <f t="shared" ref="O47:O52" si="6">IF(F47=0,0,$F$43/$I$53)</f>
        <v>0</v>
      </c>
      <c r="P47" s="60">
        <f t="shared" ref="P47:P52" si="7">IF(G47=0,0,$F$43/$I$53)</f>
        <v>70.936903205062734</v>
      </c>
      <c r="Q47" s="60">
        <f t="shared" ref="Q47:Q52" si="8">IF(H47=0,0,$F$43/$I$53)</f>
        <v>0</v>
      </c>
    </row>
    <row r="48" spans="2:17">
      <c r="B48" s="10" t="s">
        <v>5</v>
      </c>
      <c r="C48" s="12"/>
      <c r="D48" s="11"/>
      <c r="E48" s="12"/>
      <c r="F48" s="12"/>
      <c r="G48" s="12">
        <f>G30</f>
        <v>20</v>
      </c>
      <c r="H48" s="12"/>
      <c r="I48" s="13">
        <f t="shared" si="3"/>
        <v>20</v>
      </c>
      <c r="K48" s="10" t="s">
        <v>5</v>
      </c>
      <c r="L48" s="60">
        <f t="shared" ref="L48:L52" si="9">IF(C48=0,0,$F$43/$I$53)</f>
        <v>0</v>
      </c>
      <c r="M48" s="171">
        <f t="shared" si="4"/>
        <v>0</v>
      </c>
      <c r="N48" s="60">
        <f t="shared" si="5"/>
        <v>0</v>
      </c>
      <c r="O48" s="60">
        <f t="shared" si="6"/>
        <v>0</v>
      </c>
      <c r="P48" s="60">
        <f t="shared" si="7"/>
        <v>70.936903205062734</v>
      </c>
      <c r="Q48" s="60">
        <f t="shared" si="8"/>
        <v>0</v>
      </c>
    </row>
    <row r="49" spans="2:17">
      <c r="B49" s="10" t="s">
        <v>6</v>
      </c>
      <c r="C49" s="12"/>
      <c r="D49" s="12"/>
      <c r="E49" s="11"/>
      <c r="F49" s="12"/>
      <c r="G49" s="12">
        <f>G31</f>
        <v>30</v>
      </c>
      <c r="H49" s="12"/>
      <c r="I49" s="13">
        <f t="shared" si="3"/>
        <v>30</v>
      </c>
      <c r="K49" s="10" t="s">
        <v>6</v>
      </c>
      <c r="L49" s="60">
        <f t="shared" si="9"/>
        <v>0</v>
      </c>
      <c r="M49" s="60">
        <f t="shared" si="4"/>
        <v>0</v>
      </c>
      <c r="N49" s="171">
        <f t="shared" si="5"/>
        <v>0</v>
      </c>
      <c r="O49" s="60">
        <f t="shared" si="6"/>
        <v>0</v>
      </c>
      <c r="P49" s="60">
        <f t="shared" si="7"/>
        <v>70.936903205062734</v>
      </c>
      <c r="Q49" s="60">
        <f t="shared" si="8"/>
        <v>0</v>
      </c>
    </row>
    <row r="50" spans="2:17">
      <c r="B50" s="10" t="s">
        <v>7</v>
      </c>
      <c r="C50" s="12"/>
      <c r="D50" s="12"/>
      <c r="E50" s="12"/>
      <c r="F50" s="11"/>
      <c r="G50" s="12">
        <f>G32</f>
        <v>0</v>
      </c>
      <c r="H50" s="12"/>
      <c r="I50" s="13">
        <f t="shared" si="3"/>
        <v>0</v>
      </c>
      <c r="K50" s="10" t="s">
        <v>7</v>
      </c>
      <c r="L50" s="60">
        <f t="shared" si="9"/>
        <v>0</v>
      </c>
      <c r="M50" s="60">
        <f t="shared" si="4"/>
        <v>0</v>
      </c>
      <c r="N50" s="60">
        <f t="shared" si="5"/>
        <v>0</v>
      </c>
      <c r="O50" s="171">
        <f t="shared" si="6"/>
        <v>0</v>
      </c>
      <c r="P50" s="60">
        <f t="shared" si="7"/>
        <v>0</v>
      </c>
      <c r="Q50" s="60">
        <f t="shared" si="8"/>
        <v>0</v>
      </c>
    </row>
    <row r="51" spans="2:17">
      <c r="B51" s="10" t="s">
        <v>8</v>
      </c>
      <c r="C51" s="12"/>
      <c r="D51" s="12"/>
      <c r="E51" s="12"/>
      <c r="F51" s="12"/>
      <c r="G51" s="11">
        <f>G33</f>
        <v>0</v>
      </c>
      <c r="H51" s="12"/>
      <c r="I51" s="13">
        <f t="shared" si="3"/>
        <v>0</v>
      </c>
      <c r="K51" s="10" t="s">
        <v>8</v>
      </c>
      <c r="L51" s="60">
        <f t="shared" si="9"/>
        <v>0</v>
      </c>
      <c r="M51" s="60">
        <f t="shared" si="4"/>
        <v>0</v>
      </c>
      <c r="N51" s="60">
        <f t="shared" si="5"/>
        <v>0</v>
      </c>
      <c r="O51" s="60">
        <f t="shared" si="6"/>
        <v>0</v>
      </c>
      <c r="P51" s="171">
        <f t="shared" si="7"/>
        <v>0</v>
      </c>
      <c r="Q51" s="60">
        <f t="shared" si="8"/>
        <v>0</v>
      </c>
    </row>
    <row r="52" spans="2:17">
      <c r="B52" s="10" t="s">
        <v>9</v>
      </c>
      <c r="C52" s="12">
        <f t="shared" ref="C52:H52" si="10">C34</f>
        <v>229</v>
      </c>
      <c r="D52" s="12">
        <f t="shared" si="10"/>
        <v>221</v>
      </c>
      <c r="E52" s="12">
        <f t="shared" si="10"/>
        <v>272</v>
      </c>
      <c r="F52" s="12">
        <f t="shared" si="10"/>
        <v>102</v>
      </c>
      <c r="G52" s="12">
        <f t="shared" si="10"/>
        <v>0</v>
      </c>
      <c r="H52" s="11">
        <f t="shared" si="10"/>
        <v>0</v>
      </c>
      <c r="I52" s="13">
        <f t="shared" si="3"/>
        <v>824</v>
      </c>
      <c r="K52" s="10" t="s">
        <v>9</v>
      </c>
      <c r="L52" s="60">
        <f t="shared" si="9"/>
        <v>70.936903205062734</v>
      </c>
      <c r="M52" s="60">
        <f t="shared" si="4"/>
        <v>70.936903205062734</v>
      </c>
      <c r="N52" s="60">
        <f t="shared" si="5"/>
        <v>70.936903205062734</v>
      </c>
      <c r="O52" s="60">
        <f t="shared" si="6"/>
        <v>70.936903205062734</v>
      </c>
      <c r="P52" s="60">
        <f t="shared" si="7"/>
        <v>0</v>
      </c>
      <c r="Q52" s="171">
        <f t="shared" si="8"/>
        <v>0</v>
      </c>
    </row>
    <row r="53" spans="2:17">
      <c r="B53" s="16" t="s">
        <v>48</v>
      </c>
      <c r="C53" s="13">
        <f t="shared" ref="C53:I53" si="11">SUM(C47:C52)</f>
        <v>229</v>
      </c>
      <c r="D53" s="13">
        <f t="shared" si="11"/>
        <v>221</v>
      </c>
      <c r="E53" s="13">
        <f t="shared" si="11"/>
        <v>272</v>
      </c>
      <c r="F53" s="13">
        <f t="shared" si="11"/>
        <v>102</v>
      </c>
      <c r="G53" s="13">
        <f t="shared" si="11"/>
        <v>276</v>
      </c>
      <c r="H53" s="13">
        <f t="shared" si="11"/>
        <v>0</v>
      </c>
      <c r="I53" s="13">
        <f t="shared" si="11"/>
        <v>1100</v>
      </c>
    </row>
    <row r="57" spans="2:17">
      <c r="B57" s="98" t="s">
        <v>303</v>
      </c>
      <c r="C57" s="179" t="s">
        <v>8</v>
      </c>
      <c r="D57" s="179" t="s">
        <v>7</v>
      </c>
    </row>
    <row r="58" spans="2:17">
      <c r="B58" s="98" t="s">
        <v>307</v>
      </c>
      <c r="C58" s="98" t="s">
        <v>306</v>
      </c>
      <c r="D58" s="98" t="s">
        <v>305</v>
      </c>
      <c r="E58" s="98" t="s">
        <v>235</v>
      </c>
      <c r="F58" s="178" t="s">
        <v>309</v>
      </c>
    </row>
    <row r="59" spans="2:17" ht="18">
      <c r="B59" s="199" t="s">
        <v>356</v>
      </c>
      <c r="C59" s="12">
        <f>E8*$C$19</f>
        <v>399300.97484519804</v>
      </c>
      <c r="D59" s="12">
        <f>F8*$C$20</f>
        <v>12933.090181122219</v>
      </c>
      <c r="E59" s="12">
        <f>$C$23</f>
        <v>1</v>
      </c>
      <c r="F59" s="12">
        <f>(C59+D59)*E59</f>
        <v>412234.06502632028</v>
      </c>
    </row>
    <row r="60" spans="2:17" ht="18">
      <c r="B60" s="199" t="s">
        <v>354</v>
      </c>
      <c r="C60" s="39">
        <f>E8*$D$19</f>
        <v>6.4113836680346514</v>
      </c>
      <c r="D60" s="39">
        <f>F8*$D$20</f>
        <v>0.20170134405992235</v>
      </c>
      <c r="E60" s="18">
        <f>$C$24</f>
        <v>28</v>
      </c>
      <c r="F60" s="12">
        <f t="shared" ref="F60:F61" si="12">(C60+D60)*E60</f>
        <v>185.16638033864808</v>
      </c>
    </row>
    <row r="61" spans="2:17" ht="18">
      <c r="B61" s="199" t="s">
        <v>355</v>
      </c>
      <c r="C61" s="194">
        <f>E8*$E$19</f>
        <v>23.080981204924743</v>
      </c>
      <c r="D61" s="194">
        <f>F8*$E$20</f>
        <v>0.7261248386157203</v>
      </c>
      <c r="E61" s="18">
        <f>$C$25</f>
        <v>265</v>
      </c>
      <c r="F61" s="12">
        <f t="shared" si="12"/>
        <v>6308.8831015382229</v>
      </c>
    </row>
    <row r="62" spans="2:17" ht="15.6" customHeight="1">
      <c r="B62" s="278" t="s">
        <v>10</v>
      </c>
      <c r="C62" s="278"/>
      <c r="D62" s="278"/>
      <c r="E62" s="278"/>
      <c r="F62" s="200">
        <f>SUM(F59:F61)</f>
        <v>418728.11450819718</v>
      </c>
    </row>
    <row r="63" spans="2:17" ht="15.6" customHeight="1"/>
    <row r="64" spans="2:17">
      <c r="B64" s="98" t="s">
        <v>303</v>
      </c>
      <c r="C64" s="179" t="str">
        <f>C57</f>
        <v>BRIGI</v>
      </c>
      <c r="D64" s="179" t="str">
        <f>D57</f>
        <v>BRSSA</v>
      </c>
      <c r="K64" s="98" t="s">
        <v>303</v>
      </c>
      <c r="L64" s="179" t="str">
        <f>C64</f>
        <v>BRIGI</v>
      </c>
      <c r="M64" s="179" t="str">
        <f>D64</f>
        <v>BRSSA</v>
      </c>
    </row>
    <row r="65" spans="2:17" ht="15.6" customHeight="1">
      <c r="B65" s="5" t="s">
        <v>365</v>
      </c>
      <c r="C65" s="4" t="s">
        <v>4</v>
      </c>
      <c r="D65" s="4" t="s">
        <v>5</v>
      </c>
      <c r="E65" s="4" t="s">
        <v>6</v>
      </c>
      <c r="F65" s="4" t="s">
        <v>7</v>
      </c>
      <c r="G65" s="4" t="s">
        <v>8</v>
      </c>
      <c r="H65" s="4" t="s">
        <v>9</v>
      </c>
      <c r="I65" s="5" t="s">
        <v>47</v>
      </c>
      <c r="K65" s="5" t="s">
        <v>308</v>
      </c>
      <c r="L65" s="4" t="s">
        <v>4</v>
      </c>
      <c r="M65" s="4" t="s">
        <v>5</v>
      </c>
      <c r="N65" s="4" t="s">
        <v>6</v>
      </c>
      <c r="O65" s="4" t="s">
        <v>7</v>
      </c>
      <c r="P65" s="4" t="s">
        <v>8</v>
      </c>
      <c r="Q65" s="4" t="s">
        <v>9</v>
      </c>
    </row>
    <row r="66" spans="2:17">
      <c r="B66" s="10" t="s">
        <v>4</v>
      </c>
      <c r="C66" s="11"/>
      <c r="D66" s="12"/>
      <c r="E66" s="12"/>
      <c r="F66" s="12"/>
      <c r="G66" s="12"/>
      <c r="H66" s="12"/>
      <c r="I66" s="13">
        <f t="shared" ref="I66:I71" si="13">SUM(C66:H66)</f>
        <v>0</v>
      </c>
      <c r="K66" s="10" t="s">
        <v>4</v>
      </c>
      <c r="L66" s="171">
        <f>IF(C66=0,0,$F$62/$I$72)</f>
        <v>0</v>
      </c>
      <c r="M66" s="60">
        <f t="shared" ref="M66:M71" si="14">IF(D66=0,0,$F$62/$I$72)</f>
        <v>0</v>
      </c>
      <c r="N66" s="60">
        <f t="shared" ref="N66:N71" si="15">IF(E66=0,0,$F$62/$I$72)</f>
        <v>0</v>
      </c>
      <c r="O66" s="60">
        <f t="shared" ref="O66:O71" si="16">IF(F66=0,0,$F$62/$I$72)</f>
        <v>0</v>
      </c>
      <c r="P66" s="60">
        <f t="shared" ref="P66:P71" si="17">IF(G66=0,0,$F$62/$I$72)</f>
        <v>0</v>
      </c>
      <c r="Q66" s="60">
        <f t="shared" ref="Q66:Q71" si="18">IF(H66=0,0,$F$62/$I$72)</f>
        <v>0</v>
      </c>
    </row>
    <row r="67" spans="2:17">
      <c r="B67" s="10" t="s">
        <v>5</v>
      </c>
      <c r="C67" s="12"/>
      <c r="D67" s="11"/>
      <c r="E67" s="12"/>
      <c r="F67" s="12"/>
      <c r="G67" s="12"/>
      <c r="H67" s="12"/>
      <c r="I67" s="13">
        <f t="shared" si="13"/>
        <v>0</v>
      </c>
      <c r="K67" s="10" t="s">
        <v>5</v>
      </c>
      <c r="L67" s="60">
        <f t="shared" ref="L67:L71" si="19">IF(C67=0,0,$F$62/$I$72)</f>
        <v>0</v>
      </c>
      <c r="M67" s="171">
        <f t="shared" si="14"/>
        <v>0</v>
      </c>
      <c r="N67" s="60">
        <f t="shared" si="15"/>
        <v>0</v>
      </c>
      <c r="O67" s="60">
        <f t="shared" si="16"/>
        <v>0</v>
      </c>
      <c r="P67" s="60">
        <f t="shared" si="17"/>
        <v>0</v>
      </c>
      <c r="Q67" s="60">
        <f t="shared" si="18"/>
        <v>0</v>
      </c>
    </row>
    <row r="68" spans="2:17">
      <c r="B68" s="10" t="s">
        <v>6</v>
      </c>
      <c r="C68" s="12"/>
      <c r="D68" s="12"/>
      <c r="E68" s="11"/>
      <c r="F68" s="12"/>
      <c r="G68" s="12"/>
      <c r="H68" s="12"/>
      <c r="I68" s="13">
        <f t="shared" si="13"/>
        <v>0</v>
      </c>
      <c r="K68" s="10" t="s">
        <v>6</v>
      </c>
      <c r="L68" s="60">
        <f t="shared" si="19"/>
        <v>0</v>
      </c>
      <c r="M68" s="60">
        <f t="shared" si="14"/>
        <v>0</v>
      </c>
      <c r="N68" s="171">
        <f t="shared" si="15"/>
        <v>0</v>
      </c>
      <c r="O68" s="60">
        <f t="shared" si="16"/>
        <v>0</v>
      </c>
      <c r="P68" s="60">
        <f t="shared" si="17"/>
        <v>0</v>
      </c>
      <c r="Q68" s="60">
        <f t="shared" si="18"/>
        <v>0</v>
      </c>
    </row>
    <row r="69" spans="2:17">
      <c r="B69" s="10" t="s">
        <v>7</v>
      </c>
      <c r="C69" s="12"/>
      <c r="D69" s="12"/>
      <c r="E69" s="12"/>
      <c r="F69" s="11"/>
      <c r="G69" s="12"/>
      <c r="H69" s="12"/>
      <c r="I69" s="13">
        <f t="shared" si="13"/>
        <v>0</v>
      </c>
      <c r="K69" s="10" t="s">
        <v>7</v>
      </c>
      <c r="L69" s="60">
        <f t="shared" si="19"/>
        <v>0</v>
      </c>
      <c r="M69" s="60">
        <f t="shared" si="14"/>
        <v>0</v>
      </c>
      <c r="N69" s="60">
        <f t="shared" si="15"/>
        <v>0</v>
      </c>
      <c r="O69" s="171">
        <f t="shared" si="16"/>
        <v>0</v>
      </c>
      <c r="P69" s="60">
        <f t="shared" si="17"/>
        <v>0</v>
      </c>
      <c r="Q69" s="60">
        <f t="shared" si="18"/>
        <v>0</v>
      </c>
    </row>
    <row r="70" spans="2:17">
      <c r="B70" s="10" t="s">
        <v>8</v>
      </c>
      <c r="C70" s="12">
        <f t="shared" ref="C70:H70" si="20">C33</f>
        <v>61</v>
      </c>
      <c r="D70" s="12">
        <f t="shared" si="20"/>
        <v>120</v>
      </c>
      <c r="E70" s="12">
        <f t="shared" si="20"/>
        <v>119</v>
      </c>
      <c r="F70" s="12">
        <f t="shared" si="20"/>
        <v>47</v>
      </c>
      <c r="G70" s="11">
        <f t="shared" si="20"/>
        <v>0</v>
      </c>
      <c r="H70" s="12">
        <f t="shared" si="20"/>
        <v>0</v>
      </c>
      <c r="I70" s="13">
        <f t="shared" si="13"/>
        <v>347</v>
      </c>
      <c r="K70" s="10" t="s">
        <v>8</v>
      </c>
      <c r="L70" s="60">
        <f t="shared" si="19"/>
        <v>357.5816520138319</v>
      </c>
      <c r="M70" s="60">
        <f t="shared" si="14"/>
        <v>357.5816520138319</v>
      </c>
      <c r="N70" s="60">
        <f t="shared" si="15"/>
        <v>357.5816520138319</v>
      </c>
      <c r="O70" s="60">
        <f t="shared" si="16"/>
        <v>357.5816520138319</v>
      </c>
      <c r="P70" s="171">
        <f t="shared" si="17"/>
        <v>0</v>
      </c>
      <c r="Q70" s="60">
        <f t="shared" si="18"/>
        <v>0</v>
      </c>
    </row>
    <row r="71" spans="2:17">
      <c r="B71" s="10" t="s">
        <v>9</v>
      </c>
      <c r="C71" s="12">
        <f t="shared" ref="C71:H71" si="21">C34</f>
        <v>229</v>
      </c>
      <c r="D71" s="12">
        <f t="shared" si="21"/>
        <v>221</v>
      </c>
      <c r="E71" s="12">
        <f t="shared" si="21"/>
        <v>272</v>
      </c>
      <c r="F71" s="12">
        <f t="shared" si="21"/>
        <v>102</v>
      </c>
      <c r="G71" s="12">
        <f t="shared" si="21"/>
        <v>0</v>
      </c>
      <c r="H71" s="11">
        <f t="shared" si="21"/>
        <v>0</v>
      </c>
      <c r="I71" s="13">
        <f t="shared" si="13"/>
        <v>824</v>
      </c>
      <c r="K71" s="10" t="s">
        <v>9</v>
      </c>
      <c r="L71" s="60">
        <f t="shared" si="19"/>
        <v>357.5816520138319</v>
      </c>
      <c r="M71" s="60">
        <f t="shared" si="14"/>
        <v>357.5816520138319</v>
      </c>
      <c r="N71" s="60">
        <f t="shared" si="15"/>
        <v>357.5816520138319</v>
      </c>
      <c r="O71" s="60">
        <f t="shared" si="16"/>
        <v>357.5816520138319</v>
      </c>
      <c r="P71" s="60">
        <f t="shared" si="17"/>
        <v>0</v>
      </c>
      <c r="Q71" s="171">
        <f t="shared" si="18"/>
        <v>0</v>
      </c>
    </row>
    <row r="72" spans="2:17">
      <c r="B72" s="16" t="s">
        <v>48</v>
      </c>
      <c r="C72" s="13">
        <f t="shared" ref="C72:I72" si="22">SUM(C66:C71)</f>
        <v>290</v>
      </c>
      <c r="D72" s="13">
        <f t="shared" si="22"/>
        <v>341</v>
      </c>
      <c r="E72" s="13">
        <f t="shared" si="22"/>
        <v>391</v>
      </c>
      <c r="F72" s="13">
        <f t="shared" si="22"/>
        <v>149</v>
      </c>
      <c r="G72" s="13">
        <f t="shared" si="22"/>
        <v>0</v>
      </c>
      <c r="H72" s="13">
        <f t="shared" si="22"/>
        <v>0</v>
      </c>
      <c r="I72" s="13">
        <f t="shared" si="22"/>
        <v>1171</v>
      </c>
    </row>
    <row r="76" spans="2:17">
      <c r="B76" s="98" t="s">
        <v>303</v>
      </c>
      <c r="C76" s="179" t="s">
        <v>7</v>
      </c>
      <c r="D76" s="179" t="s">
        <v>6</v>
      </c>
    </row>
    <row r="77" spans="2:17">
      <c r="B77" s="98" t="s">
        <v>307</v>
      </c>
      <c r="C77" s="98" t="s">
        <v>306</v>
      </c>
      <c r="D77" s="98" t="s">
        <v>305</v>
      </c>
      <c r="E77" s="98" t="s">
        <v>235</v>
      </c>
      <c r="F77" s="178" t="s">
        <v>309</v>
      </c>
    </row>
    <row r="78" spans="2:17" ht="18">
      <c r="B78" s="199" t="s">
        <v>356</v>
      </c>
      <c r="C78" s="12">
        <f>E9*$C$19</f>
        <v>190741.79667922121</v>
      </c>
      <c r="D78" s="12">
        <f>F9*$C$20</f>
        <v>6178.0650440103145</v>
      </c>
      <c r="E78" s="12">
        <f>$C$23</f>
        <v>1</v>
      </c>
      <c r="F78" s="12">
        <f>(C78+D78)*E78</f>
        <v>196919.86172323153</v>
      </c>
    </row>
    <row r="79" spans="2:17" ht="18">
      <c r="B79" s="199" t="s">
        <v>354</v>
      </c>
      <c r="C79" s="39">
        <f>E9*$D$19</f>
        <v>3.0626492723060568</v>
      </c>
      <c r="D79" s="39">
        <f>F9*$D$20</f>
        <v>9.6351607049443455E-2</v>
      </c>
      <c r="E79" s="18">
        <f>$C$24</f>
        <v>28</v>
      </c>
      <c r="F79" s="12">
        <f t="shared" ref="F79:F80" si="23">(C79+D79)*E79</f>
        <v>88.45202462195401</v>
      </c>
    </row>
    <row r="80" spans="2:17" ht="18">
      <c r="B80" s="199" t="s">
        <v>355</v>
      </c>
      <c r="C80" s="194">
        <f>E9*$E$19</f>
        <v>11.025537380301802</v>
      </c>
      <c r="D80" s="194">
        <f>F9*$E$20</f>
        <v>0.34686578537799645</v>
      </c>
      <c r="E80" s="18">
        <f>$C$25</f>
        <v>265</v>
      </c>
      <c r="F80" s="12">
        <f t="shared" si="23"/>
        <v>3013.6868389051469</v>
      </c>
    </row>
    <row r="81" spans="2:17" ht="15.6" customHeight="1">
      <c r="B81" s="278" t="s">
        <v>10</v>
      </c>
      <c r="C81" s="278"/>
      <c r="D81" s="278"/>
      <c r="E81" s="278"/>
      <c r="F81" s="200">
        <f>SUM(F78:F80)</f>
        <v>200022.00058675863</v>
      </c>
    </row>
    <row r="82" spans="2:17" ht="15.6" customHeight="1"/>
    <row r="83" spans="2:17">
      <c r="B83" s="98" t="s">
        <v>303</v>
      </c>
      <c r="C83" s="179" t="str">
        <f>C76</f>
        <v>BRSSA</v>
      </c>
      <c r="D83" s="179" t="str">
        <f>D76</f>
        <v>BRSUA</v>
      </c>
      <c r="K83" s="98" t="s">
        <v>303</v>
      </c>
      <c r="L83" s="179" t="str">
        <f>C83</f>
        <v>BRSSA</v>
      </c>
      <c r="M83" s="179" t="str">
        <f>D83</f>
        <v>BRSUA</v>
      </c>
    </row>
    <row r="84" spans="2:17" ht="15.6" customHeight="1">
      <c r="B84" s="5" t="s">
        <v>365</v>
      </c>
      <c r="C84" s="4" t="s">
        <v>4</v>
      </c>
      <c r="D84" s="4" t="s">
        <v>5</v>
      </c>
      <c r="E84" s="4" t="s">
        <v>6</v>
      </c>
      <c r="F84" s="4" t="s">
        <v>7</v>
      </c>
      <c r="G84" s="4" t="s">
        <v>8</v>
      </c>
      <c r="H84" s="4" t="s">
        <v>9</v>
      </c>
      <c r="I84" s="5" t="s">
        <v>47</v>
      </c>
      <c r="K84" s="5" t="s">
        <v>308</v>
      </c>
      <c r="L84" s="4" t="s">
        <v>4</v>
      </c>
      <c r="M84" s="4" t="s">
        <v>5</v>
      </c>
      <c r="N84" s="4" t="s">
        <v>6</v>
      </c>
      <c r="O84" s="4" t="s">
        <v>7</v>
      </c>
      <c r="P84" s="4" t="s">
        <v>8</v>
      </c>
      <c r="Q84" s="4" t="s">
        <v>9</v>
      </c>
    </row>
    <row r="85" spans="2:17">
      <c r="B85" s="10" t="s">
        <v>4</v>
      </c>
      <c r="C85" s="11"/>
      <c r="D85" s="12"/>
      <c r="E85" s="12"/>
      <c r="F85" s="12"/>
      <c r="G85" s="12"/>
      <c r="H85" s="12"/>
      <c r="I85" s="13">
        <f t="shared" ref="I85:I90" si="24">SUM(C85:H85)</f>
        <v>0</v>
      </c>
      <c r="K85" s="10" t="s">
        <v>4</v>
      </c>
      <c r="L85" s="171">
        <f t="shared" ref="L85:L87" si="25">IF(C85=0,0,$F$81/$I$91)</f>
        <v>0</v>
      </c>
      <c r="M85" s="60">
        <f t="shared" ref="M85:M90" si="26">IF(D85=0,0,$F$81/$I$91)</f>
        <v>0</v>
      </c>
      <c r="N85" s="60">
        <f t="shared" ref="N85:N90" si="27">IF(E85=0,0,$F$81/$I$91)</f>
        <v>0</v>
      </c>
      <c r="O85" s="60">
        <f t="shared" ref="O85:O90" si="28">IF(F85=0,0,$F$81/$I$91)</f>
        <v>0</v>
      </c>
      <c r="P85" s="60">
        <f t="shared" ref="P85:P90" si="29">IF(G85=0,0,$F$81/$I$91)</f>
        <v>0</v>
      </c>
      <c r="Q85" s="60">
        <f t="shared" ref="Q85:Q90" si="30">IF(H85=0,0,$F$81/$I$91)</f>
        <v>0</v>
      </c>
    </row>
    <row r="86" spans="2:17">
      <c r="B86" s="10" t="s">
        <v>5</v>
      </c>
      <c r="C86" s="12"/>
      <c r="D86" s="11"/>
      <c r="E86" s="12"/>
      <c r="F86" s="12"/>
      <c r="G86" s="12"/>
      <c r="H86" s="12"/>
      <c r="I86" s="13">
        <f t="shared" si="24"/>
        <v>0</v>
      </c>
      <c r="K86" s="10" t="s">
        <v>5</v>
      </c>
      <c r="L86" s="60">
        <f t="shared" si="25"/>
        <v>0</v>
      </c>
      <c r="M86" s="171">
        <f t="shared" si="26"/>
        <v>0</v>
      </c>
      <c r="N86" s="60">
        <f t="shared" si="27"/>
        <v>0</v>
      </c>
      <c r="O86" s="60">
        <f t="shared" si="28"/>
        <v>0</v>
      </c>
      <c r="P86" s="60">
        <f t="shared" si="29"/>
        <v>0</v>
      </c>
      <c r="Q86" s="60">
        <f t="shared" si="30"/>
        <v>0</v>
      </c>
    </row>
    <row r="87" spans="2:17">
      <c r="B87" s="10" t="s">
        <v>6</v>
      </c>
      <c r="C87" s="12"/>
      <c r="D87" s="12"/>
      <c r="E87" s="11"/>
      <c r="F87" s="12"/>
      <c r="G87" s="12"/>
      <c r="H87" s="12"/>
      <c r="I87" s="13">
        <f t="shared" si="24"/>
        <v>0</v>
      </c>
      <c r="K87" s="10" t="s">
        <v>6</v>
      </c>
      <c r="L87" s="60">
        <f t="shared" si="25"/>
        <v>0</v>
      </c>
      <c r="M87" s="60">
        <f t="shared" si="26"/>
        <v>0</v>
      </c>
      <c r="N87" s="171">
        <f t="shared" si="27"/>
        <v>0</v>
      </c>
      <c r="O87" s="60">
        <f t="shared" si="28"/>
        <v>0</v>
      </c>
      <c r="P87" s="60">
        <f t="shared" si="29"/>
        <v>0</v>
      </c>
      <c r="Q87" s="60">
        <f t="shared" si="30"/>
        <v>0</v>
      </c>
    </row>
    <row r="88" spans="2:17">
      <c r="B88" s="10" t="s">
        <v>7</v>
      </c>
      <c r="C88" s="12">
        <f t="shared" ref="C88:E88" si="31">C32</f>
        <v>86</v>
      </c>
      <c r="D88" s="12">
        <f t="shared" si="31"/>
        <v>9</v>
      </c>
      <c r="E88" s="12">
        <f t="shared" si="31"/>
        <v>1</v>
      </c>
      <c r="F88" s="11"/>
      <c r="G88" s="12"/>
      <c r="H88" s="12"/>
      <c r="I88" s="13">
        <f t="shared" si="24"/>
        <v>96</v>
      </c>
      <c r="K88" s="10" t="s">
        <v>7</v>
      </c>
      <c r="L88" s="60">
        <f>IF(C88=0,0,$F$81/$I$91)</f>
        <v>178.91055508654617</v>
      </c>
      <c r="M88" s="60">
        <f t="shared" si="26"/>
        <v>178.91055508654617</v>
      </c>
      <c r="N88" s="60">
        <f t="shared" si="27"/>
        <v>178.91055508654617</v>
      </c>
      <c r="O88" s="171">
        <f t="shared" si="28"/>
        <v>0</v>
      </c>
      <c r="P88" s="60">
        <f t="shared" si="29"/>
        <v>0</v>
      </c>
      <c r="Q88" s="60">
        <f t="shared" si="30"/>
        <v>0</v>
      </c>
    </row>
    <row r="89" spans="2:17">
      <c r="B89" s="10" t="s">
        <v>8</v>
      </c>
      <c r="C89" s="12">
        <f t="shared" ref="C89:E89" si="32">C33</f>
        <v>61</v>
      </c>
      <c r="D89" s="12">
        <f t="shared" si="32"/>
        <v>120</v>
      </c>
      <c r="E89" s="12">
        <f t="shared" si="32"/>
        <v>119</v>
      </c>
      <c r="F89" s="12"/>
      <c r="G89" s="11"/>
      <c r="H89" s="12"/>
      <c r="I89" s="13">
        <f t="shared" si="24"/>
        <v>300</v>
      </c>
      <c r="K89" s="10" t="s">
        <v>8</v>
      </c>
      <c r="L89" s="60">
        <f t="shared" ref="L89:L90" si="33">IF(C89=0,0,$F$81/$I$91)</f>
        <v>178.91055508654617</v>
      </c>
      <c r="M89" s="60">
        <f t="shared" si="26"/>
        <v>178.91055508654617</v>
      </c>
      <c r="N89" s="60">
        <f t="shared" si="27"/>
        <v>178.91055508654617</v>
      </c>
      <c r="O89" s="60">
        <f t="shared" si="28"/>
        <v>0</v>
      </c>
      <c r="P89" s="171">
        <f t="shared" si="29"/>
        <v>0</v>
      </c>
      <c r="Q89" s="60">
        <f t="shared" si="30"/>
        <v>0</v>
      </c>
    </row>
    <row r="90" spans="2:17">
      <c r="B90" s="10" t="s">
        <v>9</v>
      </c>
      <c r="C90" s="12">
        <f t="shared" ref="C90:E90" si="34">C34</f>
        <v>229</v>
      </c>
      <c r="D90" s="12">
        <f t="shared" si="34"/>
        <v>221</v>
      </c>
      <c r="E90" s="12">
        <f t="shared" si="34"/>
        <v>272</v>
      </c>
      <c r="F90" s="12"/>
      <c r="G90" s="12"/>
      <c r="H90" s="11"/>
      <c r="I90" s="13">
        <f t="shared" si="24"/>
        <v>722</v>
      </c>
      <c r="K90" s="10" t="s">
        <v>9</v>
      </c>
      <c r="L90" s="60">
        <f t="shared" si="33"/>
        <v>178.91055508654617</v>
      </c>
      <c r="M90" s="60">
        <f t="shared" si="26"/>
        <v>178.91055508654617</v>
      </c>
      <c r="N90" s="60">
        <f t="shared" si="27"/>
        <v>178.91055508654617</v>
      </c>
      <c r="O90" s="60">
        <f t="shared" si="28"/>
        <v>0</v>
      </c>
      <c r="P90" s="60">
        <f t="shared" si="29"/>
        <v>0</v>
      </c>
      <c r="Q90" s="171">
        <f t="shared" si="30"/>
        <v>0</v>
      </c>
    </row>
    <row r="91" spans="2:17">
      <c r="B91" s="16" t="s">
        <v>48</v>
      </c>
      <c r="C91" s="13">
        <f t="shared" ref="C91:I91" si="35">SUM(C85:C90)</f>
        <v>376</v>
      </c>
      <c r="D91" s="13">
        <f t="shared" si="35"/>
        <v>350</v>
      </c>
      <c r="E91" s="13">
        <f t="shared" si="35"/>
        <v>392</v>
      </c>
      <c r="F91" s="13">
        <f t="shared" si="35"/>
        <v>0</v>
      </c>
      <c r="G91" s="13">
        <f t="shared" si="35"/>
        <v>0</v>
      </c>
      <c r="H91" s="13">
        <f t="shared" si="35"/>
        <v>0</v>
      </c>
      <c r="I91" s="13">
        <f t="shared" si="35"/>
        <v>1118</v>
      </c>
    </row>
    <row r="95" spans="2:17">
      <c r="B95" s="98" t="s">
        <v>303</v>
      </c>
      <c r="C95" s="179" t="s">
        <v>6</v>
      </c>
      <c r="D95" s="179" t="s">
        <v>5</v>
      </c>
    </row>
    <row r="96" spans="2:17">
      <c r="B96" s="98" t="s">
        <v>307</v>
      </c>
      <c r="C96" s="98" t="s">
        <v>306</v>
      </c>
      <c r="D96" s="98" t="s">
        <v>305</v>
      </c>
      <c r="E96" s="98" t="s">
        <v>235</v>
      </c>
      <c r="F96" s="178" t="s">
        <v>309</v>
      </c>
    </row>
    <row r="97" spans="2:17" ht="18">
      <c r="B97" s="199" t="s">
        <v>356</v>
      </c>
      <c r="C97" s="12">
        <f>E10*$C$19</f>
        <v>224084.85676221619</v>
      </c>
      <c r="D97" s="12">
        <f>F10*$C$20</f>
        <v>7607.0297368276633</v>
      </c>
      <c r="E97" s="12">
        <f>$C$23</f>
        <v>1</v>
      </c>
      <c r="F97" s="12">
        <f>(C97+D97)*E97</f>
        <v>231691.88649904385</v>
      </c>
    </row>
    <row r="98" spans="2:17" ht="18">
      <c r="B98" s="199" t="s">
        <v>354</v>
      </c>
      <c r="C98" s="39">
        <f>E10*$D$19</f>
        <v>3.5980227482693672</v>
      </c>
      <c r="D98" s="39">
        <f>F10*$D$20</f>
        <v>0.11863739452320124</v>
      </c>
      <c r="E98" s="18">
        <f>$C$24</f>
        <v>28</v>
      </c>
      <c r="F98" s="12">
        <f t="shared" ref="F98:F99" si="36">(C98+D98)*E98</f>
        <v>104.06648399819191</v>
      </c>
    </row>
    <row r="99" spans="2:17" ht="18">
      <c r="B99" s="199" t="s">
        <v>355</v>
      </c>
      <c r="C99" s="194">
        <f>E10*$E$19</f>
        <v>12.952881893769721</v>
      </c>
      <c r="D99" s="194">
        <f>F10*$E$20</f>
        <v>0.42709462028352441</v>
      </c>
      <c r="E99" s="18">
        <f>$C$25</f>
        <v>265</v>
      </c>
      <c r="F99" s="12">
        <f t="shared" si="36"/>
        <v>3545.69377622411</v>
      </c>
    </row>
    <row r="100" spans="2:17" ht="15.6" customHeight="1">
      <c r="B100" s="278" t="s">
        <v>10</v>
      </c>
      <c r="C100" s="278"/>
      <c r="D100" s="278"/>
      <c r="E100" s="278"/>
      <c r="F100" s="200">
        <f>SUM(F97:F99)</f>
        <v>235341.64675926615</v>
      </c>
    </row>
    <row r="101" spans="2:17" ht="15.6" customHeight="1"/>
    <row r="102" spans="2:17">
      <c r="B102" s="98" t="s">
        <v>303</v>
      </c>
      <c r="C102" s="179" t="str">
        <f>C95</f>
        <v>BRSUA</v>
      </c>
      <c r="D102" s="179" t="str">
        <f>D95</f>
        <v>BRPEC</v>
      </c>
      <c r="K102" s="98" t="s">
        <v>303</v>
      </c>
      <c r="L102" s="179" t="str">
        <f>C102</f>
        <v>BRSUA</v>
      </c>
      <c r="M102" s="179" t="str">
        <f>D102</f>
        <v>BRPEC</v>
      </c>
    </row>
    <row r="103" spans="2:17" ht="15.6" customHeight="1">
      <c r="B103" s="5" t="s">
        <v>365</v>
      </c>
      <c r="C103" s="4" t="s">
        <v>4</v>
      </c>
      <c r="D103" s="4" t="s">
        <v>5</v>
      </c>
      <c r="E103" s="4" t="s">
        <v>6</v>
      </c>
      <c r="F103" s="4" t="s">
        <v>7</v>
      </c>
      <c r="G103" s="4" t="s">
        <v>8</v>
      </c>
      <c r="H103" s="4" t="s">
        <v>9</v>
      </c>
      <c r="I103" s="5" t="s">
        <v>47</v>
      </c>
      <c r="K103" s="5" t="s">
        <v>308</v>
      </c>
      <c r="L103" s="4" t="s">
        <v>4</v>
      </c>
      <c r="M103" s="4" t="s">
        <v>5</v>
      </c>
      <c r="N103" s="4" t="s">
        <v>6</v>
      </c>
      <c r="O103" s="4" t="s">
        <v>7</v>
      </c>
      <c r="P103" s="4" t="s">
        <v>8</v>
      </c>
      <c r="Q103" s="4" t="s">
        <v>9</v>
      </c>
    </row>
    <row r="104" spans="2:17">
      <c r="B104" s="10" t="s">
        <v>4</v>
      </c>
      <c r="C104" s="11"/>
      <c r="D104" s="12"/>
      <c r="E104" s="12"/>
      <c r="F104" s="12"/>
      <c r="G104" s="12"/>
      <c r="H104" s="12"/>
      <c r="I104" s="13">
        <f t="shared" ref="I104:I109" si="37">SUM(C104:H104)</f>
        <v>0</v>
      </c>
      <c r="K104" s="10" t="s">
        <v>4</v>
      </c>
      <c r="L104" s="171">
        <f t="shared" ref="L104:Q109" si="38">IF(C104=0,0,$F$100/$I$110)</f>
        <v>0</v>
      </c>
      <c r="M104" s="60">
        <f t="shared" si="38"/>
        <v>0</v>
      </c>
      <c r="N104" s="60">
        <f t="shared" si="38"/>
        <v>0</v>
      </c>
      <c r="O104" s="60">
        <f t="shared" si="38"/>
        <v>0</v>
      </c>
      <c r="P104" s="60">
        <f t="shared" si="38"/>
        <v>0</v>
      </c>
      <c r="Q104" s="60">
        <f t="shared" si="38"/>
        <v>0</v>
      </c>
    </row>
    <row r="105" spans="2:17">
      <c r="B105" s="10" t="s">
        <v>5</v>
      </c>
      <c r="C105" s="12"/>
      <c r="D105" s="11"/>
      <c r="E105" s="12"/>
      <c r="F105" s="12"/>
      <c r="G105" s="12"/>
      <c r="H105" s="12"/>
      <c r="I105" s="13">
        <f t="shared" si="37"/>
        <v>0</v>
      </c>
      <c r="K105" s="10" t="s">
        <v>5</v>
      </c>
      <c r="L105" s="60">
        <f t="shared" si="38"/>
        <v>0</v>
      </c>
      <c r="M105" s="171">
        <f t="shared" si="38"/>
        <v>0</v>
      </c>
      <c r="N105" s="60">
        <f t="shared" si="38"/>
        <v>0</v>
      </c>
      <c r="O105" s="60">
        <f t="shared" si="38"/>
        <v>0</v>
      </c>
      <c r="P105" s="60">
        <f t="shared" si="38"/>
        <v>0</v>
      </c>
      <c r="Q105" s="60">
        <f t="shared" si="38"/>
        <v>0</v>
      </c>
    </row>
    <row r="106" spans="2:17">
      <c r="B106" s="10" t="s">
        <v>6</v>
      </c>
      <c r="C106" s="12">
        <f t="shared" ref="C106:D109" si="39">C31</f>
        <v>331</v>
      </c>
      <c r="D106" s="12">
        <f t="shared" si="39"/>
        <v>0</v>
      </c>
      <c r="E106" s="11"/>
      <c r="F106" s="12"/>
      <c r="G106" s="12"/>
      <c r="H106" s="12"/>
      <c r="I106" s="13">
        <f t="shared" si="37"/>
        <v>331</v>
      </c>
      <c r="K106" s="10" t="s">
        <v>6</v>
      </c>
      <c r="L106" s="60">
        <f t="shared" si="38"/>
        <v>222.65056457830289</v>
      </c>
      <c r="M106" s="60">
        <f t="shared" si="38"/>
        <v>0</v>
      </c>
      <c r="N106" s="171">
        <f t="shared" si="38"/>
        <v>0</v>
      </c>
      <c r="O106" s="60">
        <f t="shared" si="38"/>
        <v>0</v>
      </c>
      <c r="P106" s="60">
        <f t="shared" si="38"/>
        <v>0</v>
      </c>
      <c r="Q106" s="60">
        <f t="shared" si="38"/>
        <v>0</v>
      </c>
    </row>
    <row r="107" spans="2:17">
      <c r="B107" s="10" t="s">
        <v>7</v>
      </c>
      <c r="C107" s="12">
        <f t="shared" si="39"/>
        <v>86</v>
      </c>
      <c r="D107" s="12">
        <f t="shared" si="39"/>
        <v>9</v>
      </c>
      <c r="E107" s="12"/>
      <c r="F107" s="11"/>
      <c r="G107" s="12"/>
      <c r="H107" s="12"/>
      <c r="I107" s="13">
        <f t="shared" si="37"/>
        <v>95</v>
      </c>
      <c r="K107" s="10" t="s">
        <v>7</v>
      </c>
      <c r="L107" s="60">
        <f t="shared" si="38"/>
        <v>222.65056457830289</v>
      </c>
      <c r="M107" s="60">
        <f t="shared" si="38"/>
        <v>222.65056457830289</v>
      </c>
      <c r="N107" s="60">
        <f t="shared" si="38"/>
        <v>0</v>
      </c>
      <c r="O107" s="171">
        <f t="shared" si="38"/>
        <v>0</v>
      </c>
      <c r="P107" s="60">
        <f t="shared" si="38"/>
        <v>0</v>
      </c>
      <c r="Q107" s="60">
        <f t="shared" si="38"/>
        <v>0</v>
      </c>
    </row>
    <row r="108" spans="2:17">
      <c r="B108" s="10" t="s">
        <v>8</v>
      </c>
      <c r="C108" s="12">
        <f t="shared" si="39"/>
        <v>61</v>
      </c>
      <c r="D108" s="12">
        <f t="shared" si="39"/>
        <v>120</v>
      </c>
      <c r="E108" s="12"/>
      <c r="F108" s="12"/>
      <c r="G108" s="11"/>
      <c r="H108" s="12"/>
      <c r="I108" s="13">
        <f t="shared" si="37"/>
        <v>181</v>
      </c>
      <c r="K108" s="10" t="s">
        <v>8</v>
      </c>
      <c r="L108" s="60">
        <f t="shared" si="38"/>
        <v>222.65056457830289</v>
      </c>
      <c r="M108" s="60">
        <f t="shared" si="38"/>
        <v>222.65056457830289</v>
      </c>
      <c r="N108" s="60">
        <f t="shared" si="38"/>
        <v>0</v>
      </c>
      <c r="O108" s="60">
        <f t="shared" si="38"/>
        <v>0</v>
      </c>
      <c r="P108" s="171">
        <f t="shared" si="38"/>
        <v>0</v>
      </c>
      <c r="Q108" s="60">
        <f t="shared" si="38"/>
        <v>0</v>
      </c>
    </row>
    <row r="109" spans="2:17">
      <c r="B109" s="10" t="s">
        <v>9</v>
      </c>
      <c r="C109" s="12">
        <f t="shared" si="39"/>
        <v>229</v>
      </c>
      <c r="D109" s="12">
        <f t="shared" si="39"/>
        <v>221</v>
      </c>
      <c r="E109" s="12"/>
      <c r="F109" s="12"/>
      <c r="G109" s="12"/>
      <c r="H109" s="11"/>
      <c r="I109" s="13">
        <f t="shared" si="37"/>
        <v>450</v>
      </c>
      <c r="K109" s="10" t="s">
        <v>9</v>
      </c>
      <c r="L109" s="60">
        <f t="shared" si="38"/>
        <v>222.65056457830289</v>
      </c>
      <c r="M109" s="60">
        <f t="shared" si="38"/>
        <v>222.65056457830289</v>
      </c>
      <c r="N109" s="60">
        <f t="shared" si="38"/>
        <v>0</v>
      </c>
      <c r="O109" s="60">
        <f t="shared" si="38"/>
        <v>0</v>
      </c>
      <c r="P109" s="60">
        <f t="shared" si="38"/>
        <v>0</v>
      </c>
      <c r="Q109" s="171">
        <f t="shared" si="38"/>
        <v>0</v>
      </c>
    </row>
    <row r="110" spans="2:17">
      <c r="B110" s="16" t="s">
        <v>48</v>
      </c>
      <c r="C110" s="13">
        <f t="shared" ref="C110:I110" si="40">SUM(C104:C109)</f>
        <v>707</v>
      </c>
      <c r="D110" s="13">
        <f t="shared" si="40"/>
        <v>350</v>
      </c>
      <c r="E110" s="13">
        <f t="shared" si="40"/>
        <v>0</v>
      </c>
      <c r="F110" s="13">
        <f t="shared" si="40"/>
        <v>0</v>
      </c>
      <c r="G110" s="13">
        <f t="shared" si="40"/>
        <v>0</v>
      </c>
      <c r="H110" s="13">
        <f t="shared" si="40"/>
        <v>0</v>
      </c>
      <c r="I110" s="13">
        <f t="shared" si="40"/>
        <v>1057</v>
      </c>
    </row>
    <row r="114" spans="2:17">
      <c r="B114" s="98" t="s">
        <v>303</v>
      </c>
      <c r="C114" s="179" t="s">
        <v>5</v>
      </c>
      <c r="D114" s="179" t="s">
        <v>4</v>
      </c>
    </row>
    <row r="115" spans="2:17">
      <c r="B115" s="98" t="s">
        <v>307</v>
      </c>
      <c r="C115" s="98" t="s">
        <v>306</v>
      </c>
      <c r="D115" s="98" t="s">
        <v>305</v>
      </c>
      <c r="E115" s="98" t="s">
        <v>235</v>
      </c>
      <c r="F115" s="178" t="s">
        <v>309</v>
      </c>
    </row>
    <row r="116" spans="2:17" ht="18">
      <c r="B116" s="199" t="s">
        <v>356</v>
      </c>
      <c r="C116" s="12">
        <f>E11*$C$19</f>
        <v>800699.26017531089</v>
      </c>
      <c r="D116" s="12">
        <f>F11*$C$20</f>
        <v>25217.884809937863</v>
      </c>
      <c r="E116" s="12">
        <f>$C$23</f>
        <v>1</v>
      </c>
      <c r="F116" s="12">
        <f>(C116+D116)*E116</f>
        <v>825917.1449852488</v>
      </c>
    </row>
    <row r="117" spans="2:17" ht="18">
      <c r="B117" s="199" t="s">
        <v>354</v>
      </c>
      <c r="C117" s="39">
        <f>E11*$D$19</f>
        <v>12.856442841607432</v>
      </c>
      <c r="D117" s="39">
        <f>F11*$D$20</f>
        <v>0.39329202760352255</v>
      </c>
      <c r="E117" s="18">
        <f>$C$24</f>
        <v>28</v>
      </c>
      <c r="F117" s="12">
        <f t="shared" ref="F117:F118" si="41">(C117+D117)*E117</f>
        <v>370.99257633790671</v>
      </c>
    </row>
    <row r="118" spans="2:17" ht="18">
      <c r="B118" s="199" t="s">
        <v>355</v>
      </c>
      <c r="C118" s="194">
        <f>E11*$E$19</f>
        <v>46.283194229786751</v>
      </c>
      <c r="D118" s="194">
        <f>F11*$E$20</f>
        <v>1.4158512993726811</v>
      </c>
      <c r="E118" s="18">
        <f>$C$25</f>
        <v>265</v>
      </c>
      <c r="F118" s="12">
        <f t="shared" si="41"/>
        <v>12640.24706522725</v>
      </c>
    </row>
    <row r="119" spans="2:17" ht="15.6" customHeight="1">
      <c r="B119" s="278" t="s">
        <v>10</v>
      </c>
      <c r="C119" s="278"/>
      <c r="D119" s="278"/>
      <c r="E119" s="278"/>
      <c r="F119" s="200">
        <f>SUM(F116:F118)</f>
        <v>838928.38462681393</v>
      </c>
    </row>
    <row r="120" spans="2:17" ht="15.6" customHeight="1"/>
    <row r="121" spans="2:17">
      <c r="B121" s="98" t="s">
        <v>303</v>
      </c>
      <c r="C121" s="179" t="str">
        <f>C114</f>
        <v>BRPEC</v>
      </c>
      <c r="D121" s="179" t="str">
        <f>D114</f>
        <v>BRMAO</v>
      </c>
      <c r="K121" s="98" t="s">
        <v>303</v>
      </c>
      <c r="L121" s="179" t="str">
        <f>C121</f>
        <v>BRPEC</v>
      </c>
      <c r="M121" s="179" t="str">
        <f>D121</f>
        <v>BRMAO</v>
      </c>
    </row>
    <row r="122" spans="2:17" ht="15.6" customHeight="1">
      <c r="B122" s="5" t="s">
        <v>365</v>
      </c>
      <c r="C122" s="4" t="s">
        <v>4</v>
      </c>
      <c r="D122" s="4" t="s">
        <v>5</v>
      </c>
      <c r="E122" s="4" t="s">
        <v>6</v>
      </c>
      <c r="F122" s="4" t="s">
        <v>7</v>
      </c>
      <c r="G122" s="4" t="s">
        <v>8</v>
      </c>
      <c r="H122" s="4" t="s">
        <v>9</v>
      </c>
      <c r="I122" s="5" t="s">
        <v>47</v>
      </c>
      <c r="K122" s="5" t="s">
        <v>308</v>
      </c>
      <c r="L122" s="4" t="s">
        <v>4</v>
      </c>
      <c r="M122" s="4" t="s">
        <v>5</v>
      </c>
      <c r="N122" s="4" t="s">
        <v>6</v>
      </c>
      <c r="O122" s="4" t="s">
        <v>7</v>
      </c>
      <c r="P122" s="4" t="s">
        <v>8</v>
      </c>
      <c r="Q122" s="4" t="s">
        <v>9</v>
      </c>
    </row>
    <row r="123" spans="2:17">
      <c r="B123" s="10" t="s">
        <v>4</v>
      </c>
      <c r="C123" s="11"/>
      <c r="D123" s="12"/>
      <c r="E123" s="12"/>
      <c r="F123" s="12"/>
      <c r="G123" s="12"/>
      <c r="H123" s="12"/>
      <c r="I123" s="13">
        <f t="shared" ref="I123:I128" si="42">SUM(C123:H123)</f>
        <v>0</v>
      </c>
      <c r="K123" s="10" t="s">
        <v>4</v>
      </c>
      <c r="L123" s="171">
        <f>IF(C123=0,0,$F$119/$I$129)</f>
        <v>0</v>
      </c>
      <c r="M123" s="60">
        <f t="shared" ref="M123:M128" si="43">IF(D123=0,0,$F$119/$I$129)</f>
        <v>0</v>
      </c>
      <c r="N123" s="60">
        <f t="shared" ref="N123:N128" si="44">IF(E123=0,0,$F$119/$I$129)</f>
        <v>0</v>
      </c>
      <c r="O123" s="60">
        <f t="shared" ref="O123:O128" si="45">IF(F123=0,0,$F$119/$I$129)</f>
        <v>0</v>
      </c>
      <c r="P123" s="60">
        <f t="shared" ref="P123:P128" si="46">IF(G123=0,0,$F$119/$I$129)</f>
        <v>0</v>
      </c>
      <c r="Q123" s="60">
        <f t="shared" ref="Q123:Q128" si="47">IF(H123=0,0,$F$119/$I$129)</f>
        <v>0</v>
      </c>
    </row>
    <row r="124" spans="2:17">
      <c r="B124" s="10" t="s">
        <v>5</v>
      </c>
      <c r="C124" s="12">
        <f t="shared" ref="C124" si="48">C30</f>
        <v>260</v>
      </c>
      <c r="D124" s="11"/>
      <c r="E124" s="12"/>
      <c r="F124" s="12"/>
      <c r="G124" s="12"/>
      <c r="H124" s="12"/>
      <c r="I124" s="13">
        <f t="shared" si="42"/>
        <v>260</v>
      </c>
      <c r="K124" s="10" t="s">
        <v>5</v>
      </c>
      <c r="L124" s="60">
        <f t="shared" ref="L124:L128" si="49">IF(C124=0,0,$F$119/$I$129)</f>
        <v>867.55779175471969</v>
      </c>
      <c r="M124" s="171">
        <f t="shared" si="43"/>
        <v>0</v>
      </c>
      <c r="N124" s="60">
        <f t="shared" si="44"/>
        <v>0</v>
      </c>
      <c r="O124" s="60">
        <f t="shared" si="45"/>
        <v>0</v>
      </c>
      <c r="P124" s="60">
        <f t="shared" si="46"/>
        <v>0</v>
      </c>
      <c r="Q124" s="60">
        <f t="shared" si="47"/>
        <v>0</v>
      </c>
    </row>
    <row r="125" spans="2:17">
      <c r="B125" s="10" t="s">
        <v>6</v>
      </c>
      <c r="C125" s="12">
        <f>C31</f>
        <v>331</v>
      </c>
      <c r="D125" s="12"/>
      <c r="E125" s="11"/>
      <c r="F125" s="12"/>
      <c r="G125" s="12"/>
      <c r="H125" s="12"/>
      <c r="I125" s="13">
        <f t="shared" si="42"/>
        <v>331</v>
      </c>
      <c r="K125" s="10" t="s">
        <v>6</v>
      </c>
      <c r="L125" s="60">
        <f t="shared" si="49"/>
        <v>867.55779175471969</v>
      </c>
      <c r="M125" s="60">
        <f t="shared" si="43"/>
        <v>0</v>
      </c>
      <c r="N125" s="171">
        <f t="shared" si="44"/>
        <v>0</v>
      </c>
      <c r="O125" s="60">
        <f t="shared" si="45"/>
        <v>0</v>
      </c>
      <c r="P125" s="60">
        <f t="shared" si="46"/>
        <v>0</v>
      </c>
      <c r="Q125" s="60">
        <f t="shared" si="47"/>
        <v>0</v>
      </c>
    </row>
    <row r="126" spans="2:17">
      <c r="B126" s="10" t="s">
        <v>7</v>
      </c>
      <c r="C126" s="12">
        <f t="shared" ref="C126" si="50">C32</f>
        <v>86</v>
      </c>
      <c r="D126" s="12"/>
      <c r="E126" s="12"/>
      <c r="F126" s="11"/>
      <c r="G126" s="12"/>
      <c r="H126" s="12"/>
      <c r="I126" s="13">
        <f t="shared" si="42"/>
        <v>86</v>
      </c>
      <c r="K126" s="10" t="s">
        <v>7</v>
      </c>
      <c r="L126" s="60">
        <f t="shared" si="49"/>
        <v>867.55779175471969</v>
      </c>
      <c r="M126" s="60">
        <f t="shared" si="43"/>
        <v>0</v>
      </c>
      <c r="N126" s="60">
        <f t="shared" si="44"/>
        <v>0</v>
      </c>
      <c r="O126" s="171">
        <f t="shared" si="45"/>
        <v>0</v>
      </c>
      <c r="P126" s="60">
        <f t="shared" si="46"/>
        <v>0</v>
      </c>
      <c r="Q126" s="60">
        <f t="shared" si="47"/>
        <v>0</v>
      </c>
    </row>
    <row r="127" spans="2:17">
      <c r="B127" s="10" t="s">
        <v>8</v>
      </c>
      <c r="C127" s="12">
        <f t="shared" ref="C127" si="51">C33</f>
        <v>61</v>
      </c>
      <c r="D127" s="12"/>
      <c r="E127" s="12"/>
      <c r="F127" s="12"/>
      <c r="G127" s="11"/>
      <c r="H127" s="12"/>
      <c r="I127" s="13">
        <f t="shared" si="42"/>
        <v>61</v>
      </c>
      <c r="K127" s="10" t="s">
        <v>8</v>
      </c>
      <c r="L127" s="60">
        <f t="shared" si="49"/>
        <v>867.55779175471969</v>
      </c>
      <c r="M127" s="60">
        <f t="shared" si="43"/>
        <v>0</v>
      </c>
      <c r="N127" s="60">
        <f t="shared" si="44"/>
        <v>0</v>
      </c>
      <c r="O127" s="60">
        <f t="shared" si="45"/>
        <v>0</v>
      </c>
      <c r="P127" s="171">
        <f t="shared" si="46"/>
        <v>0</v>
      </c>
      <c r="Q127" s="60">
        <f t="shared" si="47"/>
        <v>0</v>
      </c>
    </row>
    <row r="128" spans="2:17">
      <c r="B128" s="10" t="s">
        <v>9</v>
      </c>
      <c r="C128" s="12">
        <f t="shared" ref="C128" si="52">C34</f>
        <v>229</v>
      </c>
      <c r="D128" s="12"/>
      <c r="E128" s="12"/>
      <c r="F128" s="12"/>
      <c r="G128" s="12"/>
      <c r="H128" s="11"/>
      <c r="I128" s="13">
        <f t="shared" si="42"/>
        <v>229</v>
      </c>
      <c r="K128" s="10" t="s">
        <v>9</v>
      </c>
      <c r="L128" s="60">
        <f t="shared" si="49"/>
        <v>867.55779175471969</v>
      </c>
      <c r="M128" s="60">
        <f t="shared" si="43"/>
        <v>0</v>
      </c>
      <c r="N128" s="60">
        <f t="shared" si="44"/>
        <v>0</v>
      </c>
      <c r="O128" s="60">
        <f t="shared" si="45"/>
        <v>0</v>
      </c>
      <c r="P128" s="60">
        <f t="shared" si="46"/>
        <v>0</v>
      </c>
      <c r="Q128" s="171">
        <f t="shared" si="47"/>
        <v>0</v>
      </c>
    </row>
    <row r="129" spans="2:17">
      <c r="B129" s="16" t="s">
        <v>48</v>
      </c>
      <c r="C129" s="13">
        <f t="shared" ref="C129:I129" si="53">SUM(C123:C128)</f>
        <v>967</v>
      </c>
      <c r="D129" s="13">
        <f t="shared" si="53"/>
        <v>0</v>
      </c>
      <c r="E129" s="13">
        <f t="shared" si="53"/>
        <v>0</v>
      </c>
      <c r="F129" s="13">
        <f t="shared" si="53"/>
        <v>0</v>
      </c>
      <c r="G129" s="13">
        <f t="shared" si="53"/>
        <v>0</v>
      </c>
      <c r="H129" s="13">
        <f t="shared" si="53"/>
        <v>0</v>
      </c>
      <c r="I129" s="13">
        <f t="shared" si="53"/>
        <v>967</v>
      </c>
    </row>
    <row r="133" spans="2:17">
      <c r="B133" s="98" t="s">
        <v>303</v>
      </c>
      <c r="C133" s="179" t="s">
        <v>4</v>
      </c>
      <c r="D133" s="179" t="s">
        <v>5</v>
      </c>
    </row>
    <row r="134" spans="2:17">
      <c r="B134" s="98" t="s">
        <v>307</v>
      </c>
      <c r="C134" s="98" t="s">
        <v>306</v>
      </c>
      <c r="D134" s="98" t="s">
        <v>305</v>
      </c>
      <c r="E134" s="98" t="s">
        <v>235</v>
      </c>
      <c r="F134" s="178" t="s">
        <v>309</v>
      </c>
    </row>
    <row r="135" spans="2:17" ht="18">
      <c r="B135" s="199" t="s">
        <v>356</v>
      </c>
      <c r="C135" s="12">
        <f>E12*$C$19</f>
        <v>690103.47522938927</v>
      </c>
      <c r="D135" s="12">
        <f>F12*$C$20</f>
        <v>23147.266632661933</v>
      </c>
      <c r="E135" s="12">
        <f>$C$23</f>
        <v>1</v>
      </c>
      <c r="F135" s="12">
        <f>(C135+D135)*E135</f>
        <v>713250.74186205119</v>
      </c>
    </row>
    <row r="136" spans="2:17" ht="18">
      <c r="B136" s="199" t="s">
        <v>354</v>
      </c>
      <c r="C136" s="39">
        <f>E12*$D$19</f>
        <v>11.08065952519893</v>
      </c>
      <c r="D136" s="39">
        <f>F12*$D$20</f>
        <v>0.36099916769591289</v>
      </c>
      <c r="E136" s="18">
        <f>$C$24</f>
        <v>28</v>
      </c>
      <c r="F136" s="12">
        <f t="shared" ref="F136:F137" si="54">(C136+D136)*E136</f>
        <v>320.36644340105562</v>
      </c>
    </row>
    <row r="137" spans="2:17" ht="18">
      <c r="B137" s="199" t="s">
        <v>355</v>
      </c>
      <c r="C137" s="194">
        <f>E12*$E$19</f>
        <v>39.890374290716146</v>
      </c>
      <c r="D137" s="194">
        <f>F12*$E$20</f>
        <v>1.2995970037052862</v>
      </c>
      <c r="E137" s="18">
        <f>$C$25</f>
        <v>265</v>
      </c>
      <c r="F137" s="12">
        <f t="shared" si="54"/>
        <v>10915.34239302168</v>
      </c>
    </row>
    <row r="138" spans="2:17" ht="15.6" customHeight="1">
      <c r="B138" s="278" t="s">
        <v>10</v>
      </c>
      <c r="C138" s="278"/>
      <c r="D138" s="278"/>
      <c r="E138" s="278"/>
      <c r="F138" s="200">
        <f>SUM(F135:F137)</f>
        <v>724486.45069847396</v>
      </c>
    </row>
    <row r="139" spans="2:17" ht="15.6" customHeight="1"/>
    <row r="140" spans="2:17">
      <c r="B140" s="98" t="s">
        <v>303</v>
      </c>
      <c r="C140" s="179" t="str">
        <f>C133</f>
        <v>BRMAO</v>
      </c>
      <c r="D140" s="179" t="str">
        <f>D133</f>
        <v>BRPEC</v>
      </c>
      <c r="K140" s="98" t="s">
        <v>303</v>
      </c>
      <c r="L140" s="179" t="str">
        <f>C140</f>
        <v>BRMAO</v>
      </c>
      <c r="M140" s="179" t="str">
        <f>D140</f>
        <v>BRPEC</v>
      </c>
    </row>
    <row r="141" spans="2:17" ht="15.6" customHeight="1">
      <c r="B141" s="5" t="s">
        <v>365</v>
      </c>
      <c r="C141" s="4" t="s">
        <v>4</v>
      </c>
      <c r="D141" s="4" t="s">
        <v>5</v>
      </c>
      <c r="E141" s="4" t="s">
        <v>6</v>
      </c>
      <c r="F141" s="4" t="s">
        <v>7</v>
      </c>
      <c r="G141" s="4" t="s">
        <v>8</v>
      </c>
      <c r="H141" s="4" t="s">
        <v>9</v>
      </c>
      <c r="I141" s="5" t="s">
        <v>47</v>
      </c>
      <c r="K141" s="5" t="s">
        <v>308</v>
      </c>
      <c r="L141" s="4" t="s">
        <v>4</v>
      </c>
      <c r="M141" s="4" t="s">
        <v>5</v>
      </c>
      <c r="N141" s="4" t="s">
        <v>6</v>
      </c>
      <c r="O141" s="4" t="s">
        <v>7</v>
      </c>
      <c r="P141" s="4" t="s">
        <v>8</v>
      </c>
      <c r="Q141" s="4" t="s">
        <v>9</v>
      </c>
    </row>
    <row r="142" spans="2:17">
      <c r="B142" s="10" t="s">
        <v>4</v>
      </c>
      <c r="C142" s="11">
        <f t="shared" ref="C142:H142" si="55">C29</f>
        <v>0</v>
      </c>
      <c r="D142" s="12">
        <f t="shared" si="55"/>
        <v>175</v>
      </c>
      <c r="E142" s="12">
        <f t="shared" si="55"/>
        <v>156</v>
      </c>
      <c r="F142" s="12">
        <f t="shared" si="55"/>
        <v>0</v>
      </c>
      <c r="G142" s="12">
        <f t="shared" si="55"/>
        <v>226</v>
      </c>
      <c r="H142" s="12">
        <f t="shared" si="55"/>
        <v>648</v>
      </c>
      <c r="I142" s="13">
        <f t="shared" ref="I142:I147" si="56">SUM(C142:H142)</f>
        <v>1205</v>
      </c>
      <c r="K142" s="10" t="s">
        <v>4</v>
      </c>
      <c r="L142" s="171">
        <f>IF(C142=0,0,$F$138/$I$148)</f>
        <v>0</v>
      </c>
      <c r="M142" s="60">
        <f t="shared" ref="M142:M147" si="57">IF(D142=0,0,$F$138/$I$148)</f>
        <v>601.23356904437674</v>
      </c>
      <c r="N142" s="60">
        <f t="shared" ref="N142:N147" si="58">IF(E142=0,0,$F$138/$I$148)</f>
        <v>601.23356904437674</v>
      </c>
      <c r="O142" s="60">
        <f t="shared" ref="O142:O147" si="59">IF(F142=0,0,$F$138/$I$148)</f>
        <v>0</v>
      </c>
      <c r="P142" s="60">
        <f t="shared" ref="P142:P147" si="60">IF(G142=0,0,$F$138/$I$148)</f>
        <v>601.23356904437674</v>
      </c>
      <c r="Q142" s="60">
        <f t="shared" ref="Q142:Q147" si="61">IF(H142=0,0,$F$138/$I$148)</f>
        <v>601.23356904437674</v>
      </c>
    </row>
    <row r="143" spans="2:17">
      <c r="B143" s="10" t="s">
        <v>5</v>
      </c>
      <c r="C143" s="12"/>
      <c r="D143" s="11"/>
      <c r="E143" s="12"/>
      <c r="F143" s="12"/>
      <c r="G143" s="12"/>
      <c r="H143" s="12"/>
      <c r="I143" s="13">
        <f t="shared" si="56"/>
        <v>0</v>
      </c>
      <c r="K143" s="10" t="s">
        <v>5</v>
      </c>
      <c r="L143" s="60">
        <f t="shared" ref="L143:L147" si="62">IF(C143=0,0,$F$138/$I$148)</f>
        <v>0</v>
      </c>
      <c r="M143" s="171">
        <f t="shared" si="57"/>
        <v>0</v>
      </c>
      <c r="N143" s="60">
        <f t="shared" si="58"/>
        <v>0</v>
      </c>
      <c r="O143" s="60">
        <f t="shared" si="59"/>
        <v>0</v>
      </c>
      <c r="P143" s="60">
        <f t="shared" si="60"/>
        <v>0</v>
      </c>
      <c r="Q143" s="60">
        <f t="shared" si="61"/>
        <v>0</v>
      </c>
    </row>
    <row r="144" spans="2:17">
      <c r="B144" s="10" t="s">
        <v>6</v>
      </c>
      <c r="C144" s="12"/>
      <c r="D144" s="12"/>
      <c r="E144" s="11"/>
      <c r="F144" s="12"/>
      <c r="G144" s="12"/>
      <c r="H144" s="12"/>
      <c r="I144" s="13">
        <f t="shared" si="56"/>
        <v>0</v>
      </c>
      <c r="K144" s="10" t="s">
        <v>6</v>
      </c>
      <c r="L144" s="60">
        <f t="shared" si="62"/>
        <v>0</v>
      </c>
      <c r="M144" s="60">
        <f t="shared" si="57"/>
        <v>0</v>
      </c>
      <c r="N144" s="171">
        <f t="shared" si="58"/>
        <v>0</v>
      </c>
      <c r="O144" s="60">
        <f t="shared" si="59"/>
        <v>0</v>
      </c>
      <c r="P144" s="60">
        <f t="shared" si="60"/>
        <v>0</v>
      </c>
      <c r="Q144" s="60">
        <f t="shared" si="61"/>
        <v>0</v>
      </c>
    </row>
    <row r="145" spans="2:17">
      <c r="B145" s="10" t="s">
        <v>7</v>
      </c>
      <c r="C145" s="12"/>
      <c r="D145" s="12"/>
      <c r="E145" s="12"/>
      <c r="F145" s="11"/>
      <c r="G145" s="12"/>
      <c r="H145" s="12"/>
      <c r="I145" s="13">
        <f t="shared" si="56"/>
        <v>0</v>
      </c>
      <c r="K145" s="10" t="s">
        <v>7</v>
      </c>
      <c r="L145" s="60">
        <f t="shared" si="62"/>
        <v>0</v>
      </c>
      <c r="M145" s="60">
        <f t="shared" si="57"/>
        <v>0</v>
      </c>
      <c r="N145" s="60">
        <f t="shared" si="58"/>
        <v>0</v>
      </c>
      <c r="O145" s="171">
        <f t="shared" si="59"/>
        <v>0</v>
      </c>
      <c r="P145" s="60">
        <f t="shared" si="60"/>
        <v>0</v>
      </c>
      <c r="Q145" s="60">
        <f t="shared" si="61"/>
        <v>0</v>
      </c>
    </row>
    <row r="146" spans="2:17">
      <c r="B146" s="10" t="s">
        <v>8</v>
      </c>
      <c r="C146" s="12"/>
      <c r="D146" s="12"/>
      <c r="E146" s="12"/>
      <c r="F146" s="12"/>
      <c r="G146" s="11"/>
      <c r="H146" s="12"/>
      <c r="I146" s="13">
        <f t="shared" si="56"/>
        <v>0</v>
      </c>
      <c r="K146" s="10" t="s">
        <v>8</v>
      </c>
      <c r="L146" s="60">
        <f t="shared" si="62"/>
        <v>0</v>
      </c>
      <c r="M146" s="60">
        <f t="shared" si="57"/>
        <v>0</v>
      </c>
      <c r="N146" s="60">
        <f t="shared" si="58"/>
        <v>0</v>
      </c>
      <c r="O146" s="60">
        <f t="shared" si="59"/>
        <v>0</v>
      </c>
      <c r="P146" s="171">
        <f t="shared" si="60"/>
        <v>0</v>
      </c>
      <c r="Q146" s="60">
        <f t="shared" si="61"/>
        <v>0</v>
      </c>
    </row>
    <row r="147" spans="2:17">
      <c r="B147" s="10" t="s">
        <v>9</v>
      </c>
      <c r="C147" s="12"/>
      <c r="D147" s="12"/>
      <c r="E147" s="12"/>
      <c r="F147" s="12"/>
      <c r="G147" s="12"/>
      <c r="H147" s="11"/>
      <c r="I147" s="13">
        <f t="shared" si="56"/>
        <v>0</v>
      </c>
      <c r="K147" s="10" t="s">
        <v>9</v>
      </c>
      <c r="L147" s="60">
        <f t="shared" si="62"/>
        <v>0</v>
      </c>
      <c r="M147" s="60">
        <f t="shared" si="57"/>
        <v>0</v>
      </c>
      <c r="N147" s="60">
        <f t="shared" si="58"/>
        <v>0</v>
      </c>
      <c r="O147" s="60">
        <f t="shared" si="59"/>
        <v>0</v>
      </c>
      <c r="P147" s="60">
        <f t="shared" si="60"/>
        <v>0</v>
      </c>
      <c r="Q147" s="171">
        <f t="shared" si="61"/>
        <v>0</v>
      </c>
    </row>
    <row r="148" spans="2:17">
      <c r="B148" s="16" t="s">
        <v>48</v>
      </c>
      <c r="C148" s="13">
        <f t="shared" ref="C148:I148" si="63">SUM(C142:C147)</f>
        <v>0</v>
      </c>
      <c r="D148" s="13">
        <f t="shared" si="63"/>
        <v>175</v>
      </c>
      <c r="E148" s="13">
        <f t="shared" si="63"/>
        <v>156</v>
      </c>
      <c r="F148" s="13">
        <f t="shared" si="63"/>
        <v>0</v>
      </c>
      <c r="G148" s="13">
        <f t="shared" si="63"/>
        <v>226</v>
      </c>
      <c r="H148" s="13">
        <f t="shared" si="63"/>
        <v>648</v>
      </c>
      <c r="I148" s="13">
        <f t="shared" si="63"/>
        <v>1205</v>
      </c>
    </row>
    <row r="152" spans="2:17">
      <c r="B152" s="98" t="s">
        <v>303</v>
      </c>
      <c r="C152" s="179" t="s">
        <v>5</v>
      </c>
      <c r="D152" s="179" t="s">
        <v>6</v>
      </c>
    </row>
    <row r="153" spans="2:17">
      <c r="B153" s="98" t="s">
        <v>307</v>
      </c>
      <c r="C153" s="98" t="s">
        <v>306</v>
      </c>
      <c r="D153" s="98" t="s">
        <v>305</v>
      </c>
      <c r="E153" s="98" t="s">
        <v>235</v>
      </c>
      <c r="F153" s="178" t="s">
        <v>309</v>
      </c>
    </row>
    <row r="154" spans="2:17" ht="18">
      <c r="B154" s="199" t="s">
        <v>356</v>
      </c>
      <c r="C154" s="12">
        <f>E13*$C$19</f>
        <v>225851.40352289582</v>
      </c>
      <c r="D154" s="12">
        <f>F13*$C$20</f>
        <v>7315.1644314667392</v>
      </c>
      <c r="E154" s="12">
        <f>$C$23</f>
        <v>1</v>
      </c>
      <c r="F154" s="12">
        <f>(C154+D154)*E154</f>
        <v>233166.56795436257</v>
      </c>
    </row>
    <row r="155" spans="2:17" ht="18">
      <c r="B155" s="199" t="s">
        <v>354</v>
      </c>
      <c r="C155" s="39">
        <f>E13*$D$19</f>
        <v>3.626387339802438</v>
      </c>
      <c r="D155" s="39">
        <f>F13*$D$20</f>
        <v>0.11408553386566966</v>
      </c>
      <c r="E155" s="18">
        <f>$C$24</f>
        <v>28</v>
      </c>
      <c r="F155" s="12">
        <f t="shared" ref="F155:F156" si="64">(C155+D155)*E155</f>
        <v>104.73324046270702</v>
      </c>
    </row>
    <row r="156" spans="2:17" ht="18">
      <c r="B156" s="199" t="s">
        <v>355</v>
      </c>
      <c r="C156" s="194">
        <f>E13*$E$19</f>
        <v>13.054994423288777</v>
      </c>
      <c r="D156" s="194">
        <f>F13*$E$20</f>
        <v>0.41070792191641076</v>
      </c>
      <c r="E156" s="18">
        <f>$C$25</f>
        <v>265</v>
      </c>
      <c r="F156" s="12">
        <f t="shared" si="64"/>
        <v>3568.4111214793747</v>
      </c>
    </row>
    <row r="157" spans="2:17" ht="15.6" customHeight="1">
      <c r="B157" s="278" t="s">
        <v>10</v>
      </c>
      <c r="C157" s="278"/>
      <c r="D157" s="278"/>
      <c r="E157" s="278"/>
      <c r="F157" s="200">
        <f>SUM(F154:F156)</f>
        <v>236839.71231630465</v>
      </c>
    </row>
    <row r="158" spans="2:17" ht="15.6" customHeight="1"/>
    <row r="159" spans="2:17">
      <c r="B159" s="98" t="s">
        <v>303</v>
      </c>
      <c r="C159" s="179" t="str">
        <f>C152</f>
        <v>BRPEC</v>
      </c>
      <c r="D159" s="179" t="str">
        <f>D152</f>
        <v>BRSUA</v>
      </c>
      <c r="K159" s="98" t="s">
        <v>303</v>
      </c>
      <c r="L159" s="179" t="str">
        <f>C159</f>
        <v>BRPEC</v>
      </c>
      <c r="M159" s="179" t="str">
        <f>D159</f>
        <v>BRSUA</v>
      </c>
    </row>
    <row r="160" spans="2:17" ht="15.6" customHeight="1">
      <c r="B160" s="5" t="s">
        <v>365</v>
      </c>
      <c r="C160" s="4" t="s">
        <v>4</v>
      </c>
      <c r="D160" s="4" t="s">
        <v>5</v>
      </c>
      <c r="E160" s="4" t="s">
        <v>6</v>
      </c>
      <c r="F160" s="4" t="s">
        <v>7</v>
      </c>
      <c r="G160" s="4" t="s">
        <v>8</v>
      </c>
      <c r="H160" s="4" t="s">
        <v>9</v>
      </c>
      <c r="I160" s="5" t="s">
        <v>47</v>
      </c>
      <c r="K160" s="5" t="s">
        <v>308</v>
      </c>
      <c r="L160" s="4" t="s">
        <v>4</v>
      </c>
      <c r="M160" s="4" t="s">
        <v>5</v>
      </c>
      <c r="N160" s="4" t="s">
        <v>6</v>
      </c>
      <c r="O160" s="4" t="s">
        <v>7</v>
      </c>
      <c r="P160" s="4" t="s">
        <v>8</v>
      </c>
      <c r="Q160" s="4" t="s">
        <v>9</v>
      </c>
    </row>
    <row r="161" spans="2:17">
      <c r="B161" s="10" t="s">
        <v>4</v>
      </c>
      <c r="C161" s="11"/>
      <c r="D161" s="12"/>
      <c r="E161" s="12">
        <f t="shared" ref="E161:H161" si="65">E29</f>
        <v>156</v>
      </c>
      <c r="F161" s="12">
        <f t="shared" si="65"/>
        <v>0</v>
      </c>
      <c r="G161" s="12">
        <f t="shared" si="65"/>
        <v>226</v>
      </c>
      <c r="H161" s="12">
        <f t="shared" si="65"/>
        <v>648</v>
      </c>
      <c r="I161" s="13">
        <f t="shared" ref="I161:I166" si="66">SUM(C161:H161)</f>
        <v>1030</v>
      </c>
      <c r="K161" s="10" t="s">
        <v>4</v>
      </c>
      <c r="L161" s="171">
        <f>IF(C161=0,0,$F$157/$I$167)</f>
        <v>0</v>
      </c>
      <c r="M161" s="60">
        <f t="shared" ref="M161:M166" si="67">IF(D161=0,0,$F$157/$I$167)</f>
        <v>0</v>
      </c>
      <c r="N161" s="60">
        <f t="shared" ref="N161:N166" si="68">IF(E161=0,0,$F$157/$I$167)</f>
        <v>199.69621611830073</v>
      </c>
      <c r="O161" s="60">
        <f t="shared" ref="O161:O166" si="69">IF(F161=0,0,$F$157/$I$167)</f>
        <v>0</v>
      </c>
      <c r="P161" s="60">
        <f t="shared" ref="P161:P166" si="70">IF(G161=0,0,$F$157/$I$167)</f>
        <v>199.69621611830073</v>
      </c>
      <c r="Q161" s="60">
        <f t="shared" ref="Q161:Q166" si="71">IF(H161=0,0,$F$157/$I$167)</f>
        <v>199.69621611830073</v>
      </c>
    </row>
    <row r="162" spans="2:17">
      <c r="B162" s="10" t="s">
        <v>5</v>
      </c>
      <c r="C162" s="12"/>
      <c r="D162" s="11"/>
      <c r="E162" s="12">
        <f t="shared" ref="E162:H162" si="72">E30</f>
        <v>0</v>
      </c>
      <c r="F162" s="12">
        <f t="shared" si="72"/>
        <v>0</v>
      </c>
      <c r="G162" s="12">
        <f t="shared" si="72"/>
        <v>20</v>
      </c>
      <c r="H162" s="12">
        <f t="shared" si="72"/>
        <v>136</v>
      </c>
      <c r="I162" s="13">
        <f t="shared" si="66"/>
        <v>156</v>
      </c>
      <c r="K162" s="10" t="s">
        <v>5</v>
      </c>
      <c r="L162" s="60">
        <f t="shared" ref="L162:L166" si="73">IF(C162=0,0,$F$157/$I$167)</f>
        <v>0</v>
      </c>
      <c r="M162" s="171">
        <f t="shared" si="67"/>
        <v>0</v>
      </c>
      <c r="N162" s="60">
        <f t="shared" si="68"/>
        <v>0</v>
      </c>
      <c r="O162" s="60">
        <f t="shared" si="69"/>
        <v>0</v>
      </c>
      <c r="P162" s="60">
        <f t="shared" si="70"/>
        <v>199.69621611830073</v>
      </c>
      <c r="Q162" s="60">
        <f t="shared" si="71"/>
        <v>199.69621611830073</v>
      </c>
    </row>
    <row r="163" spans="2:17">
      <c r="B163" s="10" t="s">
        <v>6</v>
      </c>
      <c r="C163" s="12"/>
      <c r="D163" s="12"/>
      <c r="E163" s="11"/>
      <c r="F163" s="12"/>
      <c r="G163" s="12"/>
      <c r="H163" s="12"/>
      <c r="I163" s="13">
        <f t="shared" si="66"/>
        <v>0</v>
      </c>
      <c r="K163" s="10" t="s">
        <v>6</v>
      </c>
      <c r="L163" s="60">
        <f t="shared" si="73"/>
        <v>0</v>
      </c>
      <c r="M163" s="60">
        <f t="shared" si="67"/>
        <v>0</v>
      </c>
      <c r="N163" s="171">
        <f t="shared" si="68"/>
        <v>0</v>
      </c>
      <c r="O163" s="60">
        <f t="shared" si="69"/>
        <v>0</v>
      </c>
      <c r="P163" s="60">
        <f t="shared" si="70"/>
        <v>0</v>
      </c>
      <c r="Q163" s="60">
        <f t="shared" si="71"/>
        <v>0</v>
      </c>
    </row>
    <row r="164" spans="2:17">
      <c r="B164" s="10" t="s">
        <v>7</v>
      </c>
      <c r="C164" s="12"/>
      <c r="D164" s="12"/>
      <c r="E164" s="12"/>
      <c r="F164" s="11"/>
      <c r="G164" s="12"/>
      <c r="H164" s="12"/>
      <c r="I164" s="13">
        <f t="shared" si="66"/>
        <v>0</v>
      </c>
      <c r="K164" s="10" t="s">
        <v>7</v>
      </c>
      <c r="L164" s="60">
        <f t="shared" si="73"/>
        <v>0</v>
      </c>
      <c r="M164" s="60">
        <f t="shared" si="67"/>
        <v>0</v>
      </c>
      <c r="N164" s="60">
        <f t="shared" si="68"/>
        <v>0</v>
      </c>
      <c r="O164" s="171">
        <f t="shared" si="69"/>
        <v>0</v>
      </c>
      <c r="P164" s="60">
        <f t="shared" si="70"/>
        <v>0</v>
      </c>
      <c r="Q164" s="60">
        <f t="shared" si="71"/>
        <v>0</v>
      </c>
    </row>
    <row r="165" spans="2:17">
      <c r="B165" s="10" t="s">
        <v>8</v>
      </c>
      <c r="C165" s="12"/>
      <c r="D165" s="12"/>
      <c r="E165" s="12"/>
      <c r="F165" s="12"/>
      <c r="G165" s="11"/>
      <c r="H165" s="12"/>
      <c r="I165" s="13">
        <f t="shared" si="66"/>
        <v>0</v>
      </c>
      <c r="K165" s="10" t="s">
        <v>8</v>
      </c>
      <c r="L165" s="60">
        <f t="shared" si="73"/>
        <v>0</v>
      </c>
      <c r="M165" s="60">
        <f t="shared" si="67"/>
        <v>0</v>
      </c>
      <c r="N165" s="60">
        <f t="shared" si="68"/>
        <v>0</v>
      </c>
      <c r="O165" s="60">
        <f t="shared" si="69"/>
        <v>0</v>
      </c>
      <c r="P165" s="171">
        <f t="shared" si="70"/>
        <v>0</v>
      </c>
      <c r="Q165" s="60">
        <f t="shared" si="71"/>
        <v>0</v>
      </c>
    </row>
    <row r="166" spans="2:17">
      <c r="B166" s="10" t="s">
        <v>9</v>
      </c>
      <c r="C166" s="12"/>
      <c r="D166" s="12"/>
      <c r="E166" s="12"/>
      <c r="F166" s="12"/>
      <c r="G166" s="12"/>
      <c r="H166" s="11"/>
      <c r="I166" s="13">
        <f t="shared" si="66"/>
        <v>0</v>
      </c>
      <c r="K166" s="10" t="s">
        <v>9</v>
      </c>
      <c r="L166" s="60">
        <f t="shared" si="73"/>
        <v>0</v>
      </c>
      <c r="M166" s="60">
        <f t="shared" si="67"/>
        <v>0</v>
      </c>
      <c r="N166" s="60">
        <f t="shared" si="68"/>
        <v>0</v>
      </c>
      <c r="O166" s="60">
        <f t="shared" si="69"/>
        <v>0</v>
      </c>
      <c r="P166" s="60">
        <f t="shared" si="70"/>
        <v>0</v>
      </c>
      <c r="Q166" s="171">
        <f t="shared" si="71"/>
        <v>0</v>
      </c>
    </row>
    <row r="167" spans="2:17">
      <c r="B167" s="16" t="s">
        <v>48</v>
      </c>
      <c r="C167" s="13">
        <f t="shared" ref="C167:I167" si="74">SUM(C161:C166)</f>
        <v>0</v>
      </c>
      <c r="D167" s="13">
        <f t="shared" si="74"/>
        <v>0</v>
      </c>
      <c r="E167" s="13">
        <f t="shared" si="74"/>
        <v>156</v>
      </c>
      <c r="F167" s="13">
        <f t="shared" si="74"/>
        <v>0</v>
      </c>
      <c r="G167" s="13">
        <f t="shared" si="74"/>
        <v>246</v>
      </c>
      <c r="H167" s="13">
        <f t="shared" si="74"/>
        <v>784</v>
      </c>
      <c r="I167" s="13">
        <f t="shared" si="74"/>
        <v>1186</v>
      </c>
    </row>
    <row r="171" spans="2:17">
      <c r="B171" s="98" t="s">
        <v>303</v>
      </c>
      <c r="C171" s="179" t="s">
        <v>6</v>
      </c>
      <c r="D171" s="179" t="s">
        <v>9</v>
      </c>
    </row>
    <row r="172" spans="2:17">
      <c r="B172" s="98" t="s">
        <v>307</v>
      </c>
      <c r="C172" s="98" t="s">
        <v>306</v>
      </c>
      <c r="D172" s="98" t="s">
        <v>305</v>
      </c>
      <c r="E172" s="98" t="s">
        <v>235</v>
      </c>
      <c r="F172" s="178" t="s">
        <v>309</v>
      </c>
    </row>
    <row r="173" spans="2:17" ht="18">
      <c r="B173" s="199" t="s">
        <v>356</v>
      </c>
      <c r="C173" s="12">
        <f>E14*$C$19</f>
        <v>642445.29452553834</v>
      </c>
      <c r="D173" s="12">
        <f>F14*$C$20</f>
        <v>20808.301875480876</v>
      </c>
      <c r="E173" s="12">
        <f>$C$23</f>
        <v>1</v>
      </c>
      <c r="F173" s="12">
        <f>(C173+D173)*E173</f>
        <v>663253.59640101925</v>
      </c>
    </row>
    <row r="174" spans="2:17" ht="18">
      <c r="B174" s="199" t="s">
        <v>354</v>
      </c>
      <c r="C174" s="39">
        <f>E14*$D$19</f>
        <v>10.315435043762658</v>
      </c>
      <c r="D174" s="39">
        <f>F14*$D$20</f>
        <v>0.32452123948036304</v>
      </c>
      <c r="E174" s="18">
        <f>$C$24</f>
        <v>28</v>
      </c>
      <c r="F174" s="12">
        <f t="shared" ref="F174:F175" si="75">(C174+D174)*E174</f>
        <v>297.9187759308046</v>
      </c>
    </row>
    <row r="175" spans="2:17" ht="18">
      <c r="B175" s="199" t="s">
        <v>355</v>
      </c>
      <c r="C175" s="194">
        <f>E14*$E$19</f>
        <v>37.135566157545568</v>
      </c>
      <c r="D175" s="194">
        <f>F14*$E$20</f>
        <v>1.1682764621293069</v>
      </c>
      <c r="E175" s="18">
        <f>$C$25</f>
        <v>265</v>
      </c>
      <c r="F175" s="12">
        <f t="shared" si="75"/>
        <v>10150.518294213842</v>
      </c>
    </row>
    <row r="176" spans="2:17" ht="15.6" customHeight="1">
      <c r="B176" s="278" t="s">
        <v>10</v>
      </c>
      <c r="C176" s="278"/>
      <c r="D176" s="278"/>
      <c r="E176" s="278"/>
      <c r="F176" s="200">
        <f>SUM(F173:F175)</f>
        <v>673702.03347116383</v>
      </c>
    </row>
    <row r="177" spans="2:17" ht="15.6" customHeight="1"/>
    <row r="178" spans="2:17">
      <c r="B178" s="98" t="s">
        <v>303</v>
      </c>
      <c r="C178" s="179" t="str">
        <f>C171</f>
        <v>BRSUA</v>
      </c>
      <c r="D178" s="179" t="str">
        <f>D171</f>
        <v>BRSSZ</v>
      </c>
      <c r="K178" s="98" t="s">
        <v>303</v>
      </c>
      <c r="L178" s="179" t="str">
        <f>C178</f>
        <v>BRSUA</v>
      </c>
      <c r="M178" s="179" t="str">
        <f>D178</f>
        <v>BRSSZ</v>
      </c>
    </row>
    <row r="179" spans="2:17" ht="15.6" customHeight="1">
      <c r="B179" s="5" t="s">
        <v>365</v>
      </c>
      <c r="C179" s="4" t="s">
        <v>4</v>
      </c>
      <c r="D179" s="4" t="s">
        <v>5</v>
      </c>
      <c r="E179" s="4" t="s">
        <v>6</v>
      </c>
      <c r="F179" s="4" t="s">
        <v>7</v>
      </c>
      <c r="G179" s="4" t="s">
        <v>8</v>
      </c>
      <c r="H179" s="4" t="s">
        <v>9</v>
      </c>
      <c r="I179" s="5" t="s">
        <v>47</v>
      </c>
      <c r="K179" s="5" t="s">
        <v>308</v>
      </c>
      <c r="L179" s="4" t="s">
        <v>4</v>
      </c>
      <c r="M179" s="4" t="s">
        <v>5</v>
      </c>
      <c r="N179" s="4" t="s">
        <v>6</v>
      </c>
      <c r="O179" s="4" t="s">
        <v>7</v>
      </c>
      <c r="P179" s="4" t="s">
        <v>8</v>
      </c>
      <c r="Q179" s="4" t="s">
        <v>9</v>
      </c>
    </row>
    <row r="180" spans="2:17">
      <c r="B180" s="10" t="s">
        <v>4</v>
      </c>
      <c r="C180" s="11"/>
      <c r="D180" s="12"/>
      <c r="E180" s="12"/>
      <c r="F180" s="12"/>
      <c r="G180" s="12">
        <f t="shared" ref="G180:H180" si="76">G29</f>
        <v>226</v>
      </c>
      <c r="H180" s="12">
        <f t="shared" si="76"/>
        <v>648</v>
      </c>
      <c r="I180" s="13">
        <f t="shared" ref="I180:I185" si="77">SUM(C180:H180)</f>
        <v>874</v>
      </c>
      <c r="K180" s="10" t="s">
        <v>4</v>
      </c>
      <c r="L180" s="171">
        <f>IF(C180=0,0,$F$176/$I$186)</f>
        <v>0</v>
      </c>
      <c r="M180" s="60">
        <f t="shared" ref="M180:M185" si="78">IF(D180=0,0,$F$176/$I$186)</f>
        <v>0</v>
      </c>
      <c r="N180" s="60">
        <f t="shared" ref="N180:N185" si="79">IF(E180=0,0,$F$176/$I$186)</f>
        <v>0</v>
      </c>
      <c r="O180" s="60">
        <f t="shared" ref="O180:O185" si="80">IF(F180=0,0,$F$176/$I$186)</f>
        <v>0</v>
      </c>
      <c r="P180" s="60">
        <f t="shared" ref="P180:P185" si="81">IF(G180=0,0,$F$176/$I$186)</f>
        <v>602.59573655739166</v>
      </c>
      <c r="Q180" s="60">
        <f t="shared" ref="Q180:Q185" si="82">IF(H180=0,0,$F$176/$I$186)</f>
        <v>602.59573655739166</v>
      </c>
    </row>
    <row r="181" spans="2:17">
      <c r="B181" s="10" t="s">
        <v>5</v>
      </c>
      <c r="C181" s="12"/>
      <c r="D181" s="11"/>
      <c r="E181" s="12"/>
      <c r="F181" s="12"/>
      <c r="G181" s="12">
        <f t="shared" ref="G181:H181" si="83">G30</f>
        <v>20</v>
      </c>
      <c r="H181" s="12">
        <f t="shared" si="83"/>
        <v>136</v>
      </c>
      <c r="I181" s="13">
        <f t="shared" si="77"/>
        <v>156</v>
      </c>
      <c r="K181" s="10" t="s">
        <v>5</v>
      </c>
      <c r="L181" s="60">
        <f t="shared" ref="L181:L185" si="84">IF(C181=0,0,$F$176/$I$186)</f>
        <v>0</v>
      </c>
      <c r="M181" s="171">
        <f t="shared" si="78"/>
        <v>0</v>
      </c>
      <c r="N181" s="60">
        <f t="shared" si="79"/>
        <v>0</v>
      </c>
      <c r="O181" s="60">
        <f t="shared" si="80"/>
        <v>0</v>
      </c>
      <c r="P181" s="60">
        <f t="shared" si="81"/>
        <v>602.59573655739166</v>
      </c>
      <c r="Q181" s="60">
        <f t="shared" si="82"/>
        <v>602.59573655739166</v>
      </c>
    </row>
    <row r="182" spans="2:17">
      <c r="B182" s="10" t="s">
        <v>6</v>
      </c>
      <c r="C182" s="12"/>
      <c r="D182" s="12"/>
      <c r="E182" s="11"/>
      <c r="F182" s="12"/>
      <c r="G182" s="12">
        <f t="shared" ref="G182:H182" si="85">G31</f>
        <v>30</v>
      </c>
      <c r="H182" s="12">
        <f t="shared" si="85"/>
        <v>58</v>
      </c>
      <c r="I182" s="13">
        <f t="shared" si="77"/>
        <v>88</v>
      </c>
      <c r="K182" s="10" t="s">
        <v>6</v>
      </c>
      <c r="L182" s="60">
        <f t="shared" si="84"/>
        <v>0</v>
      </c>
      <c r="M182" s="60">
        <f t="shared" si="78"/>
        <v>0</v>
      </c>
      <c r="N182" s="171">
        <f t="shared" si="79"/>
        <v>0</v>
      </c>
      <c r="O182" s="60">
        <f t="shared" si="80"/>
        <v>0</v>
      </c>
      <c r="P182" s="60">
        <f t="shared" si="81"/>
        <v>602.59573655739166</v>
      </c>
      <c r="Q182" s="60">
        <f t="shared" si="82"/>
        <v>602.59573655739166</v>
      </c>
    </row>
    <row r="183" spans="2:17">
      <c r="B183" s="10" t="s">
        <v>7</v>
      </c>
      <c r="C183" s="12"/>
      <c r="D183" s="12"/>
      <c r="E183" s="12"/>
      <c r="F183" s="11"/>
      <c r="G183" s="12"/>
      <c r="H183" s="12"/>
      <c r="I183" s="13">
        <f t="shared" si="77"/>
        <v>0</v>
      </c>
      <c r="K183" s="10" t="s">
        <v>7</v>
      </c>
      <c r="L183" s="60">
        <f t="shared" si="84"/>
        <v>0</v>
      </c>
      <c r="M183" s="60">
        <f t="shared" si="78"/>
        <v>0</v>
      </c>
      <c r="N183" s="60">
        <f t="shared" si="79"/>
        <v>0</v>
      </c>
      <c r="O183" s="171">
        <f t="shared" si="80"/>
        <v>0</v>
      </c>
      <c r="P183" s="60">
        <f t="shared" si="81"/>
        <v>0</v>
      </c>
      <c r="Q183" s="60">
        <f t="shared" si="82"/>
        <v>0</v>
      </c>
    </row>
    <row r="184" spans="2:17">
      <c r="B184" s="10" t="s">
        <v>8</v>
      </c>
      <c r="C184" s="12"/>
      <c r="D184" s="12"/>
      <c r="E184" s="12"/>
      <c r="F184" s="12"/>
      <c r="G184" s="11"/>
      <c r="H184" s="12"/>
      <c r="I184" s="13">
        <f t="shared" si="77"/>
        <v>0</v>
      </c>
      <c r="K184" s="10" t="s">
        <v>8</v>
      </c>
      <c r="L184" s="60">
        <f t="shared" si="84"/>
        <v>0</v>
      </c>
      <c r="M184" s="60">
        <f t="shared" si="78"/>
        <v>0</v>
      </c>
      <c r="N184" s="60">
        <f t="shared" si="79"/>
        <v>0</v>
      </c>
      <c r="O184" s="60">
        <f t="shared" si="80"/>
        <v>0</v>
      </c>
      <c r="P184" s="171">
        <f t="shared" si="81"/>
        <v>0</v>
      </c>
      <c r="Q184" s="60">
        <f t="shared" si="82"/>
        <v>0</v>
      </c>
    </row>
    <row r="185" spans="2:17">
      <c r="B185" s="10" t="s">
        <v>9</v>
      </c>
      <c r="C185" s="12"/>
      <c r="D185" s="12"/>
      <c r="E185" s="12"/>
      <c r="F185" s="12"/>
      <c r="G185" s="12"/>
      <c r="H185" s="11"/>
      <c r="I185" s="13">
        <f t="shared" si="77"/>
        <v>0</v>
      </c>
      <c r="K185" s="10" t="s">
        <v>9</v>
      </c>
      <c r="L185" s="60">
        <f t="shared" si="84"/>
        <v>0</v>
      </c>
      <c r="M185" s="60">
        <f t="shared" si="78"/>
        <v>0</v>
      </c>
      <c r="N185" s="60">
        <f t="shared" si="79"/>
        <v>0</v>
      </c>
      <c r="O185" s="60">
        <f t="shared" si="80"/>
        <v>0</v>
      </c>
      <c r="P185" s="60">
        <f t="shared" si="81"/>
        <v>0</v>
      </c>
      <c r="Q185" s="171">
        <f t="shared" si="82"/>
        <v>0</v>
      </c>
    </row>
    <row r="186" spans="2:17">
      <c r="B186" s="16" t="s">
        <v>48</v>
      </c>
      <c r="C186" s="13">
        <f t="shared" ref="C186:I186" si="86">SUM(C180:C185)</f>
        <v>0</v>
      </c>
      <c r="D186" s="13">
        <f t="shared" si="86"/>
        <v>0</v>
      </c>
      <c r="E186" s="13">
        <f t="shared" si="86"/>
        <v>0</v>
      </c>
      <c r="F186" s="13">
        <f t="shared" si="86"/>
        <v>0</v>
      </c>
      <c r="G186" s="13">
        <f t="shared" si="86"/>
        <v>276</v>
      </c>
      <c r="H186" s="13">
        <f t="shared" si="86"/>
        <v>842</v>
      </c>
      <c r="I186" s="13">
        <f t="shared" si="86"/>
        <v>1118</v>
      </c>
    </row>
    <row r="189" spans="2:17" ht="18">
      <c r="K189" s="260" t="s">
        <v>547</v>
      </c>
      <c r="L189" s="260"/>
      <c r="M189" s="260"/>
      <c r="N189" s="260"/>
      <c r="O189" s="260"/>
      <c r="P189" s="260"/>
      <c r="Q189" s="260"/>
    </row>
    <row r="190" spans="2:17">
      <c r="K190" s="5" t="s">
        <v>473</v>
      </c>
      <c r="L190" s="4" t="s">
        <v>4</v>
      </c>
      <c r="M190" s="4" t="s">
        <v>5</v>
      </c>
      <c r="N190" s="4" t="s">
        <v>6</v>
      </c>
      <c r="O190" s="4" t="s">
        <v>7</v>
      </c>
      <c r="P190" s="4" t="s">
        <v>8</v>
      </c>
      <c r="Q190" s="4" t="s">
        <v>9</v>
      </c>
    </row>
    <row r="191" spans="2:17">
      <c r="K191" s="10" t="s">
        <v>4</v>
      </c>
      <c r="L191" s="171">
        <f>L47+L66+L85+L104+L123+L142+L161+L180</f>
        <v>0</v>
      </c>
      <c r="M191" s="60">
        <f t="shared" ref="M191:Q191" si="87">M47+M66+M85+M104+M123+M142+M161+M180</f>
        <v>601.23356904437674</v>
      </c>
      <c r="N191" s="60">
        <f t="shared" si="87"/>
        <v>800.92978516267749</v>
      </c>
      <c r="O191" s="60">
        <f t="shared" si="87"/>
        <v>0</v>
      </c>
      <c r="P191" s="60">
        <f t="shared" si="87"/>
        <v>1474.4624249251319</v>
      </c>
      <c r="Q191" s="60">
        <f t="shared" si="87"/>
        <v>1403.5255217200693</v>
      </c>
    </row>
    <row r="192" spans="2:17">
      <c r="K192" s="10" t="s">
        <v>5</v>
      </c>
      <c r="L192" s="60">
        <f t="shared" ref="L192:Q192" si="88">L48+L67+L86+L105+L124+L143+L162+L181</f>
        <v>867.55779175471969</v>
      </c>
      <c r="M192" s="171">
        <f t="shared" si="88"/>
        <v>0</v>
      </c>
      <c r="N192" s="60">
        <f t="shared" si="88"/>
        <v>0</v>
      </c>
      <c r="O192" s="60">
        <f t="shared" si="88"/>
        <v>0</v>
      </c>
      <c r="P192" s="60">
        <f t="shared" si="88"/>
        <v>873.22885588075519</v>
      </c>
      <c r="Q192" s="60">
        <f t="shared" si="88"/>
        <v>802.29195267569241</v>
      </c>
    </row>
    <row r="193" spans="2:17">
      <c r="K193" s="10" t="s">
        <v>6</v>
      </c>
      <c r="L193" s="60">
        <f t="shared" ref="L193:Q193" si="89">L49+L68+L87+L106+L125+L144+L163+L182</f>
        <v>1090.2083563330225</v>
      </c>
      <c r="M193" s="60">
        <f t="shared" si="89"/>
        <v>0</v>
      </c>
      <c r="N193" s="171">
        <f t="shared" si="89"/>
        <v>0</v>
      </c>
      <c r="O193" s="60">
        <f t="shared" si="89"/>
        <v>0</v>
      </c>
      <c r="P193" s="60">
        <f t="shared" si="89"/>
        <v>673.53263976245444</v>
      </c>
      <c r="Q193" s="60">
        <f t="shared" si="89"/>
        <v>602.59573655739166</v>
      </c>
    </row>
    <row r="194" spans="2:17">
      <c r="K194" s="10" t="s">
        <v>7</v>
      </c>
      <c r="L194" s="60">
        <f t="shared" ref="L194:Q194" si="90">L50+L69+L88+L107+L126+L145+L164+L183</f>
        <v>1269.1189114195688</v>
      </c>
      <c r="M194" s="60">
        <f t="shared" si="90"/>
        <v>401.56111966484906</v>
      </c>
      <c r="N194" s="60">
        <f t="shared" si="90"/>
        <v>178.91055508654617</v>
      </c>
      <c r="O194" s="171">
        <f t="shared" si="90"/>
        <v>0</v>
      </c>
      <c r="P194" s="60">
        <f t="shared" si="90"/>
        <v>0</v>
      </c>
      <c r="Q194" s="60">
        <f t="shared" si="90"/>
        <v>0</v>
      </c>
    </row>
    <row r="195" spans="2:17">
      <c r="K195" s="10" t="s">
        <v>8</v>
      </c>
      <c r="L195" s="60">
        <f t="shared" ref="L195:Q195" si="91">L51+L70+L89+L108+L127+L146+L165+L184</f>
        <v>1626.7005634334007</v>
      </c>
      <c r="M195" s="60">
        <f t="shared" si="91"/>
        <v>759.14277167868102</v>
      </c>
      <c r="N195" s="60">
        <f t="shared" si="91"/>
        <v>536.4922071003781</v>
      </c>
      <c r="O195" s="60">
        <f t="shared" si="91"/>
        <v>357.5816520138319</v>
      </c>
      <c r="P195" s="171">
        <f t="shared" si="91"/>
        <v>0</v>
      </c>
      <c r="Q195" s="60">
        <f t="shared" si="91"/>
        <v>0</v>
      </c>
    </row>
    <row r="196" spans="2:17">
      <c r="K196" s="10" t="s">
        <v>9</v>
      </c>
      <c r="L196" s="60">
        <f t="shared" ref="L196:Q196" si="92">L52+L71+L90+L109+L128+L147+L166+L185</f>
        <v>1697.6374666384634</v>
      </c>
      <c r="M196" s="60">
        <f t="shared" si="92"/>
        <v>830.07967488374368</v>
      </c>
      <c r="N196" s="60">
        <f t="shared" si="92"/>
        <v>607.42911030544076</v>
      </c>
      <c r="O196" s="60">
        <f t="shared" si="92"/>
        <v>428.51855521889462</v>
      </c>
      <c r="P196" s="60">
        <f t="shared" si="92"/>
        <v>0</v>
      </c>
      <c r="Q196" s="171">
        <f t="shared" si="92"/>
        <v>0</v>
      </c>
    </row>
    <row r="199" spans="2:17" ht="18">
      <c r="B199" s="176" t="s">
        <v>256</v>
      </c>
      <c r="C199" s="12">
        <f>F43+F62+F81+F100+F119+F138+F157+F176</f>
        <v>3406078.9364925469</v>
      </c>
    </row>
  </sheetData>
  <mergeCells count="11">
    <mergeCell ref="B176:E176"/>
    <mergeCell ref="K189:Q189"/>
    <mergeCell ref="E5:F5"/>
    <mergeCell ref="B62:E62"/>
    <mergeCell ref="B81:E81"/>
    <mergeCell ref="B100:E100"/>
    <mergeCell ref="B119:E119"/>
    <mergeCell ref="B138:E138"/>
    <mergeCell ref="B157:E157"/>
    <mergeCell ref="C17:E17"/>
    <mergeCell ref="B43:E43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7226-88A4-4E4E-9A96-01F307BC4C3D}">
  <dimension ref="B2:Q199"/>
  <sheetViews>
    <sheetView showGridLines="0" zoomScale="70" zoomScaleNormal="70" workbookViewId="0">
      <selection activeCell="F7" sqref="F7"/>
    </sheetView>
  </sheetViews>
  <sheetFormatPr defaultRowHeight="15.6"/>
  <cols>
    <col min="1" max="1" width="8.83984375" style="169"/>
    <col min="2" max="2" width="25.9453125" style="169" customWidth="1"/>
    <col min="3" max="3" width="16.89453125" style="169" customWidth="1"/>
    <col min="4" max="4" width="16.7890625" style="169" customWidth="1"/>
    <col min="5" max="5" width="14.578125" style="169" customWidth="1"/>
    <col min="6" max="6" width="13.20703125" style="169" customWidth="1"/>
    <col min="7" max="7" width="10.68359375" style="169" customWidth="1"/>
    <col min="8" max="8" width="12.3671875" style="169" customWidth="1"/>
    <col min="9" max="9" width="13.62890625" style="169" customWidth="1"/>
    <col min="10" max="10" width="2.578125" style="169" customWidth="1"/>
    <col min="11" max="11" width="23.734375" style="169" customWidth="1"/>
    <col min="12" max="12" width="13.05078125" style="169" customWidth="1"/>
    <col min="13" max="13" width="22.15625" style="169" customWidth="1"/>
    <col min="14" max="14" width="18.3125" style="169" bestFit="1" customWidth="1"/>
    <col min="15" max="15" width="15.20703125" style="169" customWidth="1"/>
    <col min="16" max="16" width="14.83984375" style="169" customWidth="1"/>
    <col min="17" max="17" width="14.3125" style="169" customWidth="1"/>
    <col min="18" max="18" width="13.734375" style="169" customWidth="1"/>
    <col min="19" max="19" width="12.3671875" style="169" customWidth="1"/>
    <col min="20" max="20" width="24.83984375" style="169" customWidth="1"/>
    <col min="21" max="24" width="8.83984375" style="169"/>
    <col min="25" max="25" width="16.47265625" style="169" customWidth="1"/>
    <col min="26" max="16384" width="8.83984375" style="169"/>
  </cols>
  <sheetData>
    <row r="2" spans="2:6">
      <c r="B2" s="191" t="s">
        <v>367</v>
      </c>
    </row>
    <row r="3" spans="2:6">
      <c r="B3" s="191" t="s">
        <v>366</v>
      </c>
    </row>
    <row r="5" spans="2:6">
      <c r="E5" s="260" t="s">
        <v>364</v>
      </c>
      <c r="F5" s="260"/>
    </row>
    <row r="6" spans="2:6">
      <c r="B6" s="98" t="s">
        <v>361</v>
      </c>
      <c r="C6" s="98" t="s">
        <v>362</v>
      </c>
      <c r="D6" s="98" t="s">
        <v>379</v>
      </c>
      <c r="E6" s="98" t="s">
        <v>304</v>
      </c>
      <c r="F6" s="98" t="s">
        <v>508</v>
      </c>
    </row>
    <row r="7" spans="2:6">
      <c r="B7" s="6" t="s">
        <v>9</v>
      </c>
      <c r="C7" s="6" t="s">
        <v>8</v>
      </c>
      <c r="D7" s="227">
        <f>CabotageProforma_KAB01!AN21</f>
        <v>0.37587637299267557</v>
      </c>
      <c r="E7" s="81">
        <f>CabotageProforma_KAB01!AQ21</f>
        <v>23.895407404796593</v>
      </c>
      <c r="F7" s="81">
        <f>'Navio Viagem Base C1'!F7*'Fatores Emissao'!$C$96/'Fatores Emissao'!$C$98</f>
        <v>0.80249605633936238</v>
      </c>
    </row>
    <row r="8" spans="2:6">
      <c r="B8" s="6" t="s">
        <v>8</v>
      </c>
      <c r="C8" s="6" t="s">
        <v>7</v>
      </c>
      <c r="D8" s="227">
        <f>CabotageProforma_KAB01!AN22</f>
        <v>2.0170134405992233</v>
      </c>
      <c r="E8" s="81">
        <f>CabotageProforma_KAB01!AQ22</f>
        <v>128.22767336069302</v>
      </c>
      <c r="F8" s="81">
        <f>'Navio Viagem Base C1'!F8*'Fatores Emissao'!$C$96/'Fatores Emissao'!$C$98</f>
        <v>4.3063236956793416</v>
      </c>
    </row>
    <row r="9" spans="2:6">
      <c r="B9" s="6" t="s">
        <v>7</v>
      </c>
      <c r="C9" s="6" t="s">
        <v>6</v>
      </c>
      <c r="D9" s="227">
        <f>CabotageProforma_KAB01!AN23</f>
        <v>0.96351607049443455</v>
      </c>
      <c r="E9" s="81">
        <f>CabotageProforma_KAB01!AQ23</f>
        <v>61.25298544612113</v>
      </c>
      <c r="F9" s="81">
        <f>'Navio Viagem Base C1'!F9*'Fatores Emissao'!$C$96/'Fatores Emissao'!$C$98</f>
        <v>2.0571068105056178</v>
      </c>
    </row>
    <row r="10" spans="2:6">
      <c r="B10" s="6" t="s">
        <v>6</v>
      </c>
      <c r="C10" s="6" t="s">
        <v>5</v>
      </c>
      <c r="D10" s="227">
        <f>CabotageProforma_KAB01!AN24</f>
        <v>1.1863739452320123</v>
      </c>
      <c r="E10" s="81">
        <f>CabotageProforma_KAB01!AQ24</f>
        <v>71.960454965387342</v>
      </c>
      <c r="F10" s="81">
        <f>'Navio Viagem Base C1'!F10*'Fatores Emissao'!$C$96/'Fatores Emissao'!$C$98</f>
        <v>2.5329083730703466</v>
      </c>
    </row>
    <row r="11" spans="2:6">
      <c r="B11" s="6" t="s">
        <v>5</v>
      </c>
      <c r="C11" s="6" t="s">
        <v>4</v>
      </c>
      <c r="D11" s="227">
        <f>CabotageProforma_KAB01!AN25+CabotageProforma_KAB01!AN26</f>
        <v>3.9329202760352251</v>
      </c>
      <c r="E11" s="81">
        <f>CabotageProforma_KAB01!AQ25+CabotageProforma_KAB01!AQ26</f>
        <v>257.12885683214864</v>
      </c>
      <c r="F11" s="81">
        <f>'Navio Viagem Base C1'!F11*'Fatores Emissao'!$C$96/'Fatores Emissao'!$C$98</f>
        <v>8.3967847893352054</v>
      </c>
    </row>
    <row r="12" spans="2:6">
      <c r="B12" s="6" t="s">
        <v>4</v>
      </c>
      <c r="C12" s="6" t="s">
        <v>5</v>
      </c>
      <c r="D12" s="227">
        <f>CabotageProforma_KAB01!AN27+CabotageProforma_KAB01!AN28</f>
        <v>3.6099916769591287</v>
      </c>
      <c r="E12" s="81">
        <f>CabotageProforma_KAB01!AQ27+CabotageProforma_KAB01!AQ28</f>
        <v>221.61319050397859</v>
      </c>
      <c r="F12" s="81">
        <f>'Navio Viagem Base C1'!F12*'Fatores Emissao'!$C$96/'Fatores Emissao'!$C$98</f>
        <v>7.7073322303077401</v>
      </c>
    </row>
    <row r="13" spans="2:6">
      <c r="B13" s="6" t="s">
        <v>5</v>
      </c>
      <c r="C13" s="6" t="s">
        <v>6</v>
      </c>
      <c r="D13" s="227">
        <f>CabotageProforma_KAB01!AN29</f>
        <v>1.1408553386566966</v>
      </c>
      <c r="E13" s="81">
        <f>CabotageProforma_KAB01!AQ29</f>
        <v>72.52774679604876</v>
      </c>
      <c r="F13" s="81">
        <f>'Navio Viagem Base C1'!F13*'Fatores Emissao'!$C$96/'Fatores Emissao'!$C$98</f>
        <v>2.4357261480320473</v>
      </c>
    </row>
    <row r="14" spans="2:6">
      <c r="B14" s="6" t="s">
        <v>6</v>
      </c>
      <c r="C14" s="6" t="s">
        <v>9</v>
      </c>
      <c r="D14" s="227">
        <f>CabotageProforma_KAB01!AN30</f>
        <v>3.2452123948036302</v>
      </c>
      <c r="E14" s="81">
        <f>CabotageProforma_KAB01!AQ30</f>
        <v>206.30870087525315</v>
      </c>
      <c r="F14" s="81">
        <f>'Navio Viagem Base C1'!F14*'Fatores Emissao'!$C$96/'Fatores Emissao'!$C$98</f>
        <v>6.9285284629057511</v>
      </c>
    </row>
    <row r="15" spans="2:6">
      <c r="D15" s="198"/>
    </row>
    <row r="16" spans="2:6">
      <c r="D16" s="198"/>
    </row>
    <row r="17" spans="2:9">
      <c r="C17" s="263" t="s">
        <v>234</v>
      </c>
      <c r="D17" s="264"/>
      <c r="E17" s="265"/>
    </row>
    <row r="18" spans="2:9" ht="18">
      <c r="B18" s="34" t="s">
        <v>221</v>
      </c>
      <c r="C18" s="180" t="s">
        <v>310</v>
      </c>
      <c r="D18" s="180" t="s">
        <v>311</v>
      </c>
      <c r="E18" s="180" t="s">
        <v>312</v>
      </c>
    </row>
    <row r="19" spans="2:9">
      <c r="B19" s="84" t="s">
        <v>306</v>
      </c>
      <c r="C19" s="113">
        <f>'Fatores Emissao'!C62</f>
        <v>3114</v>
      </c>
      <c r="D19" s="181">
        <f>'Fatores Emissao'!D62</f>
        <v>0.05</v>
      </c>
      <c r="E19" s="181">
        <f>'Fatores Emissao'!E62</f>
        <v>0.18</v>
      </c>
    </row>
    <row r="20" spans="2:9">
      <c r="B20" s="84" t="s">
        <v>403</v>
      </c>
      <c r="C20" s="113">
        <f>'Fatores Emissao'!C84</f>
        <v>2836.8489446681765</v>
      </c>
      <c r="D20" s="181">
        <f>'Fatores Emissao'!D84</f>
        <v>0.17111152364665191</v>
      </c>
      <c r="E20" s="181">
        <f>'Fatores Emissao'!E84</f>
        <v>7.8050870435314917E-2</v>
      </c>
    </row>
    <row r="22" spans="2:9">
      <c r="B22" s="98" t="s">
        <v>236</v>
      </c>
      <c r="C22" s="98" t="s">
        <v>235</v>
      </c>
    </row>
    <row r="23" spans="2:9" ht="18">
      <c r="B23" s="18" t="s">
        <v>251</v>
      </c>
      <c r="C23" s="18">
        <v>1</v>
      </c>
    </row>
    <row r="24" spans="2:9" ht="18">
      <c r="B24" s="18" t="s">
        <v>252</v>
      </c>
      <c r="C24" s="18">
        <v>28</v>
      </c>
    </row>
    <row r="25" spans="2:9" ht="18">
      <c r="B25" s="18" t="s">
        <v>253</v>
      </c>
      <c r="C25" s="18">
        <v>265</v>
      </c>
    </row>
    <row r="26" spans="2:9">
      <c r="D26" s="198"/>
    </row>
    <row r="28" spans="2:9">
      <c r="B28" s="5" t="s">
        <v>188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5" t="s">
        <v>47</v>
      </c>
    </row>
    <row r="29" spans="2:9">
      <c r="B29" s="10" t="s">
        <v>4</v>
      </c>
      <c r="C29" s="11">
        <f>'Movimentacao de Conteineres'!K30</f>
        <v>0</v>
      </c>
      <c r="D29" s="12">
        <f>'Movimentacao de Conteineres'!L30</f>
        <v>175</v>
      </c>
      <c r="E29" s="12">
        <f>'Movimentacao de Conteineres'!M30</f>
        <v>156</v>
      </c>
      <c r="F29" s="12">
        <f>'Movimentacao de Conteineres'!N30</f>
        <v>0</v>
      </c>
      <c r="G29" s="12">
        <f>'Movimentacao de Conteineres'!O30</f>
        <v>226</v>
      </c>
      <c r="H29" s="12">
        <f>'Movimentacao de Conteineres'!P30</f>
        <v>648</v>
      </c>
      <c r="I29" s="13">
        <f t="shared" ref="I29:I34" si="0">SUM(C29:H29)</f>
        <v>1205</v>
      </c>
    </row>
    <row r="30" spans="2:9">
      <c r="B30" s="10" t="s">
        <v>5</v>
      </c>
      <c r="C30" s="12">
        <f>'Movimentacao de Conteineres'!K31</f>
        <v>260</v>
      </c>
      <c r="D30" s="11">
        <f>'Movimentacao de Conteineres'!L31</f>
        <v>0</v>
      </c>
      <c r="E30" s="12">
        <f>'Movimentacao de Conteineres'!M31</f>
        <v>0</v>
      </c>
      <c r="F30" s="12">
        <f>'Movimentacao de Conteineres'!N31</f>
        <v>0</v>
      </c>
      <c r="G30" s="12">
        <f>'Movimentacao de Conteineres'!O31</f>
        <v>20</v>
      </c>
      <c r="H30" s="12">
        <f>'Movimentacao de Conteineres'!P31</f>
        <v>136</v>
      </c>
      <c r="I30" s="13">
        <f t="shared" si="0"/>
        <v>416</v>
      </c>
    </row>
    <row r="31" spans="2:9">
      <c r="B31" s="10" t="s">
        <v>6</v>
      </c>
      <c r="C31" s="12">
        <f>'Movimentacao de Conteineres'!K32</f>
        <v>331</v>
      </c>
      <c r="D31" s="12">
        <f>'Movimentacao de Conteineres'!L32</f>
        <v>0</v>
      </c>
      <c r="E31" s="11">
        <f>'Movimentacao de Conteineres'!M32</f>
        <v>0</v>
      </c>
      <c r="F31" s="12">
        <f>'Movimentacao de Conteineres'!N32</f>
        <v>0</v>
      </c>
      <c r="G31" s="12">
        <f>'Movimentacao de Conteineres'!O32</f>
        <v>30</v>
      </c>
      <c r="H31" s="12">
        <f>'Movimentacao de Conteineres'!P32</f>
        <v>58</v>
      </c>
      <c r="I31" s="13">
        <f t="shared" si="0"/>
        <v>419</v>
      </c>
    </row>
    <row r="32" spans="2:9">
      <c r="B32" s="10" t="s">
        <v>7</v>
      </c>
      <c r="C32" s="12">
        <f>'Movimentacao de Conteineres'!K33</f>
        <v>86</v>
      </c>
      <c r="D32" s="12">
        <f>'Movimentacao de Conteineres'!L33</f>
        <v>9</v>
      </c>
      <c r="E32" s="12">
        <f>'Movimentacao de Conteineres'!M33</f>
        <v>1</v>
      </c>
      <c r="F32" s="11">
        <f>'Movimentacao de Conteineres'!N33</f>
        <v>0</v>
      </c>
      <c r="G32" s="12">
        <f>'Movimentacao de Conteineres'!O33</f>
        <v>0</v>
      </c>
      <c r="H32" s="12">
        <f>'Movimentacao de Conteineres'!P33</f>
        <v>0</v>
      </c>
      <c r="I32" s="13">
        <f t="shared" si="0"/>
        <v>96</v>
      </c>
    </row>
    <row r="33" spans="2:17">
      <c r="B33" s="10" t="s">
        <v>8</v>
      </c>
      <c r="C33" s="12">
        <f>'Movimentacao de Conteineres'!K34</f>
        <v>61</v>
      </c>
      <c r="D33" s="12">
        <f>'Movimentacao de Conteineres'!L34</f>
        <v>120</v>
      </c>
      <c r="E33" s="12">
        <f>'Movimentacao de Conteineres'!M34</f>
        <v>119</v>
      </c>
      <c r="F33" s="12">
        <f>'Movimentacao de Conteineres'!N34</f>
        <v>47</v>
      </c>
      <c r="G33" s="11">
        <f>'Movimentacao de Conteineres'!O34</f>
        <v>0</v>
      </c>
      <c r="H33" s="12">
        <f>'Movimentacao de Conteineres'!P34</f>
        <v>0</v>
      </c>
      <c r="I33" s="13">
        <f t="shared" si="0"/>
        <v>347</v>
      </c>
    </row>
    <row r="34" spans="2:17">
      <c r="B34" s="10" t="s">
        <v>9</v>
      </c>
      <c r="C34" s="12">
        <f>'Movimentacao de Conteineres'!K35</f>
        <v>229</v>
      </c>
      <c r="D34" s="12">
        <f>'Movimentacao de Conteineres'!L35</f>
        <v>221</v>
      </c>
      <c r="E34" s="12">
        <f>'Movimentacao de Conteineres'!M35</f>
        <v>272</v>
      </c>
      <c r="F34" s="12">
        <f>'Movimentacao de Conteineres'!N35</f>
        <v>102</v>
      </c>
      <c r="G34" s="12">
        <f>'Movimentacao de Conteineres'!O35</f>
        <v>0</v>
      </c>
      <c r="H34" s="11">
        <f>'Movimentacao de Conteineres'!P35</f>
        <v>0</v>
      </c>
      <c r="I34" s="13">
        <f t="shared" si="0"/>
        <v>824</v>
      </c>
    </row>
    <row r="35" spans="2:17">
      <c r="B35" s="16" t="s">
        <v>48</v>
      </c>
      <c r="C35" s="13">
        <f t="shared" ref="C35:I35" si="1">SUM(C29:C34)</f>
        <v>967</v>
      </c>
      <c r="D35" s="13">
        <f t="shared" si="1"/>
        <v>525</v>
      </c>
      <c r="E35" s="13">
        <f t="shared" si="1"/>
        <v>548</v>
      </c>
      <c r="F35" s="13">
        <f t="shared" si="1"/>
        <v>149</v>
      </c>
      <c r="G35" s="13">
        <f t="shared" si="1"/>
        <v>276</v>
      </c>
      <c r="H35" s="13">
        <f t="shared" si="1"/>
        <v>842</v>
      </c>
      <c r="I35" s="13">
        <f t="shared" si="1"/>
        <v>3307</v>
      </c>
    </row>
    <row r="38" spans="2:17">
      <c r="B38" s="98" t="s">
        <v>303</v>
      </c>
      <c r="C38" s="179" t="s">
        <v>9</v>
      </c>
      <c r="D38" s="179" t="s">
        <v>8</v>
      </c>
    </row>
    <row r="39" spans="2:17">
      <c r="B39" s="98" t="s">
        <v>307</v>
      </c>
      <c r="C39" s="98" t="s">
        <v>306</v>
      </c>
      <c r="D39" s="98" t="s">
        <v>403</v>
      </c>
      <c r="E39" s="98" t="s">
        <v>235</v>
      </c>
      <c r="F39" s="178" t="s">
        <v>309</v>
      </c>
    </row>
    <row r="40" spans="2:17" ht="18">
      <c r="B40" s="199" t="s">
        <v>356</v>
      </c>
      <c r="C40" s="12">
        <f>E7*$C$19</f>
        <v>74410.298658536587</v>
      </c>
      <c r="D40" s="12">
        <f>F7*$C$20</f>
        <v>2276.5600905266938</v>
      </c>
      <c r="E40" s="12">
        <f>$C$23</f>
        <v>1</v>
      </c>
      <c r="F40" s="12">
        <f>(C40+D40)*E40</f>
        <v>76686.858749063278</v>
      </c>
    </row>
    <row r="41" spans="2:17" ht="18">
      <c r="B41" s="199" t="s">
        <v>354</v>
      </c>
      <c r="C41" s="39">
        <f>E7*$D$19</f>
        <v>1.1947703702398298</v>
      </c>
      <c r="D41" s="39">
        <f>F7*$D$20</f>
        <v>0.13731632292065771</v>
      </c>
      <c r="E41" s="18">
        <f>$C$24</f>
        <v>28</v>
      </c>
      <c r="F41" s="12">
        <f t="shared" ref="F41:F42" si="2">(C41+D41)*E41</f>
        <v>37.298427408493652</v>
      </c>
    </row>
    <row r="42" spans="2:17" ht="18">
      <c r="B42" s="199" t="s">
        <v>355</v>
      </c>
      <c r="C42" s="194">
        <f>E7*$E$19</f>
        <v>4.301173332863387</v>
      </c>
      <c r="D42" s="194">
        <f>F7*$E$20</f>
        <v>6.2635515718194756E-2</v>
      </c>
      <c r="E42" s="18">
        <f>$C$25</f>
        <v>265</v>
      </c>
      <c r="F42" s="12">
        <f t="shared" si="2"/>
        <v>1156.4093448741191</v>
      </c>
    </row>
    <row r="43" spans="2:17" ht="15.6" customHeight="1">
      <c r="B43" s="278" t="s">
        <v>10</v>
      </c>
      <c r="C43" s="278"/>
      <c r="D43" s="278"/>
      <c r="E43" s="278"/>
      <c r="F43" s="200">
        <f>SUM(F40:F42)</f>
        <v>77880.566521345885</v>
      </c>
    </row>
    <row r="44" spans="2:17" ht="15.6" customHeight="1"/>
    <row r="45" spans="2:17">
      <c r="B45" s="98" t="s">
        <v>303</v>
      </c>
      <c r="C45" s="179" t="str">
        <f>C38</f>
        <v>BRSSZ</v>
      </c>
      <c r="D45" s="179" t="str">
        <f>D38</f>
        <v>BRIGI</v>
      </c>
      <c r="K45" s="98" t="s">
        <v>303</v>
      </c>
      <c r="L45" s="179" t="str">
        <f>C45</f>
        <v>BRSSZ</v>
      </c>
      <c r="M45" s="179" t="str">
        <f>D45</f>
        <v>BRIGI</v>
      </c>
    </row>
    <row r="46" spans="2:17" ht="15.6" customHeight="1">
      <c r="B46" s="5" t="s">
        <v>365</v>
      </c>
      <c r="C46" s="4" t="s">
        <v>4</v>
      </c>
      <c r="D46" s="4" t="s">
        <v>5</v>
      </c>
      <c r="E46" s="4" t="s">
        <v>6</v>
      </c>
      <c r="F46" s="4" t="s">
        <v>7</v>
      </c>
      <c r="G46" s="4" t="s">
        <v>8</v>
      </c>
      <c r="H46" s="4" t="s">
        <v>9</v>
      </c>
      <c r="I46" s="5" t="s">
        <v>47</v>
      </c>
      <c r="K46" s="5" t="s">
        <v>308</v>
      </c>
      <c r="L46" s="4" t="s">
        <v>4</v>
      </c>
      <c r="M46" s="4" t="s">
        <v>5</v>
      </c>
      <c r="N46" s="4" t="s">
        <v>6</v>
      </c>
      <c r="O46" s="4" t="s">
        <v>7</v>
      </c>
      <c r="P46" s="4" t="s">
        <v>8</v>
      </c>
      <c r="Q46" s="4" t="s">
        <v>9</v>
      </c>
    </row>
    <row r="47" spans="2:17">
      <c r="B47" s="10" t="s">
        <v>4</v>
      </c>
      <c r="C47" s="11"/>
      <c r="D47" s="12"/>
      <c r="E47" s="12"/>
      <c r="F47" s="12"/>
      <c r="G47" s="12">
        <f>G29</f>
        <v>226</v>
      </c>
      <c r="H47" s="12"/>
      <c r="I47" s="13">
        <f t="shared" ref="I47:I52" si="3">SUM(C47:H47)</f>
        <v>226</v>
      </c>
      <c r="K47" s="10" t="s">
        <v>4</v>
      </c>
      <c r="L47" s="171">
        <f>IF(C47=0,0,$F$43/$I$53)</f>
        <v>0</v>
      </c>
      <c r="M47" s="60">
        <f t="shared" ref="M47:Q52" si="4">IF(D47=0,0,$F$43/$I$53)</f>
        <v>0</v>
      </c>
      <c r="N47" s="60">
        <f t="shared" si="4"/>
        <v>0</v>
      </c>
      <c r="O47" s="60">
        <f t="shared" si="4"/>
        <v>0</v>
      </c>
      <c r="P47" s="60">
        <f t="shared" si="4"/>
        <v>70.800515019405353</v>
      </c>
      <c r="Q47" s="60">
        <f t="shared" si="4"/>
        <v>0</v>
      </c>
    </row>
    <row r="48" spans="2:17">
      <c r="B48" s="10" t="s">
        <v>5</v>
      </c>
      <c r="C48" s="12"/>
      <c r="D48" s="11"/>
      <c r="E48" s="12"/>
      <c r="F48" s="12"/>
      <c r="G48" s="12">
        <f>G30</f>
        <v>20</v>
      </c>
      <c r="H48" s="12"/>
      <c r="I48" s="13">
        <f t="shared" si="3"/>
        <v>20</v>
      </c>
      <c r="K48" s="10" t="s">
        <v>5</v>
      </c>
      <c r="L48" s="60">
        <f t="shared" ref="L48:L52" si="5">IF(C48=0,0,$F$43/$I$53)</f>
        <v>0</v>
      </c>
      <c r="M48" s="171">
        <f t="shared" si="4"/>
        <v>0</v>
      </c>
      <c r="N48" s="60">
        <f t="shared" si="4"/>
        <v>0</v>
      </c>
      <c r="O48" s="60">
        <f t="shared" si="4"/>
        <v>0</v>
      </c>
      <c r="P48" s="60">
        <f t="shared" si="4"/>
        <v>70.800515019405353</v>
      </c>
      <c r="Q48" s="60">
        <f t="shared" si="4"/>
        <v>0</v>
      </c>
    </row>
    <row r="49" spans="2:17">
      <c r="B49" s="10" t="s">
        <v>6</v>
      </c>
      <c r="C49" s="12"/>
      <c r="D49" s="12"/>
      <c r="E49" s="11"/>
      <c r="F49" s="12"/>
      <c r="G49" s="12">
        <f>G31</f>
        <v>30</v>
      </c>
      <c r="H49" s="12"/>
      <c r="I49" s="13">
        <f t="shared" si="3"/>
        <v>30</v>
      </c>
      <c r="K49" s="10" t="s">
        <v>6</v>
      </c>
      <c r="L49" s="60">
        <f t="shared" si="5"/>
        <v>0</v>
      </c>
      <c r="M49" s="60">
        <f t="shared" si="4"/>
        <v>0</v>
      </c>
      <c r="N49" s="171">
        <f t="shared" si="4"/>
        <v>0</v>
      </c>
      <c r="O49" s="60">
        <f t="shared" si="4"/>
        <v>0</v>
      </c>
      <c r="P49" s="60">
        <f t="shared" si="4"/>
        <v>70.800515019405353</v>
      </c>
      <c r="Q49" s="60">
        <f t="shared" si="4"/>
        <v>0</v>
      </c>
    </row>
    <row r="50" spans="2:17">
      <c r="B50" s="10" t="s">
        <v>7</v>
      </c>
      <c r="C50" s="12"/>
      <c r="D50" s="12"/>
      <c r="E50" s="12"/>
      <c r="F50" s="11"/>
      <c r="G50" s="12">
        <f>G32</f>
        <v>0</v>
      </c>
      <c r="H50" s="12"/>
      <c r="I50" s="13">
        <f t="shared" si="3"/>
        <v>0</v>
      </c>
      <c r="K50" s="10" t="s">
        <v>7</v>
      </c>
      <c r="L50" s="60">
        <f t="shared" si="5"/>
        <v>0</v>
      </c>
      <c r="M50" s="60">
        <f t="shared" si="4"/>
        <v>0</v>
      </c>
      <c r="N50" s="60">
        <f t="shared" si="4"/>
        <v>0</v>
      </c>
      <c r="O50" s="171">
        <f t="shared" si="4"/>
        <v>0</v>
      </c>
      <c r="P50" s="60">
        <f t="shared" si="4"/>
        <v>0</v>
      </c>
      <c r="Q50" s="60">
        <f t="shared" si="4"/>
        <v>0</v>
      </c>
    </row>
    <row r="51" spans="2:17">
      <c r="B51" s="10" t="s">
        <v>8</v>
      </c>
      <c r="C51" s="12"/>
      <c r="D51" s="12"/>
      <c r="E51" s="12"/>
      <c r="F51" s="12"/>
      <c r="G51" s="11">
        <f>G33</f>
        <v>0</v>
      </c>
      <c r="H51" s="12"/>
      <c r="I51" s="13">
        <f t="shared" si="3"/>
        <v>0</v>
      </c>
      <c r="K51" s="10" t="s">
        <v>8</v>
      </c>
      <c r="L51" s="60">
        <f t="shared" si="5"/>
        <v>0</v>
      </c>
      <c r="M51" s="60">
        <f t="shared" si="4"/>
        <v>0</v>
      </c>
      <c r="N51" s="60">
        <f t="shared" si="4"/>
        <v>0</v>
      </c>
      <c r="O51" s="60">
        <f t="shared" si="4"/>
        <v>0</v>
      </c>
      <c r="P51" s="171">
        <f t="shared" si="4"/>
        <v>0</v>
      </c>
      <c r="Q51" s="60">
        <f t="shared" si="4"/>
        <v>0</v>
      </c>
    </row>
    <row r="52" spans="2:17">
      <c r="B52" s="10" t="s">
        <v>9</v>
      </c>
      <c r="C52" s="12">
        <f t="shared" ref="C52:H52" si="6">C34</f>
        <v>229</v>
      </c>
      <c r="D52" s="12">
        <f t="shared" si="6"/>
        <v>221</v>
      </c>
      <c r="E52" s="12">
        <f t="shared" si="6"/>
        <v>272</v>
      </c>
      <c r="F52" s="12">
        <f t="shared" si="6"/>
        <v>102</v>
      </c>
      <c r="G52" s="12">
        <f t="shared" si="6"/>
        <v>0</v>
      </c>
      <c r="H52" s="11">
        <f t="shared" si="6"/>
        <v>0</v>
      </c>
      <c r="I52" s="13">
        <f t="shared" si="3"/>
        <v>824</v>
      </c>
      <c r="K52" s="10" t="s">
        <v>9</v>
      </c>
      <c r="L52" s="60">
        <f t="shared" si="5"/>
        <v>70.800515019405353</v>
      </c>
      <c r="M52" s="60">
        <f t="shared" si="4"/>
        <v>70.800515019405353</v>
      </c>
      <c r="N52" s="60">
        <f t="shared" si="4"/>
        <v>70.800515019405353</v>
      </c>
      <c r="O52" s="60">
        <f t="shared" si="4"/>
        <v>70.800515019405353</v>
      </c>
      <c r="P52" s="60">
        <f t="shared" si="4"/>
        <v>0</v>
      </c>
      <c r="Q52" s="171">
        <f t="shared" si="4"/>
        <v>0</v>
      </c>
    </row>
    <row r="53" spans="2:17">
      <c r="B53" s="16" t="s">
        <v>48</v>
      </c>
      <c r="C53" s="13">
        <f t="shared" ref="C53:I53" si="7">SUM(C47:C52)</f>
        <v>229</v>
      </c>
      <c r="D53" s="13">
        <f t="shared" si="7"/>
        <v>221</v>
      </c>
      <c r="E53" s="13">
        <f t="shared" si="7"/>
        <v>272</v>
      </c>
      <c r="F53" s="13">
        <f t="shared" si="7"/>
        <v>102</v>
      </c>
      <c r="G53" s="13">
        <f t="shared" si="7"/>
        <v>276</v>
      </c>
      <c r="H53" s="13">
        <f t="shared" si="7"/>
        <v>0</v>
      </c>
      <c r="I53" s="13">
        <f t="shared" si="7"/>
        <v>1100</v>
      </c>
    </row>
    <row r="57" spans="2:17">
      <c r="B57" s="98" t="s">
        <v>303</v>
      </c>
      <c r="C57" s="179" t="s">
        <v>8</v>
      </c>
      <c r="D57" s="179" t="s">
        <v>7</v>
      </c>
    </row>
    <row r="58" spans="2:17">
      <c r="B58" s="98" t="s">
        <v>307</v>
      </c>
      <c r="C58" s="98" t="s">
        <v>306</v>
      </c>
      <c r="D58" s="98" t="s">
        <v>403</v>
      </c>
      <c r="E58" s="98" t="s">
        <v>235</v>
      </c>
      <c r="F58" s="178" t="s">
        <v>309</v>
      </c>
    </row>
    <row r="59" spans="2:17" ht="18">
      <c r="B59" s="199" t="s">
        <v>356</v>
      </c>
      <c r="C59" s="12">
        <f>E8*$C$19</f>
        <v>399300.97484519804</v>
      </c>
      <c r="D59" s="12">
        <f>F8*$C$20</f>
        <v>12216.389831487502</v>
      </c>
      <c r="E59" s="12">
        <f>$C$23</f>
        <v>1</v>
      </c>
      <c r="F59" s="12">
        <f>(C59+D59)*E59</f>
        <v>411517.36467668554</v>
      </c>
    </row>
    <row r="60" spans="2:17" ht="18">
      <c r="B60" s="199" t="s">
        <v>354</v>
      </c>
      <c r="C60" s="39">
        <f>E8*$D$19</f>
        <v>6.4113836680346514</v>
      </c>
      <c r="D60" s="39">
        <f>F8*$D$20</f>
        <v>0.73686160888337315</v>
      </c>
      <c r="E60" s="18">
        <f>$C$24</f>
        <v>28</v>
      </c>
      <c r="F60" s="12">
        <f t="shared" ref="F60:F61" si="8">(C60+D60)*E60</f>
        <v>200.15086775370469</v>
      </c>
    </row>
    <row r="61" spans="2:17" ht="18">
      <c r="B61" s="199" t="s">
        <v>355</v>
      </c>
      <c r="C61" s="194">
        <f>E8*$E$19</f>
        <v>23.080981204924743</v>
      </c>
      <c r="D61" s="194">
        <f>F8*$E$20</f>
        <v>0.33611231282399479</v>
      </c>
      <c r="E61" s="18">
        <f>$C$25</f>
        <v>265</v>
      </c>
      <c r="F61" s="12">
        <f t="shared" si="8"/>
        <v>6205.5297822034163</v>
      </c>
    </row>
    <row r="62" spans="2:17" ht="15.6" customHeight="1">
      <c r="B62" s="278" t="s">
        <v>10</v>
      </c>
      <c r="C62" s="278"/>
      <c r="D62" s="278"/>
      <c r="E62" s="278"/>
      <c r="F62" s="200">
        <f>SUM(F59:F61)</f>
        <v>417923.04532664269</v>
      </c>
    </row>
    <row r="63" spans="2:17" ht="15.6" customHeight="1"/>
    <row r="64" spans="2:17">
      <c r="B64" s="98" t="s">
        <v>303</v>
      </c>
      <c r="C64" s="179" t="str">
        <f>C57</f>
        <v>BRIGI</v>
      </c>
      <c r="D64" s="179" t="str">
        <f>D57</f>
        <v>BRSSA</v>
      </c>
      <c r="K64" s="98" t="s">
        <v>303</v>
      </c>
      <c r="L64" s="179" t="str">
        <f>C64</f>
        <v>BRIGI</v>
      </c>
      <c r="M64" s="179" t="str">
        <f>D64</f>
        <v>BRSSA</v>
      </c>
    </row>
    <row r="65" spans="2:17" ht="15.6" customHeight="1">
      <c r="B65" s="5" t="s">
        <v>365</v>
      </c>
      <c r="C65" s="4" t="s">
        <v>4</v>
      </c>
      <c r="D65" s="4" t="s">
        <v>5</v>
      </c>
      <c r="E65" s="4" t="s">
        <v>6</v>
      </c>
      <c r="F65" s="4" t="s">
        <v>7</v>
      </c>
      <c r="G65" s="4" t="s">
        <v>8</v>
      </c>
      <c r="H65" s="4" t="s">
        <v>9</v>
      </c>
      <c r="I65" s="5" t="s">
        <v>47</v>
      </c>
      <c r="K65" s="5" t="s">
        <v>308</v>
      </c>
      <c r="L65" s="4" t="s">
        <v>4</v>
      </c>
      <c r="M65" s="4" t="s">
        <v>5</v>
      </c>
      <c r="N65" s="4" t="s">
        <v>6</v>
      </c>
      <c r="O65" s="4" t="s">
        <v>7</v>
      </c>
      <c r="P65" s="4" t="s">
        <v>8</v>
      </c>
      <c r="Q65" s="4" t="s">
        <v>9</v>
      </c>
    </row>
    <row r="66" spans="2:17">
      <c r="B66" s="10" t="s">
        <v>4</v>
      </c>
      <c r="C66" s="11"/>
      <c r="D66" s="12"/>
      <c r="E66" s="12"/>
      <c r="F66" s="12"/>
      <c r="G66" s="12"/>
      <c r="H66" s="12"/>
      <c r="I66" s="13">
        <f t="shared" ref="I66:I71" si="9">SUM(C66:H66)</f>
        <v>0</v>
      </c>
      <c r="K66" s="10" t="s">
        <v>4</v>
      </c>
      <c r="L66" s="171">
        <f>IF(C66=0,0,$F$62/$I$72)</f>
        <v>0</v>
      </c>
      <c r="M66" s="60">
        <f t="shared" ref="M66:Q71" si="10">IF(D66=0,0,$F$62/$I$72)</f>
        <v>0</v>
      </c>
      <c r="N66" s="60">
        <f t="shared" si="10"/>
        <v>0</v>
      </c>
      <c r="O66" s="60">
        <f t="shared" si="10"/>
        <v>0</v>
      </c>
      <c r="P66" s="60">
        <f t="shared" si="10"/>
        <v>0</v>
      </c>
      <c r="Q66" s="60">
        <f t="shared" si="10"/>
        <v>0</v>
      </c>
    </row>
    <row r="67" spans="2:17">
      <c r="B67" s="10" t="s">
        <v>5</v>
      </c>
      <c r="C67" s="12"/>
      <c r="D67" s="11"/>
      <c r="E67" s="12"/>
      <c r="F67" s="12"/>
      <c r="G67" s="12"/>
      <c r="H67" s="12"/>
      <c r="I67" s="13">
        <f t="shared" si="9"/>
        <v>0</v>
      </c>
      <c r="K67" s="10" t="s">
        <v>5</v>
      </c>
      <c r="L67" s="60">
        <f t="shared" ref="L67:L71" si="11">IF(C67=0,0,$F$62/$I$72)</f>
        <v>0</v>
      </c>
      <c r="M67" s="171">
        <f t="shared" si="10"/>
        <v>0</v>
      </c>
      <c r="N67" s="60">
        <f t="shared" si="10"/>
        <v>0</v>
      </c>
      <c r="O67" s="60">
        <f t="shared" si="10"/>
        <v>0</v>
      </c>
      <c r="P67" s="60">
        <f t="shared" si="10"/>
        <v>0</v>
      </c>
      <c r="Q67" s="60">
        <f t="shared" si="10"/>
        <v>0</v>
      </c>
    </row>
    <row r="68" spans="2:17">
      <c r="B68" s="10" t="s">
        <v>6</v>
      </c>
      <c r="C68" s="12"/>
      <c r="D68" s="12"/>
      <c r="E68" s="11"/>
      <c r="F68" s="12"/>
      <c r="G68" s="12"/>
      <c r="H68" s="12"/>
      <c r="I68" s="13">
        <f t="shared" si="9"/>
        <v>0</v>
      </c>
      <c r="K68" s="10" t="s">
        <v>6</v>
      </c>
      <c r="L68" s="60">
        <f t="shared" si="11"/>
        <v>0</v>
      </c>
      <c r="M68" s="60">
        <f t="shared" si="10"/>
        <v>0</v>
      </c>
      <c r="N68" s="171">
        <f t="shared" si="10"/>
        <v>0</v>
      </c>
      <c r="O68" s="60">
        <f t="shared" si="10"/>
        <v>0</v>
      </c>
      <c r="P68" s="60">
        <f t="shared" si="10"/>
        <v>0</v>
      </c>
      <c r="Q68" s="60">
        <f t="shared" si="10"/>
        <v>0</v>
      </c>
    </row>
    <row r="69" spans="2:17">
      <c r="B69" s="10" t="s">
        <v>7</v>
      </c>
      <c r="C69" s="12"/>
      <c r="D69" s="12"/>
      <c r="E69" s="12"/>
      <c r="F69" s="11"/>
      <c r="G69" s="12"/>
      <c r="H69" s="12"/>
      <c r="I69" s="13">
        <f t="shared" si="9"/>
        <v>0</v>
      </c>
      <c r="K69" s="10" t="s">
        <v>7</v>
      </c>
      <c r="L69" s="60">
        <f t="shared" si="11"/>
        <v>0</v>
      </c>
      <c r="M69" s="60">
        <f t="shared" si="10"/>
        <v>0</v>
      </c>
      <c r="N69" s="60">
        <f t="shared" si="10"/>
        <v>0</v>
      </c>
      <c r="O69" s="171">
        <f t="shared" si="10"/>
        <v>0</v>
      </c>
      <c r="P69" s="60">
        <f t="shared" si="10"/>
        <v>0</v>
      </c>
      <c r="Q69" s="60">
        <f t="shared" si="10"/>
        <v>0</v>
      </c>
    </row>
    <row r="70" spans="2:17">
      <c r="B70" s="10" t="s">
        <v>8</v>
      </c>
      <c r="C70" s="12">
        <f t="shared" ref="C70:H71" si="12">C33</f>
        <v>61</v>
      </c>
      <c r="D70" s="12">
        <f t="shared" si="12"/>
        <v>120</v>
      </c>
      <c r="E70" s="12">
        <f t="shared" si="12"/>
        <v>119</v>
      </c>
      <c r="F70" s="12">
        <f t="shared" si="12"/>
        <v>47</v>
      </c>
      <c r="G70" s="11">
        <f t="shared" si="12"/>
        <v>0</v>
      </c>
      <c r="H70" s="12">
        <f t="shared" si="12"/>
        <v>0</v>
      </c>
      <c r="I70" s="13">
        <f t="shared" si="9"/>
        <v>347</v>
      </c>
      <c r="K70" s="10" t="s">
        <v>8</v>
      </c>
      <c r="L70" s="60">
        <f t="shared" si="11"/>
        <v>356.89414630797836</v>
      </c>
      <c r="M70" s="60">
        <f t="shared" si="10"/>
        <v>356.89414630797836</v>
      </c>
      <c r="N70" s="60">
        <f t="shared" si="10"/>
        <v>356.89414630797836</v>
      </c>
      <c r="O70" s="60">
        <f t="shared" si="10"/>
        <v>356.89414630797836</v>
      </c>
      <c r="P70" s="171">
        <f t="shared" si="10"/>
        <v>0</v>
      </c>
      <c r="Q70" s="60">
        <f t="shared" si="10"/>
        <v>0</v>
      </c>
    </row>
    <row r="71" spans="2:17">
      <c r="B71" s="10" t="s">
        <v>9</v>
      </c>
      <c r="C71" s="12">
        <f t="shared" si="12"/>
        <v>229</v>
      </c>
      <c r="D71" s="12">
        <f t="shared" si="12"/>
        <v>221</v>
      </c>
      <c r="E71" s="12">
        <f t="shared" si="12"/>
        <v>272</v>
      </c>
      <c r="F71" s="12">
        <f t="shared" si="12"/>
        <v>102</v>
      </c>
      <c r="G71" s="12">
        <f t="shared" si="12"/>
        <v>0</v>
      </c>
      <c r="H71" s="11">
        <f t="shared" si="12"/>
        <v>0</v>
      </c>
      <c r="I71" s="13">
        <f t="shared" si="9"/>
        <v>824</v>
      </c>
      <c r="K71" s="10" t="s">
        <v>9</v>
      </c>
      <c r="L71" s="60">
        <f t="shared" si="11"/>
        <v>356.89414630797836</v>
      </c>
      <c r="M71" s="60">
        <f t="shared" si="10"/>
        <v>356.89414630797836</v>
      </c>
      <c r="N71" s="60">
        <f t="shared" si="10"/>
        <v>356.89414630797836</v>
      </c>
      <c r="O71" s="60">
        <f t="shared" si="10"/>
        <v>356.89414630797836</v>
      </c>
      <c r="P71" s="60">
        <f t="shared" si="10"/>
        <v>0</v>
      </c>
      <c r="Q71" s="171">
        <f t="shared" si="10"/>
        <v>0</v>
      </c>
    </row>
    <row r="72" spans="2:17">
      <c r="B72" s="16" t="s">
        <v>48</v>
      </c>
      <c r="C72" s="13">
        <f t="shared" ref="C72:I72" si="13">SUM(C66:C71)</f>
        <v>290</v>
      </c>
      <c r="D72" s="13">
        <f t="shared" si="13"/>
        <v>341</v>
      </c>
      <c r="E72" s="13">
        <f t="shared" si="13"/>
        <v>391</v>
      </c>
      <c r="F72" s="13">
        <f t="shared" si="13"/>
        <v>149</v>
      </c>
      <c r="G72" s="13">
        <f t="shared" si="13"/>
        <v>0</v>
      </c>
      <c r="H72" s="13">
        <f t="shared" si="13"/>
        <v>0</v>
      </c>
      <c r="I72" s="13">
        <f t="shared" si="13"/>
        <v>1171</v>
      </c>
    </row>
    <row r="76" spans="2:17">
      <c r="B76" s="98" t="s">
        <v>303</v>
      </c>
      <c r="C76" s="179" t="s">
        <v>7</v>
      </c>
      <c r="D76" s="179" t="s">
        <v>6</v>
      </c>
    </row>
    <row r="77" spans="2:17">
      <c r="B77" s="98" t="s">
        <v>307</v>
      </c>
      <c r="C77" s="98" t="s">
        <v>306</v>
      </c>
      <c r="D77" s="98" t="s">
        <v>403</v>
      </c>
      <c r="E77" s="98" t="s">
        <v>235</v>
      </c>
      <c r="F77" s="178" t="s">
        <v>309</v>
      </c>
    </row>
    <row r="78" spans="2:17" ht="18">
      <c r="B78" s="199" t="s">
        <v>356</v>
      </c>
      <c r="C78" s="12">
        <f>E9*$C$19</f>
        <v>190741.79667922121</v>
      </c>
      <c r="D78" s="12">
        <f>F9*$C$20</f>
        <v>5835.7012844525807</v>
      </c>
      <c r="E78" s="12">
        <f>$C$23</f>
        <v>1</v>
      </c>
      <c r="F78" s="12">
        <f>(C78+D78)*E78</f>
        <v>196577.49796367378</v>
      </c>
    </row>
    <row r="79" spans="2:17" ht="18">
      <c r="B79" s="199" t="s">
        <v>354</v>
      </c>
      <c r="C79" s="39">
        <f>E9*$D$19</f>
        <v>3.0626492723060568</v>
      </c>
      <c r="D79" s="39">
        <f>F9*$D$20</f>
        <v>0.35199468064952072</v>
      </c>
      <c r="E79" s="18">
        <f>$C$24</f>
        <v>28</v>
      </c>
      <c r="F79" s="12">
        <f t="shared" ref="F79:F80" si="14">(C79+D79)*E79</f>
        <v>95.610030682756161</v>
      </c>
    </row>
    <row r="80" spans="2:17" ht="18">
      <c r="B80" s="199" t="s">
        <v>355</v>
      </c>
      <c r="C80" s="194">
        <f>E9*$E$19</f>
        <v>11.025537380301802</v>
      </c>
      <c r="D80" s="194">
        <f>F9*$E$20</f>
        <v>0.16055897713837788</v>
      </c>
      <c r="E80" s="18">
        <f>$C$25</f>
        <v>265</v>
      </c>
      <c r="F80" s="12">
        <f t="shared" si="14"/>
        <v>2964.3155347216475</v>
      </c>
    </row>
    <row r="81" spans="2:17" ht="15.6" customHeight="1">
      <c r="B81" s="278" t="s">
        <v>10</v>
      </c>
      <c r="C81" s="278"/>
      <c r="D81" s="278"/>
      <c r="E81" s="278"/>
      <c r="F81" s="200">
        <f>SUM(F78:F80)</f>
        <v>199637.42352907819</v>
      </c>
    </row>
    <row r="82" spans="2:17" ht="15.6" customHeight="1"/>
    <row r="83" spans="2:17">
      <c r="B83" s="98" t="s">
        <v>303</v>
      </c>
      <c r="C83" s="179" t="str">
        <f>C76</f>
        <v>BRSSA</v>
      </c>
      <c r="D83" s="179" t="str">
        <f>D76</f>
        <v>BRSUA</v>
      </c>
      <c r="K83" s="98" t="s">
        <v>303</v>
      </c>
      <c r="L83" s="179" t="str">
        <f>C83</f>
        <v>BRSSA</v>
      </c>
      <c r="M83" s="179" t="str">
        <f>D83</f>
        <v>BRSUA</v>
      </c>
    </row>
    <row r="84" spans="2:17" ht="15.6" customHeight="1">
      <c r="B84" s="5" t="s">
        <v>365</v>
      </c>
      <c r="C84" s="4" t="s">
        <v>4</v>
      </c>
      <c r="D84" s="4" t="s">
        <v>5</v>
      </c>
      <c r="E84" s="4" t="s">
        <v>6</v>
      </c>
      <c r="F84" s="4" t="s">
        <v>7</v>
      </c>
      <c r="G84" s="4" t="s">
        <v>8</v>
      </c>
      <c r="H84" s="4" t="s">
        <v>9</v>
      </c>
      <c r="I84" s="5" t="s">
        <v>47</v>
      </c>
      <c r="K84" s="5" t="s">
        <v>308</v>
      </c>
      <c r="L84" s="4" t="s">
        <v>4</v>
      </c>
      <c r="M84" s="4" t="s">
        <v>5</v>
      </c>
      <c r="N84" s="4" t="s">
        <v>6</v>
      </c>
      <c r="O84" s="4" t="s">
        <v>7</v>
      </c>
      <c r="P84" s="4" t="s">
        <v>8</v>
      </c>
      <c r="Q84" s="4" t="s">
        <v>9</v>
      </c>
    </row>
    <row r="85" spans="2:17">
      <c r="B85" s="10" t="s">
        <v>4</v>
      </c>
      <c r="C85" s="11"/>
      <c r="D85" s="12"/>
      <c r="E85" s="12"/>
      <c r="F85" s="12"/>
      <c r="G85" s="12"/>
      <c r="H85" s="12"/>
      <c r="I85" s="13">
        <f t="shared" ref="I85:I90" si="15">SUM(C85:H85)</f>
        <v>0</v>
      </c>
      <c r="K85" s="10" t="s">
        <v>4</v>
      </c>
      <c r="L85" s="171">
        <f t="shared" ref="L85:Q90" si="16">IF(C85=0,0,$F$81/$I$91)</f>
        <v>0</v>
      </c>
      <c r="M85" s="60">
        <f t="shared" si="16"/>
        <v>0</v>
      </c>
      <c r="N85" s="60">
        <f t="shared" si="16"/>
        <v>0</v>
      </c>
      <c r="O85" s="60">
        <f t="shared" si="16"/>
        <v>0</v>
      </c>
      <c r="P85" s="60">
        <f t="shared" si="16"/>
        <v>0</v>
      </c>
      <c r="Q85" s="60">
        <f t="shared" si="16"/>
        <v>0</v>
      </c>
    </row>
    <row r="86" spans="2:17">
      <c r="B86" s="10" t="s">
        <v>5</v>
      </c>
      <c r="C86" s="12"/>
      <c r="D86" s="11"/>
      <c r="E86" s="12"/>
      <c r="F86" s="12"/>
      <c r="G86" s="12"/>
      <c r="H86" s="12"/>
      <c r="I86" s="13">
        <f t="shared" si="15"/>
        <v>0</v>
      </c>
      <c r="K86" s="10" t="s">
        <v>5</v>
      </c>
      <c r="L86" s="60">
        <f t="shared" si="16"/>
        <v>0</v>
      </c>
      <c r="M86" s="171">
        <f t="shared" si="16"/>
        <v>0</v>
      </c>
      <c r="N86" s="60">
        <f t="shared" si="16"/>
        <v>0</v>
      </c>
      <c r="O86" s="60">
        <f t="shared" si="16"/>
        <v>0</v>
      </c>
      <c r="P86" s="60">
        <f t="shared" si="16"/>
        <v>0</v>
      </c>
      <c r="Q86" s="60">
        <f t="shared" si="16"/>
        <v>0</v>
      </c>
    </row>
    <row r="87" spans="2:17">
      <c r="B87" s="10" t="s">
        <v>6</v>
      </c>
      <c r="C87" s="12"/>
      <c r="D87" s="12"/>
      <c r="E87" s="11"/>
      <c r="F87" s="12"/>
      <c r="G87" s="12"/>
      <c r="H87" s="12"/>
      <c r="I87" s="13">
        <f t="shared" si="15"/>
        <v>0</v>
      </c>
      <c r="K87" s="10" t="s">
        <v>6</v>
      </c>
      <c r="L87" s="60">
        <f t="shared" si="16"/>
        <v>0</v>
      </c>
      <c r="M87" s="60">
        <f t="shared" si="16"/>
        <v>0</v>
      </c>
      <c r="N87" s="171">
        <f t="shared" si="16"/>
        <v>0</v>
      </c>
      <c r="O87" s="60">
        <f t="shared" si="16"/>
        <v>0</v>
      </c>
      <c r="P87" s="60">
        <f t="shared" si="16"/>
        <v>0</v>
      </c>
      <c r="Q87" s="60">
        <f t="shared" si="16"/>
        <v>0</v>
      </c>
    </row>
    <row r="88" spans="2:17">
      <c r="B88" s="10" t="s">
        <v>7</v>
      </c>
      <c r="C88" s="12">
        <f t="shared" ref="C88:E90" si="17">C32</f>
        <v>86</v>
      </c>
      <c r="D88" s="12">
        <f t="shared" si="17"/>
        <v>9</v>
      </c>
      <c r="E88" s="12">
        <f t="shared" si="17"/>
        <v>1</v>
      </c>
      <c r="F88" s="11"/>
      <c r="G88" s="12"/>
      <c r="H88" s="12"/>
      <c r="I88" s="13">
        <f t="shared" si="15"/>
        <v>96</v>
      </c>
      <c r="K88" s="10" t="s">
        <v>7</v>
      </c>
      <c r="L88" s="60">
        <f>IF(C88=0,0,$F$81/$I$91)</f>
        <v>178.5665684517694</v>
      </c>
      <c r="M88" s="60">
        <f t="shared" si="16"/>
        <v>178.5665684517694</v>
      </c>
      <c r="N88" s="60">
        <f t="shared" si="16"/>
        <v>178.5665684517694</v>
      </c>
      <c r="O88" s="171">
        <f t="shared" si="16"/>
        <v>0</v>
      </c>
      <c r="P88" s="60">
        <f t="shared" si="16"/>
        <v>0</v>
      </c>
      <c r="Q88" s="60">
        <f t="shared" si="16"/>
        <v>0</v>
      </c>
    </row>
    <row r="89" spans="2:17">
      <c r="B89" s="10" t="s">
        <v>8</v>
      </c>
      <c r="C89" s="12">
        <f t="shared" si="17"/>
        <v>61</v>
      </c>
      <c r="D89" s="12">
        <f t="shared" si="17"/>
        <v>120</v>
      </c>
      <c r="E89" s="12">
        <f t="shared" si="17"/>
        <v>119</v>
      </c>
      <c r="F89" s="12"/>
      <c r="G89" s="11"/>
      <c r="H89" s="12"/>
      <c r="I89" s="13">
        <f t="shared" si="15"/>
        <v>300</v>
      </c>
      <c r="K89" s="10" t="s">
        <v>8</v>
      </c>
      <c r="L89" s="60">
        <f t="shared" ref="L89:L90" si="18">IF(C89=0,0,$F$81/$I$91)</f>
        <v>178.5665684517694</v>
      </c>
      <c r="M89" s="60">
        <f t="shared" si="16"/>
        <v>178.5665684517694</v>
      </c>
      <c r="N89" s="60">
        <f t="shared" si="16"/>
        <v>178.5665684517694</v>
      </c>
      <c r="O89" s="60">
        <f t="shared" si="16"/>
        <v>0</v>
      </c>
      <c r="P89" s="171">
        <f t="shared" si="16"/>
        <v>0</v>
      </c>
      <c r="Q89" s="60">
        <f t="shared" si="16"/>
        <v>0</v>
      </c>
    </row>
    <row r="90" spans="2:17">
      <c r="B90" s="10" t="s">
        <v>9</v>
      </c>
      <c r="C90" s="12">
        <f t="shared" si="17"/>
        <v>229</v>
      </c>
      <c r="D90" s="12">
        <f t="shared" si="17"/>
        <v>221</v>
      </c>
      <c r="E90" s="12">
        <f t="shared" si="17"/>
        <v>272</v>
      </c>
      <c r="F90" s="12"/>
      <c r="G90" s="12"/>
      <c r="H90" s="11"/>
      <c r="I90" s="13">
        <f t="shared" si="15"/>
        <v>722</v>
      </c>
      <c r="K90" s="10" t="s">
        <v>9</v>
      </c>
      <c r="L90" s="60">
        <f t="shared" si="18"/>
        <v>178.5665684517694</v>
      </c>
      <c r="M90" s="60">
        <f t="shared" si="16"/>
        <v>178.5665684517694</v>
      </c>
      <c r="N90" s="60">
        <f t="shared" si="16"/>
        <v>178.5665684517694</v>
      </c>
      <c r="O90" s="60">
        <f t="shared" si="16"/>
        <v>0</v>
      </c>
      <c r="P90" s="60">
        <f t="shared" si="16"/>
        <v>0</v>
      </c>
      <c r="Q90" s="171">
        <f t="shared" si="16"/>
        <v>0</v>
      </c>
    </row>
    <row r="91" spans="2:17">
      <c r="B91" s="16" t="s">
        <v>48</v>
      </c>
      <c r="C91" s="13">
        <f t="shared" ref="C91:I91" si="19">SUM(C85:C90)</f>
        <v>376</v>
      </c>
      <c r="D91" s="13">
        <f t="shared" si="19"/>
        <v>350</v>
      </c>
      <c r="E91" s="13">
        <f t="shared" si="19"/>
        <v>392</v>
      </c>
      <c r="F91" s="13">
        <f t="shared" si="19"/>
        <v>0</v>
      </c>
      <c r="G91" s="13">
        <f t="shared" si="19"/>
        <v>0</v>
      </c>
      <c r="H91" s="13">
        <f t="shared" si="19"/>
        <v>0</v>
      </c>
      <c r="I91" s="13">
        <f t="shared" si="19"/>
        <v>1118</v>
      </c>
    </row>
    <row r="95" spans="2:17">
      <c r="B95" s="98" t="s">
        <v>303</v>
      </c>
      <c r="C95" s="179" t="s">
        <v>6</v>
      </c>
      <c r="D95" s="179" t="s">
        <v>5</v>
      </c>
    </row>
    <row r="96" spans="2:17">
      <c r="B96" s="98" t="s">
        <v>307</v>
      </c>
      <c r="C96" s="98" t="s">
        <v>306</v>
      </c>
      <c r="D96" s="98" t="s">
        <v>403</v>
      </c>
      <c r="E96" s="98" t="s">
        <v>235</v>
      </c>
      <c r="F96" s="178" t="s">
        <v>309</v>
      </c>
    </row>
    <row r="97" spans="2:17" ht="18">
      <c r="B97" s="199" t="s">
        <v>356</v>
      </c>
      <c r="C97" s="12">
        <f>E10*$C$19</f>
        <v>224084.85676221619</v>
      </c>
      <c r="D97" s="12">
        <f>F10*$C$20</f>
        <v>7185.4784450858006</v>
      </c>
      <c r="E97" s="12">
        <f>$C$23</f>
        <v>1</v>
      </c>
      <c r="F97" s="12">
        <f>(C97+D97)*E97</f>
        <v>231270.33520730201</v>
      </c>
    </row>
    <row r="98" spans="2:17" ht="18">
      <c r="B98" s="199" t="s">
        <v>354</v>
      </c>
      <c r="C98" s="39">
        <f>E10*$D$19</f>
        <v>3.5980227482693672</v>
      </c>
      <c r="D98" s="39">
        <f>F10*$D$20</f>
        <v>0.43340981097342923</v>
      </c>
      <c r="E98" s="18">
        <f>$C$24</f>
        <v>28</v>
      </c>
      <c r="F98" s="12">
        <f t="shared" ref="F98:F99" si="20">(C98+D98)*E98</f>
        <v>112.88011165879831</v>
      </c>
    </row>
    <row r="99" spans="2:17" ht="18">
      <c r="B99" s="199" t="s">
        <v>355</v>
      </c>
      <c r="C99" s="194">
        <f>E10*$E$19</f>
        <v>12.952881893769721</v>
      </c>
      <c r="D99" s="194">
        <f>F10*$E$20</f>
        <v>0.19769570325103791</v>
      </c>
      <c r="E99" s="18">
        <f>$C$25</f>
        <v>265</v>
      </c>
      <c r="F99" s="12">
        <f t="shared" si="20"/>
        <v>3484.9030632105009</v>
      </c>
    </row>
    <row r="100" spans="2:17" ht="15.6" customHeight="1">
      <c r="B100" s="278" t="s">
        <v>10</v>
      </c>
      <c r="C100" s="278"/>
      <c r="D100" s="278"/>
      <c r="E100" s="278"/>
      <c r="F100" s="200">
        <f>SUM(F97:F99)</f>
        <v>234868.11838217132</v>
      </c>
    </row>
    <row r="101" spans="2:17" ht="15.6" customHeight="1"/>
    <row r="102" spans="2:17">
      <c r="B102" s="98" t="s">
        <v>303</v>
      </c>
      <c r="C102" s="179" t="str">
        <f>C95</f>
        <v>BRSUA</v>
      </c>
      <c r="D102" s="179" t="str">
        <f>D95</f>
        <v>BRPEC</v>
      </c>
      <c r="K102" s="98" t="s">
        <v>303</v>
      </c>
      <c r="L102" s="179" t="str">
        <f>C102</f>
        <v>BRSUA</v>
      </c>
      <c r="M102" s="179" t="str">
        <f>D102</f>
        <v>BRPEC</v>
      </c>
    </row>
    <row r="103" spans="2:17" ht="15.6" customHeight="1">
      <c r="B103" s="5" t="s">
        <v>365</v>
      </c>
      <c r="C103" s="4" t="s">
        <v>4</v>
      </c>
      <c r="D103" s="4" t="s">
        <v>5</v>
      </c>
      <c r="E103" s="4" t="s">
        <v>6</v>
      </c>
      <c r="F103" s="4" t="s">
        <v>7</v>
      </c>
      <c r="G103" s="4" t="s">
        <v>8</v>
      </c>
      <c r="H103" s="4" t="s">
        <v>9</v>
      </c>
      <c r="I103" s="5" t="s">
        <v>47</v>
      </c>
      <c r="K103" s="5" t="s">
        <v>308</v>
      </c>
      <c r="L103" s="4" t="s">
        <v>4</v>
      </c>
      <c r="M103" s="4" t="s">
        <v>5</v>
      </c>
      <c r="N103" s="4" t="s">
        <v>6</v>
      </c>
      <c r="O103" s="4" t="s">
        <v>7</v>
      </c>
      <c r="P103" s="4" t="s">
        <v>8</v>
      </c>
      <c r="Q103" s="4" t="s">
        <v>9</v>
      </c>
    </row>
    <row r="104" spans="2:17">
      <c r="B104" s="10" t="s">
        <v>4</v>
      </c>
      <c r="C104" s="11"/>
      <c r="D104" s="12"/>
      <c r="E104" s="12"/>
      <c r="F104" s="12"/>
      <c r="G104" s="12"/>
      <c r="H104" s="12"/>
      <c r="I104" s="13">
        <f t="shared" ref="I104:I109" si="21">SUM(C104:H104)</f>
        <v>0</v>
      </c>
      <c r="K104" s="10" t="s">
        <v>4</v>
      </c>
      <c r="L104" s="171">
        <f t="shared" ref="L104:Q109" si="22">IF(C104=0,0,$F$100/$I$110)</f>
        <v>0</v>
      </c>
      <c r="M104" s="60">
        <f t="shared" si="22"/>
        <v>0</v>
      </c>
      <c r="N104" s="60">
        <f t="shared" si="22"/>
        <v>0</v>
      </c>
      <c r="O104" s="60">
        <f t="shared" si="22"/>
        <v>0</v>
      </c>
      <c r="P104" s="60">
        <f t="shared" si="22"/>
        <v>0</v>
      </c>
      <c r="Q104" s="60">
        <f t="shared" si="22"/>
        <v>0</v>
      </c>
    </row>
    <row r="105" spans="2:17">
      <c r="B105" s="10" t="s">
        <v>5</v>
      </c>
      <c r="C105" s="12"/>
      <c r="D105" s="11"/>
      <c r="E105" s="12"/>
      <c r="F105" s="12"/>
      <c r="G105" s="12"/>
      <c r="H105" s="12"/>
      <c r="I105" s="13">
        <f t="shared" si="21"/>
        <v>0</v>
      </c>
      <c r="K105" s="10" t="s">
        <v>5</v>
      </c>
      <c r="L105" s="60">
        <f t="shared" si="22"/>
        <v>0</v>
      </c>
      <c r="M105" s="171">
        <f t="shared" si="22"/>
        <v>0</v>
      </c>
      <c r="N105" s="60">
        <f t="shared" si="22"/>
        <v>0</v>
      </c>
      <c r="O105" s="60">
        <f t="shared" si="22"/>
        <v>0</v>
      </c>
      <c r="P105" s="60">
        <f t="shared" si="22"/>
        <v>0</v>
      </c>
      <c r="Q105" s="60">
        <f t="shared" si="22"/>
        <v>0</v>
      </c>
    </row>
    <row r="106" spans="2:17">
      <c r="B106" s="10" t="s">
        <v>6</v>
      </c>
      <c r="C106" s="12">
        <f t="shared" ref="C106:D109" si="23">C31</f>
        <v>331</v>
      </c>
      <c r="D106" s="12">
        <f t="shared" si="23"/>
        <v>0</v>
      </c>
      <c r="E106" s="11"/>
      <c r="F106" s="12"/>
      <c r="G106" s="12"/>
      <c r="H106" s="12"/>
      <c r="I106" s="13">
        <f t="shared" si="21"/>
        <v>331</v>
      </c>
      <c r="K106" s="10" t="s">
        <v>6</v>
      </c>
      <c r="L106" s="60">
        <f t="shared" si="22"/>
        <v>222.2025717901337</v>
      </c>
      <c r="M106" s="60">
        <f t="shared" si="22"/>
        <v>0</v>
      </c>
      <c r="N106" s="171">
        <f t="shared" si="22"/>
        <v>0</v>
      </c>
      <c r="O106" s="60">
        <f t="shared" si="22"/>
        <v>0</v>
      </c>
      <c r="P106" s="60">
        <f t="shared" si="22"/>
        <v>0</v>
      </c>
      <c r="Q106" s="60">
        <f t="shared" si="22"/>
        <v>0</v>
      </c>
    </row>
    <row r="107" spans="2:17">
      <c r="B107" s="10" t="s">
        <v>7</v>
      </c>
      <c r="C107" s="12">
        <f t="shared" si="23"/>
        <v>86</v>
      </c>
      <c r="D107" s="12">
        <f t="shared" si="23"/>
        <v>9</v>
      </c>
      <c r="E107" s="12"/>
      <c r="F107" s="11"/>
      <c r="G107" s="12"/>
      <c r="H107" s="12"/>
      <c r="I107" s="13">
        <f t="shared" si="21"/>
        <v>95</v>
      </c>
      <c r="K107" s="10" t="s">
        <v>7</v>
      </c>
      <c r="L107" s="60">
        <f t="shared" si="22"/>
        <v>222.2025717901337</v>
      </c>
      <c r="M107" s="60">
        <f t="shared" si="22"/>
        <v>222.2025717901337</v>
      </c>
      <c r="N107" s="60">
        <f t="shared" si="22"/>
        <v>0</v>
      </c>
      <c r="O107" s="171">
        <f t="shared" si="22"/>
        <v>0</v>
      </c>
      <c r="P107" s="60">
        <f t="shared" si="22"/>
        <v>0</v>
      </c>
      <c r="Q107" s="60">
        <f t="shared" si="22"/>
        <v>0</v>
      </c>
    </row>
    <row r="108" spans="2:17">
      <c r="B108" s="10" t="s">
        <v>8</v>
      </c>
      <c r="C108" s="12">
        <f t="shared" si="23"/>
        <v>61</v>
      </c>
      <c r="D108" s="12">
        <f t="shared" si="23"/>
        <v>120</v>
      </c>
      <c r="E108" s="12"/>
      <c r="F108" s="12"/>
      <c r="G108" s="11"/>
      <c r="H108" s="12"/>
      <c r="I108" s="13">
        <f t="shared" si="21"/>
        <v>181</v>
      </c>
      <c r="K108" s="10" t="s">
        <v>8</v>
      </c>
      <c r="L108" s="60">
        <f t="shared" si="22"/>
        <v>222.2025717901337</v>
      </c>
      <c r="M108" s="60">
        <f t="shared" si="22"/>
        <v>222.2025717901337</v>
      </c>
      <c r="N108" s="60">
        <f t="shared" si="22"/>
        <v>0</v>
      </c>
      <c r="O108" s="60">
        <f t="shared" si="22"/>
        <v>0</v>
      </c>
      <c r="P108" s="171">
        <f t="shared" si="22"/>
        <v>0</v>
      </c>
      <c r="Q108" s="60">
        <f t="shared" si="22"/>
        <v>0</v>
      </c>
    </row>
    <row r="109" spans="2:17">
      <c r="B109" s="10" t="s">
        <v>9</v>
      </c>
      <c r="C109" s="12">
        <f t="shared" si="23"/>
        <v>229</v>
      </c>
      <c r="D109" s="12">
        <f t="shared" si="23"/>
        <v>221</v>
      </c>
      <c r="E109" s="12"/>
      <c r="F109" s="12"/>
      <c r="G109" s="12"/>
      <c r="H109" s="11"/>
      <c r="I109" s="13">
        <f t="shared" si="21"/>
        <v>450</v>
      </c>
      <c r="K109" s="10" t="s">
        <v>9</v>
      </c>
      <c r="L109" s="60">
        <f t="shared" si="22"/>
        <v>222.2025717901337</v>
      </c>
      <c r="M109" s="60">
        <f t="shared" si="22"/>
        <v>222.2025717901337</v>
      </c>
      <c r="N109" s="60">
        <f t="shared" si="22"/>
        <v>0</v>
      </c>
      <c r="O109" s="60">
        <f t="shared" si="22"/>
        <v>0</v>
      </c>
      <c r="P109" s="60">
        <f t="shared" si="22"/>
        <v>0</v>
      </c>
      <c r="Q109" s="171">
        <f t="shared" si="22"/>
        <v>0</v>
      </c>
    </row>
    <row r="110" spans="2:17">
      <c r="B110" s="16" t="s">
        <v>48</v>
      </c>
      <c r="C110" s="13">
        <f t="shared" ref="C110:I110" si="24">SUM(C104:C109)</f>
        <v>707</v>
      </c>
      <c r="D110" s="13">
        <f t="shared" si="24"/>
        <v>350</v>
      </c>
      <c r="E110" s="13">
        <f t="shared" si="24"/>
        <v>0</v>
      </c>
      <c r="F110" s="13">
        <f t="shared" si="24"/>
        <v>0</v>
      </c>
      <c r="G110" s="13">
        <f t="shared" si="24"/>
        <v>0</v>
      </c>
      <c r="H110" s="13">
        <f t="shared" si="24"/>
        <v>0</v>
      </c>
      <c r="I110" s="13">
        <f t="shared" si="24"/>
        <v>1057</v>
      </c>
    </row>
    <row r="114" spans="2:17">
      <c r="B114" s="98" t="s">
        <v>303</v>
      </c>
      <c r="C114" s="179" t="s">
        <v>5</v>
      </c>
      <c r="D114" s="179" t="s">
        <v>4</v>
      </c>
    </row>
    <row r="115" spans="2:17">
      <c r="B115" s="98" t="s">
        <v>307</v>
      </c>
      <c r="C115" s="98" t="s">
        <v>306</v>
      </c>
      <c r="D115" s="98" t="s">
        <v>403</v>
      </c>
      <c r="E115" s="98" t="s">
        <v>235</v>
      </c>
      <c r="F115" s="178" t="s">
        <v>309</v>
      </c>
    </row>
    <row r="116" spans="2:17" ht="18">
      <c r="B116" s="199" t="s">
        <v>356</v>
      </c>
      <c r="C116" s="12">
        <f>E11*$C$19</f>
        <v>800699.26017531089</v>
      </c>
      <c r="D116" s="12">
        <f>F11*$C$20</f>
        <v>23820.410068231373</v>
      </c>
      <c r="E116" s="12">
        <f>$C$23</f>
        <v>1</v>
      </c>
      <c r="F116" s="12">
        <f>(C116+D116)*E116</f>
        <v>824519.67024354229</v>
      </c>
    </row>
    <row r="117" spans="2:17" ht="18">
      <c r="B117" s="199" t="s">
        <v>354</v>
      </c>
      <c r="C117" s="39">
        <f>E11*$D$19</f>
        <v>12.856442841607432</v>
      </c>
      <c r="D117" s="39">
        <f>F11*$D$20</f>
        <v>1.4367866390361781</v>
      </c>
      <c r="E117" s="18">
        <f>$C$24</f>
        <v>28</v>
      </c>
      <c r="F117" s="12">
        <f t="shared" ref="F117:F118" si="25">(C117+D117)*E117</f>
        <v>400.21042545802106</v>
      </c>
    </row>
    <row r="118" spans="2:17" ht="18">
      <c r="B118" s="199" t="s">
        <v>355</v>
      </c>
      <c r="C118" s="194">
        <f>E11*$E$19</f>
        <v>46.283194229786751</v>
      </c>
      <c r="D118" s="194">
        <f>F11*$E$20</f>
        <v>0.65537636166562518</v>
      </c>
      <c r="E118" s="18">
        <f>$C$25</f>
        <v>265</v>
      </c>
      <c r="F118" s="12">
        <f t="shared" si="25"/>
        <v>12438.721206734879</v>
      </c>
    </row>
    <row r="119" spans="2:17" ht="15.6" customHeight="1">
      <c r="B119" s="278" t="s">
        <v>10</v>
      </c>
      <c r="C119" s="278"/>
      <c r="D119" s="278"/>
      <c r="E119" s="278"/>
      <c r="F119" s="200">
        <f>SUM(F116:F118)</f>
        <v>837358.60187573521</v>
      </c>
    </row>
    <row r="120" spans="2:17" ht="15.6" customHeight="1"/>
    <row r="121" spans="2:17">
      <c r="B121" s="98" t="s">
        <v>303</v>
      </c>
      <c r="C121" s="179" t="str">
        <f>C114</f>
        <v>BRPEC</v>
      </c>
      <c r="D121" s="179" t="str">
        <f>D114</f>
        <v>BRMAO</v>
      </c>
      <c r="K121" s="98" t="s">
        <v>303</v>
      </c>
      <c r="L121" s="179" t="str">
        <f>C121</f>
        <v>BRPEC</v>
      </c>
      <c r="M121" s="179" t="str">
        <f>D121</f>
        <v>BRMAO</v>
      </c>
    </row>
    <row r="122" spans="2:17" ht="15.6" customHeight="1">
      <c r="B122" s="5" t="s">
        <v>365</v>
      </c>
      <c r="C122" s="4" t="s">
        <v>4</v>
      </c>
      <c r="D122" s="4" t="s">
        <v>5</v>
      </c>
      <c r="E122" s="4" t="s">
        <v>6</v>
      </c>
      <c r="F122" s="4" t="s">
        <v>7</v>
      </c>
      <c r="G122" s="4" t="s">
        <v>8</v>
      </c>
      <c r="H122" s="4" t="s">
        <v>9</v>
      </c>
      <c r="I122" s="5" t="s">
        <v>47</v>
      </c>
      <c r="K122" s="5" t="s">
        <v>308</v>
      </c>
      <c r="L122" s="4" t="s">
        <v>4</v>
      </c>
      <c r="M122" s="4" t="s">
        <v>5</v>
      </c>
      <c r="N122" s="4" t="s">
        <v>6</v>
      </c>
      <c r="O122" s="4" t="s">
        <v>7</v>
      </c>
      <c r="P122" s="4" t="s">
        <v>8</v>
      </c>
      <c r="Q122" s="4" t="s">
        <v>9</v>
      </c>
    </row>
    <row r="123" spans="2:17">
      <c r="B123" s="10" t="s">
        <v>4</v>
      </c>
      <c r="C123" s="11"/>
      <c r="D123" s="12"/>
      <c r="E123" s="12"/>
      <c r="F123" s="12"/>
      <c r="G123" s="12"/>
      <c r="H123" s="12"/>
      <c r="I123" s="13">
        <f t="shared" ref="I123:I128" si="26">SUM(C123:H123)</f>
        <v>0</v>
      </c>
      <c r="K123" s="10" t="s">
        <v>4</v>
      </c>
      <c r="L123" s="171">
        <f>IF(C123=0,0,$F$119/$I$129)</f>
        <v>0</v>
      </c>
      <c r="M123" s="60">
        <f t="shared" ref="M123:Q128" si="27">IF(D123=0,0,$F$119/$I$129)</f>
        <v>0</v>
      </c>
      <c r="N123" s="60">
        <f t="shared" si="27"/>
        <v>0</v>
      </c>
      <c r="O123" s="60">
        <f t="shared" si="27"/>
        <v>0</v>
      </c>
      <c r="P123" s="60">
        <f t="shared" si="27"/>
        <v>0</v>
      </c>
      <c r="Q123" s="60">
        <f t="shared" si="27"/>
        <v>0</v>
      </c>
    </row>
    <row r="124" spans="2:17">
      <c r="B124" s="10" t="s">
        <v>5</v>
      </c>
      <c r="C124" s="12">
        <f t="shared" ref="C124" si="28">C30</f>
        <v>260</v>
      </c>
      <c r="D124" s="11"/>
      <c r="E124" s="12"/>
      <c r="F124" s="12"/>
      <c r="G124" s="12"/>
      <c r="H124" s="12"/>
      <c r="I124" s="13">
        <f t="shared" si="26"/>
        <v>260</v>
      </c>
      <c r="K124" s="10" t="s">
        <v>5</v>
      </c>
      <c r="L124" s="60">
        <f t="shared" ref="L124:L128" si="29">IF(C124=0,0,$F$119/$I$129)</f>
        <v>865.93443834098787</v>
      </c>
      <c r="M124" s="171">
        <f t="shared" si="27"/>
        <v>0</v>
      </c>
      <c r="N124" s="60">
        <f t="shared" si="27"/>
        <v>0</v>
      </c>
      <c r="O124" s="60">
        <f t="shared" si="27"/>
        <v>0</v>
      </c>
      <c r="P124" s="60">
        <f t="shared" si="27"/>
        <v>0</v>
      </c>
      <c r="Q124" s="60">
        <f t="shared" si="27"/>
        <v>0</v>
      </c>
    </row>
    <row r="125" spans="2:17">
      <c r="B125" s="10" t="s">
        <v>6</v>
      </c>
      <c r="C125" s="12">
        <f>C31</f>
        <v>331</v>
      </c>
      <c r="D125" s="12"/>
      <c r="E125" s="11"/>
      <c r="F125" s="12"/>
      <c r="G125" s="12"/>
      <c r="H125" s="12"/>
      <c r="I125" s="13">
        <f t="shared" si="26"/>
        <v>331</v>
      </c>
      <c r="K125" s="10" t="s">
        <v>6</v>
      </c>
      <c r="L125" s="60">
        <f t="shared" si="29"/>
        <v>865.93443834098787</v>
      </c>
      <c r="M125" s="60">
        <f t="shared" si="27"/>
        <v>0</v>
      </c>
      <c r="N125" s="171">
        <f t="shared" si="27"/>
        <v>0</v>
      </c>
      <c r="O125" s="60">
        <f t="shared" si="27"/>
        <v>0</v>
      </c>
      <c r="P125" s="60">
        <f t="shared" si="27"/>
        <v>0</v>
      </c>
      <c r="Q125" s="60">
        <f t="shared" si="27"/>
        <v>0</v>
      </c>
    </row>
    <row r="126" spans="2:17">
      <c r="B126" s="10" t="s">
        <v>7</v>
      </c>
      <c r="C126" s="12">
        <f t="shared" ref="C126:C128" si="30">C32</f>
        <v>86</v>
      </c>
      <c r="D126" s="12"/>
      <c r="E126" s="12"/>
      <c r="F126" s="11"/>
      <c r="G126" s="12"/>
      <c r="H126" s="12"/>
      <c r="I126" s="13">
        <f t="shared" si="26"/>
        <v>86</v>
      </c>
      <c r="K126" s="10" t="s">
        <v>7</v>
      </c>
      <c r="L126" s="60">
        <f t="shared" si="29"/>
        <v>865.93443834098787</v>
      </c>
      <c r="M126" s="60">
        <f t="shared" si="27"/>
        <v>0</v>
      </c>
      <c r="N126" s="60">
        <f t="shared" si="27"/>
        <v>0</v>
      </c>
      <c r="O126" s="171">
        <f t="shared" si="27"/>
        <v>0</v>
      </c>
      <c r="P126" s="60">
        <f t="shared" si="27"/>
        <v>0</v>
      </c>
      <c r="Q126" s="60">
        <f t="shared" si="27"/>
        <v>0</v>
      </c>
    </row>
    <row r="127" spans="2:17">
      <c r="B127" s="10" t="s">
        <v>8</v>
      </c>
      <c r="C127" s="12">
        <f t="shared" si="30"/>
        <v>61</v>
      </c>
      <c r="D127" s="12"/>
      <c r="E127" s="12"/>
      <c r="F127" s="12"/>
      <c r="G127" s="11"/>
      <c r="H127" s="12"/>
      <c r="I127" s="13">
        <f t="shared" si="26"/>
        <v>61</v>
      </c>
      <c r="K127" s="10" t="s">
        <v>8</v>
      </c>
      <c r="L127" s="60">
        <f t="shared" si="29"/>
        <v>865.93443834098787</v>
      </c>
      <c r="M127" s="60">
        <f t="shared" si="27"/>
        <v>0</v>
      </c>
      <c r="N127" s="60">
        <f t="shared" si="27"/>
        <v>0</v>
      </c>
      <c r="O127" s="60">
        <f t="shared" si="27"/>
        <v>0</v>
      </c>
      <c r="P127" s="171">
        <f t="shared" si="27"/>
        <v>0</v>
      </c>
      <c r="Q127" s="60">
        <f t="shared" si="27"/>
        <v>0</v>
      </c>
    </row>
    <row r="128" spans="2:17">
      <c r="B128" s="10" t="s">
        <v>9</v>
      </c>
      <c r="C128" s="12">
        <f t="shared" si="30"/>
        <v>229</v>
      </c>
      <c r="D128" s="12"/>
      <c r="E128" s="12"/>
      <c r="F128" s="12"/>
      <c r="G128" s="12"/>
      <c r="H128" s="11"/>
      <c r="I128" s="13">
        <f t="shared" si="26"/>
        <v>229</v>
      </c>
      <c r="K128" s="10" t="s">
        <v>9</v>
      </c>
      <c r="L128" s="60">
        <f t="shared" si="29"/>
        <v>865.93443834098787</v>
      </c>
      <c r="M128" s="60">
        <f t="shared" si="27"/>
        <v>0</v>
      </c>
      <c r="N128" s="60">
        <f t="shared" si="27"/>
        <v>0</v>
      </c>
      <c r="O128" s="60">
        <f t="shared" si="27"/>
        <v>0</v>
      </c>
      <c r="P128" s="60">
        <f t="shared" si="27"/>
        <v>0</v>
      </c>
      <c r="Q128" s="171">
        <f t="shared" si="27"/>
        <v>0</v>
      </c>
    </row>
    <row r="129" spans="2:17">
      <c r="B129" s="16" t="s">
        <v>48</v>
      </c>
      <c r="C129" s="13">
        <f t="shared" ref="C129:I129" si="31">SUM(C123:C128)</f>
        <v>967</v>
      </c>
      <c r="D129" s="13">
        <f t="shared" si="31"/>
        <v>0</v>
      </c>
      <c r="E129" s="13">
        <f t="shared" si="31"/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967</v>
      </c>
    </row>
    <row r="133" spans="2:17">
      <c r="B133" s="98" t="s">
        <v>303</v>
      </c>
      <c r="C133" s="179" t="s">
        <v>4</v>
      </c>
      <c r="D133" s="179" t="s">
        <v>5</v>
      </c>
    </row>
    <row r="134" spans="2:17">
      <c r="B134" s="98" t="s">
        <v>307</v>
      </c>
      <c r="C134" s="98" t="s">
        <v>306</v>
      </c>
      <c r="D134" s="98" t="s">
        <v>403</v>
      </c>
      <c r="E134" s="98" t="s">
        <v>235</v>
      </c>
      <c r="F134" s="178" t="s">
        <v>309</v>
      </c>
    </row>
    <row r="135" spans="2:17" ht="18">
      <c r="B135" s="199" t="s">
        <v>356</v>
      </c>
      <c r="C135" s="12">
        <f>E12*$C$19</f>
        <v>690103.47522938927</v>
      </c>
      <c r="D135" s="12">
        <f>F12*$C$20</f>
        <v>21864.537303755536</v>
      </c>
      <c r="E135" s="12">
        <f>$C$23</f>
        <v>1</v>
      </c>
      <c r="F135" s="12">
        <f>(C135+D135)*E135</f>
        <v>711968.01253314479</v>
      </c>
    </row>
    <row r="136" spans="2:17" ht="18">
      <c r="B136" s="199" t="s">
        <v>354</v>
      </c>
      <c r="C136" s="39">
        <f>E12*$D$19</f>
        <v>11.08065952519893</v>
      </c>
      <c r="D136" s="39">
        <f>F12*$D$20</f>
        <v>1.3188133611789052</v>
      </c>
      <c r="E136" s="18">
        <f>$C$24</f>
        <v>28</v>
      </c>
      <c r="F136" s="12">
        <f t="shared" ref="F136:F137" si="32">(C136+D136)*E136</f>
        <v>347.18524081857942</v>
      </c>
    </row>
    <row r="137" spans="2:17" ht="18">
      <c r="B137" s="199" t="s">
        <v>355</v>
      </c>
      <c r="C137" s="194">
        <f>E12*$E$19</f>
        <v>39.890374290716146</v>
      </c>
      <c r="D137" s="194">
        <f>F12*$E$20</f>
        <v>0.60156398930967614</v>
      </c>
      <c r="E137" s="18">
        <f>$C$25</f>
        <v>265</v>
      </c>
      <c r="F137" s="12">
        <f t="shared" si="32"/>
        <v>10730.363644206842</v>
      </c>
    </row>
    <row r="138" spans="2:17" ht="15.6" customHeight="1">
      <c r="B138" s="278" t="s">
        <v>10</v>
      </c>
      <c r="C138" s="278"/>
      <c r="D138" s="278"/>
      <c r="E138" s="278"/>
      <c r="F138" s="200">
        <f>SUM(F135:F137)</f>
        <v>723045.56141817023</v>
      </c>
    </row>
    <row r="139" spans="2:17" ht="15.6" customHeight="1"/>
    <row r="140" spans="2:17">
      <c r="B140" s="98" t="s">
        <v>303</v>
      </c>
      <c r="C140" s="179" t="str">
        <f>C133</f>
        <v>BRMAO</v>
      </c>
      <c r="D140" s="179" t="str">
        <f>D133</f>
        <v>BRPEC</v>
      </c>
      <c r="K140" s="98" t="s">
        <v>303</v>
      </c>
      <c r="L140" s="179" t="str">
        <f>C140</f>
        <v>BRMAO</v>
      </c>
      <c r="M140" s="179" t="str">
        <f>D140</f>
        <v>BRPEC</v>
      </c>
    </row>
    <row r="141" spans="2:17" ht="15.6" customHeight="1">
      <c r="B141" s="5" t="s">
        <v>365</v>
      </c>
      <c r="C141" s="4" t="s">
        <v>4</v>
      </c>
      <c r="D141" s="4" t="s">
        <v>5</v>
      </c>
      <c r="E141" s="4" t="s">
        <v>6</v>
      </c>
      <c r="F141" s="4" t="s">
        <v>7</v>
      </c>
      <c r="G141" s="4" t="s">
        <v>8</v>
      </c>
      <c r="H141" s="4" t="s">
        <v>9</v>
      </c>
      <c r="I141" s="5" t="s">
        <v>47</v>
      </c>
      <c r="K141" s="5" t="s">
        <v>308</v>
      </c>
      <c r="L141" s="4" t="s">
        <v>4</v>
      </c>
      <c r="M141" s="4" t="s">
        <v>5</v>
      </c>
      <c r="N141" s="4" t="s">
        <v>6</v>
      </c>
      <c r="O141" s="4" t="s">
        <v>7</v>
      </c>
      <c r="P141" s="4" t="s">
        <v>8</v>
      </c>
      <c r="Q141" s="4" t="s">
        <v>9</v>
      </c>
    </row>
    <row r="142" spans="2:17">
      <c r="B142" s="10" t="s">
        <v>4</v>
      </c>
      <c r="C142" s="11">
        <f t="shared" ref="C142:H142" si="33">C29</f>
        <v>0</v>
      </c>
      <c r="D142" s="12">
        <f t="shared" si="33"/>
        <v>175</v>
      </c>
      <c r="E142" s="12">
        <f t="shared" si="33"/>
        <v>156</v>
      </c>
      <c r="F142" s="12">
        <f t="shared" si="33"/>
        <v>0</v>
      </c>
      <c r="G142" s="12">
        <f t="shared" si="33"/>
        <v>226</v>
      </c>
      <c r="H142" s="12">
        <f t="shared" si="33"/>
        <v>648</v>
      </c>
      <c r="I142" s="13">
        <f t="shared" ref="I142:I147" si="34">SUM(C142:H142)</f>
        <v>1205</v>
      </c>
      <c r="K142" s="10" t="s">
        <v>4</v>
      </c>
      <c r="L142" s="171">
        <f>IF(C142=0,0,$F$138/$I$148)</f>
        <v>0</v>
      </c>
      <c r="M142" s="60">
        <f t="shared" ref="M142:Q147" si="35">IF(D142=0,0,$F$138/$I$148)</f>
        <v>600.03781030553546</v>
      </c>
      <c r="N142" s="60">
        <f t="shared" si="35"/>
        <v>600.03781030553546</v>
      </c>
      <c r="O142" s="60">
        <f t="shared" si="35"/>
        <v>0</v>
      </c>
      <c r="P142" s="60">
        <f t="shared" si="35"/>
        <v>600.03781030553546</v>
      </c>
      <c r="Q142" s="60">
        <f t="shared" si="35"/>
        <v>600.03781030553546</v>
      </c>
    </row>
    <row r="143" spans="2:17">
      <c r="B143" s="10" t="s">
        <v>5</v>
      </c>
      <c r="C143" s="12"/>
      <c r="D143" s="11"/>
      <c r="E143" s="12"/>
      <c r="F143" s="12"/>
      <c r="G143" s="12"/>
      <c r="H143" s="12"/>
      <c r="I143" s="13">
        <f t="shared" si="34"/>
        <v>0</v>
      </c>
      <c r="K143" s="10" t="s">
        <v>5</v>
      </c>
      <c r="L143" s="60">
        <f t="shared" ref="L143:L147" si="36">IF(C143=0,0,$F$138/$I$148)</f>
        <v>0</v>
      </c>
      <c r="M143" s="171">
        <f t="shared" si="35"/>
        <v>0</v>
      </c>
      <c r="N143" s="60">
        <f t="shared" si="35"/>
        <v>0</v>
      </c>
      <c r="O143" s="60">
        <f t="shared" si="35"/>
        <v>0</v>
      </c>
      <c r="P143" s="60">
        <f t="shared" si="35"/>
        <v>0</v>
      </c>
      <c r="Q143" s="60">
        <f t="shared" si="35"/>
        <v>0</v>
      </c>
    </row>
    <row r="144" spans="2:17">
      <c r="B144" s="10" t="s">
        <v>6</v>
      </c>
      <c r="C144" s="12"/>
      <c r="D144" s="12"/>
      <c r="E144" s="11"/>
      <c r="F144" s="12"/>
      <c r="G144" s="12"/>
      <c r="H144" s="12"/>
      <c r="I144" s="13">
        <f t="shared" si="34"/>
        <v>0</v>
      </c>
      <c r="K144" s="10" t="s">
        <v>6</v>
      </c>
      <c r="L144" s="60">
        <f t="shared" si="36"/>
        <v>0</v>
      </c>
      <c r="M144" s="60">
        <f t="shared" si="35"/>
        <v>0</v>
      </c>
      <c r="N144" s="171">
        <f t="shared" si="35"/>
        <v>0</v>
      </c>
      <c r="O144" s="60">
        <f t="shared" si="35"/>
        <v>0</v>
      </c>
      <c r="P144" s="60">
        <f t="shared" si="35"/>
        <v>0</v>
      </c>
      <c r="Q144" s="60">
        <f t="shared" si="35"/>
        <v>0</v>
      </c>
    </row>
    <row r="145" spans="2:17">
      <c r="B145" s="10" t="s">
        <v>7</v>
      </c>
      <c r="C145" s="12"/>
      <c r="D145" s="12"/>
      <c r="E145" s="12"/>
      <c r="F145" s="11"/>
      <c r="G145" s="12"/>
      <c r="H145" s="12"/>
      <c r="I145" s="13">
        <f t="shared" si="34"/>
        <v>0</v>
      </c>
      <c r="K145" s="10" t="s">
        <v>7</v>
      </c>
      <c r="L145" s="60">
        <f t="shared" si="36"/>
        <v>0</v>
      </c>
      <c r="M145" s="60">
        <f t="shared" si="35"/>
        <v>0</v>
      </c>
      <c r="N145" s="60">
        <f t="shared" si="35"/>
        <v>0</v>
      </c>
      <c r="O145" s="171">
        <f t="shared" si="35"/>
        <v>0</v>
      </c>
      <c r="P145" s="60">
        <f t="shared" si="35"/>
        <v>0</v>
      </c>
      <c r="Q145" s="60">
        <f t="shared" si="35"/>
        <v>0</v>
      </c>
    </row>
    <row r="146" spans="2:17">
      <c r="B146" s="10" t="s">
        <v>8</v>
      </c>
      <c r="C146" s="12"/>
      <c r="D146" s="12"/>
      <c r="E146" s="12"/>
      <c r="F146" s="12"/>
      <c r="G146" s="11"/>
      <c r="H146" s="12"/>
      <c r="I146" s="13">
        <f t="shared" si="34"/>
        <v>0</v>
      </c>
      <c r="K146" s="10" t="s">
        <v>8</v>
      </c>
      <c r="L146" s="60">
        <f t="shared" si="36"/>
        <v>0</v>
      </c>
      <c r="M146" s="60">
        <f t="shared" si="35"/>
        <v>0</v>
      </c>
      <c r="N146" s="60">
        <f t="shared" si="35"/>
        <v>0</v>
      </c>
      <c r="O146" s="60">
        <f t="shared" si="35"/>
        <v>0</v>
      </c>
      <c r="P146" s="171">
        <f t="shared" si="35"/>
        <v>0</v>
      </c>
      <c r="Q146" s="60">
        <f t="shared" si="35"/>
        <v>0</v>
      </c>
    </row>
    <row r="147" spans="2:17">
      <c r="B147" s="10" t="s">
        <v>9</v>
      </c>
      <c r="C147" s="12"/>
      <c r="D147" s="12"/>
      <c r="E147" s="12"/>
      <c r="F147" s="12"/>
      <c r="G147" s="12"/>
      <c r="H147" s="11"/>
      <c r="I147" s="13">
        <f t="shared" si="34"/>
        <v>0</v>
      </c>
      <c r="K147" s="10" t="s">
        <v>9</v>
      </c>
      <c r="L147" s="60">
        <f t="shared" si="36"/>
        <v>0</v>
      </c>
      <c r="M147" s="60">
        <f t="shared" si="35"/>
        <v>0</v>
      </c>
      <c r="N147" s="60">
        <f t="shared" si="35"/>
        <v>0</v>
      </c>
      <c r="O147" s="60">
        <f t="shared" si="35"/>
        <v>0</v>
      </c>
      <c r="P147" s="60">
        <f t="shared" si="35"/>
        <v>0</v>
      </c>
      <c r="Q147" s="171">
        <f t="shared" si="35"/>
        <v>0</v>
      </c>
    </row>
    <row r="148" spans="2:17">
      <c r="B148" s="16" t="s">
        <v>48</v>
      </c>
      <c r="C148" s="13">
        <f t="shared" ref="C148:I148" si="37">SUM(C142:C147)</f>
        <v>0</v>
      </c>
      <c r="D148" s="13">
        <f t="shared" si="37"/>
        <v>175</v>
      </c>
      <c r="E148" s="13">
        <f t="shared" si="37"/>
        <v>156</v>
      </c>
      <c r="F148" s="13">
        <f t="shared" si="37"/>
        <v>0</v>
      </c>
      <c r="G148" s="13">
        <f t="shared" si="37"/>
        <v>226</v>
      </c>
      <c r="H148" s="13">
        <f t="shared" si="37"/>
        <v>648</v>
      </c>
      <c r="I148" s="13">
        <f t="shared" si="37"/>
        <v>1205</v>
      </c>
    </row>
    <row r="152" spans="2:17">
      <c r="B152" s="98" t="s">
        <v>303</v>
      </c>
      <c r="C152" s="179" t="s">
        <v>5</v>
      </c>
      <c r="D152" s="179" t="s">
        <v>6</v>
      </c>
    </row>
    <row r="153" spans="2:17">
      <c r="B153" s="98" t="s">
        <v>307</v>
      </c>
      <c r="C153" s="98" t="s">
        <v>306</v>
      </c>
      <c r="D153" s="98" t="s">
        <v>403</v>
      </c>
      <c r="E153" s="98" t="s">
        <v>235</v>
      </c>
      <c r="F153" s="178" t="s">
        <v>309</v>
      </c>
    </row>
    <row r="154" spans="2:17" ht="18">
      <c r="B154" s="199" t="s">
        <v>356</v>
      </c>
      <c r="C154" s="12">
        <f>E13*$C$19</f>
        <v>225851.40352289582</v>
      </c>
      <c r="D154" s="12">
        <f>F13*$C$20</f>
        <v>6909.7871525453966</v>
      </c>
      <c r="E154" s="12">
        <f>$C$23</f>
        <v>1</v>
      </c>
      <c r="F154" s="12">
        <f>(C154+D154)*E154</f>
        <v>232761.19067544123</v>
      </c>
    </row>
    <row r="155" spans="2:17" ht="18">
      <c r="B155" s="199" t="s">
        <v>354</v>
      </c>
      <c r="C155" s="39">
        <f>E13*$D$19</f>
        <v>3.626387339802438</v>
      </c>
      <c r="D155" s="39">
        <f>F13*$D$20</f>
        <v>0.41678081237575404</v>
      </c>
      <c r="E155" s="18">
        <f>$C$24</f>
        <v>28</v>
      </c>
      <c r="F155" s="12">
        <f t="shared" ref="F155:F156" si="38">(C155+D155)*E155</f>
        <v>113.20870826098938</v>
      </c>
    </row>
    <row r="156" spans="2:17" ht="18">
      <c r="B156" s="199" t="s">
        <v>355</v>
      </c>
      <c r="C156" s="194">
        <f>E13*$E$19</f>
        <v>13.054994423288777</v>
      </c>
      <c r="D156" s="194">
        <f>F13*$E$20</f>
        <v>0.190110545995958</v>
      </c>
      <c r="E156" s="18">
        <f>$C$25</f>
        <v>265</v>
      </c>
      <c r="F156" s="12">
        <f t="shared" si="38"/>
        <v>3509.9528168604547</v>
      </c>
    </row>
    <row r="157" spans="2:17" ht="15.6" customHeight="1">
      <c r="B157" s="278" t="s">
        <v>10</v>
      </c>
      <c r="C157" s="278"/>
      <c r="D157" s="278"/>
      <c r="E157" s="278"/>
      <c r="F157" s="200">
        <f>SUM(F154:F156)</f>
        <v>236384.35220056269</v>
      </c>
    </row>
    <row r="158" spans="2:17" ht="15.6" customHeight="1"/>
    <row r="159" spans="2:17">
      <c r="B159" s="98" t="s">
        <v>303</v>
      </c>
      <c r="C159" s="179" t="str">
        <f>C152</f>
        <v>BRPEC</v>
      </c>
      <c r="D159" s="179" t="str">
        <f>D152</f>
        <v>BRSUA</v>
      </c>
      <c r="K159" s="98" t="s">
        <v>303</v>
      </c>
      <c r="L159" s="179" t="str">
        <f>C159</f>
        <v>BRPEC</v>
      </c>
      <c r="M159" s="179" t="str">
        <f>D159</f>
        <v>BRSUA</v>
      </c>
    </row>
    <row r="160" spans="2:17" ht="15.6" customHeight="1">
      <c r="B160" s="5" t="s">
        <v>365</v>
      </c>
      <c r="C160" s="4" t="s">
        <v>4</v>
      </c>
      <c r="D160" s="4" t="s">
        <v>5</v>
      </c>
      <c r="E160" s="4" t="s">
        <v>6</v>
      </c>
      <c r="F160" s="4" t="s">
        <v>7</v>
      </c>
      <c r="G160" s="4" t="s">
        <v>8</v>
      </c>
      <c r="H160" s="4" t="s">
        <v>9</v>
      </c>
      <c r="I160" s="5" t="s">
        <v>47</v>
      </c>
      <c r="K160" s="5" t="s">
        <v>308</v>
      </c>
      <c r="L160" s="4" t="s">
        <v>4</v>
      </c>
      <c r="M160" s="4" t="s">
        <v>5</v>
      </c>
      <c r="N160" s="4" t="s">
        <v>6</v>
      </c>
      <c r="O160" s="4" t="s">
        <v>7</v>
      </c>
      <c r="P160" s="4" t="s">
        <v>8</v>
      </c>
      <c r="Q160" s="4" t="s">
        <v>9</v>
      </c>
    </row>
    <row r="161" spans="2:17">
      <c r="B161" s="10" t="s">
        <v>4</v>
      </c>
      <c r="C161" s="11"/>
      <c r="D161" s="12"/>
      <c r="E161" s="12">
        <f t="shared" ref="E161:H162" si="39">E29</f>
        <v>156</v>
      </c>
      <c r="F161" s="12">
        <f t="shared" si="39"/>
        <v>0</v>
      </c>
      <c r="G161" s="12">
        <f t="shared" si="39"/>
        <v>226</v>
      </c>
      <c r="H161" s="12">
        <f t="shared" si="39"/>
        <v>648</v>
      </c>
      <c r="I161" s="13">
        <f t="shared" ref="I161:I166" si="40">SUM(C161:H161)</f>
        <v>1030</v>
      </c>
      <c r="K161" s="10" t="s">
        <v>4</v>
      </c>
      <c r="L161" s="171">
        <f>IF(C161=0,0,$F$157/$I$167)</f>
        <v>0</v>
      </c>
      <c r="M161" s="60">
        <f t="shared" ref="M161:Q166" si="41">IF(D161=0,0,$F$157/$I$167)</f>
        <v>0</v>
      </c>
      <c r="N161" s="60">
        <f t="shared" si="41"/>
        <v>199.31226998361103</v>
      </c>
      <c r="O161" s="60">
        <f t="shared" si="41"/>
        <v>0</v>
      </c>
      <c r="P161" s="60">
        <f t="shared" si="41"/>
        <v>199.31226998361103</v>
      </c>
      <c r="Q161" s="60">
        <f t="shared" si="41"/>
        <v>199.31226998361103</v>
      </c>
    </row>
    <row r="162" spans="2:17">
      <c r="B162" s="10" t="s">
        <v>5</v>
      </c>
      <c r="C162" s="12"/>
      <c r="D162" s="11"/>
      <c r="E162" s="12">
        <f t="shared" si="39"/>
        <v>0</v>
      </c>
      <c r="F162" s="12">
        <f t="shared" si="39"/>
        <v>0</v>
      </c>
      <c r="G162" s="12">
        <f t="shared" si="39"/>
        <v>20</v>
      </c>
      <c r="H162" s="12">
        <f t="shared" si="39"/>
        <v>136</v>
      </c>
      <c r="I162" s="13">
        <f t="shared" si="40"/>
        <v>156</v>
      </c>
      <c r="K162" s="10" t="s">
        <v>5</v>
      </c>
      <c r="L162" s="60">
        <f t="shared" ref="L162:L166" si="42">IF(C162=0,0,$F$157/$I$167)</f>
        <v>0</v>
      </c>
      <c r="M162" s="171">
        <f t="shared" si="41"/>
        <v>0</v>
      </c>
      <c r="N162" s="60">
        <f t="shared" si="41"/>
        <v>0</v>
      </c>
      <c r="O162" s="60">
        <f t="shared" si="41"/>
        <v>0</v>
      </c>
      <c r="P162" s="60">
        <f t="shared" si="41"/>
        <v>199.31226998361103</v>
      </c>
      <c r="Q162" s="60">
        <f t="shared" si="41"/>
        <v>199.31226998361103</v>
      </c>
    </row>
    <row r="163" spans="2:17">
      <c r="B163" s="10" t="s">
        <v>6</v>
      </c>
      <c r="C163" s="12"/>
      <c r="D163" s="12"/>
      <c r="E163" s="11"/>
      <c r="F163" s="12"/>
      <c r="G163" s="12"/>
      <c r="H163" s="12"/>
      <c r="I163" s="13">
        <f t="shared" si="40"/>
        <v>0</v>
      </c>
      <c r="K163" s="10" t="s">
        <v>6</v>
      </c>
      <c r="L163" s="60">
        <f t="shared" si="42"/>
        <v>0</v>
      </c>
      <c r="M163" s="60">
        <f t="shared" si="41"/>
        <v>0</v>
      </c>
      <c r="N163" s="171">
        <f t="shared" si="41"/>
        <v>0</v>
      </c>
      <c r="O163" s="60">
        <f t="shared" si="41"/>
        <v>0</v>
      </c>
      <c r="P163" s="60">
        <f t="shared" si="41"/>
        <v>0</v>
      </c>
      <c r="Q163" s="60">
        <f t="shared" si="41"/>
        <v>0</v>
      </c>
    </row>
    <row r="164" spans="2:17">
      <c r="B164" s="10" t="s">
        <v>7</v>
      </c>
      <c r="C164" s="12"/>
      <c r="D164" s="12"/>
      <c r="E164" s="12"/>
      <c r="F164" s="11"/>
      <c r="G164" s="12"/>
      <c r="H164" s="12"/>
      <c r="I164" s="13">
        <f t="shared" si="40"/>
        <v>0</v>
      </c>
      <c r="K164" s="10" t="s">
        <v>7</v>
      </c>
      <c r="L164" s="60">
        <f t="shared" si="42"/>
        <v>0</v>
      </c>
      <c r="M164" s="60">
        <f t="shared" si="41"/>
        <v>0</v>
      </c>
      <c r="N164" s="60">
        <f t="shared" si="41"/>
        <v>0</v>
      </c>
      <c r="O164" s="171">
        <f t="shared" si="41"/>
        <v>0</v>
      </c>
      <c r="P164" s="60">
        <f t="shared" si="41"/>
        <v>0</v>
      </c>
      <c r="Q164" s="60">
        <f t="shared" si="41"/>
        <v>0</v>
      </c>
    </row>
    <row r="165" spans="2:17">
      <c r="B165" s="10" t="s">
        <v>8</v>
      </c>
      <c r="C165" s="12"/>
      <c r="D165" s="12"/>
      <c r="E165" s="12"/>
      <c r="F165" s="12"/>
      <c r="G165" s="11"/>
      <c r="H165" s="12"/>
      <c r="I165" s="13">
        <f t="shared" si="40"/>
        <v>0</v>
      </c>
      <c r="K165" s="10" t="s">
        <v>8</v>
      </c>
      <c r="L165" s="60">
        <f t="shared" si="42"/>
        <v>0</v>
      </c>
      <c r="M165" s="60">
        <f t="shared" si="41"/>
        <v>0</v>
      </c>
      <c r="N165" s="60">
        <f t="shared" si="41"/>
        <v>0</v>
      </c>
      <c r="O165" s="60">
        <f t="shared" si="41"/>
        <v>0</v>
      </c>
      <c r="P165" s="171">
        <f t="shared" si="41"/>
        <v>0</v>
      </c>
      <c r="Q165" s="60">
        <f t="shared" si="41"/>
        <v>0</v>
      </c>
    </row>
    <row r="166" spans="2:17">
      <c r="B166" s="10" t="s">
        <v>9</v>
      </c>
      <c r="C166" s="12"/>
      <c r="D166" s="12"/>
      <c r="E166" s="12"/>
      <c r="F166" s="12"/>
      <c r="G166" s="12"/>
      <c r="H166" s="11"/>
      <c r="I166" s="13">
        <f t="shared" si="40"/>
        <v>0</v>
      </c>
      <c r="K166" s="10" t="s">
        <v>9</v>
      </c>
      <c r="L166" s="60">
        <f t="shared" si="42"/>
        <v>0</v>
      </c>
      <c r="M166" s="60">
        <f t="shared" si="41"/>
        <v>0</v>
      </c>
      <c r="N166" s="60">
        <f t="shared" si="41"/>
        <v>0</v>
      </c>
      <c r="O166" s="60">
        <f t="shared" si="41"/>
        <v>0</v>
      </c>
      <c r="P166" s="60">
        <f t="shared" si="41"/>
        <v>0</v>
      </c>
      <c r="Q166" s="171">
        <f t="shared" si="41"/>
        <v>0</v>
      </c>
    </row>
    <row r="167" spans="2:17">
      <c r="B167" s="16" t="s">
        <v>48</v>
      </c>
      <c r="C167" s="13">
        <f t="shared" ref="C167:I167" si="43">SUM(C161:C166)</f>
        <v>0</v>
      </c>
      <c r="D167" s="13">
        <f t="shared" si="43"/>
        <v>0</v>
      </c>
      <c r="E167" s="13">
        <f t="shared" si="43"/>
        <v>156</v>
      </c>
      <c r="F167" s="13">
        <f t="shared" si="43"/>
        <v>0</v>
      </c>
      <c r="G167" s="13">
        <f t="shared" si="43"/>
        <v>246</v>
      </c>
      <c r="H167" s="13">
        <f t="shared" si="43"/>
        <v>784</v>
      </c>
      <c r="I167" s="13">
        <f t="shared" si="43"/>
        <v>1186</v>
      </c>
    </row>
    <row r="171" spans="2:17">
      <c r="B171" s="98" t="s">
        <v>303</v>
      </c>
      <c r="C171" s="179" t="s">
        <v>6</v>
      </c>
      <c r="D171" s="179" t="s">
        <v>9</v>
      </c>
    </row>
    <row r="172" spans="2:17">
      <c r="B172" s="98" t="s">
        <v>307</v>
      </c>
      <c r="C172" s="98" t="s">
        <v>306</v>
      </c>
      <c r="D172" s="98" t="s">
        <v>403</v>
      </c>
      <c r="E172" s="98" t="s">
        <v>235</v>
      </c>
      <c r="F172" s="178" t="s">
        <v>309</v>
      </c>
    </row>
    <row r="173" spans="2:17" ht="18">
      <c r="B173" s="199" t="s">
        <v>356</v>
      </c>
      <c r="C173" s="12">
        <f>E14*$C$19</f>
        <v>642445.29452553834</v>
      </c>
      <c r="D173" s="12">
        <f>F14*$C$20</f>
        <v>19655.188658097602</v>
      </c>
      <c r="E173" s="12">
        <f>$C$23</f>
        <v>1</v>
      </c>
      <c r="F173" s="12">
        <f>(C173+D173)*E173</f>
        <v>662100.48318363598</v>
      </c>
    </row>
    <row r="174" spans="2:17" ht="18">
      <c r="B174" s="199" t="s">
        <v>354</v>
      </c>
      <c r="C174" s="39">
        <f>E14*$D$19</f>
        <v>10.315435043762658</v>
      </c>
      <c r="D174" s="39">
        <f>F14*$D$20</f>
        <v>1.1855510619169982</v>
      </c>
      <c r="E174" s="18">
        <f>$C$24</f>
        <v>28</v>
      </c>
      <c r="F174" s="12">
        <f t="shared" ref="F174:F175" si="44">(C174+D174)*E174</f>
        <v>322.02761095903037</v>
      </c>
    </row>
    <row r="175" spans="2:17" ht="18">
      <c r="B175" s="199" t="s">
        <v>355</v>
      </c>
      <c r="C175" s="194">
        <f>E14*$E$19</f>
        <v>37.135566157545568</v>
      </c>
      <c r="D175" s="194">
        <f>F14*$E$20</f>
        <v>0.54077767736564841</v>
      </c>
      <c r="E175" s="18">
        <f>$C$25</f>
        <v>265</v>
      </c>
      <c r="F175" s="12">
        <f t="shared" si="44"/>
        <v>9984.2311162514725</v>
      </c>
    </row>
    <row r="176" spans="2:17" ht="15.6" customHeight="1">
      <c r="B176" s="278" t="s">
        <v>10</v>
      </c>
      <c r="C176" s="278"/>
      <c r="D176" s="278"/>
      <c r="E176" s="278"/>
      <c r="F176" s="200">
        <f>SUM(F173:F175)</f>
        <v>672406.74191084644</v>
      </c>
    </row>
    <row r="177" spans="2:17" ht="15.6" customHeight="1"/>
    <row r="178" spans="2:17">
      <c r="B178" s="98" t="s">
        <v>303</v>
      </c>
      <c r="C178" s="179" t="str">
        <f>C171</f>
        <v>BRSUA</v>
      </c>
      <c r="D178" s="179" t="str">
        <f>D171</f>
        <v>BRSSZ</v>
      </c>
      <c r="K178" s="98" t="s">
        <v>303</v>
      </c>
      <c r="L178" s="179" t="str">
        <f>C178</f>
        <v>BRSUA</v>
      </c>
      <c r="M178" s="179" t="str">
        <f>D178</f>
        <v>BRSSZ</v>
      </c>
    </row>
    <row r="179" spans="2:17" ht="15.6" customHeight="1">
      <c r="B179" s="5" t="s">
        <v>365</v>
      </c>
      <c r="C179" s="4" t="s">
        <v>4</v>
      </c>
      <c r="D179" s="4" t="s">
        <v>5</v>
      </c>
      <c r="E179" s="4" t="s">
        <v>6</v>
      </c>
      <c r="F179" s="4" t="s">
        <v>7</v>
      </c>
      <c r="G179" s="4" t="s">
        <v>8</v>
      </c>
      <c r="H179" s="4" t="s">
        <v>9</v>
      </c>
      <c r="I179" s="5" t="s">
        <v>47</v>
      </c>
      <c r="K179" s="5" t="s">
        <v>308</v>
      </c>
      <c r="L179" s="4" t="s">
        <v>4</v>
      </c>
      <c r="M179" s="4" t="s">
        <v>5</v>
      </c>
      <c r="N179" s="4" t="s">
        <v>6</v>
      </c>
      <c r="O179" s="4" t="s">
        <v>7</v>
      </c>
      <c r="P179" s="4" t="s">
        <v>8</v>
      </c>
      <c r="Q179" s="4" t="s">
        <v>9</v>
      </c>
    </row>
    <row r="180" spans="2:17">
      <c r="B180" s="10" t="s">
        <v>4</v>
      </c>
      <c r="C180" s="11"/>
      <c r="D180" s="12"/>
      <c r="E180" s="12"/>
      <c r="F180" s="12"/>
      <c r="G180" s="12">
        <f t="shared" ref="G180:H182" si="45">G29</f>
        <v>226</v>
      </c>
      <c r="H180" s="12">
        <f t="shared" si="45"/>
        <v>648</v>
      </c>
      <c r="I180" s="13">
        <f t="shared" ref="I180:I185" si="46">SUM(C180:H180)</f>
        <v>874</v>
      </c>
      <c r="K180" s="10" t="s">
        <v>4</v>
      </c>
      <c r="L180" s="171">
        <f>IF(C180=0,0,$F$176/$I$186)</f>
        <v>0</v>
      </c>
      <c r="M180" s="60">
        <f t="shared" ref="M180:Q185" si="47">IF(D180=0,0,$F$176/$I$186)</f>
        <v>0</v>
      </c>
      <c r="N180" s="60">
        <f t="shared" si="47"/>
        <v>0</v>
      </c>
      <c r="O180" s="60">
        <f t="shared" si="47"/>
        <v>0</v>
      </c>
      <c r="P180" s="60">
        <f t="shared" si="47"/>
        <v>601.43715734422756</v>
      </c>
      <c r="Q180" s="60">
        <f t="shared" si="47"/>
        <v>601.43715734422756</v>
      </c>
    </row>
    <row r="181" spans="2:17">
      <c r="B181" s="10" t="s">
        <v>5</v>
      </c>
      <c r="C181" s="12"/>
      <c r="D181" s="11"/>
      <c r="E181" s="12"/>
      <c r="F181" s="12"/>
      <c r="G181" s="12">
        <f t="shared" si="45"/>
        <v>20</v>
      </c>
      <c r="H181" s="12">
        <f t="shared" si="45"/>
        <v>136</v>
      </c>
      <c r="I181" s="13">
        <f t="shared" si="46"/>
        <v>156</v>
      </c>
      <c r="K181" s="10" t="s">
        <v>5</v>
      </c>
      <c r="L181" s="60">
        <f t="shared" ref="L181:L185" si="48">IF(C181=0,0,$F$176/$I$186)</f>
        <v>0</v>
      </c>
      <c r="M181" s="171">
        <f t="shared" si="47"/>
        <v>0</v>
      </c>
      <c r="N181" s="60">
        <f t="shared" si="47"/>
        <v>0</v>
      </c>
      <c r="O181" s="60">
        <f t="shared" si="47"/>
        <v>0</v>
      </c>
      <c r="P181" s="60">
        <f t="shared" si="47"/>
        <v>601.43715734422756</v>
      </c>
      <c r="Q181" s="60">
        <f t="shared" si="47"/>
        <v>601.43715734422756</v>
      </c>
    </row>
    <row r="182" spans="2:17">
      <c r="B182" s="10" t="s">
        <v>6</v>
      </c>
      <c r="C182" s="12"/>
      <c r="D182" s="12"/>
      <c r="E182" s="11"/>
      <c r="F182" s="12"/>
      <c r="G182" s="12">
        <f t="shared" si="45"/>
        <v>30</v>
      </c>
      <c r="H182" s="12">
        <f t="shared" si="45"/>
        <v>58</v>
      </c>
      <c r="I182" s="13">
        <f t="shared" si="46"/>
        <v>88</v>
      </c>
      <c r="K182" s="10" t="s">
        <v>6</v>
      </c>
      <c r="L182" s="60">
        <f t="shared" si="48"/>
        <v>0</v>
      </c>
      <c r="M182" s="60">
        <f t="shared" si="47"/>
        <v>0</v>
      </c>
      <c r="N182" s="171">
        <f t="shared" si="47"/>
        <v>0</v>
      </c>
      <c r="O182" s="60">
        <f t="shared" si="47"/>
        <v>0</v>
      </c>
      <c r="P182" s="60">
        <f t="shared" si="47"/>
        <v>601.43715734422756</v>
      </c>
      <c r="Q182" s="60">
        <f t="shared" si="47"/>
        <v>601.43715734422756</v>
      </c>
    </row>
    <row r="183" spans="2:17">
      <c r="B183" s="10" t="s">
        <v>7</v>
      </c>
      <c r="C183" s="12"/>
      <c r="D183" s="12"/>
      <c r="E183" s="12"/>
      <c r="F183" s="11"/>
      <c r="G183" s="12"/>
      <c r="H183" s="12"/>
      <c r="I183" s="13">
        <f t="shared" si="46"/>
        <v>0</v>
      </c>
      <c r="K183" s="10" t="s">
        <v>7</v>
      </c>
      <c r="L183" s="60">
        <f t="shared" si="48"/>
        <v>0</v>
      </c>
      <c r="M183" s="60">
        <f t="shared" si="47"/>
        <v>0</v>
      </c>
      <c r="N183" s="60">
        <f t="shared" si="47"/>
        <v>0</v>
      </c>
      <c r="O183" s="171">
        <f t="shared" si="47"/>
        <v>0</v>
      </c>
      <c r="P183" s="60">
        <f t="shared" si="47"/>
        <v>0</v>
      </c>
      <c r="Q183" s="60">
        <f t="shared" si="47"/>
        <v>0</v>
      </c>
    </row>
    <row r="184" spans="2:17">
      <c r="B184" s="10" t="s">
        <v>8</v>
      </c>
      <c r="C184" s="12"/>
      <c r="D184" s="12"/>
      <c r="E184" s="12"/>
      <c r="F184" s="12"/>
      <c r="G184" s="11"/>
      <c r="H184" s="12"/>
      <c r="I184" s="13">
        <f t="shared" si="46"/>
        <v>0</v>
      </c>
      <c r="K184" s="10" t="s">
        <v>8</v>
      </c>
      <c r="L184" s="60">
        <f t="shared" si="48"/>
        <v>0</v>
      </c>
      <c r="M184" s="60">
        <f t="shared" si="47"/>
        <v>0</v>
      </c>
      <c r="N184" s="60">
        <f t="shared" si="47"/>
        <v>0</v>
      </c>
      <c r="O184" s="60">
        <f t="shared" si="47"/>
        <v>0</v>
      </c>
      <c r="P184" s="171">
        <f t="shared" si="47"/>
        <v>0</v>
      </c>
      <c r="Q184" s="60">
        <f t="shared" si="47"/>
        <v>0</v>
      </c>
    </row>
    <row r="185" spans="2:17">
      <c r="B185" s="10" t="s">
        <v>9</v>
      </c>
      <c r="C185" s="12"/>
      <c r="D185" s="12"/>
      <c r="E185" s="12"/>
      <c r="F185" s="12"/>
      <c r="G185" s="12"/>
      <c r="H185" s="11"/>
      <c r="I185" s="13">
        <f t="shared" si="46"/>
        <v>0</v>
      </c>
      <c r="K185" s="10" t="s">
        <v>9</v>
      </c>
      <c r="L185" s="60">
        <f t="shared" si="48"/>
        <v>0</v>
      </c>
      <c r="M185" s="60">
        <f t="shared" si="47"/>
        <v>0</v>
      </c>
      <c r="N185" s="60">
        <f t="shared" si="47"/>
        <v>0</v>
      </c>
      <c r="O185" s="60">
        <f t="shared" si="47"/>
        <v>0</v>
      </c>
      <c r="P185" s="60">
        <f t="shared" si="47"/>
        <v>0</v>
      </c>
      <c r="Q185" s="171">
        <f t="shared" si="47"/>
        <v>0</v>
      </c>
    </row>
    <row r="186" spans="2:17">
      <c r="B186" s="16" t="s">
        <v>48</v>
      </c>
      <c r="C186" s="13">
        <f t="shared" ref="C186:I186" si="49">SUM(C180:C185)</f>
        <v>0</v>
      </c>
      <c r="D186" s="13">
        <f t="shared" si="49"/>
        <v>0</v>
      </c>
      <c r="E186" s="13">
        <f t="shared" si="49"/>
        <v>0</v>
      </c>
      <c r="F186" s="13">
        <f t="shared" si="49"/>
        <v>0</v>
      </c>
      <c r="G186" s="13">
        <f t="shared" si="49"/>
        <v>276</v>
      </c>
      <c r="H186" s="13">
        <f t="shared" si="49"/>
        <v>842</v>
      </c>
      <c r="I186" s="13">
        <f t="shared" si="49"/>
        <v>1118</v>
      </c>
    </row>
    <row r="189" spans="2:17" ht="18">
      <c r="K189" s="260" t="s">
        <v>472</v>
      </c>
      <c r="L189" s="260"/>
      <c r="M189" s="260"/>
      <c r="N189" s="260"/>
      <c r="O189" s="260"/>
      <c r="P189" s="260"/>
      <c r="Q189" s="260"/>
    </row>
    <row r="190" spans="2:17">
      <c r="K190" s="5" t="s">
        <v>473</v>
      </c>
      <c r="L190" s="4" t="s">
        <v>4</v>
      </c>
      <c r="M190" s="4" t="s">
        <v>5</v>
      </c>
      <c r="N190" s="4" t="s">
        <v>6</v>
      </c>
      <c r="O190" s="4" t="s">
        <v>7</v>
      </c>
      <c r="P190" s="4" t="s">
        <v>8</v>
      </c>
      <c r="Q190" s="4" t="s">
        <v>9</v>
      </c>
    </row>
    <row r="191" spans="2:17">
      <c r="K191" s="10" t="s">
        <v>4</v>
      </c>
      <c r="L191" s="171">
        <f>L47+L66+L85+L104+L123+L142+L161+L180</f>
        <v>0</v>
      </c>
      <c r="M191" s="60">
        <f t="shared" ref="M191:Q191" si="50">M47+M66+M85+M104+M123+M142+M161+M180</f>
        <v>600.03781030553546</v>
      </c>
      <c r="N191" s="60">
        <f t="shared" si="50"/>
        <v>799.35008028914649</v>
      </c>
      <c r="O191" s="60">
        <f t="shared" si="50"/>
        <v>0</v>
      </c>
      <c r="P191" s="60">
        <f t="shared" si="50"/>
        <v>1471.5877526527793</v>
      </c>
      <c r="Q191" s="60">
        <f t="shared" si="50"/>
        <v>1400.7872376333739</v>
      </c>
    </row>
    <row r="192" spans="2:17">
      <c r="K192" s="10" t="s">
        <v>5</v>
      </c>
      <c r="L192" s="60">
        <f t="shared" ref="L192:Q196" si="51">L48+L67+L86+L105+L124+L143+L162+L181</f>
        <v>865.93443834098787</v>
      </c>
      <c r="M192" s="171">
        <f t="shared" si="51"/>
        <v>0</v>
      </c>
      <c r="N192" s="60">
        <f t="shared" si="51"/>
        <v>0</v>
      </c>
      <c r="O192" s="60">
        <f t="shared" si="51"/>
        <v>0</v>
      </c>
      <c r="P192" s="60">
        <f t="shared" si="51"/>
        <v>871.54994234724393</v>
      </c>
      <c r="Q192" s="60">
        <f t="shared" si="51"/>
        <v>800.74942732783859</v>
      </c>
    </row>
    <row r="193" spans="2:17">
      <c r="K193" s="10" t="s">
        <v>6</v>
      </c>
      <c r="L193" s="60">
        <f t="shared" si="51"/>
        <v>1088.1370101311215</v>
      </c>
      <c r="M193" s="60">
        <f t="shared" si="51"/>
        <v>0</v>
      </c>
      <c r="N193" s="171">
        <f t="shared" si="51"/>
        <v>0</v>
      </c>
      <c r="O193" s="60">
        <f t="shared" si="51"/>
        <v>0</v>
      </c>
      <c r="P193" s="60">
        <f t="shared" si="51"/>
        <v>672.2376723636329</v>
      </c>
      <c r="Q193" s="60">
        <f t="shared" si="51"/>
        <v>601.43715734422756</v>
      </c>
    </row>
    <row r="194" spans="2:17">
      <c r="K194" s="10" t="s">
        <v>7</v>
      </c>
      <c r="L194" s="60">
        <f t="shared" si="51"/>
        <v>1266.7035785828909</v>
      </c>
      <c r="M194" s="60">
        <f t="shared" si="51"/>
        <v>400.76914024190307</v>
      </c>
      <c r="N194" s="60">
        <f t="shared" si="51"/>
        <v>178.5665684517694</v>
      </c>
      <c r="O194" s="171">
        <f t="shared" si="51"/>
        <v>0</v>
      </c>
      <c r="P194" s="60">
        <f t="shared" si="51"/>
        <v>0</v>
      </c>
      <c r="Q194" s="60">
        <f t="shared" si="51"/>
        <v>0</v>
      </c>
    </row>
    <row r="195" spans="2:17">
      <c r="K195" s="10" t="s">
        <v>8</v>
      </c>
      <c r="L195" s="60">
        <f t="shared" si="51"/>
        <v>1623.5977248908694</v>
      </c>
      <c r="M195" s="60">
        <f t="shared" si="51"/>
        <v>757.66328654988149</v>
      </c>
      <c r="N195" s="60">
        <f t="shared" si="51"/>
        <v>535.46071475974782</v>
      </c>
      <c r="O195" s="60">
        <f t="shared" si="51"/>
        <v>356.89414630797836</v>
      </c>
      <c r="P195" s="171">
        <f t="shared" si="51"/>
        <v>0</v>
      </c>
      <c r="Q195" s="60">
        <f t="shared" si="51"/>
        <v>0</v>
      </c>
    </row>
    <row r="196" spans="2:17">
      <c r="K196" s="10" t="s">
        <v>9</v>
      </c>
      <c r="L196" s="60">
        <f t="shared" si="51"/>
        <v>1694.3982399102747</v>
      </c>
      <c r="M196" s="60">
        <f t="shared" si="51"/>
        <v>828.46380156928683</v>
      </c>
      <c r="N196" s="60">
        <f t="shared" si="51"/>
        <v>606.26122977915315</v>
      </c>
      <c r="O196" s="60">
        <f t="shared" si="51"/>
        <v>427.6946613273837</v>
      </c>
      <c r="P196" s="60">
        <f t="shared" si="51"/>
        <v>0</v>
      </c>
      <c r="Q196" s="171">
        <f t="shared" si="51"/>
        <v>0</v>
      </c>
    </row>
    <row r="199" spans="2:17" ht="18">
      <c r="B199" s="176" t="s">
        <v>256</v>
      </c>
      <c r="C199" s="12">
        <f>F43+F62+F81+F100+F119+F138+F157+F176</f>
        <v>3399504.4111645524</v>
      </c>
    </row>
  </sheetData>
  <mergeCells count="11">
    <mergeCell ref="B119:E119"/>
    <mergeCell ref="B138:E138"/>
    <mergeCell ref="B157:E157"/>
    <mergeCell ref="B176:E176"/>
    <mergeCell ref="K189:Q189"/>
    <mergeCell ref="B100:E100"/>
    <mergeCell ref="E5:F5"/>
    <mergeCell ref="C17:E17"/>
    <mergeCell ref="B43:E43"/>
    <mergeCell ref="B62:E62"/>
    <mergeCell ref="B81:E81"/>
  </mergeCells>
  <pageMargins left="0.511811024" right="0.511811024" top="0.78740157499999996" bottom="0.78740157499999996" header="0.31496062000000002" footer="0.3149606200000000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6A49-8746-4208-B1F4-F5F9709168AA}">
  <dimension ref="B2:Q198"/>
  <sheetViews>
    <sheetView showGridLines="0" zoomScale="70" zoomScaleNormal="70" workbookViewId="0">
      <selection activeCell="I18" sqref="I18"/>
    </sheetView>
  </sheetViews>
  <sheetFormatPr defaultRowHeight="15.6"/>
  <cols>
    <col min="1" max="1" width="8.83984375" style="169"/>
    <col min="2" max="2" width="25.9453125" style="169" customWidth="1"/>
    <col min="3" max="3" width="16.89453125" style="169" customWidth="1"/>
    <col min="4" max="4" width="16.7890625" style="169" customWidth="1"/>
    <col min="5" max="5" width="14.578125" style="169" customWidth="1"/>
    <col min="6" max="6" width="13.20703125" style="169" customWidth="1"/>
    <col min="7" max="7" width="10.68359375" style="169" customWidth="1"/>
    <col min="8" max="8" width="12.3671875" style="169" customWidth="1"/>
    <col min="9" max="9" width="13.62890625" style="169" customWidth="1"/>
    <col min="10" max="10" width="2.578125" style="169" customWidth="1"/>
    <col min="11" max="11" width="23.734375" style="169" customWidth="1"/>
    <col min="12" max="12" width="13.05078125" style="169" customWidth="1"/>
    <col min="13" max="13" width="22.15625" style="169" customWidth="1"/>
    <col min="14" max="14" width="18.3125" style="169" bestFit="1" customWidth="1"/>
    <col min="15" max="15" width="15.20703125" style="169" customWidth="1"/>
    <col min="16" max="16" width="14.83984375" style="169" customWidth="1"/>
    <col min="17" max="17" width="14.3125" style="169" customWidth="1"/>
    <col min="18" max="18" width="13.734375" style="169" customWidth="1"/>
    <col min="19" max="19" width="12.3671875" style="169" customWidth="1"/>
    <col min="20" max="20" width="24.83984375" style="169" customWidth="1"/>
    <col min="21" max="24" width="8.83984375" style="169"/>
    <col min="25" max="25" width="16.47265625" style="169" customWidth="1"/>
    <col min="26" max="16384" width="8.83984375" style="169"/>
  </cols>
  <sheetData>
    <row r="2" spans="2:6">
      <c r="B2" s="191" t="s">
        <v>367</v>
      </c>
    </row>
    <row r="3" spans="2:6">
      <c r="B3" s="191" t="s">
        <v>366</v>
      </c>
    </row>
    <row r="5" spans="2:6">
      <c r="E5" s="260" t="s">
        <v>364</v>
      </c>
      <c r="F5" s="260"/>
    </row>
    <row r="6" spans="2:6">
      <c r="B6" s="98" t="s">
        <v>361</v>
      </c>
      <c r="C6" s="98" t="s">
        <v>362</v>
      </c>
      <c r="D6" s="98" t="s">
        <v>379</v>
      </c>
      <c r="E6" s="98" t="s">
        <v>512</v>
      </c>
      <c r="F6" s="98" t="s">
        <v>512</v>
      </c>
    </row>
    <row r="7" spans="2:6">
      <c r="B7" s="6" t="s">
        <v>9</v>
      </c>
      <c r="C7" s="6" t="s">
        <v>8</v>
      </c>
      <c r="D7" s="227">
        <f>CabotageProforma_KAB01!AN21</f>
        <v>0.37587637299267557</v>
      </c>
      <c r="E7" s="81">
        <f>'Navio Viagem Base C1'!E7*'Fatores Emissao'!$C$95/'Fatores Emissao'!$C$99</f>
        <v>20.759135182917042</v>
      </c>
      <c r="F7" s="81">
        <f>'Navio Viagem Base C1'!F7*'Fatores Emissao'!$C$96/'Fatores Emissao'!$C$99</f>
        <v>0.66874671361613525</v>
      </c>
    </row>
    <row r="8" spans="2:6">
      <c r="B8" s="6" t="s">
        <v>8</v>
      </c>
      <c r="C8" s="6" t="s">
        <v>7</v>
      </c>
      <c r="D8" s="227">
        <f>CabotageProforma_KAB01!AN22</f>
        <v>2.0170134405992233</v>
      </c>
      <c r="E8" s="81">
        <f>'Navio Viagem Base C1'!E8*'Fatores Emissao'!$C$95/'Fatores Emissao'!$C$99</f>
        <v>111.39779123210207</v>
      </c>
      <c r="F8" s="81">
        <f>'Navio Viagem Base C1'!F8*'Fatores Emissao'!$C$96/'Fatores Emissao'!$C$99</f>
        <v>3.5886030797327848</v>
      </c>
    </row>
    <row r="9" spans="2:6">
      <c r="B9" s="6" t="s">
        <v>7</v>
      </c>
      <c r="C9" s="6" t="s">
        <v>6</v>
      </c>
      <c r="D9" s="227">
        <f>CabotageProforma_KAB01!AN23</f>
        <v>0.96351607049443455</v>
      </c>
      <c r="E9" s="81">
        <f>'Navio Viagem Base C1'!E9*'Fatores Emissao'!$C$95/'Fatores Emissao'!$C$99</f>
        <v>53.213531106317731</v>
      </c>
      <c r="F9" s="81">
        <f>'Navio Viagem Base C1'!F9*'Fatores Emissao'!$C$96/'Fatores Emissao'!$C$99</f>
        <v>1.714255675421348</v>
      </c>
    </row>
    <row r="10" spans="2:6">
      <c r="B10" s="6" t="s">
        <v>6</v>
      </c>
      <c r="C10" s="6" t="s">
        <v>5</v>
      </c>
      <c r="D10" s="227">
        <f>CabotageProforma_KAB01!AN24</f>
        <v>1.1863739452320123</v>
      </c>
      <c r="E10" s="81">
        <f>'Navio Viagem Base C1'!E10*'Fatores Emissao'!$C$95/'Fatores Emissao'!$C$99</f>
        <v>62.515645251180253</v>
      </c>
      <c r="F10" s="81">
        <f>'Navio Viagem Base C1'!F10*'Fatores Emissao'!$C$96/'Fatores Emissao'!$C$99</f>
        <v>2.1107569775586223</v>
      </c>
    </row>
    <row r="11" spans="2:6">
      <c r="B11" s="6" t="s">
        <v>5</v>
      </c>
      <c r="C11" s="6" t="s">
        <v>4</v>
      </c>
      <c r="D11" s="227">
        <f>CabotageProforma_KAB01!AN25+CabotageProforma_KAB01!AN26</f>
        <v>3.9329202760352251</v>
      </c>
      <c r="E11" s="81">
        <f>'Navio Viagem Base C1'!E11*'Fatores Emissao'!$C$95/'Fatores Emissao'!$C$99</f>
        <v>223.38069437292916</v>
      </c>
      <c r="F11" s="81">
        <f>'Navio Viagem Base C1'!F11*'Fatores Emissao'!$C$96/'Fatores Emissao'!$C$99</f>
        <v>6.9973206577793379</v>
      </c>
    </row>
    <row r="12" spans="2:6">
      <c r="B12" s="6" t="s">
        <v>4</v>
      </c>
      <c r="C12" s="6" t="s">
        <v>5</v>
      </c>
      <c r="D12" s="227">
        <f>CabotageProforma_KAB01!AN27+CabotageProforma_KAB01!AN28</f>
        <v>3.6099916769591287</v>
      </c>
      <c r="E12" s="81">
        <f>'Navio Viagem Base C1'!E12*'Fatores Emissao'!$C$95/'Fatores Emissao'!$C$99</f>
        <v>192.52645925033141</v>
      </c>
      <c r="F12" s="81">
        <f>'Navio Viagem Base C1'!F12*'Fatores Emissao'!$C$96/'Fatores Emissao'!$C$99</f>
        <v>6.422776858589784</v>
      </c>
    </row>
    <row r="13" spans="2:6">
      <c r="B13" s="6" t="s">
        <v>5</v>
      </c>
      <c r="C13" s="6" t="s">
        <v>6</v>
      </c>
      <c r="D13" s="227">
        <f>CabotageProforma_KAB01!AN29</f>
        <v>1.1408553386566966</v>
      </c>
      <c r="E13" s="81">
        <f>'Navio Viagem Base C1'!E13*'Fatores Emissao'!$C$95/'Fatores Emissao'!$C$99</f>
        <v>63.008480029067364</v>
      </c>
      <c r="F13" s="81">
        <f>'Navio Viagem Base C1'!F13*'Fatores Emissao'!$C$96/'Fatores Emissao'!$C$99</f>
        <v>2.029771790026706</v>
      </c>
    </row>
    <row r="14" spans="2:6">
      <c r="B14" s="6" t="s">
        <v>6</v>
      </c>
      <c r="C14" s="6" t="s">
        <v>9</v>
      </c>
      <c r="D14" s="227">
        <f>CabotageProforma_KAB01!AN30</f>
        <v>3.2452123948036302</v>
      </c>
      <c r="E14" s="81">
        <f>'Navio Viagem Base C1'!E14*'Fatores Emissao'!$C$95/'Fatores Emissao'!$C$99</f>
        <v>179.23068388537618</v>
      </c>
      <c r="F14" s="81">
        <f>'Navio Viagem Base C1'!F14*'Fatores Emissao'!$C$96/'Fatores Emissao'!$C$99</f>
        <v>5.7737737190881262</v>
      </c>
    </row>
    <row r="15" spans="2:6">
      <c r="D15" s="198"/>
    </row>
    <row r="16" spans="2:6">
      <c r="D16" s="198"/>
    </row>
    <row r="17" spans="2:9">
      <c r="C17" s="263" t="s">
        <v>234</v>
      </c>
      <c r="D17" s="264"/>
      <c r="E17" s="265"/>
    </row>
    <row r="18" spans="2:9" ht="18">
      <c r="B18" s="34" t="s">
        <v>221</v>
      </c>
      <c r="C18" s="180" t="s">
        <v>310</v>
      </c>
      <c r="D18" s="180" t="s">
        <v>311</v>
      </c>
      <c r="E18" s="180" t="s">
        <v>312</v>
      </c>
    </row>
    <row r="19" spans="2:9">
      <c r="B19" s="84" t="s">
        <v>216</v>
      </c>
      <c r="C19" s="113">
        <f>'Fatores Emissao'!C64</f>
        <v>2750</v>
      </c>
      <c r="D19" s="181">
        <f>'Fatores Emissao'!D64</f>
        <v>11.96</v>
      </c>
      <c r="E19" s="181">
        <f>'Fatores Emissao'!E64</f>
        <v>0.1</v>
      </c>
    </row>
    <row r="21" spans="2:9">
      <c r="B21" s="98" t="s">
        <v>236</v>
      </c>
      <c r="C21" s="98" t="s">
        <v>235</v>
      </c>
    </row>
    <row r="22" spans="2:9" ht="18">
      <c r="B22" s="18" t="s">
        <v>251</v>
      </c>
      <c r="C22" s="18">
        <v>1</v>
      </c>
    </row>
    <row r="23" spans="2:9" ht="18">
      <c r="B23" s="18" t="s">
        <v>252</v>
      </c>
      <c r="C23" s="18">
        <v>28</v>
      </c>
    </row>
    <row r="24" spans="2:9" ht="18">
      <c r="B24" s="18" t="s">
        <v>253</v>
      </c>
      <c r="C24" s="18">
        <v>265</v>
      </c>
    </row>
    <row r="25" spans="2:9">
      <c r="D25" s="198"/>
    </row>
    <row r="27" spans="2:9">
      <c r="B27" s="5" t="s">
        <v>188</v>
      </c>
      <c r="C27" s="4" t="s">
        <v>4</v>
      </c>
      <c r="D27" s="4" t="s">
        <v>5</v>
      </c>
      <c r="E27" s="4" t="s">
        <v>6</v>
      </c>
      <c r="F27" s="4" t="s">
        <v>7</v>
      </c>
      <c r="G27" s="4" t="s">
        <v>8</v>
      </c>
      <c r="H27" s="4" t="s">
        <v>9</v>
      </c>
      <c r="I27" s="5" t="s">
        <v>47</v>
      </c>
    </row>
    <row r="28" spans="2:9">
      <c r="B28" s="10" t="s">
        <v>4</v>
      </c>
      <c r="C28" s="11">
        <f>'Movimentacao de Conteineres'!K30</f>
        <v>0</v>
      </c>
      <c r="D28" s="12">
        <f>'Movimentacao de Conteineres'!L30</f>
        <v>175</v>
      </c>
      <c r="E28" s="12">
        <f>'Movimentacao de Conteineres'!M30</f>
        <v>156</v>
      </c>
      <c r="F28" s="12">
        <f>'Movimentacao de Conteineres'!N30</f>
        <v>0</v>
      </c>
      <c r="G28" s="12">
        <f>'Movimentacao de Conteineres'!O30</f>
        <v>226</v>
      </c>
      <c r="H28" s="12">
        <f>'Movimentacao de Conteineres'!P30</f>
        <v>648</v>
      </c>
      <c r="I28" s="13">
        <f t="shared" ref="I28:I33" si="0">SUM(C28:H28)</f>
        <v>1205</v>
      </c>
    </row>
    <row r="29" spans="2:9">
      <c r="B29" s="10" t="s">
        <v>5</v>
      </c>
      <c r="C29" s="12">
        <f>'Movimentacao de Conteineres'!K31</f>
        <v>260</v>
      </c>
      <c r="D29" s="11">
        <f>'Movimentacao de Conteineres'!L31</f>
        <v>0</v>
      </c>
      <c r="E29" s="12">
        <f>'Movimentacao de Conteineres'!M31</f>
        <v>0</v>
      </c>
      <c r="F29" s="12">
        <f>'Movimentacao de Conteineres'!N31</f>
        <v>0</v>
      </c>
      <c r="G29" s="12">
        <f>'Movimentacao de Conteineres'!O31</f>
        <v>20</v>
      </c>
      <c r="H29" s="12">
        <f>'Movimentacao de Conteineres'!P31</f>
        <v>136</v>
      </c>
      <c r="I29" s="13">
        <f t="shared" si="0"/>
        <v>416</v>
      </c>
    </row>
    <row r="30" spans="2:9">
      <c r="B30" s="10" t="s">
        <v>6</v>
      </c>
      <c r="C30" s="12">
        <f>'Movimentacao de Conteineres'!K32</f>
        <v>331</v>
      </c>
      <c r="D30" s="12">
        <f>'Movimentacao de Conteineres'!L32</f>
        <v>0</v>
      </c>
      <c r="E30" s="11">
        <f>'Movimentacao de Conteineres'!M32</f>
        <v>0</v>
      </c>
      <c r="F30" s="12">
        <f>'Movimentacao de Conteineres'!N32</f>
        <v>0</v>
      </c>
      <c r="G30" s="12">
        <f>'Movimentacao de Conteineres'!O32</f>
        <v>30</v>
      </c>
      <c r="H30" s="12">
        <f>'Movimentacao de Conteineres'!P32</f>
        <v>58</v>
      </c>
      <c r="I30" s="13">
        <f t="shared" si="0"/>
        <v>419</v>
      </c>
    </row>
    <row r="31" spans="2:9">
      <c r="B31" s="10" t="s">
        <v>7</v>
      </c>
      <c r="C31" s="12">
        <f>'Movimentacao de Conteineres'!K33</f>
        <v>86</v>
      </c>
      <c r="D31" s="12">
        <f>'Movimentacao de Conteineres'!L33</f>
        <v>9</v>
      </c>
      <c r="E31" s="12">
        <f>'Movimentacao de Conteineres'!M33</f>
        <v>1</v>
      </c>
      <c r="F31" s="11">
        <f>'Movimentacao de Conteineres'!N33</f>
        <v>0</v>
      </c>
      <c r="G31" s="12">
        <f>'Movimentacao de Conteineres'!O33</f>
        <v>0</v>
      </c>
      <c r="H31" s="12">
        <f>'Movimentacao de Conteineres'!P33</f>
        <v>0</v>
      </c>
      <c r="I31" s="13">
        <f t="shared" si="0"/>
        <v>96</v>
      </c>
    </row>
    <row r="32" spans="2:9">
      <c r="B32" s="10" t="s">
        <v>8</v>
      </c>
      <c r="C32" s="12">
        <f>'Movimentacao de Conteineres'!K34</f>
        <v>61</v>
      </c>
      <c r="D32" s="12">
        <f>'Movimentacao de Conteineres'!L34</f>
        <v>120</v>
      </c>
      <c r="E32" s="12">
        <f>'Movimentacao de Conteineres'!M34</f>
        <v>119</v>
      </c>
      <c r="F32" s="12">
        <f>'Movimentacao de Conteineres'!N34</f>
        <v>47</v>
      </c>
      <c r="G32" s="11">
        <f>'Movimentacao de Conteineres'!O34</f>
        <v>0</v>
      </c>
      <c r="H32" s="12">
        <f>'Movimentacao de Conteineres'!P34</f>
        <v>0</v>
      </c>
      <c r="I32" s="13">
        <f t="shared" si="0"/>
        <v>347</v>
      </c>
    </row>
    <row r="33" spans="2:17">
      <c r="B33" s="10" t="s">
        <v>9</v>
      </c>
      <c r="C33" s="12">
        <f>'Movimentacao de Conteineres'!K35</f>
        <v>229</v>
      </c>
      <c r="D33" s="12">
        <f>'Movimentacao de Conteineres'!L35</f>
        <v>221</v>
      </c>
      <c r="E33" s="12">
        <f>'Movimentacao de Conteineres'!M35</f>
        <v>272</v>
      </c>
      <c r="F33" s="12">
        <f>'Movimentacao de Conteineres'!N35</f>
        <v>102</v>
      </c>
      <c r="G33" s="12">
        <f>'Movimentacao de Conteineres'!O35</f>
        <v>0</v>
      </c>
      <c r="H33" s="11">
        <f>'Movimentacao de Conteineres'!P35</f>
        <v>0</v>
      </c>
      <c r="I33" s="13">
        <f t="shared" si="0"/>
        <v>824</v>
      </c>
    </row>
    <row r="34" spans="2:17">
      <c r="B34" s="16" t="s">
        <v>48</v>
      </c>
      <c r="C34" s="13">
        <f t="shared" ref="C34:I34" si="1">SUM(C28:C33)</f>
        <v>967</v>
      </c>
      <c r="D34" s="13">
        <f t="shared" si="1"/>
        <v>525</v>
      </c>
      <c r="E34" s="13">
        <f t="shared" si="1"/>
        <v>548</v>
      </c>
      <c r="F34" s="13">
        <f t="shared" si="1"/>
        <v>149</v>
      </c>
      <c r="G34" s="13">
        <f t="shared" si="1"/>
        <v>276</v>
      </c>
      <c r="H34" s="13">
        <f t="shared" si="1"/>
        <v>842</v>
      </c>
      <c r="I34" s="13">
        <f t="shared" si="1"/>
        <v>3307</v>
      </c>
    </row>
    <row r="37" spans="2:17">
      <c r="B37" s="98" t="s">
        <v>303</v>
      </c>
      <c r="C37" s="179" t="s">
        <v>9</v>
      </c>
      <c r="D37" s="179" t="s">
        <v>8</v>
      </c>
    </row>
    <row r="38" spans="2:17">
      <c r="B38" s="98" t="s">
        <v>307</v>
      </c>
      <c r="C38" s="98" t="s">
        <v>216</v>
      </c>
      <c r="D38" s="98" t="s">
        <v>216</v>
      </c>
      <c r="E38" s="98" t="s">
        <v>235</v>
      </c>
      <c r="F38" s="178" t="s">
        <v>309</v>
      </c>
    </row>
    <row r="39" spans="2:17" ht="18">
      <c r="B39" s="199" t="s">
        <v>356</v>
      </c>
      <c r="C39" s="12">
        <f>E7*$C$19</f>
        <v>57087.621753021864</v>
      </c>
      <c r="D39" s="12">
        <f>F7*$C$19</f>
        <v>1839.0534624443719</v>
      </c>
      <c r="E39" s="12">
        <f>$C$22</f>
        <v>1</v>
      </c>
      <c r="F39" s="12">
        <f>(C39+D39)*E39</f>
        <v>58926.675215466239</v>
      </c>
    </row>
    <row r="40" spans="2:17" ht="18">
      <c r="B40" s="199" t="s">
        <v>354</v>
      </c>
      <c r="C40" s="39">
        <f>E7*$D$19</f>
        <v>248.27925678768784</v>
      </c>
      <c r="D40" s="39">
        <f>F7*$D$19</f>
        <v>7.9982106948489777</v>
      </c>
      <c r="E40" s="18">
        <f>$C$23</f>
        <v>28</v>
      </c>
      <c r="F40" s="12">
        <f t="shared" ref="F40:F41" si="2">(C40+D40)*E40</f>
        <v>7175.76908951103</v>
      </c>
    </row>
    <row r="41" spans="2:17" ht="18">
      <c r="B41" s="199" t="s">
        <v>355</v>
      </c>
      <c r="C41" s="194">
        <f>E7*$E$19</f>
        <v>2.0759135182917041</v>
      </c>
      <c r="D41" s="194">
        <f>F7*$E$19</f>
        <v>6.6874671361613527E-2</v>
      </c>
      <c r="E41" s="18">
        <f>$C$24</f>
        <v>265</v>
      </c>
      <c r="F41" s="12">
        <f t="shared" si="2"/>
        <v>567.83887025812919</v>
      </c>
    </row>
    <row r="42" spans="2:17" ht="15.6" customHeight="1">
      <c r="B42" s="278" t="s">
        <v>10</v>
      </c>
      <c r="C42" s="278"/>
      <c r="D42" s="278"/>
      <c r="E42" s="278"/>
      <c r="F42" s="200">
        <f>SUM(F39:F41)</f>
        <v>66670.283175235396</v>
      </c>
    </row>
    <row r="43" spans="2:17" ht="15.6" customHeight="1"/>
    <row r="44" spans="2:17">
      <c r="B44" s="98" t="s">
        <v>303</v>
      </c>
      <c r="C44" s="179" t="str">
        <f>C37</f>
        <v>BRSSZ</v>
      </c>
      <c r="D44" s="179" t="str">
        <f>D37</f>
        <v>BRIGI</v>
      </c>
      <c r="K44" s="98" t="s">
        <v>303</v>
      </c>
      <c r="L44" s="179" t="str">
        <f>C44</f>
        <v>BRSSZ</v>
      </c>
      <c r="M44" s="179" t="str">
        <f>D44</f>
        <v>BRIGI</v>
      </c>
    </row>
    <row r="45" spans="2:17" ht="15.6" customHeight="1">
      <c r="B45" s="5" t="s">
        <v>365</v>
      </c>
      <c r="C45" s="4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H45" s="4" t="s">
        <v>9</v>
      </c>
      <c r="I45" s="5" t="s">
        <v>47</v>
      </c>
      <c r="K45" s="5" t="s">
        <v>308</v>
      </c>
      <c r="L45" s="4" t="s">
        <v>4</v>
      </c>
      <c r="M45" s="4" t="s">
        <v>5</v>
      </c>
      <c r="N45" s="4" t="s">
        <v>6</v>
      </c>
      <c r="O45" s="4" t="s">
        <v>7</v>
      </c>
      <c r="P45" s="4" t="s">
        <v>8</v>
      </c>
      <c r="Q45" s="4" t="s">
        <v>9</v>
      </c>
    </row>
    <row r="46" spans="2:17">
      <c r="B46" s="10" t="s">
        <v>4</v>
      </c>
      <c r="C46" s="11"/>
      <c r="D46" s="12"/>
      <c r="E46" s="12"/>
      <c r="F46" s="12"/>
      <c r="G46" s="12">
        <f>G28</f>
        <v>226</v>
      </c>
      <c r="H46" s="12"/>
      <c r="I46" s="13">
        <f t="shared" ref="I46:I51" si="3">SUM(C46:H46)</f>
        <v>226</v>
      </c>
      <c r="K46" s="10" t="s">
        <v>4</v>
      </c>
      <c r="L46" s="171">
        <f>IF(C46=0,0,$F$42/$I$52)</f>
        <v>0</v>
      </c>
      <c r="M46" s="60">
        <f t="shared" ref="M46:Q51" si="4">IF(D46=0,0,$F$42/$I$52)</f>
        <v>0</v>
      </c>
      <c r="N46" s="60">
        <f t="shared" si="4"/>
        <v>0</v>
      </c>
      <c r="O46" s="60">
        <f t="shared" si="4"/>
        <v>0</v>
      </c>
      <c r="P46" s="60">
        <f t="shared" si="4"/>
        <v>60.609348341123088</v>
      </c>
      <c r="Q46" s="60">
        <f t="shared" si="4"/>
        <v>0</v>
      </c>
    </row>
    <row r="47" spans="2:17">
      <c r="B47" s="10" t="s">
        <v>5</v>
      </c>
      <c r="C47" s="12"/>
      <c r="D47" s="11"/>
      <c r="E47" s="12"/>
      <c r="F47" s="12"/>
      <c r="G47" s="12">
        <f>G29</f>
        <v>20</v>
      </c>
      <c r="H47" s="12"/>
      <c r="I47" s="13">
        <f t="shared" si="3"/>
        <v>20</v>
      </c>
      <c r="K47" s="10" t="s">
        <v>5</v>
      </c>
      <c r="L47" s="60">
        <f t="shared" ref="L47:L51" si="5">IF(C47=0,0,$F$42/$I$52)</f>
        <v>0</v>
      </c>
      <c r="M47" s="171">
        <f t="shared" si="4"/>
        <v>0</v>
      </c>
      <c r="N47" s="60">
        <f t="shared" si="4"/>
        <v>0</v>
      </c>
      <c r="O47" s="60">
        <f t="shared" si="4"/>
        <v>0</v>
      </c>
      <c r="P47" s="60">
        <f t="shared" si="4"/>
        <v>60.609348341123088</v>
      </c>
      <c r="Q47" s="60">
        <f t="shared" si="4"/>
        <v>0</v>
      </c>
    </row>
    <row r="48" spans="2:17">
      <c r="B48" s="10" t="s">
        <v>6</v>
      </c>
      <c r="C48" s="12"/>
      <c r="D48" s="12"/>
      <c r="E48" s="11"/>
      <c r="F48" s="12"/>
      <c r="G48" s="12">
        <f>G30</f>
        <v>30</v>
      </c>
      <c r="H48" s="12"/>
      <c r="I48" s="13">
        <f t="shared" si="3"/>
        <v>30</v>
      </c>
      <c r="K48" s="10" t="s">
        <v>6</v>
      </c>
      <c r="L48" s="60">
        <f t="shared" si="5"/>
        <v>0</v>
      </c>
      <c r="M48" s="60">
        <f t="shared" si="4"/>
        <v>0</v>
      </c>
      <c r="N48" s="171">
        <f t="shared" si="4"/>
        <v>0</v>
      </c>
      <c r="O48" s="60">
        <f t="shared" si="4"/>
        <v>0</v>
      </c>
      <c r="P48" s="60">
        <f t="shared" si="4"/>
        <v>60.609348341123088</v>
      </c>
      <c r="Q48" s="60">
        <f t="shared" si="4"/>
        <v>0</v>
      </c>
    </row>
    <row r="49" spans="2:17">
      <c r="B49" s="10" t="s">
        <v>7</v>
      </c>
      <c r="C49" s="12"/>
      <c r="D49" s="12"/>
      <c r="E49" s="12"/>
      <c r="F49" s="11"/>
      <c r="G49" s="12">
        <f>G31</f>
        <v>0</v>
      </c>
      <c r="H49" s="12"/>
      <c r="I49" s="13">
        <f t="shared" si="3"/>
        <v>0</v>
      </c>
      <c r="K49" s="10" t="s">
        <v>7</v>
      </c>
      <c r="L49" s="60">
        <f t="shared" si="5"/>
        <v>0</v>
      </c>
      <c r="M49" s="60">
        <f t="shared" si="4"/>
        <v>0</v>
      </c>
      <c r="N49" s="60">
        <f t="shared" si="4"/>
        <v>0</v>
      </c>
      <c r="O49" s="171">
        <f t="shared" si="4"/>
        <v>0</v>
      </c>
      <c r="P49" s="60">
        <f t="shared" si="4"/>
        <v>0</v>
      </c>
      <c r="Q49" s="60">
        <f t="shared" si="4"/>
        <v>0</v>
      </c>
    </row>
    <row r="50" spans="2:17">
      <c r="B50" s="10" t="s">
        <v>8</v>
      </c>
      <c r="C50" s="12"/>
      <c r="D50" s="12"/>
      <c r="E50" s="12"/>
      <c r="F50" s="12"/>
      <c r="G50" s="11">
        <f>G32</f>
        <v>0</v>
      </c>
      <c r="H50" s="12"/>
      <c r="I50" s="13">
        <f t="shared" si="3"/>
        <v>0</v>
      </c>
      <c r="K50" s="10" t="s">
        <v>8</v>
      </c>
      <c r="L50" s="60">
        <f t="shared" si="5"/>
        <v>0</v>
      </c>
      <c r="M50" s="60">
        <f t="shared" si="4"/>
        <v>0</v>
      </c>
      <c r="N50" s="60">
        <f t="shared" si="4"/>
        <v>0</v>
      </c>
      <c r="O50" s="60">
        <f t="shared" si="4"/>
        <v>0</v>
      </c>
      <c r="P50" s="171">
        <f t="shared" si="4"/>
        <v>0</v>
      </c>
      <c r="Q50" s="60">
        <f t="shared" si="4"/>
        <v>0</v>
      </c>
    </row>
    <row r="51" spans="2:17">
      <c r="B51" s="10" t="s">
        <v>9</v>
      </c>
      <c r="C51" s="12">
        <f t="shared" ref="C51:H51" si="6">C33</f>
        <v>229</v>
      </c>
      <c r="D51" s="12">
        <f t="shared" si="6"/>
        <v>221</v>
      </c>
      <c r="E51" s="12">
        <f t="shared" si="6"/>
        <v>272</v>
      </c>
      <c r="F51" s="12">
        <f t="shared" si="6"/>
        <v>102</v>
      </c>
      <c r="G51" s="12">
        <f t="shared" si="6"/>
        <v>0</v>
      </c>
      <c r="H51" s="11">
        <f t="shared" si="6"/>
        <v>0</v>
      </c>
      <c r="I51" s="13">
        <f t="shared" si="3"/>
        <v>824</v>
      </c>
      <c r="K51" s="10" t="s">
        <v>9</v>
      </c>
      <c r="L51" s="60">
        <f t="shared" si="5"/>
        <v>60.609348341123088</v>
      </c>
      <c r="M51" s="60">
        <f t="shared" si="4"/>
        <v>60.609348341123088</v>
      </c>
      <c r="N51" s="60">
        <f t="shared" si="4"/>
        <v>60.609348341123088</v>
      </c>
      <c r="O51" s="60">
        <f t="shared" si="4"/>
        <v>60.609348341123088</v>
      </c>
      <c r="P51" s="60">
        <f t="shared" si="4"/>
        <v>0</v>
      </c>
      <c r="Q51" s="171">
        <f t="shared" si="4"/>
        <v>0</v>
      </c>
    </row>
    <row r="52" spans="2:17">
      <c r="B52" s="16" t="s">
        <v>48</v>
      </c>
      <c r="C52" s="13">
        <f t="shared" ref="C52:I52" si="7">SUM(C46:C51)</f>
        <v>229</v>
      </c>
      <c r="D52" s="13">
        <f t="shared" si="7"/>
        <v>221</v>
      </c>
      <c r="E52" s="13">
        <f t="shared" si="7"/>
        <v>272</v>
      </c>
      <c r="F52" s="13">
        <f t="shared" si="7"/>
        <v>102</v>
      </c>
      <c r="G52" s="13">
        <f t="shared" si="7"/>
        <v>276</v>
      </c>
      <c r="H52" s="13">
        <f t="shared" si="7"/>
        <v>0</v>
      </c>
      <c r="I52" s="13">
        <f t="shared" si="7"/>
        <v>1100</v>
      </c>
    </row>
    <row r="56" spans="2:17">
      <c r="B56" s="98" t="s">
        <v>303</v>
      </c>
      <c r="C56" s="179" t="s">
        <v>8</v>
      </c>
      <c r="D56" s="179" t="s">
        <v>7</v>
      </c>
    </row>
    <row r="57" spans="2:17">
      <c r="B57" s="98" t="s">
        <v>307</v>
      </c>
      <c r="C57" s="98" t="s">
        <v>216</v>
      </c>
      <c r="D57" s="98" t="s">
        <v>216</v>
      </c>
      <c r="E57" s="98" t="s">
        <v>235</v>
      </c>
      <c r="F57" s="178" t="s">
        <v>309</v>
      </c>
    </row>
    <row r="58" spans="2:17" ht="18">
      <c r="B58" s="199" t="s">
        <v>356</v>
      </c>
      <c r="C58" s="12">
        <f>E8*$C$19</f>
        <v>306343.92588828068</v>
      </c>
      <c r="D58" s="12">
        <f>F8*$C$19</f>
        <v>9868.6584692651577</v>
      </c>
      <c r="E58" s="12">
        <f>$C$22</f>
        <v>1</v>
      </c>
      <c r="F58" s="12">
        <f>(C58+D58)*E58</f>
        <v>316212.58435754583</v>
      </c>
    </row>
    <row r="59" spans="2:17" ht="18">
      <c r="B59" s="199" t="s">
        <v>354</v>
      </c>
      <c r="C59" s="39">
        <f>E8*$D$19</f>
        <v>1332.3175831359408</v>
      </c>
      <c r="D59" s="39">
        <f>F8*$D$19</f>
        <v>42.91969283360411</v>
      </c>
      <c r="E59" s="18">
        <f>$C$23</f>
        <v>28</v>
      </c>
      <c r="F59" s="12">
        <f t="shared" ref="F59:F60" si="8">(C59+D59)*E59</f>
        <v>38506.643727147261</v>
      </c>
    </row>
    <row r="60" spans="2:17" ht="18">
      <c r="B60" s="199" t="s">
        <v>355</v>
      </c>
      <c r="C60" s="194">
        <f>E8*$E$19</f>
        <v>11.139779123210207</v>
      </c>
      <c r="D60" s="194">
        <f>F8*$E$19</f>
        <v>0.3588603079732785</v>
      </c>
      <c r="E60" s="18">
        <f>$C$24</f>
        <v>265</v>
      </c>
      <c r="F60" s="12">
        <f t="shared" si="8"/>
        <v>3047.1394492636236</v>
      </c>
    </row>
    <row r="61" spans="2:17" ht="15.6" customHeight="1">
      <c r="B61" s="278" t="s">
        <v>10</v>
      </c>
      <c r="C61" s="278"/>
      <c r="D61" s="278"/>
      <c r="E61" s="278"/>
      <c r="F61" s="200">
        <f>SUM(F58:F60)</f>
        <v>357766.36753395671</v>
      </c>
    </row>
    <row r="62" spans="2:17" ht="15.6" customHeight="1"/>
    <row r="63" spans="2:17">
      <c r="B63" s="98" t="s">
        <v>303</v>
      </c>
      <c r="C63" s="179" t="str">
        <f>C56</f>
        <v>BRIGI</v>
      </c>
      <c r="D63" s="179" t="str">
        <f>D56</f>
        <v>BRSSA</v>
      </c>
      <c r="K63" s="98" t="s">
        <v>303</v>
      </c>
      <c r="L63" s="179" t="str">
        <f>C63</f>
        <v>BRIGI</v>
      </c>
      <c r="M63" s="179" t="str">
        <f>D63</f>
        <v>BRSSA</v>
      </c>
    </row>
    <row r="64" spans="2:17" ht="15.6" customHeight="1">
      <c r="B64" s="5" t="s">
        <v>365</v>
      </c>
      <c r="C64" s="4" t="s">
        <v>4</v>
      </c>
      <c r="D64" s="4" t="s">
        <v>5</v>
      </c>
      <c r="E64" s="4" t="s">
        <v>6</v>
      </c>
      <c r="F64" s="4" t="s">
        <v>7</v>
      </c>
      <c r="G64" s="4" t="s">
        <v>8</v>
      </c>
      <c r="H64" s="4" t="s">
        <v>9</v>
      </c>
      <c r="I64" s="5" t="s">
        <v>47</v>
      </c>
      <c r="K64" s="5" t="s">
        <v>308</v>
      </c>
      <c r="L64" s="4" t="s">
        <v>4</v>
      </c>
      <c r="M64" s="4" t="s">
        <v>5</v>
      </c>
      <c r="N64" s="4" t="s">
        <v>6</v>
      </c>
      <c r="O64" s="4" t="s">
        <v>7</v>
      </c>
      <c r="P64" s="4" t="s">
        <v>8</v>
      </c>
      <c r="Q64" s="4" t="s">
        <v>9</v>
      </c>
    </row>
    <row r="65" spans="2:17">
      <c r="B65" s="10" t="s">
        <v>4</v>
      </c>
      <c r="C65" s="11"/>
      <c r="D65" s="12"/>
      <c r="E65" s="12"/>
      <c r="F65" s="12"/>
      <c r="G65" s="12"/>
      <c r="H65" s="12"/>
      <c r="I65" s="13">
        <f t="shared" ref="I65:I70" si="9">SUM(C65:H65)</f>
        <v>0</v>
      </c>
      <c r="K65" s="10" t="s">
        <v>4</v>
      </c>
      <c r="L65" s="171">
        <f>IF(C65=0,0,$F$61/$I$71)</f>
        <v>0</v>
      </c>
      <c r="M65" s="60">
        <f t="shared" ref="M65:Q70" si="10">IF(D65=0,0,$F$61/$I$71)</f>
        <v>0</v>
      </c>
      <c r="N65" s="60">
        <f t="shared" si="10"/>
        <v>0</v>
      </c>
      <c r="O65" s="60">
        <f t="shared" si="10"/>
        <v>0</v>
      </c>
      <c r="P65" s="60">
        <f t="shared" si="10"/>
        <v>0</v>
      </c>
      <c r="Q65" s="60">
        <f t="shared" si="10"/>
        <v>0</v>
      </c>
    </row>
    <row r="66" spans="2:17">
      <c r="B66" s="10" t="s">
        <v>5</v>
      </c>
      <c r="C66" s="12"/>
      <c r="D66" s="11"/>
      <c r="E66" s="12"/>
      <c r="F66" s="12"/>
      <c r="G66" s="12"/>
      <c r="H66" s="12"/>
      <c r="I66" s="13">
        <f t="shared" si="9"/>
        <v>0</v>
      </c>
      <c r="K66" s="10" t="s">
        <v>5</v>
      </c>
      <c r="L66" s="60">
        <f t="shared" ref="L66:L70" si="11">IF(C66=0,0,$F$61/$I$71)</f>
        <v>0</v>
      </c>
      <c r="M66" s="171">
        <f t="shared" si="10"/>
        <v>0</v>
      </c>
      <c r="N66" s="60">
        <f t="shared" si="10"/>
        <v>0</v>
      </c>
      <c r="O66" s="60">
        <f t="shared" si="10"/>
        <v>0</v>
      </c>
      <c r="P66" s="60">
        <f t="shared" si="10"/>
        <v>0</v>
      </c>
      <c r="Q66" s="60">
        <f t="shared" si="10"/>
        <v>0</v>
      </c>
    </row>
    <row r="67" spans="2:17">
      <c r="B67" s="10" t="s">
        <v>6</v>
      </c>
      <c r="C67" s="12"/>
      <c r="D67" s="12"/>
      <c r="E67" s="11"/>
      <c r="F67" s="12"/>
      <c r="G67" s="12"/>
      <c r="H67" s="12"/>
      <c r="I67" s="13">
        <f t="shared" si="9"/>
        <v>0</v>
      </c>
      <c r="K67" s="10" t="s">
        <v>6</v>
      </c>
      <c r="L67" s="60">
        <f t="shared" si="11"/>
        <v>0</v>
      </c>
      <c r="M67" s="60">
        <f t="shared" si="10"/>
        <v>0</v>
      </c>
      <c r="N67" s="171">
        <f t="shared" si="10"/>
        <v>0</v>
      </c>
      <c r="O67" s="60">
        <f t="shared" si="10"/>
        <v>0</v>
      </c>
      <c r="P67" s="60">
        <f t="shared" si="10"/>
        <v>0</v>
      </c>
      <c r="Q67" s="60">
        <f t="shared" si="10"/>
        <v>0</v>
      </c>
    </row>
    <row r="68" spans="2:17">
      <c r="B68" s="10" t="s">
        <v>7</v>
      </c>
      <c r="C68" s="12"/>
      <c r="D68" s="12"/>
      <c r="E68" s="12"/>
      <c r="F68" s="11"/>
      <c r="G68" s="12"/>
      <c r="H68" s="12"/>
      <c r="I68" s="13">
        <f t="shared" si="9"/>
        <v>0</v>
      </c>
      <c r="K68" s="10" t="s">
        <v>7</v>
      </c>
      <c r="L68" s="60">
        <f t="shared" si="11"/>
        <v>0</v>
      </c>
      <c r="M68" s="60">
        <f t="shared" si="10"/>
        <v>0</v>
      </c>
      <c r="N68" s="60">
        <f t="shared" si="10"/>
        <v>0</v>
      </c>
      <c r="O68" s="171">
        <f t="shared" si="10"/>
        <v>0</v>
      </c>
      <c r="P68" s="60">
        <f t="shared" si="10"/>
        <v>0</v>
      </c>
      <c r="Q68" s="60">
        <f t="shared" si="10"/>
        <v>0</v>
      </c>
    </row>
    <row r="69" spans="2:17">
      <c r="B69" s="10" t="s">
        <v>8</v>
      </c>
      <c r="C69" s="12">
        <f t="shared" ref="C69:H70" si="12">C32</f>
        <v>61</v>
      </c>
      <c r="D69" s="12">
        <f t="shared" si="12"/>
        <v>120</v>
      </c>
      <c r="E69" s="12">
        <f t="shared" si="12"/>
        <v>119</v>
      </c>
      <c r="F69" s="12">
        <f t="shared" si="12"/>
        <v>47</v>
      </c>
      <c r="G69" s="11">
        <f t="shared" si="12"/>
        <v>0</v>
      </c>
      <c r="H69" s="12">
        <f t="shared" si="12"/>
        <v>0</v>
      </c>
      <c r="I69" s="13">
        <f t="shared" si="9"/>
        <v>347</v>
      </c>
      <c r="K69" s="10" t="s">
        <v>8</v>
      </c>
      <c r="L69" s="60">
        <f t="shared" si="11"/>
        <v>305.52209012293486</v>
      </c>
      <c r="M69" s="60">
        <f t="shared" si="10"/>
        <v>305.52209012293486</v>
      </c>
      <c r="N69" s="60">
        <f t="shared" si="10"/>
        <v>305.52209012293486</v>
      </c>
      <c r="O69" s="60">
        <f t="shared" si="10"/>
        <v>305.52209012293486</v>
      </c>
      <c r="P69" s="171">
        <f t="shared" si="10"/>
        <v>0</v>
      </c>
      <c r="Q69" s="60">
        <f t="shared" si="10"/>
        <v>0</v>
      </c>
    </row>
    <row r="70" spans="2:17">
      <c r="B70" s="10" t="s">
        <v>9</v>
      </c>
      <c r="C70" s="12">
        <f t="shared" si="12"/>
        <v>229</v>
      </c>
      <c r="D70" s="12">
        <f t="shared" si="12"/>
        <v>221</v>
      </c>
      <c r="E70" s="12">
        <f t="shared" si="12"/>
        <v>272</v>
      </c>
      <c r="F70" s="12">
        <f t="shared" si="12"/>
        <v>102</v>
      </c>
      <c r="G70" s="12">
        <f t="shared" si="12"/>
        <v>0</v>
      </c>
      <c r="H70" s="11">
        <f t="shared" si="12"/>
        <v>0</v>
      </c>
      <c r="I70" s="13">
        <f t="shared" si="9"/>
        <v>824</v>
      </c>
      <c r="K70" s="10" t="s">
        <v>9</v>
      </c>
      <c r="L70" s="60">
        <f t="shared" si="11"/>
        <v>305.52209012293486</v>
      </c>
      <c r="M70" s="60">
        <f t="shared" si="10"/>
        <v>305.52209012293486</v>
      </c>
      <c r="N70" s="60">
        <f t="shared" si="10"/>
        <v>305.52209012293486</v>
      </c>
      <c r="O70" s="60">
        <f t="shared" si="10"/>
        <v>305.52209012293486</v>
      </c>
      <c r="P70" s="60">
        <f t="shared" si="10"/>
        <v>0</v>
      </c>
      <c r="Q70" s="171">
        <f t="shared" si="10"/>
        <v>0</v>
      </c>
    </row>
    <row r="71" spans="2:17">
      <c r="B71" s="16" t="s">
        <v>48</v>
      </c>
      <c r="C71" s="13">
        <f t="shared" ref="C71:I71" si="13">SUM(C65:C70)</f>
        <v>290</v>
      </c>
      <c r="D71" s="13">
        <f t="shared" si="13"/>
        <v>341</v>
      </c>
      <c r="E71" s="13">
        <f t="shared" si="13"/>
        <v>391</v>
      </c>
      <c r="F71" s="13">
        <f t="shared" si="13"/>
        <v>149</v>
      </c>
      <c r="G71" s="13">
        <f t="shared" si="13"/>
        <v>0</v>
      </c>
      <c r="H71" s="13">
        <f t="shared" si="13"/>
        <v>0</v>
      </c>
      <c r="I71" s="13">
        <f t="shared" si="13"/>
        <v>1171</v>
      </c>
    </row>
    <row r="75" spans="2:17">
      <c r="B75" s="98" t="s">
        <v>303</v>
      </c>
      <c r="C75" s="179" t="s">
        <v>7</v>
      </c>
      <c r="D75" s="179" t="s">
        <v>6</v>
      </c>
    </row>
    <row r="76" spans="2:17">
      <c r="B76" s="98" t="s">
        <v>307</v>
      </c>
      <c r="C76" s="98" t="s">
        <v>216</v>
      </c>
      <c r="D76" s="98" t="s">
        <v>216</v>
      </c>
      <c r="E76" s="98" t="s">
        <v>235</v>
      </c>
      <c r="F76" s="178" t="s">
        <v>309</v>
      </c>
    </row>
    <row r="77" spans="2:17" ht="18">
      <c r="B77" s="199" t="s">
        <v>356</v>
      </c>
      <c r="C77" s="12">
        <f>E9*$C$19</f>
        <v>146337.21054237377</v>
      </c>
      <c r="D77" s="12">
        <f>F9*$C$19</f>
        <v>4714.2031074087072</v>
      </c>
      <c r="E77" s="12">
        <f>$C$22</f>
        <v>1</v>
      </c>
      <c r="F77" s="12">
        <f>(C77+D77)*E77</f>
        <v>151051.41364978248</v>
      </c>
    </row>
    <row r="78" spans="2:17" ht="18">
      <c r="B78" s="199" t="s">
        <v>354</v>
      </c>
      <c r="C78" s="39">
        <f>E9*$D$19</f>
        <v>636.43383203156009</v>
      </c>
      <c r="D78" s="39">
        <f>F9*$D$19</f>
        <v>20.502497878039325</v>
      </c>
      <c r="E78" s="18">
        <f>$C$23</f>
        <v>28</v>
      </c>
      <c r="F78" s="12">
        <f t="shared" ref="F78:F79" si="14">(C78+D78)*E78</f>
        <v>18394.217237468783</v>
      </c>
    </row>
    <row r="79" spans="2:17" ht="18">
      <c r="B79" s="199" t="s">
        <v>355</v>
      </c>
      <c r="C79" s="194">
        <f>E9*$E$19</f>
        <v>5.3213531106317733</v>
      </c>
      <c r="D79" s="194">
        <f>F9*$E$19</f>
        <v>0.17142556754213481</v>
      </c>
      <c r="E79" s="18">
        <f>$C$24</f>
        <v>265</v>
      </c>
      <c r="F79" s="12">
        <f t="shared" si="14"/>
        <v>1455.5863497160858</v>
      </c>
    </row>
    <row r="80" spans="2:17" ht="15.6" customHeight="1">
      <c r="B80" s="278" t="s">
        <v>10</v>
      </c>
      <c r="C80" s="278"/>
      <c r="D80" s="278"/>
      <c r="E80" s="278"/>
      <c r="F80" s="200">
        <f>SUM(F77:F79)</f>
        <v>170901.21723696735</v>
      </c>
    </row>
    <row r="81" spans="2:17" ht="15.6" customHeight="1"/>
    <row r="82" spans="2:17">
      <c r="B82" s="98" t="s">
        <v>303</v>
      </c>
      <c r="C82" s="179" t="str">
        <f>C75</f>
        <v>BRSSA</v>
      </c>
      <c r="D82" s="179" t="str">
        <f>D75</f>
        <v>BRSUA</v>
      </c>
      <c r="K82" s="98" t="s">
        <v>303</v>
      </c>
      <c r="L82" s="179" t="str">
        <f>C82</f>
        <v>BRSSA</v>
      </c>
      <c r="M82" s="179" t="str">
        <f>D82</f>
        <v>BRSUA</v>
      </c>
    </row>
    <row r="83" spans="2:17" ht="15.6" customHeight="1">
      <c r="B83" s="5" t="s">
        <v>365</v>
      </c>
      <c r="C83" s="4" t="s">
        <v>4</v>
      </c>
      <c r="D83" s="4" t="s">
        <v>5</v>
      </c>
      <c r="E83" s="4" t="s">
        <v>6</v>
      </c>
      <c r="F83" s="4" t="s">
        <v>7</v>
      </c>
      <c r="G83" s="4" t="s">
        <v>8</v>
      </c>
      <c r="H83" s="4" t="s">
        <v>9</v>
      </c>
      <c r="I83" s="5" t="s">
        <v>47</v>
      </c>
      <c r="K83" s="5" t="s">
        <v>308</v>
      </c>
      <c r="L83" s="4" t="s">
        <v>4</v>
      </c>
      <c r="M83" s="4" t="s">
        <v>5</v>
      </c>
      <c r="N83" s="4" t="s">
        <v>6</v>
      </c>
      <c r="O83" s="4" t="s">
        <v>7</v>
      </c>
      <c r="P83" s="4" t="s">
        <v>8</v>
      </c>
      <c r="Q83" s="4" t="s">
        <v>9</v>
      </c>
    </row>
    <row r="84" spans="2:17">
      <c r="B84" s="10" t="s">
        <v>4</v>
      </c>
      <c r="C84" s="11"/>
      <c r="D84" s="12"/>
      <c r="E84" s="12"/>
      <c r="F84" s="12"/>
      <c r="G84" s="12"/>
      <c r="H84" s="12"/>
      <c r="I84" s="13">
        <f t="shared" ref="I84:I89" si="15">SUM(C84:H84)</f>
        <v>0</v>
      </c>
      <c r="K84" s="10" t="s">
        <v>4</v>
      </c>
      <c r="L84" s="171">
        <f t="shared" ref="L84:Q89" si="16">IF(C84=0,0,$F$80/$I$90)</f>
        <v>0</v>
      </c>
      <c r="M84" s="60">
        <f t="shared" si="16"/>
        <v>0</v>
      </c>
      <c r="N84" s="60">
        <f t="shared" si="16"/>
        <v>0</v>
      </c>
      <c r="O84" s="60">
        <f t="shared" si="16"/>
        <v>0</v>
      </c>
      <c r="P84" s="60">
        <f t="shared" si="16"/>
        <v>0</v>
      </c>
      <c r="Q84" s="60">
        <f t="shared" si="16"/>
        <v>0</v>
      </c>
    </row>
    <row r="85" spans="2:17">
      <c r="B85" s="10" t="s">
        <v>5</v>
      </c>
      <c r="C85" s="12"/>
      <c r="D85" s="11"/>
      <c r="E85" s="12"/>
      <c r="F85" s="12"/>
      <c r="G85" s="12"/>
      <c r="H85" s="12"/>
      <c r="I85" s="13">
        <f t="shared" si="15"/>
        <v>0</v>
      </c>
      <c r="K85" s="10" t="s">
        <v>5</v>
      </c>
      <c r="L85" s="60">
        <f t="shared" si="16"/>
        <v>0</v>
      </c>
      <c r="M85" s="171">
        <f t="shared" si="16"/>
        <v>0</v>
      </c>
      <c r="N85" s="60">
        <f t="shared" si="16"/>
        <v>0</v>
      </c>
      <c r="O85" s="60">
        <f t="shared" si="16"/>
        <v>0</v>
      </c>
      <c r="P85" s="60">
        <f t="shared" si="16"/>
        <v>0</v>
      </c>
      <c r="Q85" s="60">
        <f t="shared" si="16"/>
        <v>0</v>
      </c>
    </row>
    <row r="86" spans="2:17">
      <c r="B86" s="10" t="s">
        <v>6</v>
      </c>
      <c r="C86" s="12"/>
      <c r="D86" s="12"/>
      <c r="E86" s="11"/>
      <c r="F86" s="12"/>
      <c r="G86" s="12"/>
      <c r="H86" s="12"/>
      <c r="I86" s="13">
        <f t="shared" si="15"/>
        <v>0</v>
      </c>
      <c r="K86" s="10" t="s">
        <v>6</v>
      </c>
      <c r="L86" s="60">
        <f t="shared" si="16"/>
        <v>0</v>
      </c>
      <c r="M86" s="60">
        <f t="shared" si="16"/>
        <v>0</v>
      </c>
      <c r="N86" s="171">
        <f t="shared" si="16"/>
        <v>0</v>
      </c>
      <c r="O86" s="60">
        <f t="shared" si="16"/>
        <v>0</v>
      </c>
      <c r="P86" s="60">
        <f t="shared" si="16"/>
        <v>0</v>
      </c>
      <c r="Q86" s="60">
        <f t="shared" si="16"/>
        <v>0</v>
      </c>
    </row>
    <row r="87" spans="2:17">
      <c r="B87" s="10" t="s">
        <v>7</v>
      </c>
      <c r="C87" s="12">
        <f t="shared" ref="C87:E89" si="17">C31</f>
        <v>86</v>
      </c>
      <c r="D87" s="12">
        <f t="shared" si="17"/>
        <v>9</v>
      </c>
      <c r="E87" s="12">
        <f t="shared" si="17"/>
        <v>1</v>
      </c>
      <c r="F87" s="11"/>
      <c r="G87" s="12"/>
      <c r="H87" s="12"/>
      <c r="I87" s="13">
        <f t="shared" si="15"/>
        <v>96</v>
      </c>
      <c r="K87" s="10" t="s">
        <v>7</v>
      </c>
      <c r="L87" s="60">
        <f>IF(C87=0,0,$F$80/$I$90)</f>
        <v>152.86334278798512</v>
      </c>
      <c r="M87" s="60">
        <f t="shared" si="16"/>
        <v>152.86334278798512</v>
      </c>
      <c r="N87" s="60">
        <f t="shared" si="16"/>
        <v>152.86334278798512</v>
      </c>
      <c r="O87" s="171">
        <f t="shared" si="16"/>
        <v>0</v>
      </c>
      <c r="P87" s="60">
        <f t="shared" si="16"/>
        <v>0</v>
      </c>
      <c r="Q87" s="60">
        <f t="shared" si="16"/>
        <v>0</v>
      </c>
    </row>
    <row r="88" spans="2:17">
      <c r="B88" s="10" t="s">
        <v>8</v>
      </c>
      <c r="C88" s="12">
        <f t="shared" si="17"/>
        <v>61</v>
      </c>
      <c r="D88" s="12">
        <f t="shared" si="17"/>
        <v>120</v>
      </c>
      <c r="E88" s="12">
        <f t="shared" si="17"/>
        <v>119</v>
      </c>
      <c r="F88" s="12"/>
      <c r="G88" s="11"/>
      <c r="H88" s="12"/>
      <c r="I88" s="13">
        <f t="shared" si="15"/>
        <v>300</v>
      </c>
      <c r="K88" s="10" t="s">
        <v>8</v>
      </c>
      <c r="L88" s="60">
        <f t="shared" ref="L88:L89" si="18">IF(C88=0,0,$F$80/$I$90)</f>
        <v>152.86334278798512</v>
      </c>
      <c r="M88" s="60">
        <f t="shared" si="16"/>
        <v>152.86334278798512</v>
      </c>
      <c r="N88" s="60">
        <f t="shared" si="16"/>
        <v>152.86334278798512</v>
      </c>
      <c r="O88" s="60">
        <f t="shared" si="16"/>
        <v>0</v>
      </c>
      <c r="P88" s="171">
        <f t="shared" si="16"/>
        <v>0</v>
      </c>
      <c r="Q88" s="60">
        <f t="shared" si="16"/>
        <v>0</v>
      </c>
    </row>
    <row r="89" spans="2:17">
      <c r="B89" s="10" t="s">
        <v>9</v>
      </c>
      <c r="C89" s="12">
        <f t="shared" si="17"/>
        <v>229</v>
      </c>
      <c r="D89" s="12">
        <f t="shared" si="17"/>
        <v>221</v>
      </c>
      <c r="E89" s="12">
        <f t="shared" si="17"/>
        <v>272</v>
      </c>
      <c r="F89" s="12"/>
      <c r="G89" s="12"/>
      <c r="H89" s="11"/>
      <c r="I89" s="13">
        <f t="shared" si="15"/>
        <v>722</v>
      </c>
      <c r="K89" s="10" t="s">
        <v>9</v>
      </c>
      <c r="L89" s="60">
        <f t="shared" si="18"/>
        <v>152.86334278798512</v>
      </c>
      <c r="M89" s="60">
        <f t="shared" si="16"/>
        <v>152.86334278798512</v>
      </c>
      <c r="N89" s="60">
        <f t="shared" si="16"/>
        <v>152.86334278798512</v>
      </c>
      <c r="O89" s="60">
        <f t="shared" si="16"/>
        <v>0</v>
      </c>
      <c r="P89" s="60">
        <f t="shared" si="16"/>
        <v>0</v>
      </c>
      <c r="Q89" s="171">
        <f t="shared" si="16"/>
        <v>0</v>
      </c>
    </row>
    <row r="90" spans="2:17">
      <c r="B90" s="16" t="s">
        <v>48</v>
      </c>
      <c r="C90" s="13">
        <f t="shared" ref="C90:I90" si="19">SUM(C84:C89)</f>
        <v>376</v>
      </c>
      <c r="D90" s="13">
        <f t="shared" si="19"/>
        <v>350</v>
      </c>
      <c r="E90" s="13">
        <f t="shared" si="19"/>
        <v>392</v>
      </c>
      <c r="F90" s="13">
        <f t="shared" si="19"/>
        <v>0</v>
      </c>
      <c r="G90" s="13">
        <f t="shared" si="19"/>
        <v>0</v>
      </c>
      <c r="H90" s="13">
        <f t="shared" si="19"/>
        <v>0</v>
      </c>
      <c r="I90" s="13">
        <f t="shared" si="19"/>
        <v>1118</v>
      </c>
    </row>
    <row r="94" spans="2:17">
      <c r="B94" s="98" t="s">
        <v>303</v>
      </c>
      <c r="C94" s="179" t="s">
        <v>6</v>
      </c>
      <c r="D94" s="179" t="s">
        <v>5</v>
      </c>
    </row>
    <row r="95" spans="2:17">
      <c r="B95" s="98" t="s">
        <v>307</v>
      </c>
      <c r="C95" s="98" t="s">
        <v>216</v>
      </c>
      <c r="D95" s="98" t="s">
        <v>216</v>
      </c>
      <c r="E95" s="98" t="s">
        <v>235</v>
      </c>
      <c r="F95" s="178" t="s">
        <v>309</v>
      </c>
    </row>
    <row r="96" spans="2:17" ht="18">
      <c r="B96" s="199" t="s">
        <v>356</v>
      </c>
      <c r="C96" s="12">
        <f>E10*$C$19</f>
        <v>171918.02444074571</v>
      </c>
      <c r="D96" s="12">
        <f>F10*$C$19</f>
        <v>5804.5816882862118</v>
      </c>
      <c r="E96" s="12">
        <f>$C$22</f>
        <v>1</v>
      </c>
      <c r="F96" s="12">
        <f>(C96+D96)*E96</f>
        <v>177722.60612903192</v>
      </c>
    </row>
    <row r="97" spans="2:17" ht="18">
      <c r="B97" s="199" t="s">
        <v>354</v>
      </c>
      <c r="C97" s="39">
        <f>E10*$D$19</f>
        <v>747.68711720411591</v>
      </c>
      <c r="D97" s="39">
        <f>F10*$D$19</f>
        <v>25.244653451601124</v>
      </c>
      <c r="E97" s="18">
        <f>$C$23</f>
        <v>28</v>
      </c>
      <c r="F97" s="12">
        <f t="shared" ref="F97:F98" si="20">(C97+D97)*E97</f>
        <v>21642.089578360079</v>
      </c>
    </row>
    <row r="98" spans="2:17" ht="18">
      <c r="B98" s="199" t="s">
        <v>355</v>
      </c>
      <c r="C98" s="194">
        <f>E10*$E$19</f>
        <v>6.2515645251180256</v>
      </c>
      <c r="D98" s="194">
        <f>F10*$E$19</f>
        <v>0.21107569775586224</v>
      </c>
      <c r="E98" s="18">
        <f>$C$24</f>
        <v>265</v>
      </c>
      <c r="F98" s="12">
        <f t="shared" si="20"/>
        <v>1712.5996590615803</v>
      </c>
    </row>
    <row r="99" spans="2:17" ht="15.6" customHeight="1">
      <c r="B99" s="278" t="s">
        <v>10</v>
      </c>
      <c r="C99" s="278"/>
      <c r="D99" s="278"/>
      <c r="E99" s="278"/>
      <c r="F99" s="200">
        <f>SUM(F96:F98)</f>
        <v>201077.29536645359</v>
      </c>
    </row>
    <row r="100" spans="2:17" ht="15.6" customHeight="1"/>
    <row r="101" spans="2:17">
      <c r="B101" s="98" t="s">
        <v>303</v>
      </c>
      <c r="C101" s="179" t="str">
        <f>C94</f>
        <v>BRSUA</v>
      </c>
      <c r="D101" s="179" t="str">
        <f>D94</f>
        <v>BRPEC</v>
      </c>
      <c r="K101" s="98" t="s">
        <v>303</v>
      </c>
      <c r="L101" s="179" t="str">
        <f>C101</f>
        <v>BRSUA</v>
      </c>
      <c r="M101" s="179" t="str">
        <f>D101</f>
        <v>BRPEC</v>
      </c>
    </row>
    <row r="102" spans="2:17" ht="15.6" customHeight="1">
      <c r="B102" s="5" t="s">
        <v>365</v>
      </c>
      <c r="C102" s="4" t="s">
        <v>4</v>
      </c>
      <c r="D102" s="4" t="s">
        <v>5</v>
      </c>
      <c r="E102" s="4" t="s">
        <v>6</v>
      </c>
      <c r="F102" s="4" t="s">
        <v>7</v>
      </c>
      <c r="G102" s="4" t="s">
        <v>8</v>
      </c>
      <c r="H102" s="4" t="s">
        <v>9</v>
      </c>
      <c r="I102" s="5" t="s">
        <v>47</v>
      </c>
      <c r="K102" s="5" t="s">
        <v>308</v>
      </c>
      <c r="L102" s="4" t="s">
        <v>4</v>
      </c>
      <c r="M102" s="4" t="s">
        <v>5</v>
      </c>
      <c r="N102" s="4" t="s">
        <v>6</v>
      </c>
      <c r="O102" s="4" t="s">
        <v>7</v>
      </c>
      <c r="P102" s="4" t="s">
        <v>8</v>
      </c>
      <c r="Q102" s="4" t="s">
        <v>9</v>
      </c>
    </row>
    <row r="103" spans="2:17">
      <c r="B103" s="10" t="s">
        <v>4</v>
      </c>
      <c r="C103" s="11"/>
      <c r="D103" s="12"/>
      <c r="E103" s="12"/>
      <c r="F103" s="12"/>
      <c r="G103" s="12"/>
      <c r="H103" s="12"/>
      <c r="I103" s="13">
        <f t="shared" ref="I103:I108" si="21">SUM(C103:H103)</f>
        <v>0</v>
      </c>
      <c r="K103" s="10" t="s">
        <v>4</v>
      </c>
      <c r="L103" s="171">
        <f t="shared" ref="L103:Q108" si="22">IF(C103=0,0,$F$99/$I$109)</f>
        <v>0</v>
      </c>
      <c r="M103" s="60">
        <f t="shared" si="22"/>
        <v>0</v>
      </c>
      <c r="N103" s="60">
        <f t="shared" si="22"/>
        <v>0</v>
      </c>
      <c r="O103" s="60">
        <f t="shared" si="22"/>
        <v>0</v>
      </c>
      <c r="P103" s="60">
        <f t="shared" si="22"/>
        <v>0</v>
      </c>
      <c r="Q103" s="60">
        <f t="shared" si="22"/>
        <v>0</v>
      </c>
    </row>
    <row r="104" spans="2:17">
      <c r="B104" s="10" t="s">
        <v>5</v>
      </c>
      <c r="C104" s="12"/>
      <c r="D104" s="11"/>
      <c r="E104" s="12"/>
      <c r="F104" s="12"/>
      <c r="G104" s="12"/>
      <c r="H104" s="12"/>
      <c r="I104" s="13">
        <f t="shared" si="21"/>
        <v>0</v>
      </c>
      <c r="K104" s="10" t="s">
        <v>5</v>
      </c>
      <c r="L104" s="60">
        <f t="shared" si="22"/>
        <v>0</v>
      </c>
      <c r="M104" s="171">
        <f t="shared" si="22"/>
        <v>0</v>
      </c>
      <c r="N104" s="60">
        <f t="shared" si="22"/>
        <v>0</v>
      </c>
      <c r="O104" s="60">
        <f t="shared" si="22"/>
        <v>0</v>
      </c>
      <c r="P104" s="60">
        <f t="shared" si="22"/>
        <v>0</v>
      </c>
      <c r="Q104" s="60">
        <f t="shared" si="22"/>
        <v>0</v>
      </c>
    </row>
    <row r="105" spans="2:17">
      <c r="B105" s="10" t="s">
        <v>6</v>
      </c>
      <c r="C105" s="12">
        <f t="shared" ref="C105:D108" si="23">C30</f>
        <v>331</v>
      </c>
      <c r="D105" s="12">
        <f t="shared" si="23"/>
        <v>0</v>
      </c>
      <c r="E105" s="11"/>
      <c r="F105" s="12"/>
      <c r="G105" s="12"/>
      <c r="H105" s="12"/>
      <c r="I105" s="13">
        <f t="shared" si="21"/>
        <v>331</v>
      </c>
      <c r="K105" s="10" t="s">
        <v>6</v>
      </c>
      <c r="L105" s="60">
        <f t="shared" si="22"/>
        <v>190.233959665519</v>
      </c>
      <c r="M105" s="60">
        <f t="shared" si="22"/>
        <v>0</v>
      </c>
      <c r="N105" s="171">
        <f t="shared" si="22"/>
        <v>0</v>
      </c>
      <c r="O105" s="60">
        <f t="shared" si="22"/>
        <v>0</v>
      </c>
      <c r="P105" s="60">
        <f t="shared" si="22"/>
        <v>0</v>
      </c>
      <c r="Q105" s="60">
        <f t="shared" si="22"/>
        <v>0</v>
      </c>
    </row>
    <row r="106" spans="2:17">
      <c r="B106" s="10" t="s">
        <v>7</v>
      </c>
      <c r="C106" s="12">
        <f t="shared" si="23"/>
        <v>86</v>
      </c>
      <c r="D106" s="12">
        <f t="shared" si="23"/>
        <v>9</v>
      </c>
      <c r="E106" s="12"/>
      <c r="F106" s="11"/>
      <c r="G106" s="12"/>
      <c r="H106" s="12"/>
      <c r="I106" s="13">
        <f t="shared" si="21"/>
        <v>95</v>
      </c>
      <c r="K106" s="10" t="s">
        <v>7</v>
      </c>
      <c r="L106" s="60">
        <f t="shared" si="22"/>
        <v>190.233959665519</v>
      </c>
      <c r="M106" s="60">
        <f t="shared" si="22"/>
        <v>190.233959665519</v>
      </c>
      <c r="N106" s="60">
        <f t="shared" si="22"/>
        <v>0</v>
      </c>
      <c r="O106" s="171">
        <f t="shared" si="22"/>
        <v>0</v>
      </c>
      <c r="P106" s="60">
        <f t="shared" si="22"/>
        <v>0</v>
      </c>
      <c r="Q106" s="60">
        <f t="shared" si="22"/>
        <v>0</v>
      </c>
    </row>
    <row r="107" spans="2:17">
      <c r="B107" s="10" t="s">
        <v>8</v>
      </c>
      <c r="C107" s="12">
        <f t="shared" si="23"/>
        <v>61</v>
      </c>
      <c r="D107" s="12">
        <f t="shared" si="23"/>
        <v>120</v>
      </c>
      <c r="E107" s="12"/>
      <c r="F107" s="12"/>
      <c r="G107" s="11"/>
      <c r="H107" s="12"/>
      <c r="I107" s="13">
        <f t="shared" si="21"/>
        <v>181</v>
      </c>
      <c r="K107" s="10" t="s">
        <v>8</v>
      </c>
      <c r="L107" s="60">
        <f t="shared" si="22"/>
        <v>190.233959665519</v>
      </c>
      <c r="M107" s="60">
        <f t="shared" si="22"/>
        <v>190.233959665519</v>
      </c>
      <c r="N107" s="60">
        <f t="shared" si="22"/>
        <v>0</v>
      </c>
      <c r="O107" s="60">
        <f t="shared" si="22"/>
        <v>0</v>
      </c>
      <c r="P107" s="171">
        <f t="shared" si="22"/>
        <v>0</v>
      </c>
      <c r="Q107" s="60">
        <f t="shared" si="22"/>
        <v>0</v>
      </c>
    </row>
    <row r="108" spans="2:17">
      <c r="B108" s="10" t="s">
        <v>9</v>
      </c>
      <c r="C108" s="12">
        <f t="shared" si="23"/>
        <v>229</v>
      </c>
      <c r="D108" s="12">
        <f t="shared" si="23"/>
        <v>221</v>
      </c>
      <c r="E108" s="12"/>
      <c r="F108" s="12"/>
      <c r="G108" s="12"/>
      <c r="H108" s="11"/>
      <c r="I108" s="13">
        <f t="shared" si="21"/>
        <v>450</v>
      </c>
      <c r="K108" s="10" t="s">
        <v>9</v>
      </c>
      <c r="L108" s="60">
        <f t="shared" si="22"/>
        <v>190.233959665519</v>
      </c>
      <c r="M108" s="60">
        <f t="shared" si="22"/>
        <v>190.233959665519</v>
      </c>
      <c r="N108" s="60">
        <f t="shared" si="22"/>
        <v>0</v>
      </c>
      <c r="O108" s="60">
        <f t="shared" si="22"/>
        <v>0</v>
      </c>
      <c r="P108" s="60">
        <f t="shared" si="22"/>
        <v>0</v>
      </c>
      <c r="Q108" s="171">
        <f t="shared" si="22"/>
        <v>0</v>
      </c>
    </row>
    <row r="109" spans="2:17">
      <c r="B109" s="16" t="s">
        <v>48</v>
      </c>
      <c r="C109" s="13">
        <f t="shared" ref="C109:I109" si="24">SUM(C103:C108)</f>
        <v>707</v>
      </c>
      <c r="D109" s="13">
        <f t="shared" si="24"/>
        <v>350</v>
      </c>
      <c r="E109" s="13">
        <f t="shared" si="24"/>
        <v>0</v>
      </c>
      <c r="F109" s="13">
        <f t="shared" si="24"/>
        <v>0</v>
      </c>
      <c r="G109" s="13">
        <f t="shared" si="24"/>
        <v>0</v>
      </c>
      <c r="H109" s="13">
        <f t="shared" si="24"/>
        <v>0</v>
      </c>
      <c r="I109" s="13">
        <f t="shared" si="24"/>
        <v>1057</v>
      </c>
    </row>
    <row r="113" spans="2:17">
      <c r="B113" s="98" t="s">
        <v>303</v>
      </c>
      <c r="C113" s="179" t="s">
        <v>5</v>
      </c>
      <c r="D113" s="179" t="s">
        <v>4</v>
      </c>
    </row>
    <row r="114" spans="2:17">
      <c r="B114" s="98" t="s">
        <v>307</v>
      </c>
      <c r="C114" s="98" t="s">
        <v>216</v>
      </c>
      <c r="D114" s="98" t="s">
        <v>216</v>
      </c>
      <c r="E114" s="98" t="s">
        <v>235</v>
      </c>
      <c r="F114" s="178" t="s">
        <v>309</v>
      </c>
    </row>
    <row r="115" spans="2:17" ht="18">
      <c r="B115" s="199" t="s">
        <v>356</v>
      </c>
      <c r="C115" s="12">
        <f>E11*$C$19</f>
        <v>614296.90952555521</v>
      </c>
      <c r="D115" s="12">
        <f>F11*$C$19</f>
        <v>19242.63180889318</v>
      </c>
      <c r="E115" s="12">
        <f>$C$22</f>
        <v>1</v>
      </c>
      <c r="F115" s="12">
        <f>(C115+D115)*E115</f>
        <v>633539.54133444838</v>
      </c>
    </row>
    <row r="116" spans="2:17" ht="18">
      <c r="B116" s="199" t="s">
        <v>354</v>
      </c>
      <c r="C116" s="39">
        <f>E11*$D$19</f>
        <v>2671.6331047002327</v>
      </c>
      <c r="D116" s="39">
        <f>F11*$D$19</f>
        <v>83.687955067040889</v>
      </c>
      <c r="E116" s="18">
        <f>$C$23</f>
        <v>28</v>
      </c>
      <c r="F116" s="12">
        <f t="shared" ref="F116:F117" si="25">(C116+D116)*E116</f>
        <v>77148.989673483666</v>
      </c>
    </row>
    <row r="117" spans="2:17" ht="18">
      <c r="B117" s="199" t="s">
        <v>355</v>
      </c>
      <c r="C117" s="194">
        <f>E11*$E$19</f>
        <v>22.338069437292916</v>
      </c>
      <c r="D117" s="194">
        <f>F11*$E$19</f>
        <v>0.69973206577793379</v>
      </c>
      <c r="E117" s="18">
        <f>$C$24</f>
        <v>265</v>
      </c>
      <c r="F117" s="12">
        <f t="shared" si="25"/>
        <v>6105.0173983137747</v>
      </c>
    </row>
    <row r="118" spans="2:17" ht="15.6" customHeight="1">
      <c r="B118" s="278" t="s">
        <v>10</v>
      </c>
      <c r="C118" s="278"/>
      <c r="D118" s="278"/>
      <c r="E118" s="278"/>
      <c r="F118" s="200">
        <f>SUM(F115:F117)</f>
        <v>716793.54840624577</v>
      </c>
    </row>
    <row r="119" spans="2:17" ht="15.6" customHeight="1"/>
    <row r="120" spans="2:17">
      <c r="B120" s="98" t="s">
        <v>303</v>
      </c>
      <c r="C120" s="179" t="str">
        <f>C113</f>
        <v>BRPEC</v>
      </c>
      <c r="D120" s="179" t="str">
        <f>D113</f>
        <v>BRMAO</v>
      </c>
      <c r="K120" s="98" t="s">
        <v>303</v>
      </c>
      <c r="L120" s="179" t="str">
        <f>C120</f>
        <v>BRPEC</v>
      </c>
      <c r="M120" s="179" t="str">
        <f>D120</f>
        <v>BRMAO</v>
      </c>
    </row>
    <row r="121" spans="2:17" ht="15.6" customHeight="1">
      <c r="B121" s="5" t="s">
        <v>365</v>
      </c>
      <c r="C121" s="4" t="s">
        <v>4</v>
      </c>
      <c r="D121" s="4" t="s">
        <v>5</v>
      </c>
      <c r="E121" s="4" t="s">
        <v>6</v>
      </c>
      <c r="F121" s="4" t="s">
        <v>7</v>
      </c>
      <c r="G121" s="4" t="s">
        <v>8</v>
      </c>
      <c r="H121" s="4" t="s">
        <v>9</v>
      </c>
      <c r="I121" s="5" t="s">
        <v>47</v>
      </c>
      <c r="K121" s="5" t="s">
        <v>308</v>
      </c>
      <c r="L121" s="4" t="s">
        <v>4</v>
      </c>
      <c r="M121" s="4" t="s">
        <v>5</v>
      </c>
      <c r="N121" s="4" t="s">
        <v>6</v>
      </c>
      <c r="O121" s="4" t="s">
        <v>7</v>
      </c>
      <c r="P121" s="4" t="s">
        <v>8</v>
      </c>
      <c r="Q121" s="4" t="s">
        <v>9</v>
      </c>
    </row>
    <row r="122" spans="2:17">
      <c r="B122" s="10" t="s">
        <v>4</v>
      </c>
      <c r="C122" s="11"/>
      <c r="D122" s="12"/>
      <c r="E122" s="12"/>
      <c r="F122" s="12"/>
      <c r="G122" s="12"/>
      <c r="H122" s="12"/>
      <c r="I122" s="13">
        <f t="shared" ref="I122:I127" si="26">SUM(C122:H122)</f>
        <v>0</v>
      </c>
      <c r="K122" s="10" t="s">
        <v>4</v>
      </c>
      <c r="L122" s="171">
        <f>IF(C122=0,0,$F$118/$I$128)</f>
        <v>0</v>
      </c>
      <c r="M122" s="60">
        <f t="shared" ref="M122:Q127" si="27">IF(D122=0,0,$F$118/$I$128)</f>
        <v>0</v>
      </c>
      <c r="N122" s="60">
        <f t="shared" si="27"/>
        <v>0</v>
      </c>
      <c r="O122" s="60">
        <f t="shared" si="27"/>
        <v>0</v>
      </c>
      <c r="P122" s="60">
        <f t="shared" si="27"/>
        <v>0</v>
      </c>
      <c r="Q122" s="60">
        <f t="shared" si="27"/>
        <v>0</v>
      </c>
    </row>
    <row r="123" spans="2:17">
      <c r="B123" s="10" t="s">
        <v>5</v>
      </c>
      <c r="C123" s="12">
        <f t="shared" ref="C123" si="28">C29</f>
        <v>260</v>
      </c>
      <c r="D123" s="11"/>
      <c r="E123" s="12"/>
      <c r="F123" s="12"/>
      <c r="G123" s="12"/>
      <c r="H123" s="12"/>
      <c r="I123" s="13">
        <f t="shared" si="26"/>
        <v>260</v>
      </c>
      <c r="K123" s="10" t="s">
        <v>5</v>
      </c>
      <c r="L123" s="60">
        <f t="shared" ref="L123:L127" si="29">IF(C123=0,0,$F$118/$I$128)</f>
        <v>741.25496215744135</v>
      </c>
      <c r="M123" s="171">
        <f t="shared" si="27"/>
        <v>0</v>
      </c>
      <c r="N123" s="60">
        <f t="shared" si="27"/>
        <v>0</v>
      </c>
      <c r="O123" s="60">
        <f t="shared" si="27"/>
        <v>0</v>
      </c>
      <c r="P123" s="60">
        <f t="shared" si="27"/>
        <v>0</v>
      </c>
      <c r="Q123" s="60">
        <f t="shared" si="27"/>
        <v>0</v>
      </c>
    </row>
    <row r="124" spans="2:17">
      <c r="B124" s="10" t="s">
        <v>6</v>
      </c>
      <c r="C124" s="12">
        <f>C30</f>
        <v>331</v>
      </c>
      <c r="D124" s="12"/>
      <c r="E124" s="11"/>
      <c r="F124" s="12"/>
      <c r="G124" s="12"/>
      <c r="H124" s="12"/>
      <c r="I124" s="13">
        <f t="shared" si="26"/>
        <v>331</v>
      </c>
      <c r="K124" s="10" t="s">
        <v>6</v>
      </c>
      <c r="L124" s="60">
        <f t="shared" si="29"/>
        <v>741.25496215744135</v>
      </c>
      <c r="M124" s="60">
        <f t="shared" si="27"/>
        <v>0</v>
      </c>
      <c r="N124" s="171">
        <f t="shared" si="27"/>
        <v>0</v>
      </c>
      <c r="O124" s="60">
        <f t="shared" si="27"/>
        <v>0</v>
      </c>
      <c r="P124" s="60">
        <f t="shared" si="27"/>
        <v>0</v>
      </c>
      <c r="Q124" s="60">
        <f t="shared" si="27"/>
        <v>0</v>
      </c>
    </row>
    <row r="125" spans="2:17">
      <c r="B125" s="10" t="s">
        <v>7</v>
      </c>
      <c r="C125" s="12">
        <f t="shared" ref="C125:C127" si="30">C31</f>
        <v>86</v>
      </c>
      <c r="D125" s="12"/>
      <c r="E125" s="12"/>
      <c r="F125" s="11"/>
      <c r="G125" s="12"/>
      <c r="H125" s="12"/>
      <c r="I125" s="13">
        <f t="shared" si="26"/>
        <v>86</v>
      </c>
      <c r="K125" s="10" t="s">
        <v>7</v>
      </c>
      <c r="L125" s="60">
        <f t="shared" si="29"/>
        <v>741.25496215744135</v>
      </c>
      <c r="M125" s="60">
        <f t="shared" si="27"/>
        <v>0</v>
      </c>
      <c r="N125" s="60">
        <f t="shared" si="27"/>
        <v>0</v>
      </c>
      <c r="O125" s="171">
        <f t="shared" si="27"/>
        <v>0</v>
      </c>
      <c r="P125" s="60">
        <f t="shared" si="27"/>
        <v>0</v>
      </c>
      <c r="Q125" s="60">
        <f t="shared" si="27"/>
        <v>0</v>
      </c>
    </row>
    <row r="126" spans="2:17">
      <c r="B126" s="10" t="s">
        <v>8</v>
      </c>
      <c r="C126" s="12">
        <f t="shared" si="30"/>
        <v>61</v>
      </c>
      <c r="D126" s="12"/>
      <c r="E126" s="12"/>
      <c r="F126" s="12"/>
      <c r="G126" s="11"/>
      <c r="H126" s="12"/>
      <c r="I126" s="13">
        <f t="shared" si="26"/>
        <v>61</v>
      </c>
      <c r="K126" s="10" t="s">
        <v>8</v>
      </c>
      <c r="L126" s="60">
        <f t="shared" si="29"/>
        <v>741.25496215744135</v>
      </c>
      <c r="M126" s="60">
        <f t="shared" si="27"/>
        <v>0</v>
      </c>
      <c r="N126" s="60">
        <f t="shared" si="27"/>
        <v>0</v>
      </c>
      <c r="O126" s="60">
        <f t="shared" si="27"/>
        <v>0</v>
      </c>
      <c r="P126" s="171">
        <f t="shared" si="27"/>
        <v>0</v>
      </c>
      <c r="Q126" s="60">
        <f t="shared" si="27"/>
        <v>0</v>
      </c>
    </row>
    <row r="127" spans="2:17">
      <c r="B127" s="10" t="s">
        <v>9</v>
      </c>
      <c r="C127" s="12">
        <f t="shared" si="30"/>
        <v>229</v>
      </c>
      <c r="D127" s="12"/>
      <c r="E127" s="12"/>
      <c r="F127" s="12"/>
      <c r="G127" s="12"/>
      <c r="H127" s="11"/>
      <c r="I127" s="13">
        <f t="shared" si="26"/>
        <v>229</v>
      </c>
      <c r="K127" s="10" t="s">
        <v>9</v>
      </c>
      <c r="L127" s="60">
        <f t="shared" si="29"/>
        <v>741.25496215744135</v>
      </c>
      <c r="M127" s="60">
        <f t="shared" si="27"/>
        <v>0</v>
      </c>
      <c r="N127" s="60">
        <f t="shared" si="27"/>
        <v>0</v>
      </c>
      <c r="O127" s="60">
        <f t="shared" si="27"/>
        <v>0</v>
      </c>
      <c r="P127" s="60">
        <f t="shared" si="27"/>
        <v>0</v>
      </c>
      <c r="Q127" s="171">
        <f t="shared" si="27"/>
        <v>0</v>
      </c>
    </row>
    <row r="128" spans="2:17">
      <c r="B128" s="16" t="s">
        <v>48</v>
      </c>
      <c r="C128" s="13">
        <f t="shared" ref="C128:I128" si="31">SUM(C122:C127)</f>
        <v>967</v>
      </c>
      <c r="D128" s="13">
        <f t="shared" si="31"/>
        <v>0</v>
      </c>
      <c r="E128" s="13">
        <f t="shared" si="31"/>
        <v>0</v>
      </c>
      <c r="F128" s="13">
        <f t="shared" si="31"/>
        <v>0</v>
      </c>
      <c r="G128" s="13">
        <f t="shared" si="31"/>
        <v>0</v>
      </c>
      <c r="H128" s="13">
        <f t="shared" si="31"/>
        <v>0</v>
      </c>
      <c r="I128" s="13">
        <f t="shared" si="31"/>
        <v>967</v>
      </c>
    </row>
    <row r="132" spans="2:17">
      <c r="B132" s="98" t="s">
        <v>303</v>
      </c>
      <c r="C132" s="179" t="s">
        <v>4</v>
      </c>
      <c r="D132" s="179" t="s">
        <v>5</v>
      </c>
    </row>
    <row r="133" spans="2:17">
      <c r="B133" s="98" t="s">
        <v>307</v>
      </c>
      <c r="C133" s="98" t="s">
        <v>216</v>
      </c>
      <c r="D133" s="98" t="s">
        <v>216</v>
      </c>
      <c r="E133" s="98" t="s">
        <v>235</v>
      </c>
      <c r="F133" s="178" t="s">
        <v>309</v>
      </c>
    </row>
    <row r="134" spans="2:17" ht="18">
      <c r="B134" s="199" t="s">
        <v>356</v>
      </c>
      <c r="C134" s="12">
        <f>E12*$C$19</f>
        <v>529447.76293841144</v>
      </c>
      <c r="D134" s="12">
        <f>F12*$C$19</f>
        <v>17662.636361121906</v>
      </c>
      <c r="E134" s="12">
        <f>$C$22</f>
        <v>1</v>
      </c>
      <c r="F134" s="12">
        <f>(C134+D134)*E134</f>
        <v>547110.39929953334</v>
      </c>
    </row>
    <row r="135" spans="2:17" ht="18">
      <c r="B135" s="199" t="s">
        <v>354</v>
      </c>
      <c r="C135" s="39">
        <f>E12*$D$19</f>
        <v>2302.6164526339639</v>
      </c>
      <c r="D135" s="39">
        <f>F12*$D$19</f>
        <v>76.816411228733827</v>
      </c>
      <c r="E135" s="18">
        <f>$C$23</f>
        <v>28</v>
      </c>
      <c r="F135" s="12">
        <f t="shared" ref="F135:F136" si="32">(C135+D135)*E135</f>
        <v>66624.120188155532</v>
      </c>
    </row>
    <row r="136" spans="2:17" ht="18">
      <c r="B136" s="199" t="s">
        <v>355</v>
      </c>
      <c r="C136" s="194">
        <f>E12*$E$19</f>
        <v>19.252645925033143</v>
      </c>
      <c r="D136" s="194">
        <f>F12*$E$19</f>
        <v>0.64227768585897849</v>
      </c>
      <c r="E136" s="18">
        <f>$C$24</f>
        <v>265</v>
      </c>
      <c r="F136" s="12">
        <f t="shared" si="32"/>
        <v>5272.1547568864125</v>
      </c>
    </row>
    <row r="137" spans="2:17" ht="15.6" customHeight="1">
      <c r="B137" s="278" t="s">
        <v>10</v>
      </c>
      <c r="C137" s="278"/>
      <c r="D137" s="278"/>
      <c r="E137" s="278"/>
      <c r="F137" s="200">
        <f>SUM(F134:F136)</f>
        <v>619006.67424457532</v>
      </c>
    </row>
    <row r="138" spans="2:17" ht="15.6" customHeight="1"/>
    <row r="139" spans="2:17">
      <c r="B139" s="98" t="s">
        <v>303</v>
      </c>
      <c r="C139" s="179" t="str">
        <f>C132</f>
        <v>BRMAO</v>
      </c>
      <c r="D139" s="179" t="str">
        <f>D132</f>
        <v>BRPEC</v>
      </c>
      <c r="K139" s="98" t="s">
        <v>303</v>
      </c>
      <c r="L139" s="179" t="str">
        <f>C139</f>
        <v>BRMAO</v>
      </c>
      <c r="M139" s="179" t="str">
        <f>D139</f>
        <v>BRPEC</v>
      </c>
    </row>
    <row r="140" spans="2:17" ht="15.6" customHeight="1">
      <c r="B140" s="5" t="s">
        <v>365</v>
      </c>
      <c r="C140" s="4" t="s">
        <v>4</v>
      </c>
      <c r="D140" s="4" t="s">
        <v>5</v>
      </c>
      <c r="E140" s="4" t="s">
        <v>6</v>
      </c>
      <c r="F140" s="4" t="s">
        <v>7</v>
      </c>
      <c r="G140" s="4" t="s">
        <v>8</v>
      </c>
      <c r="H140" s="4" t="s">
        <v>9</v>
      </c>
      <c r="I140" s="5" t="s">
        <v>47</v>
      </c>
      <c r="K140" s="5" t="s">
        <v>308</v>
      </c>
      <c r="L140" s="4" t="s">
        <v>4</v>
      </c>
      <c r="M140" s="4" t="s">
        <v>5</v>
      </c>
      <c r="N140" s="4" t="s">
        <v>6</v>
      </c>
      <c r="O140" s="4" t="s">
        <v>7</v>
      </c>
      <c r="P140" s="4" t="s">
        <v>8</v>
      </c>
      <c r="Q140" s="4" t="s">
        <v>9</v>
      </c>
    </row>
    <row r="141" spans="2:17">
      <c r="B141" s="10" t="s">
        <v>4</v>
      </c>
      <c r="C141" s="11">
        <f t="shared" ref="C141:H141" si="33">C28</f>
        <v>0</v>
      </c>
      <c r="D141" s="12">
        <f t="shared" si="33"/>
        <v>175</v>
      </c>
      <c r="E141" s="12">
        <f t="shared" si="33"/>
        <v>156</v>
      </c>
      <c r="F141" s="12">
        <f t="shared" si="33"/>
        <v>0</v>
      </c>
      <c r="G141" s="12">
        <f t="shared" si="33"/>
        <v>226</v>
      </c>
      <c r="H141" s="12">
        <f t="shared" si="33"/>
        <v>648</v>
      </c>
      <c r="I141" s="13">
        <f t="shared" ref="I141:I146" si="34">SUM(C141:H141)</f>
        <v>1205</v>
      </c>
      <c r="K141" s="10" t="s">
        <v>4</v>
      </c>
      <c r="L141" s="171">
        <f>IF(C141=0,0,$F$137/$I$147)</f>
        <v>0</v>
      </c>
      <c r="M141" s="60">
        <f t="shared" ref="M141:Q146" si="35">IF(D141=0,0,$F$137/$I$147)</f>
        <v>513.69848485027001</v>
      </c>
      <c r="N141" s="60">
        <f t="shared" si="35"/>
        <v>513.69848485027001</v>
      </c>
      <c r="O141" s="60">
        <f t="shared" si="35"/>
        <v>0</v>
      </c>
      <c r="P141" s="60">
        <f t="shared" si="35"/>
        <v>513.69848485027001</v>
      </c>
      <c r="Q141" s="60">
        <f t="shared" si="35"/>
        <v>513.69848485027001</v>
      </c>
    </row>
    <row r="142" spans="2:17">
      <c r="B142" s="10" t="s">
        <v>5</v>
      </c>
      <c r="C142" s="12"/>
      <c r="D142" s="11"/>
      <c r="E142" s="12"/>
      <c r="F142" s="12"/>
      <c r="G142" s="12"/>
      <c r="H142" s="12"/>
      <c r="I142" s="13">
        <f t="shared" si="34"/>
        <v>0</v>
      </c>
      <c r="K142" s="10" t="s">
        <v>5</v>
      </c>
      <c r="L142" s="60">
        <f t="shared" ref="L142:L146" si="36">IF(C142=0,0,$F$137/$I$147)</f>
        <v>0</v>
      </c>
      <c r="M142" s="171">
        <f t="shared" si="35"/>
        <v>0</v>
      </c>
      <c r="N142" s="60">
        <f t="shared" si="35"/>
        <v>0</v>
      </c>
      <c r="O142" s="60">
        <f t="shared" si="35"/>
        <v>0</v>
      </c>
      <c r="P142" s="60">
        <f t="shared" si="35"/>
        <v>0</v>
      </c>
      <c r="Q142" s="60">
        <f t="shared" si="35"/>
        <v>0</v>
      </c>
    </row>
    <row r="143" spans="2:17">
      <c r="B143" s="10" t="s">
        <v>6</v>
      </c>
      <c r="C143" s="12"/>
      <c r="D143" s="12"/>
      <c r="E143" s="11"/>
      <c r="F143" s="12"/>
      <c r="G143" s="12"/>
      <c r="H143" s="12"/>
      <c r="I143" s="13">
        <f t="shared" si="34"/>
        <v>0</v>
      </c>
      <c r="K143" s="10" t="s">
        <v>6</v>
      </c>
      <c r="L143" s="60">
        <f t="shared" si="36"/>
        <v>0</v>
      </c>
      <c r="M143" s="60">
        <f t="shared" si="35"/>
        <v>0</v>
      </c>
      <c r="N143" s="171">
        <f t="shared" si="35"/>
        <v>0</v>
      </c>
      <c r="O143" s="60">
        <f t="shared" si="35"/>
        <v>0</v>
      </c>
      <c r="P143" s="60">
        <f t="shared" si="35"/>
        <v>0</v>
      </c>
      <c r="Q143" s="60">
        <f t="shared" si="35"/>
        <v>0</v>
      </c>
    </row>
    <row r="144" spans="2:17">
      <c r="B144" s="10" t="s">
        <v>7</v>
      </c>
      <c r="C144" s="12"/>
      <c r="D144" s="12"/>
      <c r="E144" s="12"/>
      <c r="F144" s="11"/>
      <c r="G144" s="12"/>
      <c r="H144" s="12"/>
      <c r="I144" s="13">
        <f t="shared" si="34"/>
        <v>0</v>
      </c>
      <c r="K144" s="10" t="s">
        <v>7</v>
      </c>
      <c r="L144" s="60">
        <f t="shared" si="36"/>
        <v>0</v>
      </c>
      <c r="M144" s="60">
        <f t="shared" si="35"/>
        <v>0</v>
      </c>
      <c r="N144" s="60">
        <f t="shared" si="35"/>
        <v>0</v>
      </c>
      <c r="O144" s="171">
        <f t="shared" si="35"/>
        <v>0</v>
      </c>
      <c r="P144" s="60">
        <f t="shared" si="35"/>
        <v>0</v>
      </c>
      <c r="Q144" s="60">
        <f t="shared" si="35"/>
        <v>0</v>
      </c>
    </row>
    <row r="145" spans="2:17">
      <c r="B145" s="10" t="s">
        <v>8</v>
      </c>
      <c r="C145" s="12"/>
      <c r="D145" s="12"/>
      <c r="E145" s="12"/>
      <c r="F145" s="12"/>
      <c r="G145" s="11"/>
      <c r="H145" s="12"/>
      <c r="I145" s="13">
        <f t="shared" si="34"/>
        <v>0</v>
      </c>
      <c r="K145" s="10" t="s">
        <v>8</v>
      </c>
      <c r="L145" s="60">
        <f t="shared" si="36"/>
        <v>0</v>
      </c>
      <c r="M145" s="60">
        <f t="shared" si="35"/>
        <v>0</v>
      </c>
      <c r="N145" s="60">
        <f t="shared" si="35"/>
        <v>0</v>
      </c>
      <c r="O145" s="60">
        <f t="shared" si="35"/>
        <v>0</v>
      </c>
      <c r="P145" s="171">
        <f t="shared" si="35"/>
        <v>0</v>
      </c>
      <c r="Q145" s="60">
        <f t="shared" si="35"/>
        <v>0</v>
      </c>
    </row>
    <row r="146" spans="2:17">
      <c r="B146" s="10" t="s">
        <v>9</v>
      </c>
      <c r="C146" s="12"/>
      <c r="D146" s="12"/>
      <c r="E146" s="12"/>
      <c r="F146" s="12"/>
      <c r="G146" s="12"/>
      <c r="H146" s="11"/>
      <c r="I146" s="13">
        <f t="shared" si="34"/>
        <v>0</v>
      </c>
      <c r="K146" s="10" t="s">
        <v>9</v>
      </c>
      <c r="L146" s="60">
        <f t="shared" si="36"/>
        <v>0</v>
      </c>
      <c r="M146" s="60">
        <f t="shared" si="35"/>
        <v>0</v>
      </c>
      <c r="N146" s="60">
        <f t="shared" si="35"/>
        <v>0</v>
      </c>
      <c r="O146" s="60">
        <f t="shared" si="35"/>
        <v>0</v>
      </c>
      <c r="P146" s="60">
        <f t="shared" si="35"/>
        <v>0</v>
      </c>
      <c r="Q146" s="171">
        <f t="shared" si="35"/>
        <v>0</v>
      </c>
    </row>
    <row r="147" spans="2:17">
      <c r="B147" s="16" t="s">
        <v>48</v>
      </c>
      <c r="C147" s="13">
        <f t="shared" ref="C147:I147" si="37">SUM(C141:C146)</f>
        <v>0</v>
      </c>
      <c r="D147" s="13">
        <f t="shared" si="37"/>
        <v>175</v>
      </c>
      <c r="E147" s="13">
        <f t="shared" si="37"/>
        <v>156</v>
      </c>
      <c r="F147" s="13">
        <f t="shared" si="37"/>
        <v>0</v>
      </c>
      <c r="G147" s="13">
        <f t="shared" si="37"/>
        <v>226</v>
      </c>
      <c r="H147" s="13">
        <f t="shared" si="37"/>
        <v>648</v>
      </c>
      <c r="I147" s="13">
        <f t="shared" si="37"/>
        <v>1205</v>
      </c>
    </row>
    <row r="151" spans="2:17">
      <c r="B151" s="98" t="s">
        <v>303</v>
      </c>
      <c r="C151" s="179" t="s">
        <v>5</v>
      </c>
      <c r="D151" s="179" t="s">
        <v>6</v>
      </c>
    </row>
    <row r="152" spans="2:17">
      <c r="B152" s="98" t="s">
        <v>307</v>
      </c>
      <c r="C152" s="98" t="s">
        <v>216</v>
      </c>
      <c r="D152" s="98" t="s">
        <v>216</v>
      </c>
      <c r="E152" s="98" t="s">
        <v>235</v>
      </c>
      <c r="F152" s="178" t="s">
        <v>309</v>
      </c>
    </row>
    <row r="153" spans="2:17" ht="18">
      <c r="B153" s="199" t="s">
        <v>356</v>
      </c>
      <c r="C153" s="12">
        <f>E13*$C$19</f>
        <v>173273.32007993525</v>
      </c>
      <c r="D153" s="12">
        <f>F13*$C$19</f>
        <v>5581.8724225734413</v>
      </c>
      <c r="E153" s="12">
        <f>$C$22</f>
        <v>1</v>
      </c>
      <c r="F153" s="12">
        <f>(C153+D153)*E153</f>
        <v>178855.1925025087</v>
      </c>
    </row>
    <row r="154" spans="2:17" ht="18">
      <c r="B154" s="199" t="s">
        <v>354</v>
      </c>
      <c r="C154" s="39">
        <f>E13*$D$19</f>
        <v>753.58142114764576</v>
      </c>
      <c r="D154" s="39">
        <f>F13*$D$19</f>
        <v>24.276070608719404</v>
      </c>
      <c r="E154" s="18">
        <f>$C$23</f>
        <v>28</v>
      </c>
      <c r="F154" s="12">
        <f t="shared" ref="F154:F155" si="38">(C154+D154)*E154</f>
        <v>21780.009769178221</v>
      </c>
    </row>
    <row r="155" spans="2:17" ht="18">
      <c r="B155" s="199" t="s">
        <v>355</v>
      </c>
      <c r="C155" s="194">
        <f>E13*$E$19</f>
        <v>6.3008480029067364</v>
      </c>
      <c r="D155" s="194">
        <f>F13*$E$19</f>
        <v>0.20297717900267062</v>
      </c>
      <c r="E155" s="18">
        <f>$C$24</f>
        <v>265</v>
      </c>
      <c r="F155" s="12">
        <f t="shared" si="38"/>
        <v>1723.5136732059927</v>
      </c>
    </row>
    <row r="156" spans="2:17" ht="15.6" customHeight="1">
      <c r="B156" s="278" t="s">
        <v>10</v>
      </c>
      <c r="C156" s="278"/>
      <c r="D156" s="278"/>
      <c r="E156" s="278"/>
      <c r="F156" s="200">
        <f>SUM(F153:F155)</f>
        <v>202358.71594489293</v>
      </c>
    </row>
    <row r="157" spans="2:17" ht="15.6" customHeight="1"/>
    <row r="158" spans="2:17">
      <c r="B158" s="98" t="s">
        <v>303</v>
      </c>
      <c r="C158" s="179" t="str">
        <f>C151</f>
        <v>BRPEC</v>
      </c>
      <c r="D158" s="179" t="str">
        <f>D151</f>
        <v>BRSUA</v>
      </c>
      <c r="K158" s="98" t="s">
        <v>303</v>
      </c>
      <c r="L158" s="179" t="str">
        <f>C158</f>
        <v>BRPEC</v>
      </c>
      <c r="M158" s="179" t="str">
        <f>D158</f>
        <v>BRSUA</v>
      </c>
    </row>
    <row r="159" spans="2:17" ht="15.6" customHeight="1">
      <c r="B159" s="5" t="s">
        <v>365</v>
      </c>
      <c r="C159" s="4" t="s">
        <v>4</v>
      </c>
      <c r="D159" s="4" t="s">
        <v>5</v>
      </c>
      <c r="E159" s="4" t="s">
        <v>6</v>
      </c>
      <c r="F159" s="4" t="s">
        <v>7</v>
      </c>
      <c r="G159" s="4" t="s">
        <v>8</v>
      </c>
      <c r="H159" s="4" t="s">
        <v>9</v>
      </c>
      <c r="I159" s="5" t="s">
        <v>47</v>
      </c>
      <c r="K159" s="5" t="s">
        <v>308</v>
      </c>
      <c r="L159" s="4" t="s">
        <v>4</v>
      </c>
      <c r="M159" s="4" t="s">
        <v>5</v>
      </c>
      <c r="N159" s="4" t="s">
        <v>6</v>
      </c>
      <c r="O159" s="4" t="s">
        <v>7</v>
      </c>
      <c r="P159" s="4" t="s">
        <v>8</v>
      </c>
      <c r="Q159" s="4" t="s">
        <v>9</v>
      </c>
    </row>
    <row r="160" spans="2:17">
      <c r="B160" s="10" t="s">
        <v>4</v>
      </c>
      <c r="C160" s="11"/>
      <c r="D160" s="12"/>
      <c r="E160" s="12">
        <f t="shared" ref="E160:H161" si="39">E28</f>
        <v>156</v>
      </c>
      <c r="F160" s="12">
        <f t="shared" si="39"/>
        <v>0</v>
      </c>
      <c r="G160" s="12">
        <f t="shared" si="39"/>
        <v>226</v>
      </c>
      <c r="H160" s="12">
        <f t="shared" si="39"/>
        <v>648</v>
      </c>
      <c r="I160" s="13">
        <f t="shared" ref="I160:I165" si="40">SUM(C160:H160)</f>
        <v>1030</v>
      </c>
      <c r="K160" s="10" t="s">
        <v>4</v>
      </c>
      <c r="L160" s="171">
        <f>IF(C160=0,0,$F$156/$I$166)</f>
        <v>0</v>
      </c>
      <c r="M160" s="60">
        <f t="shared" ref="M160:Q165" si="41">IF(D160=0,0,$F$156/$I$166)</f>
        <v>0</v>
      </c>
      <c r="N160" s="60">
        <f t="shared" si="41"/>
        <v>170.62286335994344</v>
      </c>
      <c r="O160" s="60">
        <f t="shared" si="41"/>
        <v>0</v>
      </c>
      <c r="P160" s="60">
        <f t="shared" si="41"/>
        <v>170.62286335994344</v>
      </c>
      <c r="Q160" s="60">
        <f t="shared" si="41"/>
        <v>170.62286335994344</v>
      </c>
    </row>
    <row r="161" spans="2:17">
      <c r="B161" s="10" t="s">
        <v>5</v>
      </c>
      <c r="C161" s="12"/>
      <c r="D161" s="11"/>
      <c r="E161" s="12">
        <f t="shared" si="39"/>
        <v>0</v>
      </c>
      <c r="F161" s="12">
        <f t="shared" si="39"/>
        <v>0</v>
      </c>
      <c r="G161" s="12">
        <f t="shared" si="39"/>
        <v>20</v>
      </c>
      <c r="H161" s="12">
        <f t="shared" si="39"/>
        <v>136</v>
      </c>
      <c r="I161" s="13">
        <f t="shared" si="40"/>
        <v>156</v>
      </c>
      <c r="K161" s="10" t="s">
        <v>5</v>
      </c>
      <c r="L161" s="60">
        <f t="shared" ref="L161:L165" si="42">IF(C161=0,0,$F$156/$I$166)</f>
        <v>0</v>
      </c>
      <c r="M161" s="171">
        <f t="shared" si="41"/>
        <v>0</v>
      </c>
      <c r="N161" s="60">
        <f t="shared" si="41"/>
        <v>0</v>
      </c>
      <c r="O161" s="60">
        <f t="shared" si="41"/>
        <v>0</v>
      </c>
      <c r="P161" s="60">
        <f t="shared" si="41"/>
        <v>170.62286335994344</v>
      </c>
      <c r="Q161" s="60">
        <f t="shared" si="41"/>
        <v>170.62286335994344</v>
      </c>
    </row>
    <row r="162" spans="2:17">
      <c r="B162" s="10" t="s">
        <v>6</v>
      </c>
      <c r="C162" s="12"/>
      <c r="D162" s="12"/>
      <c r="E162" s="11"/>
      <c r="F162" s="12"/>
      <c r="G162" s="12"/>
      <c r="H162" s="12"/>
      <c r="I162" s="13">
        <f t="shared" si="40"/>
        <v>0</v>
      </c>
      <c r="K162" s="10" t="s">
        <v>6</v>
      </c>
      <c r="L162" s="60">
        <f t="shared" si="42"/>
        <v>0</v>
      </c>
      <c r="M162" s="60">
        <f t="shared" si="41"/>
        <v>0</v>
      </c>
      <c r="N162" s="171">
        <f t="shared" si="41"/>
        <v>0</v>
      </c>
      <c r="O162" s="60">
        <f t="shared" si="41"/>
        <v>0</v>
      </c>
      <c r="P162" s="60">
        <f t="shared" si="41"/>
        <v>0</v>
      </c>
      <c r="Q162" s="60">
        <f t="shared" si="41"/>
        <v>0</v>
      </c>
    </row>
    <row r="163" spans="2:17">
      <c r="B163" s="10" t="s">
        <v>7</v>
      </c>
      <c r="C163" s="12"/>
      <c r="D163" s="12"/>
      <c r="E163" s="12"/>
      <c r="F163" s="11"/>
      <c r="G163" s="12"/>
      <c r="H163" s="12"/>
      <c r="I163" s="13">
        <f t="shared" si="40"/>
        <v>0</v>
      </c>
      <c r="K163" s="10" t="s">
        <v>7</v>
      </c>
      <c r="L163" s="60">
        <f t="shared" si="42"/>
        <v>0</v>
      </c>
      <c r="M163" s="60">
        <f t="shared" si="41"/>
        <v>0</v>
      </c>
      <c r="N163" s="60">
        <f t="shared" si="41"/>
        <v>0</v>
      </c>
      <c r="O163" s="171">
        <f t="shared" si="41"/>
        <v>0</v>
      </c>
      <c r="P163" s="60">
        <f t="shared" si="41"/>
        <v>0</v>
      </c>
      <c r="Q163" s="60">
        <f t="shared" si="41"/>
        <v>0</v>
      </c>
    </row>
    <row r="164" spans="2:17">
      <c r="B164" s="10" t="s">
        <v>8</v>
      </c>
      <c r="C164" s="12"/>
      <c r="D164" s="12"/>
      <c r="E164" s="12"/>
      <c r="F164" s="12"/>
      <c r="G164" s="11"/>
      <c r="H164" s="12"/>
      <c r="I164" s="13">
        <f t="shared" si="40"/>
        <v>0</v>
      </c>
      <c r="K164" s="10" t="s">
        <v>8</v>
      </c>
      <c r="L164" s="60">
        <f t="shared" si="42"/>
        <v>0</v>
      </c>
      <c r="M164" s="60">
        <f t="shared" si="41"/>
        <v>0</v>
      </c>
      <c r="N164" s="60">
        <f t="shared" si="41"/>
        <v>0</v>
      </c>
      <c r="O164" s="60">
        <f t="shared" si="41"/>
        <v>0</v>
      </c>
      <c r="P164" s="171">
        <f t="shared" si="41"/>
        <v>0</v>
      </c>
      <c r="Q164" s="60">
        <f t="shared" si="41"/>
        <v>0</v>
      </c>
    </row>
    <row r="165" spans="2:17">
      <c r="B165" s="10" t="s">
        <v>9</v>
      </c>
      <c r="C165" s="12"/>
      <c r="D165" s="12"/>
      <c r="E165" s="12"/>
      <c r="F165" s="12"/>
      <c r="G165" s="12"/>
      <c r="H165" s="11"/>
      <c r="I165" s="13">
        <f t="shared" si="40"/>
        <v>0</v>
      </c>
      <c r="K165" s="10" t="s">
        <v>9</v>
      </c>
      <c r="L165" s="60">
        <f t="shared" si="42"/>
        <v>0</v>
      </c>
      <c r="M165" s="60">
        <f t="shared" si="41"/>
        <v>0</v>
      </c>
      <c r="N165" s="60">
        <f t="shared" si="41"/>
        <v>0</v>
      </c>
      <c r="O165" s="60">
        <f t="shared" si="41"/>
        <v>0</v>
      </c>
      <c r="P165" s="60">
        <f t="shared" si="41"/>
        <v>0</v>
      </c>
      <c r="Q165" s="171">
        <f t="shared" si="41"/>
        <v>0</v>
      </c>
    </row>
    <row r="166" spans="2:17">
      <c r="B166" s="16" t="s">
        <v>48</v>
      </c>
      <c r="C166" s="13">
        <f t="shared" ref="C166:I166" si="43">SUM(C160:C165)</f>
        <v>0</v>
      </c>
      <c r="D166" s="13">
        <f t="shared" si="43"/>
        <v>0</v>
      </c>
      <c r="E166" s="13">
        <f t="shared" si="43"/>
        <v>156</v>
      </c>
      <c r="F166" s="13">
        <f t="shared" si="43"/>
        <v>0</v>
      </c>
      <c r="G166" s="13">
        <f t="shared" si="43"/>
        <v>246</v>
      </c>
      <c r="H166" s="13">
        <f t="shared" si="43"/>
        <v>784</v>
      </c>
      <c r="I166" s="13">
        <f t="shared" si="43"/>
        <v>1186</v>
      </c>
    </row>
    <row r="170" spans="2:17">
      <c r="B170" s="98" t="s">
        <v>303</v>
      </c>
      <c r="C170" s="179" t="s">
        <v>6</v>
      </c>
      <c r="D170" s="179" t="s">
        <v>9</v>
      </c>
    </row>
    <row r="171" spans="2:17">
      <c r="B171" s="98" t="s">
        <v>307</v>
      </c>
      <c r="C171" s="98" t="s">
        <v>216</v>
      </c>
      <c r="D171" s="98" t="s">
        <v>216</v>
      </c>
      <c r="E171" s="98" t="s">
        <v>235</v>
      </c>
      <c r="F171" s="178" t="s">
        <v>309</v>
      </c>
    </row>
    <row r="172" spans="2:17" ht="18">
      <c r="B172" s="199" t="s">
        <v>356</v>
      </c>
      <c r="C172" s="12">
        <f>E14*$C$19</f>
        <v>492884.3806847845</v>
      </c>
      <c r="D172" s="12">
        <f>F14*$C$19</f>
        <v>15877.877727492347</v>
      </c>
      <c r="E172" s="12">
        <f>$C$22</f>
        <v>1</v>
      </c>
      <c r="F172" s="12">
        <f>(C172+D172)*E172</f>
        <v>508762.25841227686</v>
      </c>
    </row>
    <row r="173" spans="2:17" ht="18">
      <c r="B173" s="199" t="s">
        <v>354</v>
      </c>
      <c r="C173" s="39">
        <f>E14*$D$19</f>
        <v>2143.5989792690993</v>
      </c>
      <c r="D173" s="39">
        <f>F14*$D$19</f>
        <v>69.054333680293993</v>
      </c>
      <c r="E173" s="18">
        <f>$C$23</f>
        <v>28</v>
      </c>
      <c r="F173" s="12">
        <f t="shared" ref="F173:F174" si="44">(C173+D173)*E173</f>
        <v>61954.292762583013</v>
      </c>
    </row>
    <row r="174" spans="2:17" ht="18">
      <c r="B174" s="199" t="s">
        <v>355</v>
      </c>
      <c r="C174" s="194">
        <f>E14*$E$19</f>
        <v>17.923068388537619</v>
      </c>
      <c r="D174" s="194">
        <f>F14*$E$19</f>
        <v>0.57737737190881266</v>
      </c>
      <c r="E174" s="18">
        <f>$C$24</f>
        <v>265</v>
      </c>
      <c r="F174" s="12">
        <f t="shared" si="44"/>
        <v>4902.6181265183041</v>
      </c>
    </row>
    <row r="175" spans="2:17" ht="15.6" customHeight="1">
      <c r="B175" s="278" t="s">
        <v>10</v>
      </c>
      <c r="C175" s="278"/>
      <c r="D175" s="278"/>
      <c r="E175" s="278"/>
      <c r="F175" s="200">
        <f>SUM(F172:F174)</f>
        <v>575619.16930137819</v>
      </c>
    </row>
    <row r="176" spans="2:17" ht="15.6" customHeight="1"/>
    <row r="177" spans="2:17">
      <c r="B177" s="98" t="s">
        <v>303</v>
      </c>
      <c r="C177" s="179" t="str">
        <f>C170</f>
        <v>BRSUA</v>
      </c>
      <c r="D177" s="179" t="str">
        <f>D170</f>
        <v>BRSSZ</v>
      </c>
      <c r="K177" s="98" t="s">
        <v>303</v>
      </c>
      <c r="L177" s="179" t="str">
        <f>C177</f>
        <v>BRSUA</v>
      </c>
      <c r="M177" s="179" t="str">
        <f>D177</f>
        <v>BRSSZ</v>
      </c>
    </row>
    <row r="178" spans="2:17" ht="15.6" customHeight="1">
      <c r="B178" s="5" t="s">
        <v>365</v>
      </c>
      <c r="C178" s="4" t="s">
        <v>4</v>
      </c>
      <c r="D178" s="4" t="s">
        <v>5</v>
      </c>
      <c r="E178" s="4" t="s">
        <v>6</v>
      </c>
      <c r="F178" s="4" t="s">
        <v>7</v>
      </c>
      <c r="G178" s="4" t="s">
        <v>8</v>
      </c>
      <c r="H178" s="4" t="s">
        <v>9</v>
      </c>
      <c r="I178" s="5" t="s">
        <v>47</v>
      </c>
      <c r="K178" s="5" t="s">
        <v>308</v>
      </c>
      <c r="L178" s="4" t="s">
        <v>4</v>
      </c>
      <c r="M178" s="4" t="s">
        <v>5</v>
      </c>
      <c r="N178" s="4" t="s">
        <v>6</v>
      </c>
      <c r="O178" s="4" t="s">
        <v>7</v>
      </c>
      <c r="P178" s="4" t="s">
        <v>8</v>
      </c>
      <c r="Q178" s="4" t="s">
        <v>9</v>
      </c>
    </row>
    <row r="179" spans="2:17">
      <c r="B179" s="10" t="s">
        <v>4</v>
      </c>
      <c r="C179" s="11"/>
      <c r="D179" s="12"/>
      <c r="E179" s="12"/>
      <c r="F179" s="12"/>
      <c r="G179" s="12">
        <f t="shared" ref="G179:H181" si="45">G28</f>
        <v>226</v>
      </c>
      <c r="H179" s="12">
        <f t="shared" si="45"/>
        <v>648</v>
      </c>
      <c r="I179" s="13">
        <f t="shared" ref="I179:I184" si="46">SUM(C179:H179)</f>
        <v>874</v>
      </c>
      <c r="K179" s="10" t="s">
        <v>4</v>
      </c>
      <c r="L179" s="171">
        <f>IF(C179=0,0,$F$175/$I$185)</f>
        <v>0</v>
      </c>
      <c r="M179" s="60">
        <f t="shared" ref="M179:Q184" si="47">IF(D179=0,0,$F$175/$I$185)</f>
        <v>0</v>
      </c>
      <c r="N179" s="60">
        <f t="shared" si="47"/>
        <v>0</v>
      </c>
      <c r="O179" s="60">
        <f t="shared" si="47"/>
        <v>0</v>
      </c>
      <c r="P179" s="60">
        <f t="shared" si="47"/>
        <v>514.86508882055296</v>
      </c>
      <c r="Q179" s="60">
        <f t="shared" si="47"/>
        <v>514.86508882055296</v>
      </c>
    </row>
    <row r="180" spans="2:17">
      <c r="B180" s="10" t="s">
        <v>5</v>
      </c>
      <c r="C180" s="12"/>
      <c r="D180" s="11"/>
      <c r="E180" s="12"/>
      <c r="F180" s="12"/>
      <c r="G180" s="12">
        <f t="shared" si="45"/>
        <v>20</v>
      </c>
      <c r="H180" s="12">
        <f t="shared" si="45"/>
        <v>136</v>
      </c>
      <c r="I180" s="13">
        <f t="shared" si="46"/>
        <v>156</v>
      </c>
      <c r="K180" s="10" t="s">
        <v>5</v>
      </c>
      <c r="L180" s="60">
        <f t="shared" ref="L180:L184" si="48">IF(C180=0,0,$F$175/$I$185)</f>
        <v>0</v>
      </c>
      <c r="M180" s="171">
        <f t="shared" si="47"/>
        <v>0</v>
      </c>
      <c r="N180" s="60">
        <f t="shared" si="47"/>
        <v>0</v>
      </c>
      <c r="O180" s="60">
        <f t="shared" si="47"/>
        <v>0</v>
      </c>
      <c r="P180" s="60">
        <f t="shared" si="47"/>
        <v>514.86508882055296</v>
      </c>
      <c r="Q180" s="60">
        <f t="shared" si="47"/>
        <v>514.86508882055296</v>
      </c>
    </row>
    <row r="181" spans="2:17">
      <c r="B181" s="10" t="s">
        <v>6</v>
      </c>
      <c r="C181" s="12"/>
      <c r="D181" s="12"/>
      <c r="E181" s="11"/>
      <c r="F181" s="12"/>
      <c r="G181" s="12">
        <f t="shared" si="45"/>
        <v>30</v>
      </c>
      <c r="H181" s="12">
        <f t="shared" si="45"/>
        <v>58</v>
      </c>
      <c r="I181" s="13">
        <f t="shared" si="46"/>
        <v>88</v>
      </c>
      <c r="K181" s="10" t="s">
        <v>6</v>
      </c>
      <c r="L181" s="60">
        <f t="shared" si="48"/>
        <v>0</v>
      </c>
      <c r="M181" s="60">
        <f t="shared" si="47"/>
        <v>0</v>
      </c>
      <c r="N181" s="171">
        <f t="shared" si="47"/>
        <v>0</v>
      </c>
      <c r="O181" s="60">
        <f t="shared" si="47"/>
        <v>0</v>
      </c>
      <c r="P181" s="60">
        <f t="shared" si="47"/>
        <v>514.86508882055296</v>
      </c>
      <c r="Q181" s="60">
        <f t="shared" si="47"/>
        <v>514.86508882055296</v>
      </c>
    </row>
    <row r="182" spans="2:17">
      <c r="B182" s="10" t="s">
        <v>7</v>
      </c>
      <c r="C182" s="12"/>
      <c r="D182" s="12"/>
      <c r="E182" s="12"/>
      <c r="F182" s="11"/>
      <c r="G182" s="12"/>
      <c r="H182" s="12"/>
      <c r="I182" s="13">
        <f t="shared" si="46"/>
        <v>0</v>
      </c>
      <c r="K182" s="10" t="s">
        <v>7</v>
      </c>
      <c r="L182" s="60">
        <f t="shared" si="48"/>
        <v>0</v>
      </c>
      <c r="M182" s="60">
        <f t="shared" si="47"/>
        <v>0</v>
      </c>
      <c r="N182" s="60">
        <f t="shared" si="47"/>
        <v>0</v>
      </c>
      <c r="O182" s="171">
        <f t="shared" si="47"/>
        <v>0</v>
      </c>
      <c r="P182" s="60">
        <f t="shared" si="47"/>
        <v>0</v>
      </c>
      <c r="Q182" s="60">
        <f t="shared" si="47"/>
        <v>0</v>
      </c>
    </row>
    <row r="183" spans="2:17">
      <c r="B183" s="10" t="s">
        <v>8</v>
      </c>
      <c r="C183" s="12"/>
      <c r="D183" s="12"/>
      <c r="E183" s="12"/>
      <c r="F183" s="12"/>
      <c r="G183" s="11"/>
      <c r="H183" s="12"/>
      <c r="I183" s="13">
        <f t="shared" si="46"/>
        <v>0</v>
      </c>
      <c r="K183" s="10" t="s">
        <v>8</v>
      </c>
      <c r="L183" s="60">
        <f t="shared" si="48"/>
        <v>0</v>
      </c>
      <c r="M183" s="60">
        <f t="shared" si="47"/>
        <v>0</v>
      </c>
      <c r="N183" s="60">
        <f t="shared" si="47"/>
        <v>0</v>
      </c>
      <c r="O183" s="60">
        <f t="shared" si="47"/>
        <v>0</v>
      </c>
      <c r="P183" s="171">
        <f t="shared" si="47"/>
        <v>0</v>
      </c>
      <c r="Q183" s="60">
        <f t="shared" si="47"/>
        <v>0</v>
      </c>
    </row>
    <row r="184" spans="2:17">
      <c r="B184" s="10" t="s">
        <v>9</v>
      </c>
      <c r="C184" s="12"/>
      <c r="D184" s="12"/>
      <c r="E184" s="12"/>
      <c r="F184" s="12"/>
      <c r="G184" s="12"/>
      <c r="H184" s="11"/>
      <c r="I184" s="13">
        <f t="shared" si="46"/>
        <v>0</v>
      </c>
      <c r="K184" s="10" t="s">
        <v>9</v>
      </c>
      <c r="L184" s="60">
        <f t="shared" si="48"/>
        <v>0</v>
      </c>
      <c r="M184" s="60">
        <f t="shared" si="47"/>
        <v>0</v>
      </c>
      <c r="N184" s="60">
        <f t="shared" si="47"/>
        <v>0</v>
      </c>
      <c r="O184" s="60">
        <f t="shared" si="47"/>
        <v>0</v>
      </c>
      <c r="P184" s="60">
        <f t="shared" si="47"/>
        <v>0</v>
      </c>
      <c r="Q184" s="171">
        <f t="shared" si="47"/>
        <v>0</v>
      </c>
    </row>
    <row r="185" spans="2:17">
      <c r="B185" s="16" t="s">
        <v>48</v>
      </c>
      <c r="C185" s="13">
        <f t="shared" ref="C185:I185" si="49">SUM(C179:C184)</f>
        <v>0</v>
      </c>
      <c r="D185" s="13">
        <f t="shared" si="49"/>
        <v>0</v>
      </c>
      <c r="E185" s="13">
        <f t="shared" si="49"/>
        <v>0</v>
      </c>
      <c r="F185" s="13">
        <f t="shared" si="49"/>
        <v>0</v>
      </c>
      <c r="G185" s="13">
        <f t="shared" si="49"/>
        <v>276</v>
      </c>
      <c r="H185" s="13">
        <f t="shared" si="49"/>
        <v>842</v>
      </c>
      <c r="I185" s="13">
        <f t="shared" si="49"/>
        <v>1118</v>
      </c>
    </row>
    <row r="188" spans="2:17" ht="18">
      <c r="K188" s="260" t="s">
        <v>472</v>
      </c>
      <c r="L188" s="260"/>
      <c r="M188" s="260"/>
      <c r="N188" s="260"/>
      <c r="O188" s="260"/>
      <c r="P188" s="260"/>
      <c r="Q188" s="260"/>
    </row>
    <row r="189" spans="2:17">
      <c r="K189" s="5" t="s">
        <v>473</v>
      </c>
      <c r="L189" s="4" t="s">
        <v>4</v>
      </c>
      <c r="M189" s="4" t="s">
        <v>5</v>
      </c>
      <c r="N189" s="4" t="s">
        <v>6</v>
      </c>
      <c r="O189" s="4" t="s">
        <v>7</v>
      </c>
      <c r="P189" s="4" t="s">
        <v>8</v>
      </c>
      <c r="Q189" s="4" t="s">
        <v>9</v>
      </c>
    </row>
    <row r="190" spans="2:17">
      <c r="K190" s="10" t="s">
        <v>4</v>
      </c>
      <c r="L190" s="171">
        <f>L46+L65+L84+L103+L122+L141+L160+L179</f>
        <v>0</v>
      </c>
      <c r="M190" s="60">
        <f t="shared" ref="M190:Q190" si="50">M46+M65+M84+M103+M122+M141+M160+M179</f>
        <v>513.69848485027001</v>
      </c>
      <c r="N190" s="60">
        <f t="shared" si="50"/>
        <v>684.3213482102135</v>
      </c>
      <c r="O190" s="60">
        <f t="shared" si="50"/>
        <v>0</v>
      </c>
      <c r="P190" s="60">
        <f t="shared" si="50"/>
        <v>1259.7957853718895</v>
      </c>
      <c r="Q190" s="60">
        <f t="shared" si="50"/>
        <v>1199.1864370307665</v>
      </c>
    </row>
    <row r="191" spans="2:17">
      <c r="K191" s="10" t="s">
        <v>5</v>
      </c>
      <c r="L191" s="60">
        <f t="shared" ref="L191:Q195" si="51">L47+L66+L85+L104+L123+L142+L161+L180</f>
        <v>741.25496215744135</v>
      </c>
      <c r="M191" s="171">
        <f t="shared" si="51"/>
        <v>0</v>
      </c>
      <c r="N191" s="60">
        <f t="shared" si="51"/>
        <v>0</v>
      </c>
      <c r="O191" s="60">
        <f t="shared" si="51"/>
        <v>0</v>
      </c>
      <c r="P191" s="60">
        <f t="shared" si="51"/>
        <v>746.09730052161945</v>
      </c>
      <c r="Q191" s="60">
        <f t="shared" si="51"/>
        <v>685.48795218049645</v>
      </c>
    </row>
    <row r="192" spans="2:17">
      <c r="K192" s="10" t="s">
        <v>6</v>
      </c>
      <c r="L192" s="60">
        <f t="shared" si="51"/>
        <v>931.48892182296038</v>
      </c>
      <c r="M192" s="60">
        <f t="shared" si="51"/>
        <v>0</v>
      </c>
      <c r="N192" s="171">
        <f t="shared" si="51"/>
        <v>0</v>
      </c>
      <c r="O192" s="60">
        <f t="shared" si="51"/>
        <v>0</v>
      </c>
      <c r="P192" s="60">
        <f t="shared" si="51"/>
        <v>575.47443716167606</v>
      </c>
      <c r="Q192" s="60">
        <f t="shared" si="51"/>
        <v>514.86508882055296</v>
      </c>
    </row>
    <row r="193" spans="2:17">
      <c r="K193" s="10" t="s">
        <v>7</v>
      </c>
      <c r="L193" s="60">
        <f t="shared" si="51"/>
        <v>1084.3522646109454</v>
      </c>
      <c r="M193" s="60">
        <f t="shared" si="51"/>
        <v>343.09730245350408</v>
      </c>
      <c r="N193" s="60">
        <f t="shared" si="51"/>
        <v>152.86334278798512</v>
      </c>
      <c r="O193" s="171">
        <f t="shared" si="51"/>
        <v>0</v>
      </c>
      <c r="P193" s="60">
        <f t="shared" si="51"/>
        <v>0</v>
      </c>
      <c r="Q193" s="60">
        <f t="shared" si="51"/>
        <v>0</v>
      </c>
    </row>
    <row r="194" spans="2:17">
      <c r="K194" s="10" t="s">
        <v>8</v>
      </c>
      <c r="L194" s="60">
        <f t="shared" si="51"/>
        <v>1389.8743547338804</v>
      </c>
      <c r="M194" s="60">
        <f t="shared" si="51"/>
        <v>648.61939257643894</v>
      </c>
      <c r="N194" s="60">
        <f t="shared" si="51"/>
        <v>458.38543291091997</v>
      </c>
      <c r="O194" s="60">
        <f t="shared" si="51"/>
        <v>305.52209012293486</v>
      </c>
      <c r="P194" s="171">
        <f t="shared" si="51"/>
        <v>0</v>
      </c>
      <c r="Q194" s="60">
        <f t="shared" si="51"/>
        <v>0</v>
      </c>
    </row>
    <row r="195" spans="2:17">
      <c r="K195" s="10" t="s">
        <v>9</v>
      </c>
      <c r="L195" s="60">
        <f t="shared" si="51"/>
        <v>1450.4837030750036</v>
      </c>
      <c r="M195" s="60">
        <f t="shared" si="51"/>
        <v>709.22874091756216</v>
      </c>
      <c r="N195" s="60">
        <f t="shared" si="51"/>
        <v>518.99478125204314</v>
      </c>
      <c r="O195" s="60">
        <f t="shared" si="51"/>
        <v>366.13143846405796</v>
      </c>
      <c r="P195" s="60">
        <f t="shared" si="51"/>
        <v>0</v>
      </c>
      <c r="Q195" s="171">
        <f t="shared" si="51"/>
        <v>0</v>
      </c>
    </row>
    <row r="198" spans="2:17" ht="18">
      <c r="B198" s="176" t="s">
        <v>256</v>
      </c>
      <c r="C198" s="12">
        <f>F42+F61+F80+F99+F118+F137+F156+F175</f>
        <v>2910193.2712097047</v>
      </c>
    </row>
  </sheetData>
  <mergeCells count="11">
    <mergeCell ref="B99:E99"/>
    <mergeCell ref="E5:F5"/>
    <mergeCell ref="C17:E17"/>
    <mergeCell ref="B42:E42"/>
    <mergeCell ref="B61:E61"/>
    <mergeCell ref="B80:E80"/>
    <mergeCell ref="B118:E118"/>
    <mergeCell ref="B137:E137"/>
    <mergeCell ref="B156:E156"/>
    <mergeCell ref="B175:E175"/>
    <mergeCell ref="K188:Q188"/>
  </mergeCells>
  <pageMargins left="0.511811024" right="0.511811024" top="0.78740157499999996" bottom="0.78740157499999996" header="0.31496062000000002" footer="0.3149606200000000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44EF-D344-43FC-BCC8-8DF085D2C505}">
  <dimension ref="B2:Q198"/>
  <sheetViews>
    <sheetView showGridLines="0" zoomScale="70" zoomScaleNormal="70" workbookViewId="0">
      <selection activeCell="D58" sqref="C58:D60"/>
    </sheetView>
  </sheetViews>
  <sheetFormatPr defaultRowHeight="15.6"/>
  <cols>
    <col min="1" max="1" width="8.83984375" style="169"/>
    <col min="2" max="2" width="25.9453125" style="169" customWidth="1"/>
    <col min="3" max="3" width="16.89453125" style="169" customWidth="1"/>
    <col min="4" max="4" width="16.7890625" style="169" customWidth="1"/>
    <col min="5" max="5" width="14.578125" style="169" customWidth="1"/>
    <col min="6" max="6" width="13.20703125" style="169" customWidth="1"/>
    <col min="7" max="7" width="10.68359375" style="169" customWidth="1"/>
    <col min="8" max="8" width="12.3671875" style="169" customWidth="1"/>
    <col min="9" max="9" width="13.62890625" style="169" customWidth="1"/>
    <col min="10" max="10" width="2.578125" style="169" customWidth="1"/>
    <col min="11" max="11" width="23.734375" style="169" customWidth="1"/>
    <col min="12" max="12" width="13.05078125" style="169" customWidth="1"/>
    <col min="13" max="13" width="22.15625" style="169" customWidth="1"/>
    <col min="14" max="14" width="18.3125" style="169" bestFit="1" customWidth="1"/>
    <col min="15" max="15" width="15.20703125" style="169" customWidth="1"/>
    <col min="16" max="16" width="14.83984375" style="169" customWidth="1"/>
    <col min="17" max="17" width="14.3125" style="169" customWidth="1"/>
    <col min="18" max="18" width="13.734375" style="169" customWidth="1"/>
    <col min="19" max="19" width="12.3671875" style="169" customWidth="1"/>
    <col min="20" max="20" width="24.83984375" style="169" customWidth="1"/>
    <col min="21" max="24" width="8.83984375" style="169"/>
    <col min="25" max="25" width="16.47265625" style="169" customWidth="1"/>
    <col min="26" max="16384" width="8.83984375" style="169"/>
  </cols>
  <sheetData>
    <row r="2" spans="2:6">
      <c r="B2" s="191" t="s">
        <v>367</v>
      </c>
    </row>
    <row r="3" spans="2:6">
      <c r="B3" s="191" t="s">
        <v>366</v>
      </c>
    </row>
    <row r="5" spans="2:6">
      <c r="E5" s="260" t="s">
        <v>364</v>
      </c>
      <c r="F5" s="260"/>
    </row>
    <row r="6" spans="2:6">
      <c r="B6" s="98" t="s">
        <v>361</v>
      </c>
      <c r="C6" s="98" t="s">
        <v>362</v>
      </c>
      <c r="D6" s="98" t="s">
        <v>379</v>
      </c>
      <c r="E6" s="98" t="s">
        <v>514</v>
      </c>
      <c r="F6" s="98" t="s">
        <v>514</v>
      </c>
    </row>
    <row r="7" spans="2:6">
      <c r="B7" s="6" t="s">
        <v>9</v>
      </c>
      <c r="C7" s="6" t="s">
        <v>8</v>
      </c>
      <c r="D7" s="227">
        <f>CabotageProforma_KAB01!AN21</f>
        <v>0.37587637299267557</v>
      </c>
      <c r="E7" s="81">
        <f>'Navio Viagem Base C1'!E7*'Fatores Emissao'!$C$95/'Fatores Emissao'!$C$100</f>
        <v>50.072285868342618</v>
      </c>
      <c r="F7" s="81">
        <f>'Navio Viagem Base C1'!F7*'Fatores Emissao'!$C$96/'Fatores Emissao'!$C$100</f>
        <v>1.6130573996771103</v>
      </c>
    </row>
    <row r="8" spans="2:6">
      <c r="B8" s="6" t="s">
        <v>8</v>
      </c>
      <c r="C8" s="6" t="s">
        <v>7</v>
      </c>
      <c r="D8" s="227">
        <f>CabotageProforma_KAB01!AN22</f>
        <v>2.0170134405992233</v>
      </c>
      <c r="E8" s="81">
        <f>'Navio Viagem Base C1'!E8*'Fatores Emissao'!$C$95/'Fatores Emissao'!$C$100</f>
        <v>268.69818990657785</v>
      </c>
      <c r="F8" s="81">
        <f>'Navio Viagem Base C1'!F8*'Fatores Emissao'!$C$96/'Fatores Emissao'!$C$100</f>
        <v>8.6559270264911401</v>
      </c>
    </row>
    <row r="9" spans="2:6">
      <c r="B9" s="6" t="s">
        <v>7</v>
      </c>
      <c r="C9" s="6" t="s">
        <v>6</v>
      </c>
      <c r="D9" s="227">
        <f>CabotageProforma_KAB01!AN23</f>
        <v>0.96351607049443455</v>
      </c>
      <c r="E9" s="81">
        <f>'Navio Viagem Base C1'!E9*'Fatores Emissao'!$C$95/'Fatores Emissao'!$C$100</f>
        <v>128.35424588458548</v>
      </c>
      <c r="F9" s="81">
        <f>'Navio Viagem Base C1'!F9*'Fatores Emissao'!$C$96/'Fatores Emissao'!$C$100</f>
        <v>4.1348880613178247</v>
      </c>
    </row>
    <row r="10" spans="2:6">
      <c r="B10" s="6" t="s">
        <v>6</v>
      </c>
      <c r="C10" s="6" t="s">
        <v>5</v>
      </c>
      <c r="D10" s="227">
        <f>CabotageProforma_KAB01!AN24</f>
        <v>1.1863739452320123</v>
      </c>
      <c r="E10" s="81">
        <f>'Navio Viagem Base C1'!E10*'Fatores Emissao'!$C$95/'Fatores Emissao'!$C$100</f>
        <v>150.79150613350012</v>
      </c>
      <c r="F10" s="81">
        <f>'Navio Viagem Base C1'!F10*'Fatores Emissao'!$C$96/'Fatores Emissao'!$C$100</f>
        <v>5.0912731116991896</v>
      </c>
    </row>
    <row r="11" spans="2:6">
      <c r="B11" s="6" t="s">
        <v>5</v>
      </c>
      <c r="C11" s="6" t="s">
        <v>4</v>
      </c>
      <c r="D11" s="227">
        <f>CabotageProforma_KAB01!AN25+CabotageProforma_KAB01!AN26</f>
        <v>3.9329202760352251</v>
      </c>
      <c r="E11" s="81">
        <f>'Navio Viagem Base C1'!E11*'Fatores Emissao'!$C$95/'Fatores Emissao'!$C$100</f>
        <v>538.8077050201307</v>
      </c>
      <c r="F11" s="81">
        <f>'Navio Viagem Base C1'!F11*'Fatores Emissao'!$C$96/'Fatores Emissao'!$C$100</f>
        <v>16.877959375548155</v>
      </c>
    </row>
    <row r="12" spans="2:6">
      <c r="B12" s="6" t="s">
        <v>4</v>
      </c>
      <c r="C12" s="6" t="s">
        <v>5</v>
      </c>
      <c r="D12" s="227">
        <f>CabotageProforma_KAB01!AN27+CabotageProforma_KAB01!AN28</f>
        <v>3.6099916769591287</v>
      </c>
      <c r="E12" s="81">
        <f>'Navio Viagem Base C1'!E12*'Fatores Emissao'!$C$95/'Fatores Emissao'!$C$100</f>
        <v>464.38542934753309</v>
      </c>
      <c r="F12" s="81">
        <f>'Navio Viagem Base C1'!F12*'Fatores Emissao'!$C$96/'Fatores Emissao'!$C$100</f>
        <v>15.492125086045711</v>
      </c>
    </row>
    <row r="13" spans="2:6">
      <c r="B13" s="6" t="s">
        <v>5</v>
      </c>
      <c r="C13" s="6" t="s">
        <v>6</v>
      </c>
      <c r="D13" s="227">
        <f>CabotageProforma_KAB01!AN29</f>
        <v>1.1408553386566966</v>
      </c>
      <c r="E13" s="81">
        <f>'Navio Viagem Base C1'!E13*'Fatores Emissao'!$C$95/'Fatores Emissao'!$C$100</f>
        <v>151.98025333644392</v>
      </c>
      <c r="F13" s="81">
        <f>'Navio Viagem Base C1'!F13*'Fatores Emissao'!$C$96/'Fatores Emissao'!$C$100</f>
        <v>4.8959319558433121</v>
      </c>
    </row>
    <row r="14" spans="2:6">
      <c r="B14" s="6" t="s">
        <v>6</v>
      </c>
      <c r="C14" s="6" t="s">
        <v>9</v>
      </c>
      <c r="D14" s="227">
        <f>CabotageProforma_KAB01!AN30</f>
        <v>3.2452123948036302</v>
      </c>
      <c r="E14" s="81">
        <f>'Navio Viagem Base C1'!E14*'Fatores Emissao'!$C$95/'Fatores Emissao'!$C$100</f>
        <v>432.31521741196269</v>
      </c>
      <c r="F14" s="81">
        <f>'Navio Viagem Base C1'!F14*'Fatores Emissao'!$C$96/'Fatores Emissao'!$C$100</f>
        <v>13.926690377700004</v>
      </c>
    </row>
    <row r="15" spans="2:6">
      <c r="D15" s="198"/>
    </row>
    <row r="16" spans="2:6">
      <c r="D16" s="198"/>
    </row>
    <row r="17" spans="2:9">
      <c r="C17" s="263" t="s">
        <v>234</v>
      </c>
      <c r="D17" s="264"/>
      <c r="E17" s="265"/>
    </row>
    <row r="18" spans="2:9" ht="18">
      <c r="B18" s="34" t="s">
        <v>221</v>
      </c>
      <c r="C18" s="180" t="s">
        <v>310</v>
      </c>
      <c r="D18" s="180" t="s">
        <v>311</v>
      </c>
      <c r="E18" s="180" t="s">
        <v>312</v>
      </c>
    </row>
    <row r="19" spans="2:9">
      <c r="B19" s="84" t="s">
        <v>513</v>
      </c>
      <c r="C19" s="113">
        <f>'Fatores Emissao'!C65</f>
        <v>1375</v>
      </c>
      <c r="D19" s="113">
        <f>'Fatores Emissao'!D65</f>
        <v>0</v>
      </c>
      <c r="E19" s="113">
        <f>'Fatores Emissao'!E65</f>
        <v>0</v>
      </c>
    </row>
    <row r="21" spans="2:9">
      <c r="B21" s="98" t="s">
        <v>236</v>
      </c>
      <c r="C21" s="98" t="s">
        <v>235</v>
      </c>
    </row>
    <row r="22" spans="2:9" ht="18">
      <c r="B22" s="18" t="s">
        <v>251</v>
      </c>
      <c r="C22" s="18">
        <v>1</v>
      </c>
    </row>
    <row r="23" spans="2:9" ht="18">
      <c r="B23" s="18" t="s">
        <v>252</v>
      </c>
      <c r="C23" s="18">
        <v>28</v>
      </c>
    </row>
    <row r="24" spans="2:9" ht="18">
      <c r="B24" s="18" t="s">
        <v>253</v>
      </c>
      <c r="C24" s="18">
        <v>265</v>
      </c>
    </row>
    <row r="25" spans="2:9">
      <c r="D25" s="198"/>
    </row>
    <row r="27" spans="2:9">
      <c r="B27" s="5" t="s">
        <v>188</v>
      </c>
      <c r="C27" s="4" t="s">
        <v>4</v>
      </c>
      <c r="D27" s="4" t="s">
        <v>5</v>
      </c>
      <c r="E27" s="4" t="s">
        <v>6</v>
      </c>
      <c r="F27" s="4" t="s">
        <v>7</v>
      </c>
      <c r="G27" s="4" t="s">
        <v>8</v>
      </c>
      <c r="H27" s="4" t="s">
        <v>9</v>
      </c>
      <c r="I27" s="5" t="s">
        <v>47</v>
      </c>
    </row>
    <row r="28" spans="2:9">
      <c r="B28" s="10" t="s">
        <v>4</v>
      </c>
      <c r="C28" s="11">
        <f>'Movimentacao de Conteineres'!K30</f>
        <v>0</v>
      </c>
      <c r="D28" s="12">
        <f>'Movimentacao de Conteineres'!L30</f>
        <v>175</v>
      </c>
      <c r="E28" s="12">
        <f>'Movimentacao de Conteineres'!M30</f>
        <v>156</v>
      </c>
      <c r="F28" s="12">
        <f>'Movimentacao de Conteineres'!N30</f>
        <v>0</v>
      </c>
      <c r="G28" s="12">
        <f>'Movimentacao de Conteineres'!O30</f>
        <v>226</v>
      </c>
      <c r="H28" s="12">
        <f>'Movimentacao de Conteineres'!P30</f>
        <v>648</v>
      </c>
      <c r="I28" s="13">
        <f t="shared" ref="I28:I33" si="0">SUM(C28:H28)</f>
        <v>1205</v>
      </c>
    </row>
    <row r="29" spans="2:9">
      <c r="B29" s="10" t="s">
        <v>5</v>
      </c>
      <c r="C29" s="12">
        <f>'Movimentacao de Conteineres'!K31</f>
        <v>260</v>
      </c>
      <c r="D29" s="11">
        <f>'Movimentacao de Conteineres'!L31</f>
        <v>0</v>
      </c>
      <c r="E29" s="12">
        <f>'Movimentacao de Conteineres'!M31</f>
        <v>0</v>
      </c>
      <c r="F29" s="12">
        <f>'Movimentacao de Conteineres'!N31</f>
        <v>0</v>
      </c>
      <c r="G29" s="12">
        <f>'Movimentacao de Conteineres'!O31</f>
        <v>20</v>
      </c>
      <c r="H29" s="12">
        <f>'Movimentacao de Conteineres'!P31</f>
        <v>136</v>
      </c>
      <c r="I29" s="13">
        <f t="shared" si="0"/>
        <v>416</v>
      </c>
    </row>
    <row r="30" spans="2:9">
      <c r="B30" s="10" t="s">
        <v>6</v>
      </c>
      <c r="C30" s="12">
        <f>'Movimentacao de Conteineres'!K32</f>
        <v>331</v>
      </c>
      <c r="D30" s="12">
        <f>'Movimentacao de Conteineres'!L32</f>
        <v>0</v>
      </c>
      <c r="E30" s="11">
        <f>'Movimentacao de Conteineres'!M32</f>
        <v>0</v>
      </c>
      <c r="F30" s="12">
        <f>'Movimentacao de Conteineres'!N32</f>
        <v>0</v>
      </c>
      <c r="G30" s="12">
        <f>'Movimentacao de Conteineres'!O32</f>
        <v>30</v>
      </c>
      <c r="H30" s="12">
        <f>'Movimentacao de Conteineres'!P32</f>
        <v>58</v>
      </c>
      <c r="I30" s="13">
        <f t="shared" si="0"/>
        <v>419</v>
      </c>
    </row>
    <row r="31" spans="2:9">
      <c r="B31" s="10" t="s">
        <v>7</v>
      </c>
      <c r="C31" s="12">
        <f>'Movimentacao de Conteineres'!K33</f>
        <v>86</v>
      </c>
      <c r="D31" s="12">
        <f>'Movimentacao de Conteineres'!L33</f>
        <v>9</v>
      </c>
      <c r="E31" s="12">
        <f>'Movimentacao de Conteineres'!M33</f>
        <v>1</v>
      </c>
      <c r="F31" s="11">
        <f>'Movimentacao de Conteineres'!N33</f>
        <v>0</v>
      </c>
      <c r="G31" s="12">
        <f>'Movimentacao de Conteineres'!O33</f>
        <v>0</v>
      </c>
      <c r="H31" s="12">
        <f>'Movimentacao de Conteineres'!P33</f>
        <v>0</v>
      </c>
      <c r="I31" s="13">
        <f t="shared" si="0"/>
        <v>96</v>
      </c>
    </row>
    <row r="32" spans="2:9">
      <c r="B32" s="10" t="s">
        <v>8</v>
      </c>
      <c r="C32" s="12">
        <f>'Movimentacao de Conteineres'!K34</f>
        <v>61</v>
      </c>
      <c r="D32" s="12">
        <f>'Movimentacao de Conteineres'!L34</f>
        <v>120</v>
      </c>
      <c r="E32" s="12">
        <f>'Movimentacao de Conteineres'!M34</f>
        <v>119</v>
      </c>
      <c r="F32" s="12">
        <f>'Movimentacao de Conteineres'!N34</f>
        <v>47</v>
      </c>
      <c r="G32" s="11">
        <f>'Movimentacao de Conteineres'!O34</f>
        <v>0</v>
      </c>
      <c r="H32" s="12">
        <f>'Movimentacao de Conteineres'!P34</f>
        <v>0</v>
      </c>
      <c r="I32" s="13">
        <f t="shared" si="0"/>
        <v>347</v>
      </c>
    </row>
    <row r="33" spans="2:17">
      <c r="B33" s="10" t="s">
        <v>9</v>
      </c>
      <c r="C33" s="12">
        <f>'Movimentacao de Conteineres'!K35</f>
        <v>229</v>
      </c>
      <c r="D33" s="12">
        <f>'Movimentacao de Conteineres'!L35</f>
        <v>221</v>
      </c>
      <c r="E33" s="12">
        <f>'Movimentacao de Conteineres'!M35</f>
        <v>272</v>
      </c>
      <c r="F33" s="12">
        <f>'Movimentacao de Conteineres'!N35</f>
        <v>102</v>
      </c>
      <c r="G33" s="12">
        <f>'Movimentacao de Conteineres'!O35</f>
        <v>0</v>
      </c>
      <c r="H33" s="11">
        <f>'Movimentacao de Conteineres'!P35</f>
        <v>0</v>
      </c>
      <c r="I33" s="13">
        <f t="shared" si="0"/>
        <v>824</v>
      </c>
    </row>
    <row r="34" spans="2:17">
      <c r="B34" s="16" t="s">
        <v>48</v>
      </c>
      <c r="C34" s="13">
        <f t="shared" ref="C34:I34" si="1">SUM(C28:C33)</f>
        <v>967</v>
      </c>
      <c r="D34" s="13">
        <f t="shared" si="1"/>
        <v>525</v>
      </c>
      <c r="E34" s="13">
        <f t="shared" si="1"/>
        <v>548</v>
      </c>
      <c r="F34" s="13">
        <f t="shared" si="1"/>
        <v>149</v>
      </c>
      <c r="G34" s="13">
        <f t="shared" si="1"/>
        <v>276</v>
      </c>
      <c r="H34" s="13">
        <f t="shared" si="1"/>
        <v>842</v>
      </c>
      <c r="I34" s="13">
        <f t="shared" si="1"/>
        <v>3307</v>
      </c>
    </row>
    <row r="37" spans="2:17">
      <c r="B37" s="98" t="s">
        <v>303</v>
      </c>
      <c r="C37" s="179" t="s">
        <v>9</v>
      </c>
      <c r="D37" s="179" t="s">
        <v>8</v>
      </c>
    </row>
    <row r="38" spans="2:17">
      <c r="B38" s="98" t="s">
        <v>307</v>
      </c>
      <c r="C38" s="98" t="s">
        <v>513</v>
      </c>
      <c r="D38" s="98" t="s">
        <v>513</v>
      </c>
      <c r="E38" s="98" t="s">
        <v>235</v>
      </c>
      <c r="F38" s="178" t="s">
        <v>309</v>
      </c>
    </row>
    <row r="39" spans="2:17" ht="18">
      <c r="B39" s="199" t="s">
        <v>356</v>
      </c>
      <c r="C39" s="12">
        <f>E7*$C$19</f>
        <v>68849.393068971098</v>
      </c>
      <c r="D39" s="12">
        <f>F7*$C$19</f>
        <v>2217.9539245560268</v>
      </c>
      <c r="E39" s="12">
        <f>$C$22</f>
        <v>1</v>
      </c>
      <c r="F39" s="12">
        <f>(C39+D39)*E39</f>
        <v>71067.346993527128</v>
      </c>
    </row>
    <row r="40" spans="2:17" ht="18">
      <c r="B40" s="199" t="s">
        <v>354</v>
      </c>
      <c r="C40" s="39">
        <f>E7*$D$19</f>
        <v>0</v>
      </c>
      <c r="D40" s="39">
        <f>F7*$D$19</f>
        <v>0</v>
      </c>
      <c r="E40" s="18">
        <f>$C$23</f>
        <v>28</v>
      </c>
      <c r="F40" s="12">
        <f t="shared" ref="F40:F41" si="2">(C40+D40)*E40</f>
        <v>0</v>
      </c>
    </row>
    <row r="41" spans="2:17" ht="18">
      <c r="B41" s="199" t="s">
        <v>355</v>
      </c>
      <c r="C41" s="194">
        <f>E7*$E$19</f>
        <v>0</v>
      </c>
      <c r="D41" s="194">
        <f>F7*$E$19</f>
        <v>0</v>
      </c>
      <c r="E41" s="18">
        <f>$C$24</f>
        <v>265</v>
      </c>
      <c r="F41" s="12">
        <f t="shared" si="2"/>
        <v>0</v>
      </c>
    </row>
    <row r="42" spans="2:17" ht="15.6" customHeight="1">
      <c r="B42" s="278" t="s">
        <v>10</v>
      </c>
      <c r="C42" s="278"/>
      <c r="D42" s="278"/>
      <c r="E42" s="278"/>
      <c r="F42" s="200">
        <f>SUM(F39:F41)</f>
        <v>71067.346993527128</v>
      </c>
    </row>
    <row r="43" spans="2:17" ht="15.6" customHeight="1"/>
    <row r="44" spans="2:17">
      <c r="B44" s="98" t="s">
        <v>303</v>
      </c>
      <c r="C44" s="179" t="str">
        <f>C37</f>
        <v>BRSSZ</v>
      </c>
      <c r="D44" s="179" t="str">
        <f>D37</f>
        <v>BRIGI</v>
      </c>
      <c r="K44" s="98" t="s">
        <v>303</v>
      </c>
      <c r="L44" s="179" t="str">
        <f>C44</f>
        <v>BRSSZ</v>
      </c>
      <c r="M44" s="179" t="str">
        <f>D44</f>
        <v>BRIGI</v>
      </c>
    </row>
    <row r="45" spans="2:17" ht="15.6" customHeight="1">
      <c r="B45" s="5" t="s">
        <v>365</v>
      </c>
      <c r="C45" s="4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H45" s="4" t="s">
        <v>9</v>
      </c>
      <c r="I45" s="5" t="s">
        <v>47</v>
      </c>
      <c r="K45" s="5" t="s">
        <v>308</v>
      </c>
      <c r="L45" s="4" t="s">
        <v>4</v>
      </c>
      <c r="M45" s="4" t="s">
        <v>5</v>
      </c>
      <c r="N45" s="4" t="s">
        <v>6</v>
      </c>
      <c r="O45" s="4" t="s">
        <v>7</v>
      </c>
      <c r="P45" s="4" t="s">
        <v>8</v>
      </c>
      <c r="Q45" s="4" t="s">
        <v>9</v>
      </c>
    </row>
    <row r="46" spans="2:17">
      <c r="B46" s="10" t="s">
        <v>4</v>
      </c>
      <c r="C46" s="11"/>
      <c r="D46" s="12"/>
      <c r="E46" s="12"/>
      <c r="F46" s="12"/>
      <c r="G46" s="12">
        <f>G28</f>
        <v>226</v>
      </c>
      <c r="H46" s="12"/>
      <c r="I46" s="13">
        <f t="shared" ref="I46:I51" si="3">SUM(C46:H46)</f>
        <v>226</v>
      </c>
      <c r="K46" s="10" t="s">
        <v>4</v>
      </c>
      <c r="L46" s="171">
        <f>IF(C46=0,0,$F$42/$I$52)</f>
        <v>0</v>
      </c>
      <c r="M46" s="60">
        <f t="shared" ref="M46:Q51" si="4">IF(D46=0,0,$F$42/$I$52)</f>
        <v>0</v>
      </c>
      <c r="N46" s="60">
        <f t="shared" si="4"/>
        <v>0</v>
      </c>
      <c r="O46" s="60">
        <f t="shared" si="4"/>
        <v>0</v>
      </c>
      <c r="P46" s="60">
        <f t="shared" si="4"/>
        <v>64.606679085024666</v>
      </c>
      <c r="Q46" s="60">
        <f t="shared" si="4"/>
        <v>0</v>
      </c>
    </row>
    <row r="47" spans="2:17">
      <c r="B47" s="10" t="s">
        <v>5</v>
      </c>
      <c r="C47" s="12"/>
      <c r="D47" s="11"/>
      <c r="E47" s="12"/>
      <c r="F47" s="12"/>
      <c r="G47" s="12">
        <f>G29</f>
        <v>20</v>
      </c>
      <c r="H47" s="12"/>
      <c r="I47" s="13">
        <f t="shared" si="3"/>
        <v>20</v>
      </c>
      <c r="K47" s="10" t="s">
        <v>5</v>
      </c>
      <c r="L47" s="60">
        <f t="shared" ref="L47:L51" si="5">IF(C47=0,0,$F$42/$I$52)</f>
        <v>0</v>
      </c>
      <c r="M47" s="171">
        <f t="shared" si="4"/>
        <v>0</v>
      </c>
      <c r="N47" s="60">
        <f t="shared" si="4"/>
        <v>0</v>
      </c>
      <c r="O47" s="60">
        <f t="shared" si="4"/>
        <v>0</v>
      </c>
      <c r="P47" s="60">
        <f t="shared" si="4"/>
        <v>64.606679085024666</v>
      </c>
      <c r="Q47" s="60">
        <f t="shared" si="4"/>
        <v>0</v>
      </c>
    </row>
    <row r="48" spans="2:17">
      <c r="B48" s="10" t="s">
        <v>6</v>
      </c>
      <c r="C48" s="12"/>
      <c r="D48" s="12"/>
      <c r="E48" s="11"/>
      <c r="F48" s="12"/>
      <c r="G48" s="12">
        <f>G30</f>
        <v>30</v>
      </c>
      <c r="H48" s="12"/>
      <c r="I48" s="13">
        <f t="shared" si="3"/>
        <v>30</v>
      </c>
      <c r="K48" s="10" t="s">
        <v>6</v>
      </c>
      <c r="L48" s="60">
        <f t="shared" si="5"/>
        <v>0</v>
      </c>
      <c r="M48" s="60">
        <f t="shared" si="4"/>
        <v>0</v>
      </c>
      <c r="N48" s="171">
        <f t="shared" si="4"/>
        <v>0</v>
      </c>
      <c r="O48" s="60">
        <f t="shared" si="4"/>
        <v>0</v>
      </c>
      <c r="P48" s="60">
        <f t="shared" si="4"/>
        <v>64.606679085024666</v>
      </c>
      <c r="Q48" s="60">
        <f t="shared" si="4"/>
        <v>0</v>
      </c>
    </row>
    <row r="49" spans="2:17">
      <c r="B49" s="10" t="s">
        <v>7</v>
      </c>
      <c r="C49" s="12"/>
      <c r="D49" s="12"/>
      <c r="E49" s="12"/>
      <c r="F49" s="11"/>
      <c r="G49" s="12">
        <f>G31</f>
        <v>0</v>
      </c>
      <c r="H49" s="12"/>
      <c r="I49" s="13">
        <f t="shared" si="3"/>
        <v>0</v>
      </c>
      <c r="K49" s="10" t="s">
        <v>7</v>
      </c>
      <c r="L49" s="60">
        <f t="shared" si="5"/>
        <v>0</v>
      </c>
      <c r="M49" s="60">
        <f t="shared" si="4"/>
        <v>0</v>
      </c>
      <c r="N49" s="60">
        <f t="shared" si="4"/>
        <v>0</v>
      </c>
      <c r="O49" s="171">
        <f t="shared" si="4"/>
        <v>0</v>
      </c>
      <c r="P49" s="60">
        <f t="shared" si="4"/>
        <v>0</v>
      </c>
      <c r="Q49" s="60">
        <f t="shared" si="4"/>
        <v>0</v>
      </c>
    </row>
    <row r="50" spans="2:17">
      <c r="B50" s="10" t="s">
        <v>8</v>
      </c>
      <c r="C50" s="12"/>
      <c r="D50" s="12"/>
      <c r="E50" s="12"/>
      <c r="F50" s="12"/>
      <c r="G50" s="11">
        <f>G32</f>
        <v>0</v>
      </c>
      <c r="H50" s="12"/>
      <c r="I50" s="13">
        <f t="shared" si="3"/>
        <v>0</v>
      </c>
      <c r="K50" s="10" t="s">
        <v>8</v>
      </c>
      <c r="L50" s="60">
        <f t="shared" si="5"/>
        <v>0</v>
      </c>
      <c r="M50" s="60">
        <f t="shared" si="4"/>
        <v>0</v>
      </c>
      <c r="N50" s="60">
        <f t="shared" si="4"/>
        <v>0</v>
      </c>
      <c r="O50" s="60">
        <f t="shared" si="4"/>
        <v>0</v>
      </c>
      <c r="P50" s="171">
        <f t="shared" si="4"/>
        <v>0</v>
      </c>
      <c r="Q50" s="60">
        <f t="shared" si="4"/>
        <v>0</v>
      </c>
    </row>
    <row r="51" spans="2:17">
      <c r="B51" s="10" t="s">
        <v>9</v>
      </c>
      <c r="C51" s="12">
        <f t="shared" ref="C51:H51" si="6">C33</f>
        <v>229</v>
      </c>
      <c r="D51" s="12">
        <f t="shared" si="6"/>
        <v>221</v>
      </c>
      <c r="E51" s="12">
        <f t="shared" si="6"/>
        <v>272</v>
      </c>
      <c r="F51" s="12">
        <f t="shared" si="6"/>
        <v>102</v>
      </c>
      <c r="G51" s="12">
        <f t="shared" si="6"/>
        <v>0</v>
      </c>
      <c r="H51" s="11">
        <f t="shared" si="6"/>
        <v>0</v>
      </c>
      <c r="I51" s="13">
        <f t="shared" si="3"/>
        <v>824</v>
      </c>
      <c r="K51" s="10" t="s">
        <v>9</v>
      </c>
      <c r="L51" s="60">
        <f t="shared" si="5"/>
        <v>64.606679085024666</v>
      </c>
      <c r="M51" s="60">
        <f t="shared" si="4"/>
        <v>64.606679085024666</v>
      </c>
      <c r="N51" s="60">
        <f t="shared" si="4"/>
        <v>64.606679085024666</v>
      </c>
      <c r="O51" s="60">
        <f t="shared" si="4"/>
        <v>64.606679085024666</v>
      </c>
      <c r="P51" s="60">
        <f t="shared" si="4"/>
        <v>0</v>
      </c>
      <c r="Q51" s="171">
        <f t="shared" si="4"/>
        <v>0</v>
      </c>
    </row>
    <row r="52" spans="2:17">
      <c r="B52" s="16" t="s">
        <v>48</v>
      </c>
      <c r="C52" s="13">
        <f t="shared" ref="C52:I52" si="7">SUM(C46:C51)</f>
        <v>229</v>
      </c>
      <c r="D52" s="13">
        <f t="shared" si="7"/>
        <v>221</v>
      </c>
      <c r="E52" s="13">
        <f t="shared" si="7"/>
        <v>272</v>
      </c>
      <c r="F52" s="13">
        <f t="shared" si="7"/>
        <v>102</v>
      </c>
      <c r="G52" s="13">
        <f t="shared" si="7"/>
        <v>276</v>
      </c>
      <c r="H52" s="13">
        <f t="shared" si="7"/>
        <v>0</v>
      </c>
      <c r="I52" s="13">
        <f t="shared" si="7"/>
        <v>1100</v>
      </c>
    </row>
    <row r="56" spans="2:17">
      <c r="B56" s="98" t="s">
        <v>303</v>
      </c>
      <c r="C56" s="179" t="s">
        <v>8</v>
      </c>
      <c r="D56" s="179" t="s">
        <v>7</v>
      </c>
    </row>
    <row r="57" spans="2:17">
      <c r="B57" s="98" t="s">
        <v>307</v>
      </c>
      <c r="C57" s="98" t="s">
        <v>513</v>
      </c>
      <c r="D57" s="98" t="s">
        <v>513</v>
      </c>
      <c r="E57" s="98" t="s">
        <v>235</v>
      </c>
      <c r="F57" s="178" t="s">
        <v>309</v>
      </c>
    </row>
    <row r="58" spans="2:17" ht="18">
      <c r="B58" s="199" t="s">
        <v>356</v>
      </c>
      <c r="C58" s="12">
        <f>E8*$C$19</f>
        <v>369460.01112154452</v>
      </c>
      <c r="D58" s="12">
        <f>F8*$C$19</f>
        <v>11901.899661425317</v>
      </c>
      <c r="E58" s="12">
        <f>$C$22</f>
        <v>1</v>
      </c>
      <c r="F58" s="12">
        <f>(C58+D58)*E58</f>
        <v>381361.91078296985</v>
      </c>
    </row>
    <row r="59" spans="2:17" ht="18">
      <c r="B59" s="199" t="s">
        <v>354</v>
      </c>
      <c r="C59" s="39">
        <f>E8*$D$19</f>
        <v>0</v>
      </c>
      <c r="D59" s="39">
        <f>F8*$D$19</f>
        <v>0</v>
      </c>
      <c r="E59" s="18">
        <f>$C$23</f>
        <v>28</v>
      </c>
      <c r="F59" s="12">
        <f t="shared" ref="F59:F60" si="8">(C59+D59)*E59</f>
        <v>0</v>
      </c>
    </row>
    <row r="60" spans="2:17" ht="18">
      <c r="B60" s="199" t="s">
        <v>355</v>
      </c>
      <c r="C60" s="194">
        <f>E8*$E$19</f>
        <v>0</v>
      </c>
      <c r="D60" s="194">
        <f>F8*$E$19</f>
        <v>0</v>
      </c>
      <c r="E60" s="18">
        <f>$C$24</f>
        <v>265</v>
      </c>
      <c r="F60" s="12">
        <f t="shared" si="8"/>
        <v>0</v>
      </c>
    </row>
    <row r="61" spans="2:17" ht="15.6" customHeight="1">
      <c r="B61" s="278" t="s">
        <v>10</v>
      </c>
      <c r="C61" s="278"/>
      <c r="D61" s="278"/>
      <c r="E61" s="278"/>
      <c r="F61" s="200">
        <f>SUM(F58:F60)</f>
        <v>381361.91078296985</v>
      </c>
    </row>
    <row r="62" spans="2:17" ht="15.6" customHeight="1"/>
    <row r="63" spans="2:17">
      <c r="B63" s="98" t="s">
        <v>303</v>
      </c>
      <c r="C63" s="179" t="str">
        <f>C56</f>
        <v>BRIGI</v>
      </c>
      <c r="D63" s="179" t="str">
        <f>D56</f>
        <v>BRSSA</v>
      </c>
      <c r="K63" s="98" t="s">
        <v>303</v>
      </c>
      <c r="L63" s="179" t="str">
        <f>C63</f>
        <v>BRIGI</v>
      </c>
      <c r="M63" s="179" t="str">
        <f>D63</f>
        <v>BRSSA</v>
      </c>
    </row>
    <row r="64" spans="2:17" ht="15.6" customHeight="1">
      <c r="B64" s="5" t="s">
        <v>365</v>
      </c>
      <c r="C64" s="4" t="s">
        <v>4</v>
      </c>
      <c r="D64" s="4" t="s">
        <v>5</v>
      </c>
      <c r="E64" s="4" t="s">
        <v>6</v>
      </c>
      <c r="F64" s="4" t="s">
        <v>7</v>
      </c>
      <c r="G64" s="4" t="s">
        <v>8</v>
      </c>
      <c r="H64" s="4" t="s">
        <v>9</v>
      </c>
      <c r="I64" s="5" t="s">
        <v>47</v>
      </c>
      <c r="K64" s="5" t="s">
        <v>308</v>
      </c>
      <c r="L64" s="4" t="s">
        <v>4</v>
      </c>
      <c r="M64" s="4" t="s">
        <v>5</v>
      </c>
      <c r="N64" s="4" t="s">
        <v>6</v>
      </c>
      <c r="O64" s="4" t="s">
        <v>7</v>
      </c>
      <c r="P64" s="4" t="s">
        <v>8</v>
      </c>
      <c r="Q64" s="4" t="s">
        <v>9</v>
      </c>
    </row>
    <row r="65" spans="2:17">
      <c r="B65" s="10" t="s">
        <v>4</v>
      </c>
      <c r="C65" s="11"/>
      <c r="D65" s="12"/>
      <c r="E65" s="12"/>
      <c r="F65" s="12"/>
      <c r="G65" s="12"/>
      <c r="H65" s="12"/>
      <c r="I65" s="13">
        <f t="shared" ref="I65:I70" si="9">SUM(C65:H65)</f>
        <v>0</v>
      </c>
      <c r="K65" s="10" t="s">
        <v>4</v>
      </c>
      <c r="L65" s="171">
        <f>IF(C65=0,0,$F$61/$I$71)</f>
        <v>0</v>
      </c>
      <c r="M65" s="60">
        <f t="shared" ref="M65:Q70" si="10">IF(D65=0,0,$F$61/$I$71)</f>
        <v>0</v>
      </c>
      <c r="N65" s="60">
        <f t="shared" si="10"/>
        <v>0</v>
      </c>
      <c r="O65" s="60">
        <f t="shared" si="10"/>
        <v>0</v>
      </c>
      <c r="P65" s="60">
        <f t="shared" si="10"/>
        <v>0</v>
      </c>
      <c r="Q65" s="60">
        <f t="shared" si="10"/>
        <v>0</v>
      </c>
    </row>
    <row r="66" spans="2:17">
      <c r="B66" s="10" t="s">
        <v>5</v>
      </c>
      <c r="C66" s="12"/>
      <c r="D66" s="11"/>
      <c r="E66" s="12"/>
      <c r="F66" s="12"/>
      <c r="G66" s="12"/>
      <c r="H66" s="12"/>
      <c r="I66" s="13">
        <f t="shared" si="9"/>
        <v>0</v>
      </c>
      <c r="K66" s="10" t="s">
        <v>5</v>
      </c>
      <c r="L66" s="60">
        <f t="shared" ref="L66:L70" si="11">IF(C66=0,0,$F$61/$I$71)</f>
        <v>0</v>
      </c>
      <c r="M66" s="171">
        <f t="shared" si="10"/>
        <v>0</v>
      </c>
      <c r="N66" s="60">
        <f t="shared" si="10"/>
        <v>0</v>
      </c>
      <c r="O66" s="60">
        <f t="shared" si="10"/>
        <v>0</v>
      </c>
      <c r="P66" s="60">
        <f t="shared" si="10"/>
        <v>0</v>
      </c>
      <c r="Q66" s="60">
        <f t="shared" si="10"/>
        <v>0</v>
      </c>
    </row>
    <row r="67" spans="2:17">
      <c r="B67" s="10" t="s">
        <v>6</v>
      </c>
      <c r="C67" s="12"/>
      <c r="D67" s="12"/>
      <c r="E67" s="11"/>
      <c r="F67" s="12"/>
      <c r="G67" s="12"/>
      <c r="H67" s="12"/>
      <c r="I67" s="13">
        <f t="shared" si="9"/>
        <v>0</v>
      </c>
      <c r="K67" s="10" t="s">
        <v>6</v>
      </c>
      <c r="L67" s="60">
        <f t="shared" si="11"/>
        <v>0</v>
      </c>
      <c r="M67" s="60">
        <f t="shared" si="10"/>
        <v>0</v>
      </c>
      <c r="N67" s="171">
        <f t="shared" si="10"/>
        <v>0</v>
      </c>
      <c r="O67" s="60">
        <f t="shared" si="10"/>
        <v>0</v>
      </c>
      <c r="P67" s="60">
        <f t="shared" si="10"/>
        <v>0</v>
      </c>
      <c r="Q67" s="60">
        <f t="shared" si="10"/>
        <v>0</v>
      </c>
    </row>
    <row r="68" spans="2:17">
      <c r="B68" s="10" t="s">
        <v>7</v>
      </c>
      <c r="C68" s="12"/>
      <c r="D68" s="12"/>
      <c r="E68" s="12"/>
      <c r="F68" s="11"/>
      <c r="G68" s="12"/>
      <c r="H68" s="12"/>
      <c r="I68" s="13">
        <f t="shared" si="9"/>
        <v>0</v>
      </c>
      <c r="K68" s="10" t="s">
        <v>7</v>
      </c>
      <c r="L68" s="60">
        <f t="shared" si="11"/>
        <v>0</v>
      </c>
      <c r="M68" s="60">
        <f t="shared" si="10"/>
        <v>0</v>
      </c>
      <c r="N68" s="60">
        <f t="shared" si="10"/>
        <v>0</v>
      </c>
      <c r="O68" s="171">
        <f t="shared" si="10"/>
        <v>0</v>
      </c>
      <c r="P68" s="60">
        <f t="shared" si="10"/>
        <v>0</v>
      </c>
      <c r="Q68" s="60">
        <f t="shared" si="10"/>
        <v>0</v>
      </c>
    </row>
    <row r="69" spans="2:17">
      <c r="B69" s="10" t="s">
        <v>8</v>
      </c>
      <c r="C69" s="12">
        <f t="shared" ref="C69:H70" si="12">C32</f>
        <v>61</v>
      </c>
      <c r="D69" s="12">
        <f t="shared" si="12"/>
        <v>120</v>
      </c>
      <c r="E69" s="12">
        <f t="shared" si="12"/>
        <v>119</v>
      </c>
      <c r="F69" s="12">
        <f t="shared" si="12"/>
        <v>47</v>
      </c>
      <c r="G69" s="11">
        <f t="shared" si="12"/>
        <v>0</v>
      </c>
      <c r="H69" s="12">
        <f t="shared" si="12"/>
        <v>0</v>
      </c>
      <c r="I69" s="13">
        <f t="shared" si="9"/>
        <v>347</v>
      </c>
      <c r="K69" s="10" t="s">
        <v>8</v>
      </c>
      <c r="L69" s="60">
        <f t="shared" si="11"/>
        <v>325.67199896069161</v>
      </c>
      <c r="M69" s="60">
        <f t="shared" si="10"/>
        <v>325.67199896069161</v>
      </c>
      <c r="N69" s="60">
        <f t="shared" si="10"/>
        <v>325.67199896069161</v>
      </c>
      <c r="O69" s="60">
        <f t="shared" si="10"/>
        <v>325.67199896069161</v>
      </c>
      <c r="P69" s="171">
        <f t="shared" si="10"/>
        <v>0</v>
      </c>
      <c r="Q69" s="60">
        <f t="shared" si="10"/>
        <v>0</v>
      </c>
    </row>
    <row r="70" spans="2:17">
      <c r="B70" s="10" t="s">
        <v>9</v>
      </c>
      <c r="C70" s="12">
        <f t="shared" si="12"/>
        <v>229</v>
      </c>
      <c r="D70" s="12">
        <f t="shared" si="12"/>
        <v>221</v>
      </c>
      <c r="E70" s="12">
        <f t="shared" si="12"/>
        <v>272</v>
      </c>
      <c r="F70" s="12">
        <f t="shared" si="12"/>
        <v>102</v>
      </c>
      <c r="G70" s="12">
        <f t="shared" si="12"/>
        <v>0</v>
      </c>
      <c r="H70" s="11">
        <f t="shared" si="12"/>
        <v>0</v>
      </c>
      <c r="I70" s="13">
        <f t="shared" si="9"/>
        <v>824</v>
      </c>
      <c r="K70" s="10" t="s">
        <v>9</v>
      </c>
      <c r="L70" s="60">
        <f t="shared" si="11"/>
        <v>325.67199896069161</v>
      </c>
      <c r="M70" s="60">
        <f t="shared" si="10"/>
        <v>325.67199896069161</v>
      </c>
      <c r="N70" s="60">
        <f t="shared" si="10"/>
        <v>325.67199896069161</v>
      </c>
      <c r="O70" s="60">
        <f t="shared" si="10"/>
        <v>325.67199896069161</v>
      </c>
      <c r="P70" s="60">
        <f t="shared" si="10"/>
        <v>0</v>
      </c>
      <c r="Q70" s="171">
        <f t="shared" si="10"/>
        <v>0</v>
      </c>
    </row>
    <row r="71" spans="2:17">
      <c r="B71" s="16" t="s">
        <v>48</v>
      </c>
      <c r="C71" s="13">
        <f t="shared" ref="C71:I71" si="13">SUM(C65:C70)</f>
        <v>290</v>
      </c>
      <c r="D71" s="13">
        <f t="shared" si="13"/>
        <v>341</v>
      </c>
      <c r="E71" s="13">
        <f t="shared" si="13"/>
        <v>391</v>
      </c>
      <c r="F71" s="13">
        <f t="shared" si="13"/>
        <v>149</v>
      </c>
      <c r="G71" s="13">
        <f t="shared" si="13"/>
        <v>0</v>
      </c>
      <c r="H71" s="13">
        <f t="shared" si="13"/>
        <v>0</v>
      </c>
      <c r="I71" s="13">
        <f t="shared" si="13"/>
        <v>1171</v>
      </c>
    </row>
    <row r="75" spans="2:17">
      <c r="B75" s="98" t="s">
        <v>303</v>
      </c>
      <c r="C75" s="179" t="s">
        <v>7</v>
      </c>
      <c r="D75" s="179" t="s">
        <v>6</v>
      </c>
    </row>
    <row r="76" spans="2:17">
      <c r="B76" s="98" t="s">
        <v>307</v>
      </c>
      <c r="C76" s="98" t="s">
        <v>513</v>
      </c>
      <c r="D76" s="98" t="s">
        <v>513</v>
      </c>
      <c r="E76" s="98" t="s">
        <v>235</v>
      </c>
      <c r="F76" s="178" t="s">
        <v>309</v>
      </c>
    </row>
    <row r="77" spans="2:17" ht="18">
      <c r="B77" s="199" t="s">
        <v>356</v>
      </c>
      <c r="C77" s="12">
        <f>E9*C19</f>
        <v>176487.08809130505</v>
      </c>
      <c r="D77" s="12">
        <f>F9*$C$19</f>
        <v>5685.4710843120092</v>
      </c>
      <c r="E77" s="12">
        <f>$C$22</f>
        <v>1</v>
      </c>
      <c r="F77" s="12">
        <f>(C77+D77)*E77</f>
        <v>182172.55917561706</v>
      </c>
    </row>
    <row r="78" spans="2:17" ht="18">
      <c r="B78" s="199" t="s">
        <v>354</v>
      </c>
      <c r="C78" s="39">
        <f>E9*D19</f>
        <v>0</v>
      </c>
      <c r="D78" s="39">
        <f>F9*$D$19</f>
        <v>0</v>
      </c>
      <c r="E78" s="18">
        <f>$C$23</f>
        <v>28</v>
      </c>
      <c r="F78" s="12">
        <f t="shared" ref="F78:F79" si="14">(C78+D78)*E78</f>
        <v>0</v>
      </c>
    </row>
    <row r="79" spans="2:17" ht="18">
      <c r="B79" s="199" t="s">
        <v>355</v>
      </c>
      <c r="C79" s="194">
        <f>E9*E19</f>
        <v>0</v>
      </c>
      <c r="D79" s="194">
        <f>F9*$E$19</f>
        <v>0</v>
      </c>
      <c r="E79" s="18">
        <f>$C$24</f>
        <v>265</v>
      </c>
      <c r="F79" s="12">
        <f t="shared" si="14"/>
        <v>0</v>
      </c>
    </row>
    <row r="80" spans="2:17" ht="15.6" customHeight="1">
      <c r="B80" s="278" t="s">
        <v>10</v>
      </c>
      <c r="C80" s="278"/>
      <c r="D80" s="278"/>
      <c r="E80" s="278"/>
      <c r="F80" s="200">
        <f>SUM(F77:F79)</f>
        <v>182172.55917561706</v>
      </c>
    </row>
    <row r="81" spans="2:17" ht="15.6" customHeight="1"/>
    <row r="82" spans="2:17">
      <c r="B82" s="98" t="s">
        <v>303</v>
      </c>
      <c r="C82" s="179" t="str">
        <f>C75</f>
        <v>BRSSA</v>
      </c>
      <c r="D82" s="179" t="str">
        <f>D75</f>
        <v>BRSUA</v>
      </c>
      <c r="K82" s="98" t="s">
        <v>303</v>
      </c>
      <c r="L82" s="179" t="str">
        <f>C82</f>
        <v>BRSSA</v>
      </c>
      <c r="M82" s="179" t="str">
        <f>D82</f>
        <v>BRSUA</v>
      </c>
    </row>
    <row r="83" spans="2:17" ht="15.6" customHeight="1">
      <c r="B83" s="5" t="s">
        <v>365</v>
      </c>
      <c r="C83" s="4" t="s">
        <v>4</v>
      </c>
      <c r="D83" s="4" t="s">
        <v>5</v>
      </c>
      <c r="E83" s="4" t="s">
        <v>6</v>
      </c>
      <c r="F83" s="4" t="s">
        <v>7</v>
      </c>
      <c r="G83" s="4" t="s">
        <v>8</v>
      </c>
      <c r="H83" s="4" t="s">
        <v>9</v>
      </c>
      <c r="I83" s="5" t="s">
        <v>47</v>
      </c>
      <c r="K83" s="5" t="s">
        <v>308</v>
      </c>
      <c r="L83" s="4" t="s">
        <v>4</v>
      </c>
      <c r="M83" s="4" t="s">
        <v>5</v>
      </c>
      <c r="N83" s="4" t="s">
        <v>6</v>
      </c>
      <c r="O83" s="4" t="s">
        <v>7</v>
      </c>
      <c r="P83" s="4" t="s">
        <v>8</v>
      </c>
      <c r="Q83" s="4" t="s">
        <v>9</v>
      </c>
    </row>
    <row r="84" spans="2:17">
      <c r="B84" s="10" t="s">
        <v>4</v>
      </c>
      <c r="C84" s="11"/>
      <c r="D84" s="12"/>
      <c r="E84" s="12"/>
      <c r="F84" s="12"/>
      <c r="G84" s="12"/>
      <c r="H84" s="12"/>
      <c r="I84" s="13">
        <f t="shared" ref="I84:I89" si="15">SUM(C84:H84)</f>
        <v>0</v>
      </c>
      <c r="K84" s="10" t="s">
        <v>4</v>
      </c>
      <c r="L84" s="171">
        <f t="shared" ref="L84:Q89" si="16">IF(C84=0,0,$F$80/$I$90)</f>
        <v>0</v>
      </c>
      <c r="M84" s="60">
        <f t="shared" si="16"/>
        <v>0</v>
      </c>
      <c r="N84" s="60">
        <f t="shared" si="16"/>
        <v>0</v>
      </c>
      <c r="O84" s="60">
        <f t="shared" si="16"/>
        <v>0</v>
      </c>
      <c r="P84" s="60">
        <f t="shared" si="16"/>
        <v>0</v>
      </c>
      <c r="Q84" s="60">
        <f t="shared" si="16"/>
        <v>0</v>
      </c>
    </row>
    <row r="85" spans="2:17">
      <c r="B85" s="10" t="s">
        <v>5</v>
      </c>
      <c r="C85" s="12"/>
      <c r="D85" s="11"/>
      <c r="E85" s="12"/>
      <c r="F85" s="12"/>
      <c r="G85" s="12"/>
      <c r="H85" s="12"/>
      <c r="I85" s="13">
        <f t="shared" si="15"/>
        <v>0</v>
      </c>
      <c r="K85" s="10" t="s">
        <v>5</v>
      </c>
      <c r="L85" s="60">
        <f t="shared" si="16"/>
        <v>0</v>
      </c>
      <c r="M85" s="171">
        <f t="shared" si="16"/>
        <v>0</v>
      </c>
      <c r="N85" s="60">
        <f t="shared" si="16"/>
        <v>0</v>
      </c>
      <c r="O85" s="60">
        <f t="shared" si="16"/>
        <v>0</v>
      </c>
      <c r="P85" s="60">
        <f t="shared" si="16"/>
        <v>0</v>
      </c>
      <c r="Q85" s="60">
        <f t="shared" si="16"/>
        <v>0</v>
      </c>
    </row>
    <row r="86" spans="2:17">
      <c r="B86" s="10" t="s">
        <v>6</v>
      </c>
      <c r="C86" s="12"/>
      <c r="D86" s="12"/>
      <c r="E86" s="11"/>
      <c r="F86" s="12"/>
      <c r="G86" s="12"/>
      <c r="H86" s="12"/>
      <c r="I86" s="13">
        <f t="shared" si="15"/>
        <v>0</v>
      </c>
      <c r="K86" s="10" t="s">
        <v>6</v>
      </c>
      <c r="L86" s="60">
        <f t="shared" si="16"/>
        <v>0</v>
      </c>
      <c r="M86" s="60">
        <f t="shared" si="16"/>
        <v>0</v>
      </c>
      <c r="N86" s="171">
        <f t="shared" si="16"/>
        <v>0</v>
      </c>
      <c r="O86" s="60">
        <f t="shared" si="16"/>
        <v>0</v>
      </c>
      <c r="P86" s="60">
        <f t="shared" si="16"/>
        <v>0</v>
      </c>
      <c r="Q86" s="60">
        <f t="shared" si="16"/>
        <v>0</v>
      </c>
    </row>
    <row r="87" spans="2:17">
      <c r="B87" s="10" t="s">
        <v>7</v>
      </c>
      <c r="C87" s="12">
        <f t="shared" ref="C87:E89" si="17">C31</f>
        <v>86</v>
      </c>
      <c r="D87" s="12">
        <f t="shared" si="17"/>
        <v>9</v>
      </c>
      <c r="E87" s="12">
        <f t="shared" si="17"/>
        <v>1</v>
      </c>
      <c r="F87" s="11"/>
      <c r="G87" s="12"/>
      <c r="H87" s="12"/>
      <c r="I87" s="13">
        <f t="shared" si="15"/>
        <v>96</v>
      </c>
      <c r="K87" s="10" t="s">
        <v>7</v>
      </c>
      <c r="L87" s="60">
        <f>IF(C87=0,0,$F$80/$I$90)</f>
        <v>162.94504398534622</v>
      </c>
      <c r="M87" s="60">
        <f t="shared" si="16"/>
        <v>162.94504398534622</v>
      </c>
      <c r="N87" s="60">
        <f t="shared" si="16"/>
        <v>162.94504398534622</v>
      </c>
      <c r="O87" s="171">
        <f t="shared" si="16"/>
        <v>0</v>
      </c>
      <c r="P87" s="60">
        <f t="shared" si="16"/>
        <v>0</v>
      </c>
      <c r="Q87" s="60">
        <f t="shared" si="16"/>
        <v>0</v>
      </c>
    </row>
    <row r="88" spans="2:17">
      <c r="B88" s="10" t="s">
        <v>8</v>
      </c>
      <c r="C88" s="12">
        <f t="shared" si="17"/>
        <v>61</v>
      </c>
      <c r="D88" s="12">
        <f t="shared" si="17"/>
        <v>120</v>
      </c>
      <c r="E88" s="12">
        <f t="shared" si="17"/>
        <v>119</v>
      </c>
      <c r="F88" s="12"/>
      <c r="G88" s="11"/>
      <c r="H88" s="12"/>
      <c r="I88" s="13">
        <f t="shared" si="15"/>
        <v>300</v>
      </c>
      <c r="K88" s="10" t="s">
        <v>8</v>
      </c>
      <c r="L88" s="60">
        <f t="shared" ref="L88:L89" si="18">IF(C88=0,0,$F$80/$I$90)</f>
        <v>162.94504398534622</v>
      </c>
      <c r="M88" s="60">
        <f t="shared" si="16"/>
        <v>162.94504398534622</v>
      </c>
      <c r="N88" s="60">
        <f t="shared" si="16"/>
        <v>162.94504398534622</v>
      </c>
      <c r="O88" s="60">
        <f t="shared" si="16"/>
        <v>0</v>
      </c>
      <c r="P88" s="171">
        <f t="shared" si="16"/>
        <v>0</v>
      </c>
      <c r="Q88" s="60">
        <f t="shared" si="16"/>
        <v>0</v>
      </c>
    </row>
    <row r="89" spans="2:17">
      <c r="B89" s="10" t="s">
        <v>9</v>
      </c>
      <c r="C89" s="12">
        <f t="shared" si="17"/>
        <v>229</v>
      </c>
      <c r="D89" s="12">
        <f t="shared" si="17"/>
        <v>221</v>
      </c>
      <c r="E89" s="12">
        <f t="shared" si="17"/>
        <v>272</v>
      </c>
      <c r="F89" s="12"/>
      <c r="G89" s="12"/>
      <c r="H89" s="11"/>
      <c r="I89" s="13">
        <f t="shared" si="15"/>
        <v>722</v>
      </c>
      <c r="K89" s="10" t="s">
        <v>9</v>
      </c>
      <c r="L89" s="60">
        <f t="shared" si="18"/>
        <v>162.94504398534622</v>
      </c>
      <c r="M89" s="60">
        <f t="shared" si="16"/>
        <v>162.94504398534622</v>
      </c>
      <c r="N89" s="60">
        <f t="shared" si="16"/>
        <v>162.94504398534622</v>
      </c>
      <c r="O89" s="60">
        <f t="shared" si="16"/>
        <v>0</v>
      </c>
      <c r="P89" s="60">
        <f t="shared" si="16"/>
        <v>0</v>
      </c>
      <c r="Q89" s="171">
        <f t="shared" si="16"/>
        <v>0</v>
      </c>
    </row>
    <row r="90" spans="2:17">
      <c r="B90" s="16" t="s">
        <v>48</v>
      </c>
      <c r="C90" s="13">
        <f t="shared" ref="C90:I90" si="19">SUM(C84:C89)</f>
        <v>376</v>
      </c>
      <c r="D90" s="13">
        <f t="shared" si="19"/>
        <v>350</v>
      </c>
      <c r="E90" s="13">
        <f t="shared" si="19"/>
        <v>392</v>
      </c>
      <c r="F90" s="13">
        <f t="shared" si="19"/>
        <v>0</v>
      </c>
      <c r="G90" s="13">
        <f t="shared" si="19"/>
        <v>0</v>
      </c>
      <c r="H90" s="13">
        <f t="shared" si="19"/>
        <v>0</v>
      </c>
      <c r="I90" s="13">
        <f t="shared" si="19"/>
        <v>1118</v>
      </c>
    </row>
    <row r="94" spans="2:17">
      <c r="B94" s="98" t="s">
        <v>303</v>
      </c>
      <c r="C94" s="179" t="s">
        <v>6</v>
      </c>
      <c r="D94" s="179" t="s">
        <v>5</v>
      </c>
    </row>
    <row r="95" spans="2:17">
      <c r="B95" s="98" t="s">
        <v>307</v>
      </c>
      <c r="C95" s="98" t="s">
        <v>513</v>
      </c>
      <c r="D95" s="98" t="s">
        <v>513</v>
      </c>
      <c r="E95" s="98" t="s">
        <v>235</v>
      </c>
      <c r="F95" s="178" t="s">
        <v>309</v>
      </c>
    </row>
    <row r="96" spans="2:17" ht="18">
      <c r="B96" s="199" t="s">
        <v>356</v>
      </c>
      <c r="C96" s="12">
        <f>E10*$C$19</f>
        <v>207338.32093356267</v>
      </c>
      <c r="D96" s="12">
        <f>F10*$C$19</f>
        <v>7000.5005285863854</v>
      </c>
      <c r="E96" s="12">
        <f>$C$22</f>
        <v>1</v>
      </c>
      <c r="F96" s="12">
        <f>(C96+D96)*E96</f>
        <v>214338.82146214906</v>
      </c>
    </row>
    <row r="97" spans="2:17" ht="18">
      <c r="B97" s="199" t="s">
        <v>354</v>
      </c>
      <c r="C97" s="39">
        <f>E10*$D$19</f>
        <v>0</v>
      </c>
      <c r="D97" s="39">
        <f>F10*$D$19</f>
        <v>0</v>
      </c>
      <c r="E97" s="18">
        <f>$C$23</f>
        <v>28</v>
      </c>
      <c r="F97" s="12">
        <f t="shared" ref="F97:F98" si="20">(C97+D97)*E97</f>
        <v>0</v>
      </c>
    </row>
    <row r="98" spans="2:17" ht="18">
      <c r="B98" s="199" t="s">
        <v>355</v>
      </c>
      <c r="C98" s="194">
        <f>E10*$E$19</f>
        <v>0</v>
      </c>
      <c r="D98" s="194">
        <f>F10*$E$19</f>
        <v>0</v>
      </c>
      <c r="E98" s="18">
        <f>$C$24</f>
        <v>265</v>
      </c>
      <c r="F98" s="12">
        <f t="shared" si="20"/>
        <v>0</v>
      </c>
    </row>
    <row r="99" spans="2:17" ht="15.6" customHeight="1">
      <c r="B99" s="278" t="s">
        <v>10</v>
      </c>
      <c r="C99" s="278"/>
      <c r="D99" s="278"/>
      <c r="E99" s="278"/>
      <c r="F99" s="200">
        <f>SUM(F96:F98)</f>
        <v>214338.82146214906</v>
      </c>
    </row>
    <row r="100" spans="2:17" ht="15.6" customHeight="1"/>
    <row r="101" spans="2:17">
      <c r="B101" s="98" t="s">
        <v>303</v>
      </c>
      <c r="C101" s="179" t="str">
        <f>C94</f>
        <v>BRSUA</v>
      </c>
      <c r="D101" s="179" t="str">
        <f>D94</f>
        <v>BRPEC</v>
      </c>
      <c r="K101" s="98" t="s">
        <v>303</v>
      </c>
      <c r="L101" s="179" t="str">
        <f>C101</f>
        <v>BRSUA</v>
      </c>
      <c r="M101" s="179" t="str">
        <f>D101</f>
        <v>BRPEC</v>
      </c>
    </row>
    <row r="102" spans="2:17" ht="15.6" customHeight="1">
      <c r="B102" s="5" t="s">
        <v>365</v>
      </c>
      <c r="C102" s="4" t="s">
        <v>4</v>
      </c>
      <c r="D102" s="4" t="s">
        <v>5</v>
      </c>
      <c r="E102" s="4" t="s">
        <v>6</v>
      </c>
      <c r="F102" s="4" t="s">
        <v>7</v>
      </c>
      <c r="G102" s="4" t="s">
        <v>8</v>
      </c>
      <c r="H102" s="4" t="s">
        <v>9</v>
      </c>
      <c r="I102" s="5" t="s">
        <v>47</v>
      </c>
      <c r="K102" s="5" t="s">
        <v>308</v>
      </c>
      <c r="L102" s="4" t="s">
        <v>4</v>
      </c>
      <c r="M102" s="4" t="s">
        <v>5</v>
      </c>
      <c r="N102" s="4" t="s">
        <v>6</v>
      </c>
      <c r="O102" s="4" t="s">
        <v>7</v>
      </c>
      <c r="P102" s="4" t="s">
        <v>8</v>
      </c>
      <c r="Q102" s="4" t="s">
        <v>9</v>
      </c>
    </row>
    <row r="103" spans="2:17">
      <c r="B103" s="10" t="s">
        <v>4</v>
      </c>
      <c r="C103" s="11"/>
      <c r="D103" s="12"/>
      <c r="E103" s="12"/>
      <c r="F103" s="12"/>
      <c r="G103" s="12"/>
      <c r="H103" s="12"/>
      <c r="I103" s="13">
        <f t="shared" ref="I103:I108" si="21">SUM(C103:H103)</f>
        <v>0</v>
      </c>
      <c r="K103" s="10" t="s">
        <v>4</v>
      </c>
      <c r="L103" s="171">
        <f t="shared" ref="L103:Q108" si="22">IF(C103=0,0,$F$99/$I$109)</f>
        <v>0</v>
      </c>
      <c r="M103" s="60">
        <f t="shared" si="22"/>
        <v>0</v>
      </c>
      <c r="N103" s="60">
        <f t="shared" si="22"/>
        <v>0</v>
      </c>
      <c r="O103" s="60">
        <f t="shared" si="22"/>
        <v>0</v>
      </c>
      <c r="P103" s="60">
        <f t="shared" si="22"/>
        <v>0</v>
      </c>
      <c r="Q103" s="60">
        <f t="shared" si="22"/>
        <v>0</v>
      </c>
    </row>
    <row r="104" spans="2:17">
      <c r="B104" s="10" t="s">
        <v>5</v>
      </c>
      <c r="C104" s="12"/>
      <c r="D104" s="11"/>
      <c r="E104" s="12"/>
      <c r="F104" s="12"/>
      <c r="G104" s="12"/>
      <c r="H104" s="12"/>
      <c r="I104" s="13">
        <f t="shared" si="21"/>
        <v>0</v>
      </c>
      <c r="K104" s="10" t="s">
        <v>5</v>
      </c>
      <c r="L104" s="60">
        <f t="shared" si="22"/>
        <v>0</v>
      </c>
      <c r="M104" s="171">
        <f t="shared" si="22"/>
        <v>0</v>
      </c>
      <c r="N104" s="60">
        <f t="shared" si="22"/>
        <v>0</v>
      </c>
      <c r="O104" s="60">
        <f t="shared" si="22"/>
        <v>0</v>
      </c>
      <c r="P104" s="60">
        <f t="shared" si="22"/>
        <v>0</v>
      </c>
      <c r="Q104" s="60">
        <f t="shared" si="22"/>
        <v>0</v>
      </c>
    </row>
    <row r="105" spans="2:17">
      <c r="B105" s="10" t="s">
        <v>6</v>
      </c>
      <c r="C105" s="12">
        <f t="shared" ref="C105:D108" si="23">C30</f>
        <v>331</v>
      </c>
      <c r="D105" s="12">
        <f t="shared" si="23"/>
        <v>0</v>
      </c>
      <c r="E105" s="11"/>
      <c r="F105" s="12"/>
      <c r="G105" s="12"/>
      <c r="H105" s="12"/>
      <c r="I105" s="13">
        <f t="shared" si="21"/>
        <v>331</v>
      </c>
      <c r="K105" s="10" t="s">
        <v>6</v>
      </c>
      <c r="L105" s="60">
        <f t="shared" si="22"/>
        <v>202.78034196986667</v>
      </c>
      <c r="M105" s="60">
        <f t="shared" si="22"/>
        <v>0</v>
      </c>
      <c r="N105" s="171">
        <f t="shared" si="22"/>
        <v>0</v>
      </c>
      <c r="O105" s="60">
        <f t="shared" si="22"/>
        <v>0</v>
      </c>
      <c r="P105" s="60">
        <f t="shared" si="22"/>
        <v>0</v>
      </c>
      <c r="Q105" s="60">
        <f t="shared" si="22"/>
        <v>0</v>
      </c>
    </row>
    <row r="106" spans="2:17">
      <c r="B106" s="10" t="s">
        <v>7</v>
      </c>
      <c r="C106" s="12">
        <f t="shared" si="23"/>
        <v>86</v>
      </c>
      <c r="D106" s="12">
        <f t="shared" si="23"/>
        <v>9</v>
      </c>
      <c r="E106" s="12"/>
      <c r="F106" s="11"/>
      <c r="G106" s="12"/>
      <c r="H106" s="12"/>
      <c r="I106" s="13">
        <f t="shared" si="21"/>
        <v>95</v>
      </c>
      <c r="K106" s="10" t="s">
        <v>7</v>
      </c>
      <c r="L106" s="60">
        <f t="shared" si="22"/>
        <v>202.78034196986667</v>
      </c>
      <c r="M106" s="60">
        <f t="shared" si="22"/>
        <v>202.78034196986667</v>
      </c>
      <c r="N106" s="60">
        <f t="shared" si="22"/>
        <v>0</v>
      </c>
      <c r="O106" s="171">
        <f t="shared" si="22"/>
        <v>0</v>
      </c>
      <c r="P106" s="60">
        <f t="shared" si="22"/>
        <v>0</v>
      </c>
      <c r="Q106" s="60">
        <f t="shared" si="22"/>
        <v>0</v>
      </c>
    </row>
    <row r="107" spans="2:17">
      <c r="B107" s="10" t="s">
        <v>8</v>
      </c>
      <c r="C107" s="12">
        <f t="shared" si="23"/>
        <v>61</v>
      </c>
      <c r="D107" s="12">
        <f t="shared" si="23"/>
        <v>120</v>
      </c>
      <c r="E107" s="12"/>
      <c r="F107" s="12"/>
      <c r="G107" s="11"/>
      <c r="H107" s="12"/>
      <c r="I107" s="13">
        <f t="shared" si="21"/>
        <v>181</v>
      </c>
      <c r="K107" s="10" t="s">
        <v>8</v>
      </c>
      <c r="L107" s="60">
        <f t="shared" si="22"/>
        <v>202.78034196986667</v>
      </c>
      <c r="M107" s="60">
        <f t="shared" si="22"/>
        <v>202.78034196986667</v>
      </c>
      <c r="N107" s="60">
        <f t="shared" si="22"/>
        <v>0</v>
      </c>
      <c r="O107" s="60">
        <f t="shared" si="22"/>
        <v>0</v>
      </c>
      <c r="P107" s="171">
        <f t="shared" si="22"/>
        <v>0</v>
      </c>
      <c r="Q107" s="60">
        <f t="shared" si="22"/>
        <v>0</v>
      </c>
    </row>
    <row r="108" spans="2:17">
      <c r="B108" s="10" t="s">
        <v>9</v>
      </c>
      <c r="C108" s="12">
        <f t="shared" si="23"/>
        <v>229</v>
      </c>
      <c r="D108" s="12">
        <f t="shared" si="23"/>
        <v>221</v>
      </c>
      <c r="E108" s="12"/>
      <c r="F108" s="12"/>
      <c r="G108" s="12"/>
      <c r="H108" s="11"/>
      <c r="I108" s="13">
        <f t="shared" si="21"/>
        <v>450</v>
      </c>
      <c r="K108" s="10" t="s">
        <v>9</v>
      </c>
      <c r="L108" s="60">
        <f t="shared" si="22"/>
        <v>202.78034196986667</v>
      </c>
      <c r="M108" s="60">
        <f t="shared" si="22"/>
        <v>202.78034196986667</v>
      </c>
      <c r="N108" s="60">
        <f t="shared" si="22"/>
        <v>0</v>
      </c>
      <c r="O108" s="60">
        <f t="shared" si="22"/>
        <v>0</v>
      </c>
      <c r="P108" s="60">
        <f t="shared" si="22"/>
        <v>0</v>
      </c>
      <c r="Q108" s="171">
        <f t="shared" si="22"/>
        <v>0</v>
      </c>
    </row>
    <row r="109" spans="2:17">
      <c r="B109" s="16" t="s">
        <v>48</v>
      </c>
      <c r="C109" s="13">
        <f t="shared" ref="C109:I109" si="24">SUM(C103:C108)</f>
        <v>707</v>
      </c>
      <c r="D109" s="13">
        <f t="shared" si="24"/>
        <v>350</v>
      </c>
      <c r="E109" s="13">
        <f t="shared" si="24"/>
        <v>0</v>
      </c>
      <c r="F109" s="13">
        <f t="shared" si="24"/>
        <v>0</v>
      </c>
      <c r="G109" s="13">
        <f t="shared" si="24"/>
        <v>0</v>
      </c>
      <c r="H109" s="13">
        <f t="shared" si="24"/>
        <v>0</v>
      </c>
      <c r="I109" s="13">
        <f t="shared" si="24"/>
        <v>1057</v>
      </c>
    </row>
    <row r="113" spans="2:17">
      <c r="B113" s="98" t="s">
        <v>303</v>
      </c>
      <c r="C113" s="179" t="s">
        <v>5</v>
      </c>
      <c r="D113" s="179" t="s">
        <v>4</v>
      </c>
    </row>
    <row r="114" spans="2:17">
      <c r="B114" s="98" t="s">
        <v>307</v>
      </c>
      <c r="C114" s="98" t="s">
        <v>513</v>
      </c>
      <c r="D114" s="98" t="s">
        <v>513</v>
      </c>
      <c r="E114" s="98" t="s">
        <v>235</v>
      </c>
      <c r="F114" s="178" t="s">
        <v>309</v>
      </c>
    </row>
    <row r="115" spans="2:17" ht="18">
      <c r="B115" s="199" t="s">
        <v>356</v>
      </c>
      <c r="C115" s="12">
        <f>E11*$C$19</f>
        <v>740860.59440267971</v>
      </c>
      <c r="D115" s="12">
        <f>F11*$C$19</f>
        <v>23207.194141378714</v>
      </c>
      <c r="E115" s="12">
        <f>$C$22</f>
        <v>1</v>
      </c>
      <c r="F115" s="12">
        <f>(C115+D115)*E115</f>
        <v>764067.78854405845</v>
      </c>
    </row>
    <row r="116" spans="2:17" ht="18">
      <c r="B116" s="199" t="s">
        <v>354</v>
      </c>
      <c r="C116" s="39">
        <f>E11*$D$19</f>
        <v>0</v>
      </c>
      <c r="D116" s="39">
        <f>F11*$D$19</f>
        <v>0</v>
      </c>
      <c r="E116" s="18">
        <f>$C$23</f>
        <v>28</v>
      </c>
      <c r="F116" s="12">
        <f t="shared" ref="F116:F117" si="25">(C116+D116)*E116</f>
        <v>0</v>
      </c>
    </row>
    <row r="117" spans="2:17" ht="18">
      <c r="B117" s="199" t="s">
        <v>355</v>
      </c>
      <c r="C117" s="194">
        <f>E11*$E$19</f>
        <v>0</v>
      </c>
      <c r="D117" s="194">
        <f>F11*$E$19</f>
        <v>0</v>
      </c>
      <c r="E117" s="18">
        <f>$C$24</f>
        <v>265</v>
      </c>
      <c r="F117" s="12">
        <f t="shared" si="25"/>
        <v>0</v>
      </c>
    </row>
    <row r="118" spans="2:17" ht="15.6" customHeight="1">
      <c r="B118" s="278" t="s">
        <v>10</v>
      </c>
      <c r="C118" s="278"/>
      <c r="D118" s="278"/>
      <c r="E118" s="278"/>
      <c r="F118" s="200">
        <f>SUM(F115:F117)</f>
        <v>764067.78854405845</v>
      </c>
    </row>
    <row r="119" spans="2:17" ht="15.6" customHeight="1"/>
    <row r="120" spans="2:17">
      <c r="B120" s="98" t="s">
        <v>303</v>
      </c>
      <c r="C120" s="179" t="str">
        <f>C113</f>
        <v>BRPEC</v>
      </c>
      <c r="D120" s="179" t="str">
        <f>D113</f>
        <v>BRMAO</v>
      </c>
      <c r="K120" s="98" t="s">
        <v>303</v>
      </c>
      <c r="L120" s="179" t="str">
        <f>C120</f>
        <v>BRPEC</v>
      </c>
      <c r="M120" s="179" t="str">
        <f>D120</f>
        <v>BRMAO</v>
      </c>
    </row>
    <row r="121" spans="2:17" ht="15.6" customHeight="1">
      <c r="B121" s="5" t="s">
        <v>365</v>
      </c>
      <c r="C121" s="4" t="s">
        <v>4</v>
      </c>
      <c r="D121" s="4" t="s">
        <v>5</v>
      </c>
      <c r="E121" s="4" t="s">
        <v>6</v>
      </c>
      <c r="F121" s="4" t="s">
        <v>7</v>
      </c>
      <c r="G121" s="4" t="s">
        <v>8</v>
      </c>
      <c r="H121" s="4" t="s">
        <v>9</v>
      </c>
      <c r="I121" s="5" t="s">
        <v>47</v>
      </c>
      <c r="K121" s="5" t="s">
        <v>308</v>
      </c>
      <c r="L121" s="4" t="s">
        <v>4</v>
      </c>
      <c r="M121" s="4" t="s">
        <v>5</v>
      </c>
      <c r="N121" s="4" t="s">
        <v>6</v>
      </c>
      <c r="O121" s="4" t="s">
        <v>7</v>
      </c>
      <c r="P121" s="4" t="s">
        <v>8</v>
      </c>
      <c r="Q121" s="4" t="s">
        <v>9</v>
      </c>
    </row>
    <row r="122" spans="2:17">
      <c r="B122" s="10" t="s">
        <v>4</v>
      </c>
      <c r="C122" s="11"/>
      <c r="D122" s="12"/>
      <c r="E122" s="12"/>
      <c r="F122" s="12"/>
      <c r="G122" s="12"/>
      <c r="H122" s="12"/>
      <c r="I122" s="13">
        <f t="shared" ref="I122:I127" si="26">SUM(C122:H122)</f>
        <v>0</v>
      </c>
      <c r="K122" s="10" t="s">
        <v>4</v>
      </c>
      <c r="L122" s="171">
        <f>IF(C122=0,0,$F$118/$I$128)</f>
        <v>0</v>
      </c>
      <c r="M122" s="60">
        <f t="shared" ref="M122:Q127" si="27">IF(D122=0,0,$F$118/$I$128)</f>
        <v>0</v>
      </c>
      <c r="N122" s="60">
        <f t="shared" si="27"/>
        <v>0</v>
      </c>
      <c r="O122" s="60">
        <f t="shared" si="27"/>
        <v>0</v>
      </c>
      <c r="P122" s="60">
        <f t="shared" si="27"/>
        <v>0</v>
      </c>
      <c r="Q122" s="60">
        <f t="shared" si="27"/>
        <v>0</v>
      </c>
    </row>
    <row r="123" spans="2:17">
      <c r="B123" s="10" t="s">
        <v>5</v>
      </c>
      <c r="C123" s="12">
        <f t="shared" ref="C123" si="28">C29</f>
        <v>260</v>
      </c>
      <c r="D123" s="11"/>
      <c r="E123" s="12"/>
      <c r="F123" s="12"/>
      <c r="G123" s="12"/>
      <c r="H123" s="12"/>
      <c r="I123" s="13">
        <f t="shared" si="26"/>
        <v>260</v>
      </c>
      <c r="K123" s="10" t="s">
        <v>5</v>
      </c>
      <c r="L123" s="60">
        <f t="shared" ref="L123:L127" si="29">IF(C123=0,0,$F$118/$I$128)</f>
        <v>790.14249073842655</v>
      </c>
      <c r="M123" s="171">
        <f t="shared" si="27"/>
        <v>0</v>
      </c>
      <c r="N123" s="60">
        <f t="shared" si="27"/>
        <v>0</v>
      </c>
      <c r="O123" s="60">
        <f t="shared" si="27"/>
        <v>0</v>
      </c>
      <c r="P123" s="60">
        <f t="shared" si="27"/>
        <v>0</v>
      </c>
      <c r="Q123" s="60">
        <f t="shared" si="27"/>
        <v>0</v>
      </c>
    </row>
    <row r="124" spans="2:17">
      <c r="B124" s="10" t="s">
        <v>6</v>
      </c>
      <c r="C124" s="12">
        <f>C30</f>
        <v>331</v>
      </c>
      <c r="D124" s="12"/>
      <c r="E124" s="11"/>
      <c r="F124" s="12"/>
      <c r="G124" s="12"/>
      <c r="H124" s="12"/>
      <c r="I124" s="13">
        <f t="shared" si="26"/>
        <v>331</v>
      </c>
      <c r="K124" s="10" t="s">
        <v>6</v>
      </c>
      <c r="L124" s="60">
        <f t="shared" si="29"/>
        <v>790.14249073842655</v>
      </c>
      <c r="M124" s="60">
        <f t="shared" si="27"/>
        <v>0</v>
      </c>
      <c r="N124" s="171">
        <f t="shared" si="27"/>
        <v>0</v>
      </c>
      <c r="O124" s="60">
        <f t="shared" si="27"/>
        <v>0</v>
      </c>
      <c r="P124" s="60">
        <f t="shared" si="27"/>
        <v>0</v>
      </c>
      <c r="Q124" s="60">
        <f t="shared" si="27"/>
        <v>0</v>
      </c>
    </row>
    <row r="125" spans="2:17">
      <c r="B125" s="10" t="s">
        <v>7</v>
      </c>
      <c r="C125" s="12">
        <f t="shared" ref="C125:C127" si="30">C31</f>
        <v>86</v>
      </c>
      <c r="D125" s="12"/>
      <c r="E125" s="12"/>
      <c r="F125" s="11"/>
      <c r="G125" s="12"/>
      <c r="H125" s="12"/>
      <c r="I125" s="13">
        <f t="shared" si="26"/>
        <v>86</v>
      </c>
      <c r="K125" s="10" t="s">
        <v>7</v>
      </c>
      <c r="L125" s="60">
        <f t="shared" si="29"/>
        <v>790.14249073842655</v>
      </c>
      <c r="M125" s="60">
        <f t="shared" si="27"/>
        <v>0</v>
      </c>
      <c r="N125" s="60">
        <f t="shared" si="27"/>
        <v>0</v>
      </c>
      <c r="O125" s="171">
        <f t="shared" si="27"/>
        <v>0</v>
      </c>
      <c r="P125" s="60">
        <f t="shared" si="27"/>
        <v>0</v>
      </c>
      <c r="Q125" s="60">
        <f t="shared" si="27"/>
        <v>0</v>
      </c>
    </row>
    <row r="126" spans="2:17">
      <c r="B126" s="10" t="s">
        <v>8</v>
      </c>
      <c r="C126" s="12">
        <f t="shared" si="30"/>
        <v>61</v>
      </c>
      <c r="D126" s="12"/>
      <c r="E126" s="12"/>
      <c r="F126" s="12"/>
      <c r="G126" s="11"/>
      <c r="H126" s="12"/>
      <c r="I126" s="13">
        <f t="shared" si="26"/>
        <v>61</v>
      </c>
      <c r="K126" s="10" t="s">
        <v>8</v>
      </c>
      <c r="L126" s="60">
        <f t="shared" si="29"/>
        <v>790.14249073842655</v>
      </c>
      <c r="M126" s="60">
        <f t="shared" si="27"/>
        <v>0</v>
      </c>
      <c r="N126" s="60">
        <f t="shared" si="27"/>
        <v>0</v>
      </c>
      <c r="O126" s="60">
        <f t="shared" si="27"/>
        <v>0</v>
      </c>
      <c r="P126" s="171">
        <f t="shared" si="27"/>
        <v>0</v>
      </c>
      <c r="Q126" s="60">
        <f t="shared" si="27"/>
        <v>0</v>
      </c>
    </row>
    <row r="127" spans="2:17">
      <c r="B127" s="10" t="s">
        <v>9</v>
      </c>
      <c r="C127" s="12">
        <f t="shared" si="30"/>
        <v>229</v>
      </c>
      <c r="D127" s="12"/>
      <c r="E127" s="12"/>
      <c r="F127" s="12"/>
      <c r="G127" s="12"/>
      <c r="H127" s="11"/>
      <c r="I127" s="13">
        <f t="shared" si="26"/>
        <v>229</v>
      </c>
      <c r="K127" s="10" t="s">
        <v>9</v>
      </c>
      <c r="L127" s="60">
        <f t="shared" si="29"/>
        <v>790.14249073842655</v>
      </c>
      <c r="M127" s="60">
        <f t="shared" si="27"/>
        <v>0</v>
      </c>
      <c r="N127" s="60">
        <f t="shared" si="27"/>
        <v>0</v>
      </c>
      <c r="O127" s="60">
        <f t="shared" si="27"/>
        <v>0</v>
      </c>
      <c r="P127" s="60">
        <f t="shared" si="27"/>
        <v>0</v>
      </c>
      <c r="Q127" s="171">
        <f t="shared" si="27"/>
        <v>0</v>
      </c>
    </row>
    <row r="128" spans="2:17">
      <c r="B128" s="16" t="s">
        <v>48</v>
      </c>
      <c r="C128" s="13">
        <f t="shared" ref="C128:I128" si="31">SUM(C122:C127)</f>
        <v>967</v>
      </c>
      <c r="D128" s="13">
        <f t="shared" si="31"/>
        <v>0</v>
      </c>
      <c r="E128" s="13">
        <f t="shared" si="31"/>
        <v>0</v>
      </c>
      <c r="F128" s="13">
        <f t="shared" si="31"/>
        <v>0</v>
      </c>
      <c r="G128" s="13">
        <f t="shared" si="31"/>
        <v>0</v>
      </c>
      <c r="H128" s="13">
        <f t="shared" si="31"/>
        <v>0</v>
      </c>
      <c r="I128" s="13">
        <f t="shared" si="31"/>
        <v>967</v>
      </c>
    </row>
    <row r="132" spans="2:17">
      <c r="B132" s="98" t="s">
        <v>303</v>
      </c>
      <c r="C132" s="179" t="s">
        <v>4</v>
      </c>
      <c r="D132" s="179" t="s">
        <v>5</v>
      </c>
    </row>
    <row r="133" spans="2:17">
      <c r="B133" s="98" t="s">
        <v>307</v>
      </c>
      <c r="C133" s="98" t="s">
        <v>513</v>
      </c>
      <c r="D133" s="98" t="s">
        <v>513</v>
      </c>
      <c r="E133" s="98" t="s">
        <v>235</v>
      </c>
      <c r="F133" s="178" t="s">
        <v>309</v>
      </c>
    </row>
    <row r="134" spans="2:17" ht="18">
      <c r="B134" s="199" t="s">
        <v>356</v>
      </c>
      <c r="C134" s="12">
        <f>E12*$C$19</f>
        <v>638529.96535285795</v>
      </c>
      <c r="D134" s="12">
        <f>F12*$C$19</f>
        <v>21301.671993312852</v>
      </c>
      <c r="E134" s="12">
        <f>$C$22</f>
        <v>1</v>
      </c>
      <c r="F134" s="12">
        <f>(C134+D134)*E134</f>
        <v>659831.63734617084</v>
      </c>
    </row>
    <row r="135" spans="2:17" ht="18">
      <c r="B135" s="199" t="s">
        <v>354</v>
      </c>
      <c r="C135" s="39">
        <f>E12*$D$19</f>
        <v>0</v>
      </c>
      <c r="D135" s="39">
        <f>F12*$D$19</f>
        <v>0</v>
      </c>
      <c r="E135" s="18">
        <f>$C$23</f>
        <v>28</v>
      </c>
      <c r="F135" s="12">
        <f t="shared" ref="F135:F136" si="32">(C135+D135)*E135</f>
        <v>0</v>
      </c>
    </row>
    <row r="136" spans="2:17" ht="18">
      <c r="B136" s="199" t="s">
        <v>355</v>
      </c>
      <c r="C136" s="194">
        <f>E12*$E$19</f>
        <v>0</v>
      </c>
      <c r="D136" s="194">
        <f>F12*$E$19</f>
        <v>0</v>
      </c>
      <c r="E136" s="18">
        <f>$C$24</f>
        <v>265</v>
      </c>
      <c r="F136" s="12">
        <f t="shared" si="32"/>
        <v>0</v>
      </c>
    </row>
    <row r="137" spans="2:17" ht="15.6" customHeight="1">
      <c r="B137" s="278" t="s">
        <v>10</v>
      </c>
      <c r="C137" s="278"/>
      <c r="D137" s="278"/>
      <c r="E137" s="278"/>
      <c r="F137" s="200">
        <f>SUM(F134:F136)</f>
        <v>659831.63734617084</v>
      </c>
    </row>
    <row r="138" spans="2:17" ht="15.6" customHeight="1"/>
    <row r="139" spans="2:17">
      <c r="B139" s="98" t="s">
        <v>303</v>
      </c>
      <c r="C139" s="179" t="str">
        <f>C132</f>
        <v>BRMAO</v>
      </c>
      <c r="D139" s="179" t="str">
        <f>D132</f>
        <v>BRPEC</v>
      </c>
      <c r="K139" s="98" t="s">
        <v>303</v>
      </c>
      <c r="L139" s="179" t="str">
        <f>C139</f>
        <v>BRMAO</v>
      </c>
      <c r="M139" s="179" t="str">
        <f>D139</f>
        <v>BRPEC</v>
      </c>
    </row>
    <row r="140" spans="2:17" ht="15.6" customHeight="1">
      <c r="B140" s="5" t="s">
        <v>365</v>
      </c>
      <c r="C140" s="4" t="s">
        <v>4</v>
      </c>
      <c r="D140" s="4" t="s">
        <v>5</v>
      </c>
      <c r="E140" s="4" t="s">
        <v>6</v>
      </c>
      <c r="F140" s="4" t="s">
        <v>7</v>
      </c>
      <c r="G140" s="4" t="s">
        <v>8</v>
      </c>
      <c r="H140" s="4" t="s">
        <v>9</v>
      </c>
      <c r="I140" s="5" t="s">
        <v>47</v>
      </c>
      <c r="K140" s="5" t="s">
        <v>308</v>
      </c>
      <c r="L140" s="4" t="s">
        <v>4</v>
      </c>
      <c r="M140" s="4" t="s">
        <v>5</v>
      </c>
      <c r="N140" s="4" t="s">
        <v>6</v>
      </c>
      <c r="O140" s="4" t="s">
        <v>7</v>
      </c>
      <c r="P140" s="4" t="s">
        <v>8</v>
      </c>
      <c r="Q140" s="4" t="s">
        <v>9</v>
      </c>
    </row>
    <row r="141" spans="2:17">
      <c r="B141" s="10" t="s">
        <v>4</v>
      </c>
      <c r="C141" s="11">
        <f t="shared" ref="C141:H141" si="33">C28</f>
        <v>0</v>
      </c>
      <c r="D141" s="12">
        <f t="shared" si="33"/>
        <v>175</v>
      </c>
      <c r="E141" s="12">
        <f t="shared" si="33"/>
        <v>156</v>
      </c>
      <c r="F141" s="12">
        <f t="shared" si="33"/>
        <v>0</v>
      </c>
      <c r="G141" s="12">
        <f t="shared" si="33"/>
        <v>226</v>
      </c>
      <c r="H141" s="12">
        <f t="shared" si="33"/>
        <v>648</v>
      </c>
      <c r="I141" s="13">
        <f t="shared" ref="I141:I146" si="34">SUM(C141:H141)</f>
        <v>1205</v>
      </c>
      <c r="K141" s="10" t="s">
        <v>4</v>
      </c>
      <c r="L141" s="171">
        <f>IF(C141=0,0,$F$137/$I$147)</f>
        <v>0</v>
      </c>
      <c r="M141" s="60">
        <f t="shared" ref="M141:Q146" si="35">IF(D141=0,0,$F$137/$I$147)</f>
        <v>547.57812227898</v>
      </c>
      <c r="N141" s="60">
        <f t="shared" si="35"/>
        <v>547.57812227898</v>
      </c>
      <c r="O141" s="60">
        <f t="shared" si="35"/>
        <v>0</v>
      </c>
      <c r="P141" s="60">
        <f t="shared" si="35"/>
        <v>547.57812227898</v>
      </c>
      <c r="Q141" s="60">
        <f t="shared" si="35"/>
        <v>547.57812227898</v>
      </c>
    </row>
    <row r="142" spans="2:17">
      <c r="B142" s="10" t="s">
        <v>5</v>
      </c>
      <c r="C142" s="12"/>
      <c r="D142" s="11"/>
      <c r="E142" s="12"/>
      <c r="F142" s="12"/>
      <c r="G142" s="12"/>
      <c r="H142" s="12"/>
      <c r="I142" s="13">
        <f t="shared" si="34"/>
        <v>0</v>
      </c>
      <c r="K142" s="10" t="s">
        <v>5</v>
      </c>
      <c r="L142" s="60">
        <f t="shared" ref="L142:L146" si="36">IF(C142=0,0,$F$137/$I$147)</f>
        <v>0</v>
      </c>
      <c r="M142" s="171">
        <f t="shared" si="35"/>
        <v>0</v>
      </c>
      <c r="N142" s="60">
        <f t="shared" si="35"/>
        <v>0</v>
      </c>
      <c r="O142" s="60">
        <f t="shared" si="35"/>
        <v>0</v>
      </c>
      <c r="P142" s="60">
        <f t="shared" si="35"/>
        <v>0</v>
      </c>
      <c r="Q142" s="60">
        <f t="shared" si="35"/>
        <v>0</v>
      </c>
    </row>
    <row r="143" spans="2:17">
      <c r="B143" s="10" t="s">
        <v>6</v>
      </c>
      <c r="C143" s="12"/>
      <c r="D143" s="12"/>
      <c r="E143" s="11"/>
      <c r="F143" s="12"/>
      <c r="G143" s="12"/>
      <c r="H143" s="12"/>
      <c r="I143" s="13">
        <f t="shared" si="34"/>
        <v>0</v>
      </c>
      <c r="K143" s="10" t="s">
        <v>6</v>
      </c>
      <c r="L143" s="60">
        <f t="shared" si="36"/>
        <v>0</v>
      </c>
      <c r="M143" s="60">
        <f t="shared" si="35"/>
        <v>0</v>
      </c>
      <c r="N143" s="171">
        <f t="shared" si="35"/>
        <v>0</v>
      </c>
      <c r="O143" s="60">
        <f t="shared" si="35"/>
        <v>0</v>
      </c>
      <c r="P143" s="60">
        <f t="shared" si="35"/>
        <v>0</v>
      </c>
      <c r="Q143" s="60">
        <f t="shared" si="35"/>
        <v>0</v>
      </c>
    </row>
    <row r="144" spans="2:17">
      <c r="B144" s="10" t="s">
        <v>7</v>
      </c>
      <c r="C144" s="12"/>
      <c r="D144" s="12"/>
      <c r="E144" s="12"/>
      <c r="F144" s="11"/>
      <c r="G144" s="12"/>
      <c r="H144" s="12"/>
      <c r="I144" s="13">
        <f t="shared" si="34"/>
        <v>0</v>
      </c>
      <c r="K144" s="10" t="s">
        <v>7</v>
      </c>
      <c r="L144" s="60">
        <f t="shared" si="36"/>
        <v>0</v>
      </c>
      <c r="M144" s="60">
        <f t="shared" si="35"/>
        <v>0</v>
      </c>
      <c r="N144" s="60">
        <f t="shared" si="35"/>
        <v>0</v>
      </c>
      <c r="O144" s="171">
        <f t="shared" si="35"/>
        <v>0</v>
      </c>
      <c r="P144" s="60">
        <f t="shared" si="35"/>
        <v>0</v>
      </c>
      <c r="Q144" s="60">
        <f t="shared" si="35"/>
        <v>0</v>
      </c>
    </row>
    <row r="145" spans="2:17">
      <c r="B145" s="10" t="s">
        <v>8</v>
      </c>
      <c r="C145" s="12"/>
      <c r="D145" s="12"/>
      <c r="E145" s="12"/>
      <c r="F145" s="12"/>
      <c r="G145" s="11"/>
      <c r="H145" s="12"/>
      <c r="I145" s="13">
        <f t="shared" si="34"/>
        <v>0</v>
      </c>
      <c r="K145" s="10" t="s">
        <v>8</v>
      </c>
      <c r="L145" s="60">
        <f t="shared" si="36"/>
        <v>0</v>
      </c>
      <c r="M145" s="60">
        <f t="shared" si="35"/>
        <v>0</v>
      </c>
      <c r="N145" s="60">
        <f t="shared" si="35"/>
        <v>0</v>
      </c>
      <c r="O145" s="60">
        <f t="shared" si="35"/>
        <v>0</v>
      </c>
      <c r="P145" s="171">
        <f t="shared" si="35"/>
        <v>0</v>
      </c>
      <c r="Q145" s="60">
        <f t="shared" si="35"/>
        <v>0</v>
      </c>
    </row>
    <row r="146" spans="2:17">
      <c r="B146" s="10" t="s">
        <v>9</v>
      </c>
      <c r="C146" s="12"/>
      <c r="D146" s="12"/>
      <c r="E146" s="12"/>
      <c r="F146" s="12"/>
      <c r="G146" s="12"/>
      <c r="H146" s="11"/>
      <c r="I146" s="13">
        <f t="shared" si="34"/>
        <v>0</v>
      </c>
      <c r="K146" s="10" t="s">
        <v>9</v>
      </c>
      <c r="L146" s="60">
        <f t="shared" si="36"/>
        <v>0</v>
      </c>
      <c r="M146" s="60">
        <f t="shared" si="35"/>
        <v>0</v>
      </c>
      <c r="N146" s="60">
        <f t="shared" si="35"/>
        <v>0</v>
      </c>
      <c r="O146" s="60">
        <f t="shared" si="35"/>
        <v>0</v>
      </c>
      <c r="P146" s="60">
        <f t="shared" si="35"/>
        <v>0</v>
      </c>
      <c r="Q146" s="171">
        <f t="shared" si="35"/>
        <v>0</v>
      </c>
    </row>
    <row r="147" spans="2:17">
      <c r="B147" s="16" t="s">
        <v>48</v>
      </c>
      <c r="C147" s="13">
        <f t="shared" ref="C147:I147" si="37">SUM(C141:C146)</f>
        <v>0</v>
      </c>
      <c r="D147" s="13">
        <f t="shared" si="37"/>
        <v>175</v>
      </c>
      <c r="E147" s="13">
        <f t="shared" si="37"/>
        <v>156</v>
      </c>
      <c r="F147" s="13">
        <f t="shared" si="37"/>
        <v>0</v>
      </c>
      <c r="G147" s="13">
        <f t="shared" si="37"/>
        <v>226</v>
      </c>
      <c r="H147" s="13">
        <f t="shared" si="37"/>
        <v>648</v>
      </c>
      <c r="I147" s="13">
        <f t="shared" si="37"/>
        <v>1205</v>
      </c>
    </row>
    <row r="151" spans="2:17">
      <c r="B151" s="98" t="s">
        <v>303</v>
      </c>
      <c r="C151" s="179" t="s">
        <v>5</v>
      </c>
      <c r="D151" s="179" t="s">
        <v>6</v>
      </c>
    </row>
    <row r="152" spans="2:17">
      <c r="B152" s="98" t="s">
        <v>307</v>
      </c>
      <c r="C152" s="98" t="s">
        <v>513</v>
      </c>
      <c r="D152" s="98" t="s">
        <v>513</v>
      </c>
      <c r="E152" s="98" t="s">
        <v>235</v>
      </c>
      <c r="F152" s="178" t="s">
        <v>309</v>
      </c>
    </row>
    <row r="153" spans="2:17" ht="18">
      <c r="B153" s="199" t="s">
        <v>356</v>
      </c>
      <c r="C153" s="12">
        <f>E13*$C$19</f>
        <v>208972.8483376104</v>
      </c>
      <c r="D153" s="12">
        <f>F13*$C$19</f>
        <v>6731.9064392845539</v>
      </c>
      <c r="E153" s="12">
        <f>$C$22</f>
        <v>1</v>
      </c>
      <c r="F153" s="12">
        <f>(C153+D153)*E153</f>
        <v>215704.75477689496</v>
      </c>
    </row>
    <row r="154" spans="2:17" ht="18">
      <c r="B154" s="199" t="s">
        <v>354</v>
      </c>
      <c r="C154" s="39">
        <f>E13*$D$19</f>
        <v>0</v>
      </c>
      <c r="D154" s="39">
        <f>F13*$D$19</f>
        <v>0</v>
      </c>
      <c r="E154" s="18">
        <f>$C$23</f>
        <v>28</v>
      </c>
      <c r="F154" s="12">
        <f t="shared" ref="F154:F155" si="38">(C154+D154)*E154</f>
        <v>0</v>
      </c>
    </row>
    <row r="155" spans="2:17" ht="18">
      <c r="B155" s="199" t="s">
        <v>355</v>
      </c>
      <c r="C155" s="194">
        <f>E13*$E$19</f>
        <v>0</v>
      </c>
      <c r="D155" s="194">
        <f>F13*$E$19</f>
        <v>0</v>
      </c>
      <c r="E155" s="18">
        <f>$C$24</f>
        <v>265</v>
      </c>
      <c r="F155" s="12">
        <f t="shared" si="38"/>
        <v>0</v>
      </c>
    </row>
    <row r="156" spans="2:17" ht="15.6" customHeight="1">
      <c r="B156" s="278" t="s">
        <v>10</v>
      </c>
      <c r="C156" s="278"/>
      <c r="D156" s="278"/>
      <c r="E156" s="278"/>
      <c r="F156" s="200">
        <f>SUM(F153:F155)</f>
        <v>215704.75477689496</v>
      </c>
    </row>
    <row r="157" spans="2:17" ht="15.6" customHeight="1"/>
    <row r="158" spans="2:17">
      <c r="B158" s="98" t="s">
        <v>303</v>
      </c>
      <c r="C158" s="179" t="str">
        <f>C151</f>
        <v>BRPEC</v>
      </c>
      <c r="D158" s="179" t="str">
        <f>D151</f>
        <v>BRSUA</v>
      </c>
      <c r="K158" s="98" t="s">
        <v>303</v>
      </c>
      <c r="L158" s="179" t="str">
        <f>C158</f>
        <v>BRPEC</v>
      </c>
      <c r="M158" s="179" t="str">
        <f>D158</f>
        <v>BRSUA</v>
      </c>
    </row>
    <row r="159" spans="2:17" ht="15.6" customHeight="1">
      <c r="B159" s="5" t="s">
        <v>365</v>
      </c>
      <c r="C159" s="4" t="s">
        <v>4</v>
      </c>
      <c r="D159" s="4" t="s">
        <v>5</v>
      </c>
      <c r="E159" s="4" t="s">
        <v>6</v>
      </c>
      <c r="F159" s="4" t="s">
        <v>7</v>
      </c>
      <c r="G159" s="4" t="s">
        <v>8</v>
      </c>
      <c r="H159" s="4" t="s">
        <v>9</v>
      </c>
      <c r="I159" s="5" t="s">
        <v>47</v>
      </c>
      <c r="K159" s="5" t="s">
        <v>308</v>
      </c>
      <c r="L159" s="4" t="s">
        <v>4</v>
      </c>
      <c r="M159" s="4" t="s">
        <v>5</v>
      </c>
      <c r="N159" s="4" t="s">
        <v>6</v>
      </c>
      <c r="O159" s="4" t="s">
        <v>7</v>
      </c>
      <c r="P159" s="4" t="s">
        <v>8</v>
      </c>
      <c r="Q159" s="4" t="s">
        <v>9</v>
      </c>
    </row>
    <row r="160" spans="2:17">
      <c r="B160" s="10" t="s">
        <v>4</v>
      </c>
      <c r="C160" s="11"/>
      <c r="D160" s="12"/>
      <c r="E160" s="12">
        <f t="shared" ref="E160:H161" si="39">E28</f>
        <v>156</v>
      </c>
      <c r="F160" s="12">
        <f t="shared" si="39"/>
        <v>0</v>
      </c>
      <c r="G160" s="12">
        <f t="shared" si="39"/>
        <v>226</v>
      </c>
      <c r="H160" s="12">
        <f t="shared" si="39"/>
        <v>648</v>
      </c>
      <c r="I160" s="13">
        <f t="shared" ref="I160:I165" si="40">SUM(C160:H160)</f>
        <v>1030</v>
      </c>
      <c r="K160" s="10" t="s">
        <v>4</v>
      </c>
      <c r="L160" s="171">
        <f>IF(C160=0,0,$F$156/$I$166)</f>
        <v>0</v>
      </c>
      <c r="M160" s="60">
        <f t="shared" ref="M160:Q165" si="41">IF(D160=0,0,$F$156/$I$166)</f>
        <v>0</v>
      </c>
      <c r="N160" s="60">
        <f t="shared" si="41"/>
        <v>181.87584719805645</v>
      </c>
      <c r="O160" s="60">
        <f t="shared" si="41"/>
        <v>0</v>
      </c>
      <c r="P160" s="60">
        <f t="shared" si="41"/>
        <v>181.87584719805645</v>
      </c>
      <c r="Q160" s="60">
        <f t="shared" si="41"/>
        <v>181.87584719805645</v>
      </c>
    </row>
    <row r="161" spans="2:17">
      <c r="B161" s="10" t="s">
        <v>5</v>
      </c>
      <c r="C161" s="12"/>
      <c r="D161" s="11"/>
      <c r="E161" s="12">
        <f t="shared" si="39"/>
        <v>0</v>
      </c>
      <c r="F161" s="12">
        <f t="shared" si="39"/>
        <v>0</v>
      </c>
      <c r="G161" s="12">
        <f t="shared" si="39"/>
        <v>20</v>
      </c>
      <c r="H161" s="12">
        <f t="shared" si="39"/>
        <v>136</v>
      </c>
      <c r="I161" s="13">
        <f t="shared" si="40"/>
        <v>156</v>
      </c>
      <c r="K161" s="10" t="s">
        <v>5</v>
      </c>
      <c r="L161" s="60">
        <f t="shared" ref="L161:L165" si="42">IF(C161=0,0,$F$156/$I$166)</f>
        <v>0</v>
      </c>
      <c r="M161" s="171">
        <f t="shared" si="41"/>
        <v>0</v>
      </c>
      <c r="N161" s="60">
        <f t="shared" si="41"/>
        <v>0</v>
      </c>
      <c r="O161" s="60">
        <f t="shared" si="41"/>
        <v>0</v>
      </c>
      <c r="P161" s="60">
        <f t="shared" si="41"/>
        <v>181.87584719805645</v>
      </c>
      <c r="Q161" s="60">
        <f t="shared" si="41"/>
        <v>181.87584719805645</v>
      </c>
    </row>
    <row r="162" spans="2:17">
      <c r="B162" s="10" t="s">
        <v>6</v>
      </c>
      <c r="C162" s="12"/>
      <c r="D162" s="12"/>
      <c r="E162" s="11"/>
      <c r="F162" s="12"/>
      <c r="G162" s="12"/>
      <c r="H162" s="12"/>
      <c r="I162" s="13">
        <f t="shared" si="40"/>
        <v>0</v>
      </c>
      <c r="K162" s="10" t="s">
        <v>6</v>
      </c>
      <c r="L162" s="60">
        <f t="shared" si="42"/>
        <v>0</v>
      </c>
      <c r="M162" s="60">
        <f t="shared" si="41"/>
        <v>0</v>
      </c>
      <c r="N162" s="171">
        <f t="shared" si="41"/>
        <v>0</v>
      </c>
      <c r="O162" s="60">
        <f t="shared" si="41"/>
        <v>0</v>
      </c>
      <c r="P162" s="60">
        <f t="shared" si="41"/>
        <v>0</v>
      </c>
      <c r="Q162" s="60">
        <f t="shared" si="41"/>
        <v>0</v>
      </c>
    </row>
    <row r="163" spans="2:17">
      <c r="B163" s="10" t="s">
        <v>7</v>
      </c>
      <c r="C163" s="12"/>
      <c r="D163" s="12"/>
      <c r="E163" s="12"/>
      <c r="F163" s="11"/>
      <c r="G163" s="12"/>
      <c r="H163" s="12"/>
      <c r="I163" s="13">
        <f t="shared" si="40"/>
        <v>0</v>
      </c>
      <c r="K163" s="10" t="s">
        <v>7</v>
      </c>
      <c r="L163" s="60">
        <f t="shared" si="42"/>
        <v>0</v>
      </c>
      <c r="M163" s="60">
        <f t="shared" si="41"/>
        <v>0</v>
      </c>
      <c r="N163" s="60">
        <f t="shared" si="41"/>
        <v>0</v>
      </c>
      <c r="O163" s="171">
        <f t="shared" si="41"/>
        <v>0</v>
      </c>
      <c r="P163" s="60">
        <f t="shared" si="41"/>
        <v>0</v>
      </c>
      <c r="Q163" s="60">
        <f t="shared" si="41"/>
        <v>0</v>
      </c>
    </row>
    <row r="164" spans="2:17">
      <c r="B164" s="10" t="s">
        <v>8</v>
      </c>
      <c r="C164" s="12"/>
      <c r="D164" s="12"/>
      <c r="E164" s="12"/>
      <c r="F164" s="12"/>
      <c r="G164" s="11"/>
      <c r="H164" s="12"/>
      <c r="I164" s="13">
        <f t="shared" si="40"/>
        <v>0</v>
      </c>
      <c r="K164" s="10" t="s">
        <v>8</v>
      </c>
      <c r="L164" s="60">
        <f t="shared" si="42"/>
        <v>0</v>
      </c>
      <c r="M164" s="60">
        <f t="shared" si="41"/>
        <v>0</v>
      </c>
      <c r="N164" s="60">
        <f t="shared" si="41"/>
        <v>0</v>
      </c>
      <c r="O164" s="60">
        <f t="shared" si="41"/>
        <v>0</v>
      </c>
      <c r="P164" s="171">
        <f t="shared" si="41"/>
        <v>0</v>
      </c>
      <c r="Q164" s="60">
        <f t="shared" si="41"/>
        <v>0</v>
      </c>
    </row>
    <row r="165" spans="2:17">
      <c r="B165" s="10" t="s">
        <v>9</v>
      </c>
      <c r="C165" s="12"/>
      <c r="D165" s="12"/>
      <c r="E165" s="12"/>
      <c r="F165" s="12"/>
      <c r="G165" s="12"/>
      <c r="H165" s="11"/>
      <c r="I165" s="13">
        <f t="shared" si="40"/>
        <v>0</v>
      </c>
      <c r="K165" s="10" t="s">
        <v>9</v>
      </c>
      <c r="L165" s="60">
        <f t="shared" si="42"/>
        <v>0</v>
      </c>
      <c r="M165" s="60">
        <f t="shared" si="41"/>
        <v>0</v>
      </c>
      <c r="N165" s="60">
        <f t="shared" si="41"/>
        <v>0</v>
      </c>
      <c r="O165" s="60">
        <f t="shared" si="41"/>
        <v>0</v>
      </c>
      <c r="P165" s="60">
        <f t="shared" si="41"/>
        <v>0</v>
      </c>
      <c r="Q165" s="171">
        <f t="shared" si="41"/>
        <v>0</v>
      </c>
    </row>
    <row r="166" spans="2:17">
      <c r="B166" s="16" t="s">
        <v>48</v>
      </c>
      <c r="C166" s="13">
        <f t="shared" ref="C166:I166" si="43">SUM(C160:C165)</f>
        <v>0</v>
      </c>
      <c r="D166" s="13">
        <f t="shared" si="43"/>
        <v>0</v>
      </c>
      <c r="E166" s="13">
        <f t="shared" si="43"/>
        <v>156</v>
      </c>
      <c r="F166" s="13">
        <f t="shared" si="43"/>
        <v>0</v>
      </c>
      <c r="G166" s="13">
        <f t="shared" si="43"/>
        <v>246</v>
      </c>
      <c r="H166" s="13">
        <f t="shared" si="43"/>
        <v>784</v>
      </c>
      <c r="I166" s="13">
        <f t="shared" si="43"/>
        <v>1186</v>
      </c>
    </row>
    <row r="170" spans="2:17">
      <c r="B170" s="98" t="s">
        <v>303</v>
      </c>
      <c r="C170" s="179" t="s">
        <v>6</v>
      </c>
      <c r="D170" s="179" t="s">
        <v>9</v>
      </c>
    </row>
    <row r="171" spans="2:17">
      <c r="B171" s="98" t="s">
        <v>307</v>
      </c>
      <c r="C171" s="98" t="s">
        <v>513</v>
      </c>
      <c r="D171" s="98" t="s">
        <v>513</v>
      </c>
      <c r="E171" s="98" t="s">
        <v>235</v>
      </c>
      <c r="F171" s="178" t="s">
        <v>309</v>
      </c>
    </row>
    <row r="172" spans="2:17" ht="18">
      <c r="B172" s="199" t="s">
        <v>356</v>
      </c>
      <c r="C172" s="12">
        <f>E14*$C$19</f>
        <v>594433.42394144868</v>
      </c>
      <c r="D172" s="12">
        <f>F14*$C$19</f>
        <v>19149.199269337503</v>
      </c>
      <c r="E172" s="12">
        <f>$C$22</f>
        <v>1</v>
      </c>
      <c r="F172" s="12">
        <f>(C172+D172)*E172</f>
        <v>613582.62321078614</v>
      </c>
    </row>
    <row r="173" spans="2:17" ht="18">
      <c r="B173" s="199" t="s">
        <v>354</v>
      </c>
      <c r="C173" s="39">
        <f>E14*$D$19</f>
        <v>0</v>
      </c>
      <c r="D173" s="39">
        <f>F14*$D$19</f>
        <v>0</v>
      </c>
      <c r="E173" s="18">
        <f>$C$23</f>
        <v>28</v>
      </c>
      <c r="F173" s="12">
        <f t="shared" ref="F173:F174" si="44">(C173+D173)*E173</f>
        <v>0</v>
      </c>
    </row>
    <row r="174" spans="2:17" ht="18">
      <c r="B174" s="199" t="s">
        <v>355</v>
      </c>
      <c r="C174" s="194">
        <f>E14*$E$19</f>
        <v>0</v>
      </c>
      <c r="D174" s="194">
        <f>F14*$E$19</f>
        <v>0</v>
      </c>
      <c r="E174" s="18">
        <f>$C$24</f>
        <v>265</v>
      </c>
      <c r="F174" s="12">
        <f t="shared" si="44"/>
        <v>0</v>
      </c>
    </row>
    <row r="175" spans="2:17" ht="15.6" customHeight="1">
      <c r="B175" s="278" t="s">
        <v>10</v>
      </c>
      <c r="C175" s="278"/>
      <c r="D175" s="278"/>
      <c r="E175" s="278"/>
      <c r="F175" s="200">
        <f>SUM(F172:F174)</f>
        <v>613582.62321078614</v>
      </c>
    </row>
    <row r="176" spans="2:17" ht="15.6" customHeight="1"/>
    <row r="177" spans="2:17">
      <c r="B177" s="98" t="s">
        <v>303</v>
      </c>
      <c r="C177" s="179" t="str">
        <f>C170</f>
        <v>BRSUA</v>
      </c>
      <c r="D177" s="179" t="str">
        <f>D170</f>
        <v>BRSSZ</v>
      </c>
      <c r="K177" s="98" t="s">
        <v>303</v>
      </c>
      <c r="L177" s="179" t="str">
        <f>C177</f>
        <v>BRSUA</v>
      </c>
      <c r="M177" s="179" t="str">
        <f>D177</f>
        <v>BRSSZ</v>
      </c>
    </row>
    <row r="178" spans="2:17" ht="15.6" customHeight="1">
      <c r="B178" s="5" t="s">
        <v>365</v>
      </c>
      <c r="C178" s="4" t="s">
        <v>4</v>
      </c>
      <c r="D178" s="4" t="s">
        <v>5</v>
      </c>
      <c r="E178" s="4" t="s">
        <v>6</v>
      </c>
      <c r="F178" s="4" t="s">
        <v>7</v>
      </c>
      <c r="G178" s="4" t="s">
        <v>8</v>
      </c>
      <c r="H178" s="4" t="s">
        <v>9</v>
      </c>
      <c r="I178" s="5" t="s">
        <v>47</v>
      </c>
      <c r="K178" s="5" t="s">
        <v>308</v>
      </c>
      <c r="L178" s="4" t="s">
        <v>4</v>
      </c>
      <c r="M178" s="4" t="s">
        <v>5</v>
      </c>
      <c r="N178" s="4" t="s">
        <v>6</v>
      </c>
      <c r="O178" s="4" t="s">
        <v>7</v>
      </c>
      <c r="P178" s="4" t="s">
        <v>8</v>
      </c>
      <c r="Q178" s="4" t="s">
        <v>9</v>
      </c>
    </row>
    <row r="179" spans="2:17">
      <c r="B179" s="10" t="s">
        <v>4</v>
      </c>
      <c r="C179" s="11"/>
      <c r="D179" s="12"/>
      <c r="E179" s="12"/>
      <c r="F179" s="12"/>
      <c r="G179" s="12">
        <f t="shared" ref="G179:H181" si="45">G28</f>
        <v>226</v>
      </c>
      <c r="H179" s="12">
        <f t="shared" si="45"/>
        <v>648</v>
      </c>
      <c r="I179" s="13">
        <f t="shared" ref="I179:I184" si="46">SUM(C179:H179)</f>
        <v>874</v>
      </c>
      <c r="K179" s="10" t="s">
        <v>4</v>
      </c>
      <c r="L179" s="171">
        <f>IF(C179=0,0,$F$175/$I$185)</f>
        <v>0</v>
      </c>
      <c r="M179" s="60">
        <f t="shared" ref="M179:Q184" si="47">IF(D179=0,0,$F$175/$I$185)</f>
        <v>0</v>
      </c>
      <c r="N179" s="60">
        <f t="shared" si="47"/>
        <v>0</v>
      </c>
      <c r="O179" s="60">
        <f t="shared" si="47"/>
        <v>0</v>
      </c>
      <c r="P179" s="60">
        <f t="shared" si="47"/>
        <v>548.82166655705385</v>
      </c>
      <c r="Q179" s="60">
        <f t="shared" si="47"/>
        <v>548.82166655705385</v>
      </c>
    </row>
    <row r="180" spans="2:17">
      <c r="B180" s="10" t="s">
        <v>5</v>
      </c>
      <c r="C180" s="12"/>
      <c r="D180" s="11"/>
      <c r="E180" s="12"/>
      <c r="F180" s="12"/>
      <c r="G180" s="12">
        <f t="shared" si="45"/>
        <v>20</v>
      </c>
      <c r="H180" s="12">
        <f t="shared" si="45"/>
        <v>136</v>
      </c>
      <c r="I180" s="13">
        <f t="shared" si="46"/>
        <v>156</v>
      </c>
      <c r="K180" s="10" t="s">
        <v>5</v>
      </c>
      <c r="L180" s="60">
        <f t="shared" ref="L180:L184" si="48">IF(C180=0,0,$F$175/$I$185)</f>
        <v>0</v>
      </c>
      <c r="M180" s="171">
        <f t="shared" si="47"/>
        <v>0</v>
      </c>
      <c r="N180" s="60">
        <f t="shared" si="47"/>
        <v>0</v>
      </c>
      <c r="O180" s="60">
        <f t="shared" si="47"/>
        <v>0</v>
      </c>
      <c r="P180" s="60">
        <f t="shared" si="47"/>
        <v>548.82166655705385</v>
      </c>
      <c r="Q180" s="60">
        <f t="shared" si="47"/>
        <v>548.82166655705385</v>
      </c>
    </row>
    <row r="181" spans="2:17">
      <c r="B181" s="10" t="s">
        <v>6</v>
      </c>
      <c r="C181" s="12"/>
      <c r="D181" s="12"/>
      <c r="E181" s="11"/>
      <c r="F181" s="12"/>
      <c r="G181" s="12">
        <f t="shared" si="45"/>
        <v>30</v>
      </c>
      <c r="H181" s="12">
        <f t="shared" si="45"/>
        <v>58</v>
      </c>
      <c r="I181" s="13">
        <f t="shared" si="46"/>
        <v>88</v>
      </c>
      <c r="K181" s="10" t="s">
        <v>6</v>
      </c>
      <c r="L181" s="60">
        <f t="shared" si="48"/>
        <v>0</v>
      </c>
      <c r="M181" s="60">
        <f t="shared" si="47"/>
        <v>0</v>
      </c>
      <c r="N181" s="171">
        <f t="shared" si="47"/>
        <v>0</v>
      </c>
      <c r="O181" s="60">
        <f t="shared" si="47"/>
        <v>0</v>
      </c>
      <c r="P181" s="60">
        <f t="shared" si="47"/>
        <v>548.82166655705385</v>
      </c>
      <c r="Q181" s="60">
        <f t="shared" si="47"/>
        <v>548.82166655705385</v>
      </c>
    </row>
    <row r="182" spans="2:17">
      <c r="B182" s="10" t="s">
        <v>7</v>
      </c>
      <c r="C182" s="12"/>
      <c r="D182" s="12"/>
      <c r="E182" s="12"/>
      <c r="F182" s="11"/>
      <c r="G182" s="12"/>
      <c r="H182" s="12"/>
      <c r="I182" s="13">
        <f t="shared" si="46"/>
        <v>0</v>
      </c>
      <c r="K182" s="10" t="s">
        <v>7</v>
      </c>
      <c r="L182" s="60">
        <f t="shared" si="48"/>
        <v>0</v>
      </c>
      <c r="M182" s="60">
        <f t="shared" si="47"/>
        <v>0</v>
      </c>
      <c r="N182" s="60">
        <f t="shared" si="47"/>
        <v>0</v>
      </c>
      <c r="O182" s="171">
        <f t="shared" si="47"/>
        <v>0</v>
      </c>
      <c r="P182" s="60">
        <f t="shared" si="47"/>
        <v>0</v>
      </c>
      <c r="Q182" s="60">
        <f t="shared" si="47"/>
        <v>0</v>
      </c>
    </row>
    <row r="183" spans="2:17">
      <c r="B183" s="10" t="s">
        <v>8</v>
      </c>
      <c r="C183" s="12"/>
      <c r="D183" s="12"/>
      <c r="E183" s="12"/>
      <c r="F183" s="12"/>
      <c r="G183" s="11"/>
      <c r="H183" s="12"/>
      <c r="I183" s="13">
        <f t="shared" si="46"/>
        <v>0</v>
      </c>
      <c r="K183" s="10" t="s">
        <v>8</v>
      </c>
      <c r="L183" s="60">
        <f t="shared" si="48"/>
        <v>0</v>
      </c>
      <c r="M183" s="60">
        <f t="shared" si="47"/>
        <v>0</v>
      </c>
      <c r="N183" s="60">
        <f t="shared" si="47"/>
        <v>0</v>
      </c>
      <c r="O183" s="60">
        <f t="shared" si="47"/>
        <v>0</v>
      </c>
      <c r="P183" s="171">
        <f t="shared" si="47"/>
        <v>0</v>
      </c>
      <c r="Q183" s="60">
        <f t="shared" si="47"/>
        <v>0</v>
      </c>
    </row>
    <row r="184" spans="2:17">
      <c r="B184" s="10" t="s">
        <v>9</v>
      </c>
      <c r="C184" s="12"/>
      <c r="D184" s="12"/>
      <c r="E184" s="12"/>
      <c r="F184" s="12"/>
      <c r="G184" s="12"/>
      <c r="H184" s="11"/>
      <c r="I184" s="13">
        <f t="shared" si="46"/>
        <v>0</v>
      </c>
      <c r="K184" s="10" t="s">
        <v>9</v>
      </c>
      <c r="L184" s="60">
        <f t="shared" si="48"/>
        <v>0</v>
      </c>
      <c r="M184" s="60">
        <f t="shared" si="47"/>
        <v>0</v>
      </c>
      <c r="N184" s="60">
        <f t="shared" si="47"/>
        <v>0</v>
      </c>
      <c r="O184" s="60">
        <f t="shared" si="47"/>
        <v>0</v>
      </c>
      <c r="P184" s="60">
        <f t="shared" si="47"/>
        <v>0</v>
      </c>
      <c r="Q184" s="171">
        <f t="shared" si="47"/>
        <v>0</v>
      </c>
    </row>
    <row r="185" spans="2:17">
      <c r="B185" s="16" t="s">
        <v>48</v>
      </c>
      <c r="C185" s="13">
        <f t="shared" ref="C185:I185" si="49">SUM(C179:C184)</f>
        <v>0</v>
      </c>
      <c r="D185" s="13">
        <f t="shared" si="49"/>
        <v>0</v>
      </c>
      <c r="E185" s="13">
        <f t="shared" si="49"/>
        <v>0</v>
      </c>
      <c r="F185" s="13">
        <f t="shared" si="49"/>
        <v>0</v>
      </c>
      <c r="G185" s="13">
        <f t="shared" si="49"/>
        <v>276</v>
      </c>
      <c r="H185" s="13">
        <f t="shared" si="49"/>
        <v>842</v>
      </c>
      <c r="I185" s="13">
        <f t="shared" si="49"/>
        <v>1118</v>
      </c>
    </row>
    <row r="188" spans="2:17" ht="18">
      <c r="K188" s="260" t="s">
        <v>472</v>
      </c>
      <c r="L188" s="260"/>
      <c r="M188" s="260"/>
      <c r="N188" s="260"/>
      <c r="O188" s="260"/>
      <c r="P188" s="260"/>
      <c r="Q188" s="260"/>
    </row>
    <row r="189" spans="2:17">
      <c r="K189" s="5" t="s">
        <v>473</v>
      </c>
      <c r="L189" s="4" t="s">
        <v>4</v>
      </c>
      <c r="M189" s="4" t="s">
        <v>5</v>
      </c>
      <c r="N189" s="4" t="s">
        <v>6</v>
      </c>
      <c r="O189" s="4" t="s">
        <v>7</v>
      </c>
      <c r="P189" s="4" t="s">
        <v>8</v>
      </c>
      <c r="Q189" s="4" t="s">
        <v>9</v>
      </c>
    </row>
    <row r="190" spans="2:17">
      <c r="K190" s="10" t="s">
        <v>4</v>
      </c>
      <c r="L190" s="171">
        <f>L46+L65+L84+L103+L122+L141+L160+L179</f>
        <v>0</v>
      </c>
      <c r="M190" s="60">
        <f t="shared" ref="M190:Q190" si="50">M46+M65+M84+M103+M122+M141+M160+M179</f>
        <v>547.57812227898</v>
      </c>
      <c r="N190" s="60">
        <f t="shared" si="50"/>
        <v>729.45396947703648</v>
      </c>
      <c r="O190" s="60">
        <f t="shared" si="50"/>
        <v>0</v>
      </c>
      <c r="P190" s="60">
        <f t="shared" si="50"/>
        <v>1342.882315119115</v>
      </c>
      <c r="Q190" s="60">
        <f t="shared" si="50"/>
        <v>1278.2756360340904</v>
      </c>
    </row>
    <row r="191" spans="2:17">
      <c r="K191" s="10" t="s">
        <v>5</v>
      </c>
      <c r="L191" s="60">
        <f t="shared" ref="L191:Q195" si="51">L47+L66+L85+L104+L123+L142+L161+L180</f>
        <v>790.14249073842655</v>
      </c>
      <c r="M191" s="171">
        <f t="shared" si="51"/>
        <v>0</v>
      </c>
      <c r="N191" s="60">
        <f t="shared" si="51"/>
        <v>0</v>
      </c>
      <c r="O191" s="60">
        <f t="shared" si="51"/>
        <v>0</v>
      </c>
      <c r="P191" s="60">
        <f t="shared" si="51"/>
        <v>795.30419284013499</v>
      </c>
      <c r="Q191" s="60">
        <f t="shared" si="51"/>
        <v>730.69751375511032</v>
      </c>
    </row>
    <row r="192" spans="2:17">
      <c r="K192" s="10" t="s">
        <v>6</v>
      </c>
      <c r="L192" s="60">
        <f t="shared" si="51"/>
        <v>992.92283270829319</v>
      </c>
      <c r="M192" s="60">
        <f t="shared" si="51"/>
        <v>0</v>
      </c>
      <c r="N192" s="171">
        <f t="shared" si="51"/>
        <v>0</v>
      </c>
      <c r="O192" s="60">
        <f t="shared" si="51"/>
        <v>0</v>
      </c>
      <c r="P192" s="60">
        <f t="shared" si="51"/>
        <v>613.42834564207851</v>
      </c>
      <c r="Q192" s="60">
        <f t="shared" si="51"/>
        <v>548.82166655705385</v>
      </c>
    </row>
    <row r="193" spans="2:17">
      <c r="K193" s="10" t="s">
        <v>7</v>
      </c>
      <c r="L193" s="60">
        <f t="shared" si="51"/>
        <v>1155.8678766936396</v>
      </c>
      <c r="M193" s="60">
        <f t="shared" si="51"/>
        <v>365.72538595521291</v>
      </c>
      <c r="N193" s="60">
        <f t="shared" si="51"/>
        <v>162.94504398534622</v>
      </c>
      <c r="O193" s="171">
        <f t="shared" si="51"/>
        <v>0</v>
      </c>
      <c r="P193" s="60">
        <f t="shared" si="51"/>
        <v>0</v>
      </c>
      <c r="Q193" s="60">
        <f t="shared" si="51"/>
        <v>0</v>
      </c>
    </row>
    <row r="194" spans="2:17">
      <c r="K194" s="10" t="s">
        <v>8</v>
      </c>
      <c r="L194" s="60">
        <f t="shared" si="51"/>
        <v>1481.5398756543309</v>
      </c>
      <c r="M194" s="60">
        <f t="shared" si="51"/>
        <v>691.39738491590447</v>
      </c>
      <c r="N194" s="60">
        <f t="shared" si="51"/>
        <v>488.61704294603783</v>
      </c>
      <c r="O194" s="60">
        <f t="shared" si="51"/>
        <v>325.67199896069161</v>
      </c>
      <c r="P194" s="171">
        <f t="shared" si="51"/>
        <v>0</v>
      </c>
      <c r="Q194" s="60">
        <f t="shared" si="51"/>
        <v>0</v>
      </c>
    </row>
    <row r="195" spans="2:17">
      <c r="K195" s="10" t="s">
        <v>9</v>
      </c>
      <c r="L195" s="60">
        <f t="shared" si="51"/>
        <v>1546.1465547393557</v>
      </c>
      <c r="M195" s="60">
        <f t="shared" si="51"/>
        <v>756.00406400092913</v>
      </c>
      <c r="N195" s="60">
        <f t="shared" si="51"/>
        <v>553.22372203106249</v>
      </c>
      <c r="O195" s="60">
        <f t="shared" si="51"/>
        <v>390.27867804571628</v>
      </c>
      <c r="P195" s="60">
        <f t="shared" si="51"/>
        <v>0</v>
      </c>
      <c r="Q195" s="171">
        <f t="shared" si="51"/>
        <v>0</v>
      </c>
    </row>
    <row r="198" spans="2:17" ht="18">
      <c r="B198" s="176" t="s">
        <v>256</v>
      </c>
      <c r="C198" s="12">
        <f>F42+F61+F80+F99+F118+F137+F156+F175</f>
        <v>3102127.4422921734</v>
      </c>
    </row>
  </sheetData>
  <mergeCells count="11">
    <mergeCell ref="B99:E99"/>
    <mergeCell ref="E5:F5"/>
    <mergeCell ref="C17:E17"/>
    <mergeCell ref="B42:E42"/>
    <mergeCell ref="B61:E61"/>
    <mergeCell ref="B80:E80"/>
    <mergeCell ref="B118:E118"/>
    <mergeCell ref="B137:E137"/>
    <mergeCell ref="B156:E156"/>
    <mergeCell ref="B175:E175"/>
    <mergeCell ref="K188:Q188"/>
  </mergeCells>
  <pageMargins left="0.511811024" right="0.511811024" top="0.78740157499999996" bottom="0.78740157499999996" header="0.31496062000000002" footer="0.31496062000000002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B6DF-A883-4FD7-B643-E797C28EAFAB}">
  <dimension ref="B2:Q203"/>
  <sheetViews>
    <sheetView showGridLines="0" topLeftCell="B182" zoomScale="85" zoomScaleNormal="85" workbookViewId="0">
      <selection activeCell="K189" sqref="K189:Q196"/>
    </sheetView>
  </sheetViews>
  <sheetFormatPr defaultRowHeight="15.6"/>
  <cols>
    <col min="1" max="1" width="8.83984375" style="169"/>
    <col min="2" max="2" width="25.9453125" style="169" customWidth="1"/>
    <col min="3" max="3" width="15.1015625" style="169" customWidth="1"/>
    <col min="4" max="4" width="21.3125" style="169" customWidth="1"/>
    <col min="5" max="5" width="14.578125" style="169" customWidth="1"/>
    <col min="6" max="6" width="13.20703125" style="169" customWidth="1"/>
    <col min="7" max="7" width="10.68359375" style="169" customWidth="1"/>
    <col min="8" max="8" width="12.3671875" style="169" customWidth="1"/>
    <col min="9" max="9" width="13.62890625" style="169" customWidth="1"/>
    <col min="10" max="10" width="2.578125" style="169" customWidth="1"/>
    <col min="11" max="11" width="23.734375" style="169" customWidth="1"/>
    <col min="12" max="12" width="13.05078125" style="169" customWidth="1"/>
    <col min="13" max="13" width="22.15625" style="169" customWidth="1"/>
    <col min="14" max="14" width="18.3125" style="169" bestFit="1" customWidth="1"/>
    <col min="15" max="15" width="15.20703125" style="169" customWidth="1"/>
    <col min="16" max="16" width="14.83984375" style="169" customWidth="1"/>
    <col min="17" max="17" width="14.3125" style="169" customWidth="1"/>
    <col min="18" max="18" width="13.734375" style="169" customWidth="1"/>
    <col min="19" max="19" width="12.3671875" style="169" customWidth="1"/>
    <col min="20" max="20" width="24.83984375" style="169" customWidth="1"/>
    <col min="21" max="24" width="8.83984375" style="169"/>
    <col min="25" max="25" width="16.47265625" style="169" customWidth="1"/>
    <col min="26" max="16384" width="8.83984375" style="169"/>
  </cols>
  <sheetData>
    <row r="2" spans="2:4">
      <c r="B2" s="191" t="s">
        <v>367</v>
      </c>
    </row>
    <row r="3" spans="2:4">
      <c r="B3" s="191" t="s">
        <v>366</v>
      </c>
    </row>
    <row r="5" spans="2:4">
      <c r="C5" s="98" t="s">
        <v>548</v>
      </c>
      <c r="D5" s="98" t="s">
        <v>276</v>
      </c>
    </row>
    <row r="6" spans="2:4">
      <c r="B6" s="98" t="s">
        <v>302</v>
      </c>
      <c r="C6" s="98" t="s">
        <v>549</v>
      </c>
      <c r="D6" s="98" t="s">
        <v>363</v>
      </c>
    </row>
    <row r="7" spans="2:4">
      <c r="B7" s="6" t="s">
        <v>9</v>
      </c>
      <c r="C7" s="78">
        <f>CabotageProforma_KAB01!Y21/24</f>
        <v>1.6351851851851853</v>
      </c>
      <c r="D7" s="78">
        <f>C7*CabotageProforma_KAB01!$J$7</f>
        <v>3.2703703703703706</v>
      </c>
    </row>
    <row r="8" spans="2:4">
      <c r="B8" s="6" t="s">
        <v>8</v>
      </c>
      <c r="C8" s="78">
        <f>CabotageProforma_KAB01!Y22/24</f>
        <v>0.96388888888888891</v>
      </c>
      <c r="D8" s="78">
        <f>C8*CabotageProforma_KAB01!$J$7</f>
        <v>1.9277777777777778</v>
      </c>
    </row>
    <row r="9" spans="2:4">
      <c r="B9" s="6" t="s">
        <v>7</v>
      </c>
      <c r="C9" s="78">
        <f>CabotageProforma_KAB01!Y23/24</f>
        <v>0.41388888888888892</v>
      </c>
      <c r="D9" s="78">
        <f>C9*CabotageProforma_KAB01!$J$7</f>
        <v>0.82777777777777783</v>
      </c>
    </row>
    <row r="10" spans="2:4">
      <c r="B10" s="6" t="s">
        <v>6</v>
      </c>
      <c r="C10" s="78">
        <f>CabotageProforma_KAB01!Y24/24</f>
        <v>1.9708333333333332</v>
      </c>
      <c r="D10" s="78">
        <f>C10*CabotageProforma_KAB01!$J$7</f>
        <v>3.9416666666666664</v>
      </c>
    </row>
    <row r="11" spans="2:4">
      <c r="B11" s="6" t="s">
        <v>23</v>
      </c>
      <c r="C11" s="78">
        <f>CabotageProforma_KAB01!Y25/24</f>
        <v>0.5180555555555556</v>
      </c>
      <c r="D11" s="78">
        <f>C11*CabotageProforma_KAB01!$J$7</f>
        <v>1.0361111111111112</v>
      </c>
    </row>
    <row r="12" spans="2:4">
      <c r="B12" s="6" t="s">
        <v>4</v>
      </c>
      <c r="C12" s="78">
        <f>CabotageProforma_KAB01!Y27/24</f>
        <v>2.9444444444444446</v>
      </c>
      <c r="D12" s="78">
        <f>C12*CabotageProforma_KAB01!$J$7</f>
        <v>5.8888888888888893</v>
      </c>
    </row>
    <row r="13" spans="2:4">
      <c r="B13" s="6" t="s">
        <v>24</v>
      </c>
      <c r="C13" s="78">
        <f>CabotageProforma_KAB01!Y29/24</f>
        <v>0.24861111111111112</v>
      </c>
      <c r="D13" s="78">
        <f>C13*CabotageProforma_KAB01!$J$7</f>
        <v>0.49722222222222223</v>
      </c>
    </row>
    <row r="14" spans="2:4">
      <c r="B14" s="6" t="s">
        <v>25</v>
      </c>
      <c r="C14" s="78">
        <f>CabotageProforma_KAB01!Y30/24</f>
        <v>0.625</v>
      </c>
      <c r="D14" s="78">
        <f>C14*CabotageProforma_KAB01!$J$7</f>
        <v>1.25</v>
      </c>
    </row>
    <row r="15" spans="2:4">
      <c r="D15" s="198"/>
    </row>
    <row r="16" spans="2:4">
      <c r="D16" s="198"/>
    </row>
    <row r="17" spans="2:9">
      <c r="C17" s="263" t="s">
        <v>234</v>
      </c>
      <c r="D17" s="264"/>
      <c r="E17" s="265"/>
    </row>
    <row r="18" spans="2:9" ht="18">
      <c r="B18" s="34" t="s">
        <v>221</v>
      </c>
      <c r="C18" s="180" t="s">
        <v>310</v>
      </c>
      <c r="D18" s="180" t="s">
        <v>311</v>
      </c>
      <c r="E18" s="180" t="s">
        <v>312</v>
      </c>
    </row>
    <row r="19" spans="2:9">
      <c r="B19" s="84" t="s">
        <v>306</v>
      </c>
      <c r="C19" s="113">
        <f>'Fatores Emissao'!C62</f>
        <v>3114</v>
      </c>
      <c r="D19" s="181">
        <f>'Fatores Emissao'!D62</f>
        <v>0.05</v>
      </c>
      <c r="E19" s="181">
        <f>'Fatores Emissao'!E62</f>
        <v>0.18</v>
      </c>
    </row>
    <row r="20" spans="2:9">
      <c r="B20" s="84" t="s">
        <v>215</v>
      </c>
      <c r="C20" s="113">
        <f>'Fatores Emissao'!C63</f>
        <v>3206</v>
      </c>
      <c r="D20" s="181">
        <f>'Fatores Emissao'!D63</f>
        <v>0.05</v>
      </c>
      <c r="E20" s="181">
        <f>'Fatores Emissao'!E63</f>
        <v>0.18</v>
      </c>
    </row>
    <row r="22" spans="2:9">
      <c r="B22" s="98" t="s">
        <v>236</v>
      </c>
      <c r="C22" s="98" t="s">
        <v>235</v>
      </c>
    </row>
    <row r="23" spans="2:9" ht="18">
      <c r="B23" s="18" t="s">
        <v>251</v>
      </c>
      <c r="C23" s="18">
        <v>1</v>
      </c>
    </row>
    <row r="24" spans="2:9" ht="18">
      <c r="B24" s="18" t="s">
        <v>252</v>
      </c>
      <c r="C24" s="18">
        <v>28</v>
      </c>
    </row>
    <row r="25" spans="2:9" ht="18">
      <c r="B25" s="18" t="s">
        <v>253</v>
      </c>
      <c r="C25" s="18">
        <v>265</v>
      </c>
    </row>
    <row r="26" spans="2:9">
      <c r="D26" s="198"/>
    </row>
    <row r="28" spans="2:9">
      <c r="B28" s="5" t="s">
        <v>188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5" t="s">
        <v>47</v>
      </c>
    </row>
    <row r="29" spans="2:9">
      <c r="B29" s="10" t="s">
        <v>4</v>
      </c>
      <c r="C29" s="11">
        <f>'Movimentacao de Conteineres'!K30</f>
        <v>0</v>
      </c>
      <c r="D29" s="12">
        <f>'Movimentacao de Conteineres'!L30</f>
        <v>175</v>
      </c>
      <c r="E29" s="12">
        <f>'Movimentacao de Conteineres'!M30</f>
        <v>156</v>
      </c>
      <c r="F29" s="12">
        <f>'Movimentacao de Conteineres'!N30</f>
        <v>0</v>
      </c>
      <c r="G29" s="12">
        <f>'Movimentacao de Conteineres'!O30</f>
        <v>226</v>
      </c>
      <c r="H29" s="12">
        <f>'Movimentacao de Conteineres'!P30</f>
        <v>648</v>
      </c>
      <c r="I29" s="13">
        <f t="shared" ref="I29:I34" si="0">SUM(C29:H29)</f>
        <v>1205</v>
      </c>
    </row>
    <row r="30" spans="2:9">
      <c r="B30" s="10" t="s">
        <v>5</v>
      </c>
      <c r="C30" s="12">
        <f>'Movimentacao de Conteineres'!K31</f>
        <v>260</v>
      </c>
      <c r="D30" s="11">
        <f>'Movimentacao de Conteineres'!L31</f>
        <v>0</v>
      </c>
      <c r="E30" s="12">
        <f>'Movimentacao de Conteineres'!M31</f>
        <v>0</v>
      </c>
      <c r="F30" s="12">
        <f>'Movimentacao de Conteineres'!N31</f>
        <v>0</v>
      </c>
      <c r="G30" s="12">
        <f>'Movimentacao de Conteineres'!O31</f>
        <v>20</v>
      </c>
      <c r="H30" s="12">
        <f>'Movimentacao de Conteineres'!P31</f>
        <v>136</v>
      </c>
      <c r="I30" s="13">
        <f t="shared" si="0"/>
        <v>416</v>
      </c>
    </row>
    <row r="31" spans="2:9">
      <c r="B31" s="10" t="s">
        <v>6</v>
      </c>
      <c r="C31" s="12">
        <f>'Movimentacao de Conteineres'!K32</f>
        <v>331</v>
      </c>
      <c r="D31" s="12">
        <f>'Movimentacao de Conteineres'!L32</f>
        <v>0</v>
      </c>
      <c r="E31" s="11">
        <f>'Movimentacao de Conteineres'!M32</f>
        <v>0</v>
      </c>
      <c r="F31" s="12">
        <f>'Movimentacao de Conteineres'!N32</f>
        <v>0</v>
      </c>
      <c r="G31" s="12">
        <f>'Movimentacao de Conteineres'!O32</f>
        <v>30</v>
      </c>
      <c r="H31" s="12">
        <f>'Movimentacao de Conteineres'!P32</f>
        <v>58</v>
      </c>
      <c r="I31" s="13">
        <f t="shared" si="0"/>
        <v>419</v>
      </c>
    </row>
    <row r="32" spans="2:9">
      <c r="B32" s="10" t="s">
        <v>7</v>
      </c>
      <c r="C32" s="12">
        <f>'Movimentacao de Conteineres'!K33</f>
        <v>86</v>
      </c>
      <c r="D32" s="12">
        <f>'Movimentacao de Conteineres'!L33</f>
        <v>9</v>
      </c>
      <c r="E32" s="12">
        <f>'Movimentacao de Conteineres'!M33</f>
        <v>1</v>
      </c>
      <c r="F32" s="11">
        <f>'Movimentacao de Conteineres'!N33</f>
        <v>0</v>
      </c>
      <c r="G32" s="12">
        <f>'Movimentacao de Conteineres'!O33</f>
        <v>0</v>
      </c>
      <c r="H32" s="12">
        <f>'Movimentacao de Conteineres'!P33</f>
        <v>0</v>
      </c>
      <c r="I32" s="13">
        <f t="shared" si="0"/>
        <v>96</v>
      </c>
    </row>
    <row r="33" spans="2:17">
      <c r="B33" s="10" t="s">
        <v>8</v>
      </c>
      <c r="C33" s="12">
        <f>'Movimentacao de Conteineres'!K34</f>
        <v>61</v>
      </c>
      <c r="D33" s="12">
        <f>'Movimentacao de Conteineres'!L34</f>
        <v>120</v>
      </c>
      <c r="E33" s="12">
        <f>'Movimentacao de Conteineres'!M34</f>
        <v>119</v>
      </c>
      <c r="F33" s="12">
        <f>'Movimentacao de Conteineres'!N34</f>
        <v>47</v>
      </c>
      <c r="G33" s="11">
        <f>'Movimentacao de Conteineres'!O34</f>
        <v>0</v>
      </c>
      <c r="H33" s="12">
        <f>'Movimentacao de Conteineres'!P34</f>
        <v>0</v>
      </c>
      <c r="I33" s="13">
        <f t="shared" si="0"/>
        <v>347</v>
      </c>
    </row>
    <row r="34" spans="2:17">
      <c r="B34" s="10" t="s">
        <v>9</v>
      </c>
      <c r="C34" s="12">
        <f>'Movimentacao de Conteineres'!K35</f>
        <v>229</v>
      </c>
      <c r="D34" s="12">
        <f>'Movimentacao de Conteineres'!L35</f>
        <v>221</v>
      </c>
      <c r="E34" s="12">
        <f>'Movimentacao de Conteineres'!M35</f>
        <v>272</v>
      </c>
      <c r="F34" s="12">
        <f>'Movimentacao de Conteineres'!N35</f>
        <v>102</v>
      </c>
      <c r="G34" s="12">
        <f>'Movimentacao de Conteineres'!O35</f>
        <v>0</v>
      </c>
      <c r="H34" s="11">
        <f>'Movimentacao de Conteineres'!P35</f>
        <v>0</v>
      </c>
      <c r="I34" s="13">
        <f t="shared" si="0"/>
        <v>824</v>
      </c>
    </row>
    <row r="35" spans="2:17">
      <c r="B35" s="16" t="s">
        <v>48</v>
      </c>
      <c r="C35" s="13">
        <f t="shared" ref="C35:I35" si="1">SUM(C29:C34)</f>
        <v>967</v>
      </c>
      <c r="D35" s="13">
        <f t="shared" si="1"/>
        <v>525</v>
      </c>
      <c r="E35" s="13">
        <f t="shared" si="1"/>
        <v>548</v>
      </c>
      <c r="F35" s="13">
        <f t="shared" si="1"/>
        <v>149</v>
      </c>
      <c r="G35" s="13">
        <f t="shared" si="1"/>
        <v>276</v>
      </c>
      <c r="H35" s="13">
        <f t="shared" si="1"/>
        <v>842</v>
      </c>
      <c r="I35" s="13">
        <f t="shared" si="1"/>
        <v>3307</v>
      </c>
    </row>
    <row r="38" spans="2:17">
      <c r="B38" s="98" t="s">
        <v>302</v>
      </c>
      <c r="C38" s="179" t="s">
        <v>9</v>
      </c>
    </row>
    <row r="39" spans="2:17">
      <c r="B39" s="98" t="s">
        <v>307</v>
      </c>
      <c r="C39" s="98" t="s">
        <v>306</v>
      </c>
      <c r="D39" s="98" t="s">
        <v>305</v>
      </c>
      <c r="E39" s="98" t="s">
        <v>235</v>
      </c>
      <c r="F39" s="178" t="s">
        <v>309</v>
      </c>
    </row>
    <row r="40" spans="2:17" ht="18">
      <c r="B40" s="199" t="s">
        <v>356</v>
      </c>
      <c r="C40" s="12"/>
      <c r="D40" s="12">
        <f>D7*$C$20</f>
        <v>10484.807407407408</v>
      </c>
      <c r="E40" s="12">
        <f>$C$23</f>
        <v>1</v>
      </c>
      <c r="F40" s="12">
        <f>(C40+D40)*E40</f>
        <v>10484.807407407408</v>
      </c>
    </row>
    <row r="41" spans="2:17" ht="18">
      <c r="B41" s="199" t="s">
        <v>354</v>
      </c>
      <c r="C41" s="39"/>
      <c r="D41" s="39">
        <f>D7*$D$20</f>
        <v>0.16351851851851854</v>
      </c>
      <c r="E41" s="18">
        <f>$C$24</f>
        <v>28</v>
      </c>
      <c r="F41" s="12">
        <f t="shared" ref="F41:F42" si="2">(C41+D41)*E41</f>
        <v>4.5785185185185187</v>
      </c>
    </row>
    <row r="42" spans="2:17" ht="18">
      <c r="B42" s="199" t="s">
        <v>355</v>
      </c>
      <c r="C42" s="194"/>
      <c r="D42" s="194">
        <f>D7*$E$20</f>
        <v>0.58866666666666667</v>
      </c>
      <c r="E42" s="18">
        <f>$C$25</f>
        <v>265</v>
      </c>
      <c r="F42" s="12">
        <f t="shared" si="2"/>
        <v>155.99666666666667</v>
      </c>
    </row>
    <row r="43" spans="2:17" ht="15.6" customHeight="1">
      <c r="B43" s="278" t="s">
        <v>10</v>
      </c>
      <c r="C43" s="278"/>
      <c r="D43" s="278"/>
      <c r="E43" s="278"/>
      <c r="F43" s="200">
        <f>SUM(F40:F42)</f>
        <v>10645.382592592592</v>
      </c>
    </row>
    <row r="44" spans="2:17" ht="15.6" customHeight="1"/>
    <row r="45" spans="2:17">
      <c r="B45" s="98" t="s">
        <v>302</v>
      </c>
      <c r="C45" s="179" t="str">
        <f>C38</f>
        <v>BRSSZ</v>
      </c>
      <c r="K45" s="98" t="s">
        <v>302</v>
      </c>
      <c r="L45" s="179" t="str">
        <f>C45</f>
        <v>BRSSZ</v>
      </c>
    </row>
    <row r="46" spans="2:17" ht="15.6" customHeight="1">
      <c r="B46" s="5" t="s">
        <v>365</v>
      </c>
      <c r="C46" s="4" t="s">
        <v>4</v>
      </c>
      <c r="D46" s="4" t="s">
        <v>5</v>
      </c>
      <c r="E46" s="4" t="s">
        <v>6</v>
      </c>
      <c r="F46" s="4" t="s">
        <v>7</v>
      </c>
      <c r="G46" s="4" t="s">
        <v>8</v>
      </c>
      <c r="H46" s="4" t="s">
        <v>9</v>
      </c>
      <c r="I46" s="5" t="s">
        <v>47</v>
      </c>
      <c r="K46" s="5" t="s">
        <v>308</v>
      </c>
      <c r="L46" s="4" t="s">
        <v>4</v>
      </c>
      <c r="M46" s="4" t="s">
        <v>5</v>
      </c>
      <c r="N46" s="4" t="s">
        <v>6</v>
      </c>
      <c r="O46" s="4" t="s">
        <v>7</v>
      </c>
      <c r="P46" s="4" t="s">
        <v>8</v>
      </c>
      <c r="Q46" s="4" t="s">
        <v>9</v>
      </c>
    </row>
    <row r="47" spans="2:17">
      <c r="B47" s="10" t="s">
        <v>4</v>
      </c>
      <c r="C47" s="11"/>
      <c r="D47" s="12"/>
      <c r="E47" s="12"/>
      <c r="F47" s="12"/>
      <c r="G47" s="12">
        <f t="shared" ref="G47:H47" si="3">G29</f>
        <v>226</v>
      </c>
      <c r="H47" s="12">
        <f t="shared" si="3"/>
        <v>648</v>
      </c>
      <c r="I47" s="13">
        <f t="shared" ref="I47:I52" si="4">SUM(C47:H47)</f>
        <v>874</v>
      </c>
      <c r="K47" s="10" t="s">
        <v>4</v>
      </c>
      <c r="L47" s="171">
        <f>IF(C47=0,0,$F$43/$I$53)</f>
        <v>0</v>
      </c>
      <c r="M47" s="60">
        <f t="shared" ref="M47:Q52" si="5">IF(D47=0,0,$F$43/$I$53)</f>
        <v>0</v>
      </c>
      <c r="N47" s="60">
        <f t="shared" si="5"/>
        <v>0</v>
      </c>
      <c r="O47" s="60">
        <f t="shared" si="5"/>
        <v>0</v>
      </c>
      <c r="P47" s="60">
        <f t="shared" si="5"/>
        <v>5.4816594194606552</v>
      </c>
      <c r="Q47" s="60">
        <f t="shared" si="5"/>
        <v>5.4816594194606552</v>
      </c>
    </row>
    <row r="48" spans="2:17">
      <c r="B48" s="10" t="s">
        <v>5</v>
      </c>
      <c r="C48" s="12"/>
      <c r="D48" s="11"/>
      <c r="E48" s="12"/>
      <c r="F48" s="12"/>
      <c r="G48" s="12">
        <f t="shared" ref="G48:H48" si="6">G30</f>
        <v>20</v>
      </c>
      <c r="H48" s="12">
        <f t="shared" si="6"/>
        <v>136</v>
      </c>
      <c r="I48" s="13">
        <f t="shared" si="4"/>
        <v>156</v>
      </c>
      <c r="K48" s="10" t="s">
        <v>5</v>
      </c>
      <c r="L48" s="60">
        <f t="shared" ref="L48:L51" si="7">IF(C48=0,0,$F$43/$I$53)</f>
        <v>0</v>
      </c>
      <c r="M48" s="171">
        <f t="shared" si="5"/>
        <v>0</v>
      </c>
      <c r="N48" s="60">
        <f t="shared" si="5"/>
        <v>0</v>
      </c>
      <c r="O48" s="60">
        <f t="shared" si="5"/>
        <v>0</v>
      </c>
      <c r="P48" s="60">
        <f t="shared" si="5"/>
        <v>5.4816594194606552</v>
      </c>
      <c r="Q48" s="60">
        <f t="shared" si="5"/>
        <v>5.4816594194606552</v>
      </c>
    </row>
    <row r="49" spans="2:17">
      <c r="B49" s="10" t="s">
        <v>6</v>
      </c>
      <c r="C49" s="12"/>
      <c r="D49" s="12"/>
      <c r="E49" s="11"/>
      <c r="F49" s="12"/>
      <c r="G49" s="12">
        <f t="shared" ref="G49:H49" si="8">G31</f>
        <v>30</v>
      </c>
      <c r="H49" s="12">
        <f t="shared" si="8"/>
        <v>58</v>
      </c>
      <c r="I49" s="13">
        <f t="shared" si="4"/>
        <v>88</v>
      </c>
      <c r="K49" s="10" t="s">
        <v>6</v>
      </c>
      <c r="L49" s="60">
        <f t="shared" si="7"/>
        <v>0</v>
      </c>
      <c r="M49" s="60">
        <f t="shared" si="5"/>
        <v>0</v>
      </c>
      <c r="N49" s="171">
        <f t="shared" si="5"/>
        <v>0</v>
      </c>
      <c r="O49" s="60">
        <f t="shared" si="5"/>
        <v>0</v>
      </c>
      <c r="P49" s="60">
        <f t="shared" si="5"/>
        <v>5.4816594194606552</v>
      </c>
      <c r="Q49" s="60">
        <f t="shared" si="5"/>
        <v>5.4816594194606552</v>
      </c>
    </row>
    <row r="50" spans="2:17">
      <c r="B50" s="10" t="s">
        <v>7</v>
      </c>
      <c r="C50" s="12"/>
      <c r="D50" s="12"/>
      <c r="E50" s="12"/>
      <c r="F50" s="11"/>
      <c r="G50" s="12">
        <f t="shared" ref="G50:H50" si="9">G32</f>
        <v>0</v>
      </c>
      <c r="H50" s="12">
        <f t="shared" si="9"/>
        <v>0</v>
      </c>
      <c r="I50" s="13">
        <f t="shared" si="4"/>
        <v>0</v>
      </c>
      <c r="K50" s="10" t="s">
        <v>7</v>
      </c>
      <c r="L50" s="60">
        <f t="shared" si="7"/>
        <v>0</v>
      </c>
      <c r="M50" s="60">
        <f t="shared" si="5"/>
        <v>0</v>
      </c>
      <c r="N50" s="60">
        <f t="shared" si="5"/>
        <v>0</v>
      </c>
      <c r="O50" s="171">
        <f t="shared" si="5"/>
        <v>0</v>
      </c>
      <c r="P50" s="60">
        <f t="shared" si="5"/>
        <v>0</v>
      </c>
      <c r="Q50" s="60">
        <f t="shared" si="5"/>
        <v>0</v>
      </c>
    </row>
    <row r="51" spans="2:17">
      <c r="B51" s="10" t="s">
        <v>8</v>
      </c>
      <c r="C51" s="12"/>
      <c r="D51" s="12"/>
      <c r="E51" s="12"/>
      <c r="F51" s="12"/>
      <c r="G51" s="11">
        <f t="shared" ref="G51:H51" si="10">G33</f>
        <v>0</v>
      </c>
      <c r="H51" s="12">
        <f t="shared" si="10"/>
        <v>0</v>
      </c>
      <c r="I51" s="13">
        <f t="shared" si="4"/>
        <v>0</v>
      </c>
      <c r="K51" s="10" t="s">
        <v>8</v>
      </c>
      <c r="L51" s="60">
        <f t="shared" si="7"/>
        <v>0</v>
      </c>
      <c r="M51" s="60">
        <f t="shared" si="5"/>
        <v>0</v>
      </c>
      <c r="N51" s="60">
        <f t="shared" si="5"/>
        <v>0</v>
      </c>
      <c r="O51" s="60">
        <f t="shared" si="5"/>
        <v>0</v>
      </c>
      <c r="P51" s="171">
        <f t="shared" si="5"/>
        <v>0</v>
      </c>
      <c r="Q51" s="60">
        <f t="shared" si="5"/>
        <v>0</v>
      </c>
    </row>
    <row r="52" spans="2:17">
      <c r="B52" s="10" t="s">
        <v>9</v>
      </c>
      <c r="C52" s="12">
        <f t="shared" ref="C52:H52" si="11">C34</f>
        <v>229</v>
      </c>
      <c r="D52" s="12">
        <f t="shared" si="11"/>
        <v>221</v>
      </c>
      <c r="E52" s="12">
        <f t="shared" si="11"/>
        <v>272</v>
      </c>
      <c r="F52" s="12">
        <f t="shared" si="11"/>
        <v>102</v>
      </c>
      <c r="G52" s="12">
        <f t="shared" si="11"/>
        <v>0</v>
      </c>
      <c r="H52" s="11">
        <f t="shared" si="11"/>
        <v>0</v>
      </c>
      <c r="I52" s="13">
        <f t="shared" si="4"/>
        <v>824</v>
      </c>
      <c r="K52" s="10" t="s">
        <v>9</v>
      </c>
      <c r="L52" s="60">
        <f>IF(C52=0,0,$F$43/$I$53)</f>
        <v>5.4816594194606552</v>
      </c>
      <c r="M52" s="60">
        <f t="shared" si="5"/>
        <v>5.4816594194606552</v>
      </c>
      <c r="N52" s="60">
        <f t="shared" si="5"/>
        <v>5.4816594194606552</v>
      </c>
      <c r="O52" s="60">
        <f t="shared" si="5"/>
        <v>5.4816594194606552</v>
      </c>
      <c r="P52" s="60">
        <f t="shared" si="5"/>
        <v>0</v>
      </c>
      <c r="Q52" s="171">
        <f t="shared" si="5"/>
        <v>0</v>
      </c>
    </row>
    <row r="53" spans="2:17">
      <c r="B53" s="16" t="s">
        <v>48</v>
      </c>
      <c r="C53" s="13">
        <f t="shared" ref="C53:I53" si="12">SUM(C47:C52)</f>
        <v>229</v>
      </c>
      <c r="D53" s="13">
        <f t="shared" si="12"/>
        <v>221</v>
      </c>
      <c r="E53" s="13">
        <f t="shared" si="12"/>
        <v>272</v>
      </c>
      <c r="F53" s="13">
        <f t="shared" si="12"/>
        <v>102</v>
      </c>
      <c r="G53" s="13">
        <f t="shared" si="12"/>
        <v>276</v>
      </c>
      <c r="H53" s="13">
        <f t="shared" si="12"/>
        <v>842</v>
      </c>
      <c r="I53" s="13">
        <f t="shared" si="12"/>
        <v>1942</v>
      </c>
    </row>
    <row r="57" spans="2:17">
      <c r="B57" s="98" t="s">
        <v>302</v>
      </c>
      <c r="C57" s="179" t="s">
        <v>8</v>
      </c>
    </row>
    <row r="58" spans="2:17">
      <c r="B58" s="98" t="s">
        <v>307</v>
      </c>
      <c r="C58" s="98" t="s">
        <v>306</v>
      </c>
      <c r="D58" s="98" t="s">
        <v>305</v>
      </c>
      <c r="E58" s="98" t="s">
        <v>235</v>
      </c>
      <c r="F58" s="178" t="s">
        <v>309</v>
      </c>
    </row>
    <row r="59" spans="2:17" ht="18">
      <c r="B59" s="199" t="s">
        <v>356</v>
      </c>
      <c r="C59" s="12"/>
      <c r="D59" s="12">
        <f>D8*$C$20</f>
        <v>6180.4555555555553</v>
      </c>
      <c r="E59" s="12">
        <f>$C$23</f>
        <v>1</v>
      </c>
      <c r="F59" s="12">
        <f>(C59+D59)*E59</f>
        <v>6180.4555555555553</v>
      </c>
    </row>
    <row r="60" spans="2:17" ht="18">
      <c r="B60" s="199" t="s">
        <v>354</v>
      </c>
      <c r="C60" s="39"/>
      <c r="D60" s="39">
        <f>D8*$D$20</f>
        <v>9.6388888888888899E-2</v>
      </c>
      <c r="E60" s="18">
        <f>$C$24</f>
        <v>28</v>
      </c>
      <c r="F60" s="12">
        <f t="shared" ref="F60:F61" si="13">(C60+D60)*E60</f>
        <v>2.6988888888888893</v>
      </c>
    </row>
    <row r="61" spans="2:17" ht="18">
      <c r="B61" s="199" t="s">
        <v>355</v>
      </c>
      <c r="C61" s="194"/>
      <c r="D61" s="194">
        <f>D8*$E$20</f>
        <v>0.34699999999999998</v>
      </c>
      <c r="E61" s="18">
        <f>$C$25</f>
        <v>265</v>
      </c>
      <c r="F61" s="12">
        <f t="shared" si="13"/>
        <v>91.954999999999998</v>
      </c>
    </row>
    <row r="62" spans="2:17" ht="15.6" customHeight="1">
      <c r="B62" s="278" t="s">
        <v>10</v>
      </c>
      <c r="C62" s="278"/>
      <c r="D62" s="278"/>
      <c r="E62" s="278"/>
      <c r="F62" s="200">
        <f>SUM(F59:F61)</f>
        <v>6275.1094444444443</v>
      </c>
    </row>
    <row r="63" spans="2:17" ht="15.6" customHeight="1"/>
    <row r="64" spans="2:17">
      <c r="B64" s="98" t="s">
        <v>302</v>
      </c>
      <c r="C64" s="179" t="str">
        <f>C57</f>
        <v>BRIGI</v>
      </c>
      <c r="K64" s="98" t="s">
        <v>302</v>
      </c>
      <c r="L64" s="179" t="str">
        <f>C64</f>
        <v>BRIGI</v>
      </c>
    </row>
    <row r="65" spans="2:17" ht="15.6" customHeight="1">
      <c r="B65" s="5" t="s">
        <v>365</v>
      </c>
      <c r="C65" s="4" t="s">
        <v>4</v>
      </c>
      <c r="D65" s="4" t="s">
        <v>5</v>
      </c>
      <c r="E65" s="4" t="s">
        <v>6</v>
      </c>
      <c r="F65" s="4" t="s">
        <v>7</v>
      </c>
      <c r="G65" s="4" t="s">
        <v>8</v>
      </c>
      <c r="H65" s="4" t="s">
        <v>9</v>
      </c>
      <c r="I65" s="5" t="s">
        <v>47</v>
      </c>
      <c r="K65" s="5" t="s">
        <v>308</v>
      </c>
      <c r="L65" s="4" t="s">
        <v>4</v>
      </c>
      <c r="M65" s="4" t="s">
        <v>5</v>
      </c>
      <c r="N65" s="4" t="s">
        <v>6</v>
      </c>
      <c r="O65" s="4" t="s">
        <v>7</v>
      </c>
      <c r="P65" s="4" t="s">
        <v>8</v>
      </c>
      <c r="Q65" s="4" t="s">
        <v>9</v>
      </c>
    </row>
    <row r="66" spans="2:17">
      <c r="B66" s="10" t="s">
        <v>4</v>
      </c>
      <c r="C66" s="11"/>
      <c r="D66" s="12"/>
      <c r="E66" s="12"/>
      <c r="F66" s="12"/>
      <c r="G66" s="12">
        <f t="shared" ref="G66" si="14">G29</f>
        <v>226</v>
      </c>
      <c r="H66" s="12"/>
      <c r="I66" s="13">
        <f t="shared" ref="I66:I71" si="15">SUM(C66:H66)</f>
        <v>226</v>
      </c>
      <c r="K66" s="10" t="s">
        <v>4</v>
      </c>
      <c r="L66" s="171">
        <f>IF(C66=0,0,$F$62/$I$72)</f>
        <v>0</v>
      </c>
      <c r="M66" s="60">
        <f t="shared" ref="M66:M71" si="16">IF(D66=0,0,$F$62/$I$72)</f>
        <v>0</v>
      </c>
      <c r="N66" s="60">
        <f t="shared" ref="N66:N71" si="17">IF(E66=0,0,$F$62/$I$72)</f>
        <v>0</v>
      </c>
      <c r="O66" s="60">
        <f t="shared" ref="O66:Q71" si="18">IF(F66=0,0,$F$62/$I$72)</f>
        <v>0</v>
      </c>
      <c r="P66" s="60">
        <f t="shared" si="18"/>
        <v>4.3366340320970593</v>
      </c>
      <c r="Q66" s="60">
        <f t="shared" si="18"/>
        <v>0</v>
      </c>
    </row>
    <row r="67" spans="2:17">
      <c r="B67" s="10" t="s">
        <v>5</v>
      </c>
      <c r="C67" s="12"/>
      <c r="D67" s="11"/>
      <c r="E67" s="12"/>
      <c r="F67" s="12"/>
      <c r="G67" s="12">
        <f t="shared" ref="G67" si="19">G30</f>
        <v>20</v>
      </c>
      <c r="H67" s="12"/>
      <c r="I67" s="13">
        <f t="shared" si="15"/>
        <v>20</v>
      </c>
      <c r="K67" s="10" t="s">
        <v>5</v>
      </c>
      <c r="L67" s="60">
        <f t="shared" ref="L67:L71" si="20">IF(C67=0,0,$F$62/$I$72)</f>
        <v>0</v>
      </c>
      <c r="M67" s="171">
        <f t="shared" si="16"/>
        <v>0</v>
      </c>
      <c r="N67" s="60">
        <f t="shared" si="17"/>
        <v>0</v>
      </c>
      <c r="O67" s="60">
        <f t="shared" si="18"/>
        <v>0</v>
      </c>
      <c r="P67" s="60">
        <f t="shared" si="18"/>
        <v>4.3366340320970593</v>
      </c>
      <c r="Q67" s="60">
        <f t="shared" si="18"/>
        <v>0</v>
      </c>
    </row>
    <row r="68" spans="2:17">
      <c r="B68" s="10" t="s">
        <v>6</v>
      </c>
      <c r="C68" s="12"/>
      <c r="D68" s="12"/>
      <c r="E68" s="11"/>
      <c r="F68" s="12"/>
      <c r="G68" s="12">
        <f t="shared" ref="G68" si="21">G31</f>
        <v>30</v>
      </c>
      <c r="H68" s="12"/>
      <c r="I68" s="13">
        <f t="shared" si="15"/>
        <v>30</v>
      </c>
      <c r="K68" s="10" t="s">
        <v>6</v>
      </c>
      <c r="L68" s="60">
        <f t="shared" si="20"/>
        <v>0</v>
      </c>
      <c r="M68" s="60">
        <f t="shared" si="16"/>
        <v>0</v>
      </c>
      <c r="N68" s="171">
        <f t="shared" si="17"/>
        <v>0</v>
      </c>
      <c r="O68" s="60">
        <f t="shared" si="18"/>
        <v>0</v>
      </c>
      <c r="P68" s="60">
        <f t="shared" si="18"/>
        <v>4.3366340320970593</v>
      </c>
      <c r="Q68" s="60">
        <f t="shared" si="18"/>
        <v>0</v>
      </c>
    </row>
    <row r="69" spans="2:17">
      <c r="B69" s="10" t="s">
        <v>7</v>
      </c>
      <c r="C69" s="12"/>
      <c r="D69" s="12"/>
      <c r="E69" s="12"/>
      <c r="F69" s="11"/>
      <c r="G69" s="12">
        <f t="shared" ref="G69" si="22">G32</f>
        <v>0</v>
      </c>
      <c r="H69" s="12"/>
      <c r="I69" s="13">
        <f t="shared" si="15"/>
        <v>0</v>
      </c>
      <c r="K69" s="10" t="s">
        <v>7</v>
      </c>
      <c r="L69" s="60">
        <f t="shared" si="20"/>
        <v>0</v>
      </c>
      <c r="M69" s="60">
        <f t="shared" si="16"/>
        <v>0</v>
      </c>
      <c r="N69" s="60">
        <f t="shared" si="17"/>
        <v>0</v>
      </c>
      <c r="O69" s="171">
        <f t="shared" si="18"/>
        <v>0</v>
      </c>
      <c r="P69" s="60">
        <f t="shared" si="18"/>
        <v>0</v>
      </c>
      <c r="Q69" s="60">
        <f t="shared" si="18"/>
        <v>0</v>
      </c>
    </row>
    <row r="70" spans="2:17">
      <c r="B70" s="10" t="s">
        <v>8</v>
      </c>
      <c r="C70" s="12">
        <f t="shared" ref="C70:G70" si="23">C33</f>
        <v>61</v>
      </c>
      <c r="D70" s="12">
        <f t="shared" si="23"/>
        <v>120</v>
      </c>
      <c r="E70" s="12">
        <f t="shared" si="23"/>
        <v>119</v>
      </c>
      <c r="F70" s="12">
        <f t="shared" si="23"/>
        <v>47</v>
      </c>
      <c r="G70" s="11">
        <f t="shared" si="23"/>
        <v>0</v>
      </c>
      <c r="H70" s="12"/>
      <c r="I70" s="13">
        <f t="shared" si="15"/>
        <v>347</v>
      </c>
      <c r="K70" s="10" t="s">
        <v>8</v>
      </c>
      <c r="L70" s="60">
        <f t="shared" si="20"/>
        <v>4.3366340320970593</v>
      </c>
      <c r="M70" s="60">
        <f t="shared" si="16"/>
        <v>4.3366340320970593</v>
      </c>
      <c r="N70" s="60">
        <f t="shared" si="17"/>
        <v>4.3366340320970593</v>
      </c>
      <c r="O70" s="60">
        <f t="shared" si="18"/>
        <v>4.3366340320970593</v>
      </c>
      <c r="P70" s="171">
        <f t="shared" si="18"/>
        <v>0</v>
      </c>
      <c r="Q70" s="60">
        <f t="shared" si="18"/>
        <v>0</v>
      </c>
    </row>
    <row r="71" spans="2:17">
      <c r="B71" s="10" t="s">
        <v>9</v>
      </c>
      <c r="C71" s="12">
        <f t="shared" ref="C71:G71" si="24">C34</f>
        <v>229</v>
      </c>
      <c r="D71" s="12">
        <f t="shared" si="24"/>
        <v>221</v>
      </c>
      <c r="E71" s="12">
        <f t="shared" si="24"/>
        <v>272</v>
      </c>
      <c r="F71" s="12">
        <f t="shared" si="24"/>
        <v>102</v>
      </c>
      <c r="G71" s="12">
        <f t="shared" si="24"/>
        <v>0</v>
      </c>
      <c r="H71" s="11"/>
      <c r="I71" s="13">
        <f t="shared" si="15"/>
        <v>824</v>
      </c>
      <c r="K71" s="10" t="s">
        <v>9</v>
      </c>
      <c r="L71" s="60">
        <f t="shared" si="20"/>
        <v>4.3366340320970593</v>
      </c>
      <c r="M71" s="60">
        <f t="shared" si="16"/>
        <v>4.3366340320970593</v>
      </c>
      <c r="N71" s="60">
        <f t="shared" si="17"/>
        <v>4.3366340320970593</v>
      </c>
      <c r="O71" s="60">
        <f t="shared" si="18"/>
        <v>4.3366340320970593</v>
      </c>
      <c r="P71" s="60">
        <f t="shared" si="18"/>
        <v>0</v>
      </c>
      <c r="Q71" s="171">
        <f t="shared" si="18"/>
        <v>0</v>
      </c>
    </row>
    <row r="72" spans="2:17">
      <c r="B72" s="16" t="s">
        <v>48</v>
      </c>
      <c r="C72" s="13">
        <f t="shared" ref="C72:I72" si="25">SUM(C66:C71)</f>
        <v>290</v>
      </c>
      <c r="D72" s="13">
        <f t="shared" si="25"/>
        <v>341</v>
      </c>
      <c r="E72" s="13">
        <f t="shared" si="25"/>
        <v>391</v>
      </c>
      <c r="F72" s="13">
        <f t="shared" si="25"/>
        <v>149</v>
      </c>
      <c r="G72" s="13">
        <f t="shared" si="25"/>
        <v>276</v>
      </c>
      <c r="H72" s="13">
        <f t="shared" si="25"/>
        <v>0</v>
      </c>
      <c r="I72" s="13">
        <f t="shared" si="25"/>
        <v>1447</v>
      </c>
    </row>
    <row r="76" spans="2:17">
      <c r="B76" s="98" t="s">
        <v>302</v>
      </c>
      <c r="C76" s="179" t="s">
        <v>7</v>
      </c>
    </row>
    <row r="77" spans="2:17">
      <c r="B77" s="98" t="s">
        <v>307</v>
      </c>
      <c r="C77" s="98" t="s">
        <v>306</v>
      </c>
      <c r="D77" s="98" t="s">
        <v>305</v>
      </c>
      <c r="E77" s="98" t="s">
        <v>235</v>
      </c>
      <c r="F77" s="178" t="s">
        <v>309</v>
      </c>
    </row>
    <row r="78" spans="2:17" ht="18">
      <c r="B78" s="199" t="s">
        <v>356</v>
      </c>
      <c r="C78" s="12"/>
      <c r="D78" s="12">
        <f>D9*$C$20</f>
        <v>2653.8555555555558</v>
      </c>
      <c r="E78" s="12">
        <f>$C$23</f>
        <v>1</v>
      </c>
      <c r="F78" s="12">
        <f>(C78+D78)*E78</f>
        <v>2653.8555555555558</v>
      </c>
    </row>
    <row r="79" spans="2:17" ht="18">
      <c r="B79" s="199" t="s">
        <v>354</v>
      </c>
      <c r="C79" s="39"/>
      <c r="D79" s="39">
        <f>D9*$D$20</f>
        <v>4.1388888888888892E-2</v>
      </c>
      <c r="E79" s="18">
        <f>$C$24</f>
        <v>28</v>
      </c>
      <c r="F79" s="12">
        <f t="shared" ref="F79:F80" si="26">(C79+D79)*E79</f>
        <v>1.1588888888888889</v>
      </c>
    </row>
    <row r="80" spans="2:17" ht="18">
      <c r="B80" s="199" t="s">
        <v>355</v>
      </c>
      <c r="C80" s="194"/>
      <c r="D80" s="194">
        <f>D9*$E$20</f>
        <v>0.14899999999999999</v>
      </c>
      <c r="E80" s="18">
        <f>$C$25</f>
        <v>265</v>
      </c>
      <c r="F80" s="12">
        <f t="shared" si="26"/>
        <v>39.484999999999999</v>
      </c>
    </row>
    <row r="81" spans="2:17" ht="15.6" customHeight="1">
      <c r="B81" s="278" t="s">
        <v>10</v>
      </c>
      <c r="C81" s="278"/>
      <c r="D81" s="278"/>
      <c r="E81" s="278"/>
      <c r="F81" s="200">
        <f>SUM(F78:F80)</f>
        <v>2694.4994444444446</v>
      </c>
    </row>
    <row r="82" spans="2:17" ht="15.6" customHeight="1"/>
    <row r="83" spans="2:17">
      <c r="B83" s="98" t="s">
        <v>302</v>
      </c>
      <c r="C83" s="179" t="str">
        <f>C76</f>
        <v>BRSSA</v>
      </c>
      <c r="K83" s="98" t="s">
        <v>302</v>
      </c>
      <c r="L83" s="179" t="str">
        <f>C83</f>
        <v>BRSSA</v>
      </c>
    </row>
    <row r="84" spans="2:17" ht="15.6" customHeight="1">
      <c r="B84" s="5" t="s">
        <v>365</v>
      </c>
      <c r="C84" s="4" t="s">
        <v>4</v>
      </c>
      <c r="D84" s="4" t="s">
        <v>5</v>
      </c>
      <c r="E84" s="4" t="s">
        <v>6</v>
      </c>
      <c r="F84" s="4" t="s">
        <v>7</v>
      </c>
      <c r="G84" s="4" t="s">
        <v>8</v>
      </c>
      <c r="H84" s="4" t="s">
        <v>9</v>
      </c>
      <c r="I84" s="5" t="s">
        <v>47</v>
      </c>
      <c r="K84" s="5" t="s">
        <v>308</v>
      </c>
      <c r="L84" s="4" t="s">
        <v>4</v>
      </c>
      <c r="M84" s="4" t="s">
        <v>5</v>
      </c>
      <c r="N84" s="4" t="s">
        <v>6</v>
      </c>
      <c r="O84" s="4" t="s">
        <v>7</v>
      </c>
      <c r="P84" s="4" t="s">
        <v>8</v>
      </c>
      <c r="Q84" s="4" t="s">
        <v>9</v>
      </c>
    </row>
    <row r="85" spans="2:17">
      <c r="B85" s="10" t="s">
        <v>4</v>
      </c>
      <c r="C85" s="11"/>
      <c r="D85" s="12"/>
      <c r="E85" s="12"/>
      <c r="F85" s="12"/>
      <c r="G85" s="12"/>
      <c r="H85" s="12"/>
      <c r="I85" s="13">
        <f t="shared" ref="I85:I90" si="27">SUM(C85:H85)</f>
        <v>0</v>
      </c>
      <c r="K85" s="10" t="s">
        <v>4</v>
      </c>
      <c r="L85" s="171">
        <f t="shared" ref="L85:Q90" si="28">IF(C85=0,0,$F$81/$I$91)</f>
        <v>0</v>
      </c>
      <c r="M85" s="60">
        <f t="shared" si="28"/>
        <v>0</v>
      </c>
      <c r="N85" s="60">
        <f t="shared" si="28"/>
        <v>0</v>
      </c>
      <c r="O85" s="60">
        <f t="shared" si="28"/>
        <v>0</v>
      </c>
      <c r="P85" s="60">
        <f t="shared" si="28"/>
        <v>0</v>
      </c>
      <c r="Q85" s="60">
        <f t="shared" si="28"/>
        <v>0</v>
      </c>
    </row>
    <row r="86" spans="2:17">
      <c r="B86" s="10" t="s">
        <v>5</v>
      </c>
      <c r="C86" s="12"/>
      <c r="D86" s="11"/>
      <c r="E86" s="12"/>
      <c r="F86" s="12"/>
      <c r="G86" s="12"/>
      <c r="H86" s="12"/>
      <c r="I86" s="13">
        <f t="shared" si="27"/>
        <v>0</v>
      </c>
      <c r="K86" s="10" t="s">
        <v>5</v>
      </c>
      <c r="L86" s="60">
        <f t="shared" si="28"/>
        <v>0</v>
      </c>
      <c r="M86" s="171">
        <f t="shared" si="28"/>
        <v>0</v>
      </c>
      <c r="N86" s="60">
        <f t="shared" si="28"/>
        <v>0</v>
      </c>
      <c r="O86" s="60">
        <f t="shared" si="28"/>
        <v>0</v>
      </c>
      <c r="P86" s="60">
        <f t="shared" si="28"/>
        <v>0</v>
      </c>
      <c r="Q86" s="60">
        <f t="shared" si="28"/>
        <v>0</v>
      </c>
    </row>
    <row r="87" spans="2:17">
      <c r="B87" s="10" t="s">
        <v>6</v>
      </c>
      <c r="C87" s="12"/>
      <c r="D87" s="12"/>
      <c r="E87" s="11"/>
      <c r="F87" s="12"/>
      <c r="G87" s="12"/>
      <c r="H87" s="12"/>
      <c r="I87" s="13">
        <f t="shared" si="27"/>
        <v>0</v>
      </c>
      <c r="K87" s="10" t="s">
        <v>6</v>
      </c>
      <c r="L87" s="60">
        <f t="shared" si="28"/>
        <v>0</v>
      </c>
      <c r="M87" s="60">
        <f t="shared" si="28"/>
        <v>0</v>
      </c>
      <c r="N87" s="171">
        <f t="shared" si="28"/>
        <v>0</v>
      </c>
      <c r="O87" s="60">
        <f t="shared" si="28"/>
        <v>0</v>
      </c>
      <c r="P87" s="60">
        <f t="shared" si="28"/>
        <v>0</v>
      </c>
      <c r="Q87" s="60">
        <f t="shared" si="28"/>
        <v>0</v>
      </c>
    </row>
    <row r="88" spans="2:17">
      <c r="B88" s="10" t="s">
        <v>7</v>
      </c>
      <c r="C88" s="12">
        <f t="shared" ref="C88:F88" si="29">C32</f>
        <v>86</v>
      </c>
      <c r="D88" s="12">
        <f t="shared" si="29"/>
        <v>9</v>
      </c>
      <c r="E88" s="12">
        <f t="shared" si="29"/>
        <v>1</v>
      </c>
      <c r="F88" s="11">
        <f t="shared" si="29"/>
        <v>0</v>
      </c>
      <c r="G88" s="12"/>
      <c r="H88" s="12"/>
      <c r="I88" s="13">
        <f t="shared" si="27"/>
        <v>96</v>
      </c>
      <c r="K88" s="10" t="s">
        <v>7</v>
      </c>
      <c r="L88" s="60">
        <f>IF(C88=0,0,$F$81/$I$91)</f>
        <v>2.1266767517320004</v>
      </c>
      <c r="M88" s="60">
        <f t="shared" si="28"/>
        <v>2.1266767517320004</v>
      </c>
      <c r="N88" s="60">
        <f t="shared" si="28"/>
        <v>2.1266767517320004</v>
      </c>
      <c r="O88" s="171">
        <f t="shared" si="28"/>
        <v>0</v>
      </c>
      <c r="P88" s="60">
        <f t="shared" si="28"/>
        <v>0</v>
      </c>
      <c r="Q88" s="60">
        <f t="shared" si="28"/>
        <v>0</v>
      </c>
    </row>
    <row r="89" spans="2:17">
      <c r="B89" s="10" t="s">
        <v>8</v>
      </c>
      <c r="C89" s="12">
        <f t="shared" ref="C89:F89" si="30">C33</f>
        <v>61</v>
      </c>
      <c r="D89" s="12">
        <f t="shared" si="30"/>
        <v>120</v>
      </c>
      <c r="E89" s="12">
        <f t="shared" si="30"/>
        <v>119</v>
      </c>
      <c r="F89" s="12">
        <f t="shared" si="30"/>
        <v>47</v>
      </c>
      <c r="G89" s="11"/>
      <c r="H89" s="12"/>
      <c r="I89" s="13">
        <f t="shared" si="27"/>
        <v>347</v>
      </c>
      <c r="K89" s="10" t="s">
        <v>8</v>
      </c>
      <c r="L89" s="60">
        <f t="shared" ref="L89:L90" si="31">IF(C89=0,0,$F$81/$I$91)</f>
        <v>2.1266767517320004</v>
      </c>
      <c r="M89" s="60">
        <f t="shared" si="28"/>
        <v>2.1266767517320004</v>
      </c>
      <c r="N89" s="60">
        <f t="shared" si="28"/>
        <v>2.1266767517320004</v>
      </c>
      <c r="O89" s="60">
        <f t="shared" si="28"/>
        <v>2.1266767517320004</v>
      </c>
      <c r="P89" s="171">
        <f t="shared" si="28"/>
        <v>0</v>
      </c>
      <c r="Q89" s="60">
        <f t="shared" si="28"/>
        <v>0</v>
      </c>
    </row>
    <row r="90" spans="2:17">
      <c r="B90" s="10" t="s">
        <v>9</v>
      </c>
      <c r="C90" s="12">
        <f t="shared" ref="C90:F90" si="32">C34</f>
        <v>229</v>
      </c>
      <c r="D90" s="12">
        <f t="shared" si="32"/>
        <v>221</v>
      </c>
      <c r="E90" s="12">
        <f t="shared" si="32"/>
        <v>272</v>
      </c>
      <c r="F90" s="12">
        <f t="shared" si="32"/>
        <v>102</v>
      </c>
      <c r="G90" s="12"/>
      <c r="H90" s="11"/>
      <c r="I90" s="13">
        <f t="shared" si="27"/>
        <v>824</v>
      </c>
      <c r="K90" s="10" t="s">
        <v>9</v>
      </c>
      <c r="L90" s="60">
        <f t="shared" si="31"/>
        <v>2.1266767517320004</v>
      </c>
      <c r="M90" s="60">
        <f t="shared" si="28"/>
        <v>2.1266767517320004</v>
      </c>
      <c r="N90" s="60">
        <f t="shared" si="28"/>
        <v>2.1266767517320004</v>
      </c>
      <c r="O90" s="60">
        <f t="shared" si="28"/>
        <v>2.1266767517320004</v>
      </c>
      <c r="P90" s="60">
        <f t="shared" si="28"/>
        <v>0</v>
      </c>
      <c r="Q90" s="171">
        <f t="shared" si="28"/>
        <v>0</v>
      </c>
    </row>
    <row r="91" spans="2:17">
      <c r="B91" s="16" t="s">
        <v>48</v>
      </c>
      <c r="C91" s="13">
        <f t="shared" ref="C91:I91" si="33">SUM(C85:C90)</f>
        <v>376</v>
      </c>
      <c r="D91" s="13">
        <f t="shared" si="33"/>
        <v>350</v>
      </c>
      <c r="E91" s="13">
        <f t="shared" si="33"/>
        <v>392</v>
      </c>
      <c r="F91" s="13">
        <f t="shared" si="33"/>
        <v>149</v>
      </c>
      <c r="G91" s="13">
        <f t="shared" si="33"/>
        <v>0</v>
      </c>
      <c r="H91" s="13">
        <f t="shared" si="33"/>
        <v>0</v>
      </c>
      <c r="I91" s="13">
        <f t="shared" si="33"/>
        <v>1267</v>
      </c>
    </row>
    <row r="95" spans="2:17">
      <c r="B95" s="98" t="s">
        <v>302</v>
      </c>
      <c r="C95" s="179" t="s">
        <v>6</v>
      </c>
    </row>
    <row r="96" spans="2:17">
      <c r="B96" s="98" t="s">
        <v>307</v>
      </c>
      <c r="C96" s="98" t="s">
        <v>306</v>
      </c>
      <c r="D96" s="98" t="s">
        <v>305</v>
      </c>
      <c r="E96" s="98" t="s">
        <v>235</v>
      </c>
      <c r="F96" s="178" t="s">
        <v>309</v>
      </c>
    </row>
    <row r="97" spans="2:17" ht="18">
      <c r="B97" s="199" t="s">
        <v>356</v>
      </c>
      <c r="C97" s="12"/>
      <c r="D97" s="12">
        <f>D10*$C$20</f>
        <v>12636.983333333332</v>
      </c>
      <c r="E97" s="12">
        <f>$C$23</f>
        <v>1</v>
      </c>
      <c r="F97" s="12">
        <f>(C97+D97)*E97</f>
        <v>12636.983333333332</v>
      </c>
    </row>
    <row r="98" spans="2:17" ht="18">
      <c r="B98" s="199" t="s">
        <v>354</v>
      </c>
      <c r="C98" s="39"/>
      <c r="D98" s="39">
        <f>D10*$D$20</f>
        <v>0.19708333333333333</v>
      </c>
      <c r="E98" s="18">
        <f>$C$24</f>
        <v>28</v>
      </c>
      <c r="F98" s="12">
        <f t="shared" ref="F98:F99" si="34">(C98+D98)*E98</f>
        <v>5.5183333333333335</v>
      </c>
    </row>
    <row r="99" spans="2:17" ht="18">
      <c r="B99" s="199" t="s">
        <v>355</v>
      </c>
      <c r="C99" s="194"/>
      <c r="D99" s="194">
        <f>D10*$E$20</f>
        <v>0.70949999999999991</v>
      </c>
      <c r="E99" s="18">
        <f>$C$25</f>
        <v>265</v>
      </c>
      <c r="F99" s="12">
        <f t="shared" si="34"/>
        <v>188.01749999999998</v>
      </c>
    </row>
    <row r="100" spans="2:17" ht="15.6" customHeight="1">
      <c r="B100" s="278" t="s">
        <v>10</v>
      </c>
      <c r="C100" s="278"/>
      <c r="D100" s="278"/>
      <c r="E100" s="278"/>
      <c r="F100" s="200">
        <f>SUM(F97:F99)</f>
        <v>12830.519166666665</v>
      </c>
    </row>
    <row r="101" spans="2:17" ht="15.6" customHeight="1"/>
    <row r="102" spans="2:17">
      <c r="B102" s="98" t="s">
        <v>302</v>
      </c>
      <c r="C102" s="179" t="str">
        <f>C95</f>
        <v>BRSUA</v>
      </c>
      <c r="K102" s="98" t="s">
        <v>302</v>
      </c>
      <c r="L102" s="179" t="str">
        <f>C102</f>
        <v>BRSUA</v>
      </c>
    </row>
    <row r="103" spans="2:17" ht="15.6" customHeight="1">
      <c r="B103" s="5" t="s">
        <v>365</v>
      </c>
      <c r="C103" s="4" t="s">
        <v>4</v>
      </c>
      <c r="D103" s="4" t="s">
        <v>5</v>
      </c>
      <c r="E103" s="4" t="s">
        <v>6</v>
      </c>
      <c r="F103" s="4" t="s">
        <v>7</v>
      </c>
      <c r="G103" s="4" t="s">
        <v>8</v>
      </c>
      <c r="H103" s="4" t="s">
        <v>9</v>
      </c>
      <c r="I103" s="5" t="s">
        <v>47</v>
      </c>
      <c r="K103" s="5" t="s">
        <v>308</v>
      </c>
      <c r="L103" s="4" t="s">
        <v>4</v>
      </c>
      <c r="M103" s="4" t="s">
        <v>5</v>
      </c>
      <c r="N103" s="4" t="s">
        <v>6</v>
      </c>
      <c r="O103" s="4" t="s">
        <v>7</v>
      </c>
      <c r="P103" s="4" t="s">
        <v>8</v>
      </c>
      <c r="Q103" s="4" t="s">
        <v>9</v>
      </c>
    </row>
    <row r="104" spans="2:17">
      <c r="B104" s="10" t="s">
        <v>4</v>
      </c>
      <c r="C104" s="11"/>
      <c r="D104" s="12"/>
      <c r="E104" s="12"/>
      <c r="F104" s="12"/>
      <c r="G104" s="12"/>
      <c r="H104" s="12"/>
      <c r="I104" s="13">
        <f t="shared" ref="I104:I109" si="35">SUM(C104:H104)</f>
        <v>0</v>
      </c>
      <c r="K104" s="10" t="s">
        <v>4</v>
      </c>
      <c r="L104" s="171">
        <f t="shared" ref="L104:Q109" si="36">IF(C104=0,0,$F$100/$I$110)</f>
        <v>0</v>
      </c>
      <c r="M104" s="60">
        <f t="shared" si="36"/>
        <v>0</v>
      </c>
      <c r="N104" s="60">
        <f t="shared" si="36"/>
        <v>0</v>
      </c>
      <c r="O104" s="60">
        <f t="shared" si="36"/>
        <v>0</v>
      </c>
      <c r="P104" s="60">
        <f t="shared" si="36"/>
        <v>0</v>
      </c>
      <c r="Q104" s="60">
        <f t="shared" si="36"/>
        <v>0</v>
      </c>
    </row>
    <row r="105" spans="2:17">
      <c r="B105" s="10" t="s">
        <v>5</v>
      </c>
      <c r="C105" s="12"/>
      <c r="D105" s="11"/>
      <c r="E105" s="12"/>
      <c r="F105" s="12"/>
      <c r="G105" s="12"/>
      <c r="H105" s="12"/>
      <c r="I105" s="13">
        <f t="shared" si="35"/>
        <v>0</v>
      </c>
      <c r="K105" s="10" t="s">
        <v>5</v>
      </c>
      <c r="L105" s="60">
        <f t="shared" si="36"/>
        <v>0</v>
      </c>
      <c r="M105" s="171">
        <f t="shared" si="36"/>
        <v>0</v>
      </c>
      <c r="N105" s="60">
        <f t="shared" si="36"/>
        <v>0</v>
      </c>
      <c r="O105" s="60">
        <f t="shared" si="36"/>
        <v>0</v>
      </c>
      <c r="P105" s="60">
        <f t="shared" si="36"/>
        <v>0</v>
      </c>
      <c r="Q105" s="60">
        <f t="shared" si="36"/>
        <v>0</v>
      </c>
    </row>
    <row r="106" spans="2:17">
      <c r="B106" s="10" t="s">
        <v>6</v>
      </c>
      <c r="C106" s="12">
        <f t="shared" ref="C106:E106" si="37">C31</f>
        <v>331</v>
      </c>
      <c r="D106" s="12">
        <f t="shared" si="37"/>
        <v>0</v>
      </c>
      <c r="E106" s="11">
        <f t="shared" si="37"/>
        <v>0</v>
      </c>
      <c r="F106" s="12"/>
      <c r="G106" s="12"/>
      <c r="H106" s="12"/>
      <c r="I106" s="13">
        <f t="shared" si="35"/>
        <v>331</v>
      </c>
      <c r="K106" s="10" t="s">
        <v>6</v>
      </c>
      <c r="L106" s="60">
        <f t="shared" si="36"/>
        <v>8.8547406257188861</v>
      </c>
      <c r="M106" s="60">
        <f t="shared" si="36"/>
        <v>0</v>
      </c>
      <c r="N106" s="171">
        <f t="shared" si="36"/>
        <v>0</v>
      </c>
      <c r="O106" s="60">
        <f t="shared" si="36"/>
        <v>0</v>
      </c>
      <c r="P106" s="60">
        <f t="shared" si="36"/>
        <v>0</v>
      </c>
      <c r="Q106" s="60">
        <f t="shared" si="36"/>
        <v>0</v>
      </c>
    </row>
    <row r="107" spans="2:17">
      <c r="B107" s="10" t="s">
        <v>7</v>
      </c>
      <c r="C107" s="12">
        <f t="shared" ref="C107:E107" si="38">C32</f>
        <v>86</v>
      </c>
      <c r="D107" s="12">
        <f t="shared" si="38"/>
        <v>9</v>
      </c>
      <c r="E107" s="12">
        <f t="shared" si="38"/>
        <v>1</v>
      </c>
      <c r="F107" s="11"/>
      <c r="G107" s="12"/>
      <c r="H107" s="12"/>
      <c r="I107" s="13">
        <f t="shared" si="35"/>
        <v>96</v>
      </c>
      <c r="K107" s="10" t="s">
        <v>7</v>
      </c>
      <c r="L107" s="60">
        <f t="shared" si="36"/>
        <v>8.8547406257188861</v>
      </c>
      <c r="M107" s="60">
        <f t="shared" si="36"/>
        <v>8.8547406257188861</v>
      </c>
      <c r="N107" s="60">
        <f t="shared" si="36"/>
        <v>8.8547406257188861</v>
      </c>
      <c r="O107" s="171">
        <f t="shared" si="36"/>
        <v>0</v>
      </c>
      <c r="P107" s="60">
        <f t="shared" si="36"/>
        <v>0</v>
      </c>
      <c r="Q107" s="60">
        <f t="shared" si="36"/>
        <v>0</v>
      </c>
    </row>
    <row r="108" spans="2:17">
      <c r="B108" s="10" t="s">
        <v>8</v>
      </c>
      <c r="C108" s="12">
        <f t="shared" ref="C108:E108" si="39">C33</f>
        <v>61</v>
      </c>
      <c r="D108" s="12">
        <f t="shared" si="39"/>
        <v>120</v>
      </c>
      <c r="E108" s="12">
        <f t="shared" si="39"/>
        <v>119</v>
      </c>
      <c r="F108" s="12"/>
      <c r="G108" s="11"/>
      <c r="H108" s="12"/>
      <c r="I108" s="13">
        <f t="shared" si="35"/>
        <v>300</v>
      </c>
      <c r="K108" s="10" t="s">
        <v>8</v>
      </c>
      <c r="L108" s="60">
        <f t="shared" si="36"/>
        <v>8.8547406257188861</v>
      </c>
      <c r="M108" s="60">
        <f t="shared" si="36"/>
        <v>8.8547406257188861</v>
      </c>
      <c r="N108" s="60">
        <f t="shared" si="36"/>
        <v>8.8547406257188861</v>
      </c>
      <c r="O108" s="60">
        <f t="shared" si="36"/>
        <v>0</v>
      </c>
      <c r="P108" s="171">
        <f t="shared" si="36"/>
        <v>0</v>
      </c>
      <c r="Q108" s="60">
        <f t="shared" si="36"/>
        <v>0</v>
      </c>
    </row>
    <row r="109" spans="2:17">
      <c r="B109" s="10" t="s">
        <v>9</v>
      </c>
      <c r="C109" s="12">
        <f t="shared" ref="C109:E109" si="40">C34</f>
        <v>229</v>
      </c>
      <c r="D109" s="12">
        <f t="shared" si="40"/>
        <v>221</v>
      </c>
      <c r="E109" s="12">
        <f t="shared" si="40"/>
        <v>272</v>
      </c>
      <c r="F109" s="12"/>
      <c r="G109" s="12"/>
      <c r="H109" s="11"/>
      <c r="I109" s="13">
        <f t="shared" si="35"/>
        <v>722</v>
      </c>
      <c r="K109" s="10" t="s">
        <v>9</v>
      </c>
      <c r="L109" s="60">
        <f t="shared" si="36"/>
        <v>8.8547406257188861</v>
      </c>
      <c r="M109" s="60">
        <f t="shared" si="36"/>
        <v>8.8547406257188861</v>
      </c>
      <c r="N109" s="60">
        <f t="shared" si="36"/>
        <v>8.8547406257188861</v>
      </c>
      <c r="O109" s="60">
        <f t="shared" si="36"/>
        <v>0</v>
      </c>
      <c r="P109" s="60">
        <f t="shared" si="36"/>
        <v>0</v>
      </c>
      <c r="Q109" s="171">
        <f t="shared" si="36"/>
        <v>0</v>
      </c>
    </row>
    <row r="110" spans="2:17">
      <c r="B110" s="16" t="s">
        <v>48</v>
      </c>
      <c r="C110" s="13">
        <f t="shared" ref="C110:I110" si="41">SUM(C104:C109)</f>
        <v>707</v>
      </c>
      <c r="D110" s="13">
        <f t="shared" si="41"/>
        <v>350</v>
      </c>
      <c r="E110" s="13">
        <f t="shared" si="41"/>
        <v>392</v>
      </c>
      <c r="F110" s="13">
        <f t="shared" si="41"/>
        <v>0</v>
      </c>
      <c r="G110" s="13">
        <f t="shared" si="41"/>
        <v>0</v>
      </c>
      <c r="H110" s="13">
        <f t="shared" si="41"/>
        <v>0</v>
      </c>
      <c r="I110" s="13">
        <f t="shared" si="41"/>
        <v>1449</v>
      </c>
    </row>
    <row r="114" spans="2:17">
      <c r="B114" s="98" t="s">
        <v>302</v>
      </c>
      <c r="C114" s="179" t="s">
        <v>5</v>
      </c>
    </row>
    <row r="115" spans="2:17">
      <c r="B115" s="98" t="s">
        <v>307</v>
      </c>
      <c r="C115" s="98" t="s">
        <v>306</v>
      </c>
      <c r="D115" s="98" t="s">
        <v>305</v>
      </c>
      <c r="E115" s="98" t="s">
        <v>235</v>
      </c>
      <c r="F115" s="178" t="s">
        <v>309</v>
      </c>
    </row>
    <row r="116" spans="2:17" ht="18">
      <c r="B116" s="199" t="s">
        <v>356</v>
      </c>
      <c r="C116" s="12"/>
      <c r="D116" s="12">
        <f>D11*$C$20</f>
        <v>3321.7722222222224</v>
      </c>
      <c r="E116" s="12">
        <f>$C$23</f>
        <v>1</v>
      </c>
      <c r="F116" s="12">
        <f>(C116+D116)*E116</f>
        <v>3321.7722222222224</v>
      </c>
    </row>
    <row r="117" spans="2:17" ht="18">
      <c r="B117" s="199" t="s">
        <v>354</v>
      </c>
      <c r="C117" s="39"/>
      <c r="D117" s="39">
        <f>D11*$D$20</f>
        <v>5.1805555555555563E-2</v>
      </c>
      <c r="E117" s="18">
        <f>$C$24</f>
        <v>28</v>
      </c>
      <c r="F117" s="12">
        <f t="shared" ref="F117:F118" si="42">(C117+D117)*E117</f>
        <v>1.4505555555555558</v>
      </c>
    </row>
    <row r="118" spans="2:17" ht="18">
      <c r="B118" s="199" t="s">
        <v>355</v>
      </c>
      <c r="C118" s="194"/>
      <c r="D118" s="194">
        <f>D11*$E$20</f>
        <v>0.1865</v>
      </c>
      <c r="E118" s="18">
        <f>$C$25</f>
        <v>265</v>
      </c>
      <c r="F118" s="12">
        <f t="shared" si="42"/>
        <v>49.422499999999999</v>
      </c>
    </row>
    <row r="119" spans="2:17" ht="15.6" customHeight="1">
      <c r="B119" s="278" t="s">
        <v>10</v>
      </c>
      <c r="C119" s="278"/>
      <c r="D119" s="278"/>
      <c r="E119" s="278"/>
      <c r="F119" s="200">
        <f>SUM(F116:F118)</f>
        <v>3372.6452777777781</v>
      </c>
    </row>
    <row r="120" spans="2:17" ht="15.6" customHeight="1"/>
    <row r="121" spans="2:17">
      <c r="B121" s="98" t="s">
        <v>302</v>
      </c>
      <c r="C121" s="179" t="str">
        <f>C114</f>
        <v>BRPEC</v>
      </c>
      <c r="K121" s="98" t="s">
        <v>302</v>
      </c>
      <c r="L121" s="179" t="str">
        <f>C121</f>
        <v>BRPEC</v>
      </c>
    </row>
    <row r="122" spans="2:17" ht="15.6" customHeight="1">
      <c r="B122" s="5" t="s">
        <v>365</v>
      </c>
      <c r="C122" s="4" t="s">
        <v>4</v>
      </c>
      <c r="D122" s="4" t="s">
        <v>5</v>
      </c>
      <c r="E122" s="4" t="s">
        <v>6</v>
      </c>
      <c r="F122" s="4" t="s">
        <v>7</v>
      </c>
      <c r="G122" s="4" t="s">
        <v>8</v>
      </c>
      <c r="H122" s="4" t="s">
        <v>9</v>
      </c>
      <c r="I122" s="5" t="s">
        <v>47</v>
      </c>
      <c r="K122" s="5" t="s">
        <v>308</v>
      </c>
      <c r="L122" s="4" t="s">
        <v>4</v>
      </c>
      <c r="M122" s="4" t="s">
        <v>5</v>
      </c>
      <c r="N122" s="4" t="s">
        <v>6</v>
      </c>
      <c r="O122" s="4" t="s">
        <v>7</v>
      </c>
      <c r="P122" s="4" t="s">
        <v>8</v>
      </c>
      <c r="Q122" s="4" t="s">
        <v>9</v>
      </c>
    </row>
    <row r="123" spans="2:17">
      <c r="B123" s="10" t="s">
        <v>4</v>
      </c>
      <c r="C123" s="11">
        <f>C29</f>
        <v>0</v>
      </c>
      <c r="D123" s="12"/>
      <c r="E123" s="12"/>
      <c r="F123" s="12"/>
      <c r="G123" s="12"/>
      <c r="H123" s="12"/>
      <c r="I123" s="13">
        <f t="shared" ref="I123:I128" si="43">SUM(C123:H123)</f>
        <v>0</v>
      </c>
      <c r="K123" s="10" t="s">
        <v>4</v>
      </c>
      <c r="L123" s="171">
        <f>IF(C123=0,0,$F$119/$I$129)</f>
        <v>0</v>
      </c>
      <c r="M123" s="60">
        <f t="shared" ref="M123:Q128" si="44">IF(D123=0,0,$F$119/$I$129)</f>
        <v>0</v>
      </c>
      <c r="N123" s="60">
        <f t="shared" si="44"/>
        <v>0</v>
      </c>
      <c r="O123" s="60">
        <f t="shared" si="44"/>
        <v>0</v>
      </c>
      <c r="P123" s="60">
        <f t="shared" si="44"/>
        <v>0</v>
      </c>
      <c r="Q123" s="60">
        <f t="shared" si="44"/>
        <v>0</v>
      </c>
    </row>
    <row r="124" spans="2:17">
      <c r="B124" s="10" t="s">
        <v>5</v>
      </c>
      <c r="C124" s="12">
        <f t="shared" ref="C124" si="45">C30</f>
        <v>260</v>
      </c>
      <c r="D124" s="11"/>
      <c r="E124" s="12"/>
      <c r="F124" s="12"/>
      <c r="G124" s="12"/>
      <c r="H124" s="12"/>
      <c r="I124" s="13">
        <f t="shared" si="43"/>
        <v>260</v>
      </c>
      <c r="K124" s="10" t="s">
        <v>5</v>
      </c>
      <c r="L124" s="60">
        <f t="shared" ref="L124:L128" si="46">IF(C124=0,0,$F$119/$I$129)</f>
        <v>2.5608544250400747</v>
      </c>
      <c r="M124" s="171">
        <f t="shared" si="44"/>
        <v>0</v>
      </c>
      <c r="N124" s="60">
        <f t="shared" si="44"/>
        <v>0</v>
      </c>
      <c r="O124" s="60">
        <f t="shared" si="44"/>
        <v>0</v>
      </c>
      <c r="P124" s="60">
        <f t="shared" si="44"/>
        <v>0</v>
      </c>
      <c r="Q124" s="60">
        <f t="shared" si="44"/>
        <v>0</v>
      </c>
    </row>
    <row r="125" spans="2:17">
      <c r="B125" s="10" t="s">
        <v>6</v>
      </c>
      <c r="C125" s="12">
        <f t="shared" ref="C125:D125" si="47">C31</f>
        <v>331</v>
      </c>
      <c r="D125" s="12">
        <f t="shared" si="47"/>
        <v>0</v>
      </c>
      <c r="E125" s="11"/>
      <c r="F125" s="12"/>
      <c r="G125" s="12"/>
      <c r="H125" s="12"/>
      <c r="I125" s="13">
        <f t="shared" si="43"/>
        <v>331</v>
      </c>
      <c r="K125" s="10" t="s">
        <v>6</v>
      </c>
      <c r="L125" s="60">
        <f t="shared" si="46"/>
        <v>2.5608544250400747</v>
      </c>
      <c r="M125" s="60">
        <f t="shared" si="44"/>
        <v>0</v>
      </c>
      <c r="N125" s="171">
        <f t="shared" si="44"/>
        <v>0</v>
      </c>
      <c r="O125" s="60">
        <f t="shared" si="44"/>
        <v>0</v>
      </c>
      <c r="P125" s="60">
        <f t="shared" si="44"/>
        <v>0</v>
      </c>
      <c r="Q125" s="60">
        <f t="shared" si="44"/>
        <v>0</v>
      </c>
    </row>
    <row r="126" spans="2:17">
      <c r="B126" s="10" t="s">
        <v>7</v>
      </c>
      <c r="C126" s="12">
        <f t="shared" ref="C126:D126" si="48">C32</f>
        <v>86</v>
      </c>
      <c r="D126" s="12">
        <f t="shared" si="48"/>
        <v>9</v>
      </c>
      <c r="E126" s="12"/>
      <c r="F126" s="11"/>
      <c r="G126" s="12"/>
      <c r="H126" s="12"/>
      <c r="I126" s="13">
        <f t="shared" si="43"/>
        <v>95</v>
      </c>
      <c r="K126" s="10" t="s">
        <v>7</v>
      </c>
      <c r="L126" s="60">
        <f t="shared" si="46"/>
        <v>2.5608544250400747</v>
      </c>
      <c r="M126" s="60">
        <f t="shared" si="44"/>
        <v>2.5608544250400747</v>
      </c>
      <c r="N126" s="60">
        <f t="shared" si="44"/>
        <v>0</v>
      </c>
      <c r="O126" s="171">
        <f t="shared" si="44"/>
        <v>0</v>
      </c>
      <c r="P126" s="60">
        <f t="shared" si="44"/>
        <v>0</v>
      </c>
      <c r="Q126" s="60">
        <f t="shared" si="44"/>
        <v>0</v>
      </c>
    </row>
    <row r="127" spans="2:17">
      <c r="B127" s="10" t="s">
        <v>8</v>
      </c>
      <c r="C127" s="12">
        <f t="shared" ref="C127:D127" si="49">C33</f>
        <v>61</v>
      </c>
      <c r="D127" s="12">
        <f t="shared" si="49"/>
        <v>120</v>
      </c>
      <c r="E127" s="12"/>
      <c r="F127" s="12"/>
      <c r="G127" s="11"/>
      <c r="H127" s="12"/>
      <c r="I127" s="13">
        <f t="shared" si="43"/>
        <v>181</v>
      </c>
      <c r="K127" s="10" t="s">
        <v>8</v>
      </c>
      <c r="L127" s="60">
        <f t="shared" si="46"/>
        <v>2.5608544250400747</v>
      </c>
      <c r="M127" s="60">
        <f t="shared" si="44"/>
        <v>2.5608544250400747</v>
      </c>
      <c r="N127" s="60">
        <f t="shared" si="44"/>
        <v>0</v>
      </c>
      <c r="O127" s="60">
        <f t="shared" si="44"/>
        <v>0</v>
      </c>
      <c r="P127" s="171">
        <f t="shared" si="44"/>
        <v>0</v>
      </c>
      <c r="Q127" s="60">
        <f t="shared" si="44"/>
        <v>0</v>
      </c>
    </row>
    <row r="128" spans="2:17">
      <c r="B128" s="10" t="s">
        <v>9</v>
      </c>
      <c r="C128" s="12">
        <f t="shared" ref="C128:D128" si="50">C34</f>
        <v>229</v>
      </c>
      <c r="D128" s="12">
        <f t="shared" si="50"/>
        <v>221</v>
      </c>
      <c r="E128" s="12"/>
      <c r="F128" s="12"/>
      <c r="G128" s="12"/>
      <c r="H128" s="11"/>
      <c r="I128" s="13">
        <f t="shared" si="43"/>
        <v>450</v>
      </c>
      <c r="K128" s="10" t="s">
        <v>9</v>
      </c>
      <c r="L128" s="60">
        <f t="shared" si="46"/>
        <v>2.5608544250400747</v>
      </c>
      <c r="M128" s="60">
        <f t="shared" si="44"/>
        <v>2.5608544250400747</v>
      </c>
      <c r="N128" s="60">
        <f t="shared" si="44"/>
        <v>0</v>
      </c>
      <c r="O128" s="60">
        <f t="shared" si="44"/>
        <v>0</v>
      </c>
      <c r="P128" s="60">
        <f t="shared" si="44"/>
        <v>0</v>
      </c>
      <c r="Q128" s="171">
        <f t="shared" si="44"/>
        <v>0</v>
      </c>
    </row>
    <row r="129" spans="2:17">
      <c r="B129" s="16" t="s">
        <v>48</v>
      </c>
      <c r="C129" s="13">
        <f t="shared" ref="C129:I129" si="51">SUM(C123:C128)</f>
        <v>967</v>
      </c>
      <c r="D129" s="13">
        <f t="shared" si="51"/>
        <v>350</v>
      </c>
      <c r="E129" s="13">
        <f t="shared" si="51"/>
        <v>0</v>
      </c>
      <c r="F129" s="13">
        <f t="shared" si="51"/>
        <v>0</v>
      </c>
      <c r="G129" s="13">
        <f t="shared" si="51"/>
        <v>0</v>
      </c>
      <c r="H129" s="13">
        <f t="shared" si="51"/>
        <v>0</v>
      </c>
      <c r="I129" s="13">
        <f t="shared" si="51"/>
        <v>1317</v>
      </c>
    </row>
    <row r="133" spans="2:17">
      <c r="B133" s="98" t="s">
        <v>302</v>
      </c>
      <c r="C133" s="179" t="s">
        <v>4</v>
      </c>
    </row>
    <row r="134" spans="2:17">
      <c r="B134" s="98" t="s">
        <v>307</v>
      </c>
      <c r="C134" s="98" t="s">
        <v>306</v>
      </c>
      <c r="D134" s="98" t="s">
        <v>305</v>
      </c>
      <c r="E134" s="98" t="s">
        <v>235</v>
      </c>
      <c r="F134" s="178" t="s">
        <v>309</v>
      </c>
    </row>
    <row r="135" spans="2:17" ht="18">
      <c r="B135" s="199" t="s">
        <v>356</v>
      </c>
      <c r="C135" s="12"/>
      <c r="D135" s="12">
        <f>D12*$C$20</f>
        <v>18879.777777777777</v>
      </c>
      <c r="E135" s="12">
        <f>$C$23</f>
        <v>1</v>
      </c>
      <c r="F135" s="12">
        <f>(C135+D135)*E135</f>
        <v>18879.777777777777</v>
      </c>
    </row>
    <row r="136" spans="2:17" ht="18">
      <c r="B136" s="199" t="s">
        <v>354</v>
      </c>
      <c r="C136" s="39"/>
      <c r="D136" s="39">
        <f>D12*$D$20</f>
        <v>0.29444444444444445</v>
      </c>
      <c r="E136" s="18">
        <f>$C$24</f>
        <v>28</v>
      </c>
      <c r="F136" s="12">
        <f t="shared" ref="F136:F137" si="52">(C136+D136)*E136</f>
        <v>8.2444444444444454</v>
      </c>
    </row>
    <row r="137" spans="2:17" ht="18">
      <c r="B137" s="199" t="s">
        <v>355</v>
      </c>
      <c r="C137" s="194"/>
      <c r="D137" s="194">
        <f>D12*$E$20</f>
        <v>1.06</v>
      </c>
      <c r="E137" s="18">
        <f>$C$25</f>
        <v>265</v>
      </c>
      <c r="F137" s="12">
        <f t="shared" si="52"/>
        <v>280.90000000000003</v>
      </c>
    </row>
    <row r="138" spans="2:17" ht="15.6" customHeight="1">
      <c r="B138" s="278" t="s">
        <v>10</v>
      </c>
      <c r="C138" s="278"/>
      <c r="D138" s="278"/>
      <c r="E138" s="278"/>
      <c r="F138" s="200">
        <f>SUM(F135:F137)</f>
        <v>19168.922222222223</v>
      </c>
    </row>
    <row r="139" spans="2:17" ht="15.6" customHeight="1"/>
    <row r="140" spans="2:17">
      <c r="B140" s="98" t="s">
        <v>302</v>
      </c>
      <c r="C140" s="179" t="str">
        <f>C133</f>
        <v>BRMAO</v>
      </c>
      <c r="K140" s="98" t="s">
        <v>302</v>
      </c>
      <c r="L140" s="179" t="str">
        <f>C140</f>
        <v>BRMAO</v>
      </c>
    </row>
    <row r="141" spans="2:17" ht="15.6" customHeight="1">
      <c r="B141" s="5" t="s">
        <v>365</v>
      </c>
      <c r="C141" s="4" t="s">
        <v>4</v>
      </c>
      <c r="D141" s="4" t="s">
        <v>5</v>
      </c>
      <c r="E141" s="4" t="s">
        <v>6</v>
      </c>
      <c r="F141" s="4" t="s">
        <v>7</v>
      </c>
      <c r="G141" s="4" t="s">
        <v>8</v>
      </c>
      <c r="H141" s="4" t="s">
        <v>9</v>
      </c>
      <c r="I141" s="5" t="s">
        <v>47</v>
      </c>
      <c r="K141" s="5" t="s">
        <v>308</v>
      </c>
      <c r="L141" s="4" t="s">
        <v>4</v>
      </c>
      <c r="M141" s="4" t="s">
        <v>5</v>
      </c>
      <c r="N141" s="4" t="s">
        <v>6</v>
      </c>
      <c r="O141" s="4" t="s">
        <v>7</v>
      </c>
      <c r="P141" s="4" t="s">
        <v>8</v>
      </c>
      <c r="Q141" s="4" t="s">
        <v>9</v>
      </c>
    </row>
    <row r="142" spans="2:17">
      <c r="B142" s="10" t="s">
        <v>4</v>
      </c>
      <c r="C142" s="11">
        <f>C29</f>
        <v>0</v>
      </c>
      <c r="D142" s="12">
        <f t="shared" ref="D142:H142" si="53">D29</f>
        <v>175</v>
      </c>
      <c r="E142" s="12">
        <f t="shared" si="53"/>
        <v>156</v>
      </c>
      <c r="F142" s="12">
        <f t="shared" si="53"/>
        <v>0</v>
      </c>
      <c r="G142" s="12">
        <f t="shared" si="53"/>
        <v>226</v>
      </c>
      <c r="H142" s="12">
        <f t="shared" si="53"/>
        <v>648</v>
      </c>
      <c r="I142" s="13">
        <f t="shared" ref="I142:I147" si="54">SUM(C142:H142)</f>
        <v>1205</v>
      </c>
      <c r="K142" s="10" t="s">
        <v>4</v>
      </c>
      <c r="L142" s="171">
        <f>IF(C142=0,0,$F$138/$I$148)</f>
        <v>0</v>
      </c>
      <c r="M142" s="60">
        <f t="shared" ref="M142:Q147" si="55">IF(D142=0,0,$F$138/$I$148)</f>
        <v>8.8254706363822386</v>
      </c>
      <c r="N142" s="60">
        <f t="shared" si="55"/>
        <v>8.8254706363822386</v>
      </c>
      <c r="O142" s="60">
        <f t="shared" si="55"/>
        <v>0</v>
      </c>
      <c r="P142" s="60">
        <f t="shared" si="55"/>
        <v>8.8254706363822386</v>
      </c>
      <c r="Q142" s="60">
        <f t="shared" si="55"/>
        <v>8.8254706363822386</v>
      </c>
    </row>
    <row r="143" spans="2:17">
      <c r="B143" s="10" t="s">
        <v>5</v>
      </c>
      <c r="C143" s="12">
        <f t="shared" ref="C143" si="56">C30</f>
        <v>260</v>
      </c>
      <c r="D143" s="11"/>
      <c r="E143" s="12"/>
      <c r="F143" s="12"/>
      <c r="G143" s="12"/>
      <c r="H143" s="12"/>
      <c r="I143" s="13">
        <f t="shared" si="54"/>
        <v>260</v>
      </c>
      <c r="K143" s="10" t="s">
        <v>5</v>
      </c>
      <c r="L143" s="60">
        <f t="shared" ref="L143:L147" si="57">IF(C143=0,0,$F$138/$I$148)</f>
        <v>8.8254706363822386</v>
      </c>
      <c r="M143" s="171">
        <f t="shared" si="55"/>
        <v>0</v>
      </c>
      <c r="N143" s="60">
        <f t="shared" si="55"/>
        <v>0</v>
      </c>
      <c r="O143" s="60">
        <f t="shared" si="55"/>
        <v>0</v>
      </c>
      <c r="P143" s="60">
        <f t="shared" si="55"/>
        <v>0</v>
      </c>
      <c r="Q143" s="60">
        <f t="shared" si="55"/>
        <v>0</v>
      </c>
    </row>
    <row r="144" spans="2:17">
      <c r="B144" s="10" t="s">
        <v>6</v>
      </c>
      <c r="C144" s="12">
        <f t="shared" ref="C144" si="58">C31</f>
        <v>331</v>
      </c>
      <c r="D144" s="12"/>
      <c r="E144" s="11"/>
      <c r="F144" s="12"/>
      <c r="G144" s="12"/>
      <c r="H144" s="12"/>
      <c r="I144" s="13">
        <f t="shared" si="54"/>
        <v>331</v>
      </c>
      <c r="K144" s="10" t="s">
        <v>6</v>
      </c>
      <c r="L144" s="60">
        <f t="shared" si="57"/>
        <v>8.8254706363822386</v>
      </c>
      <c r="M144" s="60">
        <f t="shared" si="55"/>
        <v>0</v>
      </c>
      <c r="N144" s="171">
        <f t="shared" si="55"/>
        <v>0</v>
      </c>
      <c r="O144" s="60">
        <f t="shared" si="55"/>
        <v>0</v>
      </c>
      <c r="P144" s="60">
        <f t="shared" si="55"/>
        <v>0</v>
      </c>
      <c r="Q144" s="60">
        <f t="shared" si="55"/>
        <v>0</v>
      </c>
    </row>
    <row r="145" spans="2:17">
      <c r="B145" s="10" t="s">
        <v>7</v>
      </c>
      <c r="C145" s="12">
        <f t="shared" ref="C145" si="59">C32</f>
        <v>86</v>
      </c>
      <c r="D145" s="12"/>
      <c r="E145" s="12"/>
      <c r="F145" s="11"/>
      <c r="G145" s="12"/>
      <c r="H145" s="12"/>
      <c r="I145" s="13">
        <f t="shared" si="54"/>
        <v>86</v>
      </c>
      <c r="K145" s="10" t="s">
        <v>7</v>
      </c>
      <c r="L145" s="60">
        <f t="shared" si="57"/>
        <v>8.8254706363822386</v>
      </c>
      <c r="M145" s="60">
        <f t="shared" si="55"/>
        <v>0</v>
      </c>
      <c r="N145" s="60">
        <f t="shared" si="55"/>
        <v>0</v>
      </c>
      <c r="O145" s="171">
        <f t="shared" si="55"/>
        <v>0</v>
      </c>
      <c r="P145" s="60">
        <f t="shared" si="55"/>
        <v>0</v>
      </c>
      <c r="Q145" s="60">
        <f t="shared" si="55"/>
        <v>0</v>
      </c>
    </row>
    <row r="146" spans="2:17">
      <c r="B146" s="10" t="s">
        <v>8</v>
      </c>
      <c r="C146" s="12">
        <f t="shared" ref="C146" si="60">C33</f>
        <v>61</v>
      </c>
      <c r="D146" s="12"/>
      <c r="E146" s="12"/>
      <c r="F146" s="12"/>
      <c r="G146" s="11"/>
      <c r="H146" s="12"/>
      <c r="I146" s="13">
        <f t="shared" si="54"/>
        <v>61</v>
      </c>
      <c r="K146" s="10" t="s">
        <v>8</v>
      </c>
      <c r="L146" s="60">
        <f t="shared" si="57"/>
        <v>8.8254706363822386</v>
      </c>
      <c r="M146" s="60">
        <f t="shared" si="55"/>
        <v>0</v>
      </c>
      <c r="N146" s="60">
        <f t="shared" si="55"/>
        <v>0</v>
      </c>
      <c r="O146" s="60">
        <f t="shared" si="55"/>
        <v>0</v>
      </c>
      <c r="P146" s="171">
        <f t="shared" si="55"/>
        <v>0</v>
      </c>
      <c r="Q146" s="60">
        <f t="shared" si="55"/>
        <v>0</v>
      </c>
    </row>
    <row r="147" spans="2:17">
      <c r="B147" s="10" t="s">
        <v>9</v>
      </c>
      <c r="C147" s="12">
        <f t="shared" ref="C147" si="61">C34</f>
        <v>229</v>
      </c>
      <c r="D147" s="12"/>
      <c r="E147" s="12"/>
      <c r="F147" s="12"/>
      <c r="G147" s="12"/>
      <c r="H147" s="11"/>
      <c r="I147" s="13">
        <f t="shared" si="54"/>
        <v>229</v>
      </c>
      <c r="K147" s="10" t="s">
        <v>9</v>
      </c>
      <c r="L147" s="60">
        <f t="shared" si="57"/>
        <v>8.8254706363822386</v>
      </c>
      <c r="M147" s="60">
        <f t="shared" si="55"/>
        <v>0</v>
      </c>
      <c r="N147" s="60">
        <f t="shared" si="55"/>
        <v>0</v>
      </c>
      <c r="O147" s="60">
        <f t="shared" si="55"/>
        <v>0</v>
      </c>
      <c r="P147" s="60">
        <f t="shared" si="55"/>
        <v>0</v>
      </c>
      <c r="Q147" s="171">
        <f t="shared" si="55"/>
        <v>0</v>
      </c>
    </row>
    <row r="148" spans="2:17">
      <c r="B148" s="16" t="s">
        <v>48</v>
      </c>
      <c r="C148" s="13">
        <f t="shared" ref="C148:I148" si="62">SUM(C142:C147)</f>
        <v>967</v>
      </c>
      <c r="D148" s="13">
        <f t="shared" si="62"/>
        <v>175</v>
      </c>
      <c r="E148" s="13">
        <f t="shared" si="62"/>
        <v>156</v>
      </c>
      <c r="F148" s="13">
        <f t="shared" si="62"/>
        <v>0</v>
      </c>
      <c r="G148" s="13">
        <f t="shared" si="62"/>
        <v>226</v>
      </c>
      <c r="H148" s="13">
        <f t="shared" si="62"/>
        <v>648</v>
      </c>
      <c r="I148" s="13">
        <f t="shared" si="62"/>
        <v>2172</v>
      </c>
    </row>
    <row r="152" spans="2:17">
      <c r="B152" s="98" t="s">
        <v>302</v>
      </c>
      <c r="C152" s="179" t="s">
        <v>5</v>
      </c>
    </row>
    <row r="153" spans="2:17">
      <c r="B153" s="98" t="s">
        <v>307</v>
      </c>
      <c r="C153" s="98" t="s">
        <v>306</v>
      </c>
      <c r="D153" s="98" t="s">
        <v>305</v>
      </c>
      <c r="E153" s="98" t="s">
        <v>235</v>
      </c>
      <c r="F153" s="178" t="s">
        <v>309</v>
      </c>
    </row>
    <row r="154" spans="2:17" ht="18">
      <c r="B154" s="199" t="s">
        <v>356</v>
      </c>
      <c r="C154" s="12"/>
      <c r="D154" s="12">
        <f>D13*$C$20</f>
        <v>1594.0944444444444</v>
      </c>
      <c r="E154" s="12">
        <f>$C$23</f>
        <v>1</v>
      </c>
      <c r="F154" s="12">
        <f>(C154+D154)*E154</f>
        <v>1594.0944444444444</v>
      </c>
    </row>
    <row r="155" spans="2:17" ht="18">
      <c r="B155" s="199" t="s">
        <v>354</v>
      </c>
      <c r="C155" s="39"/>
      <c r="D155" s="39">
        <f>D13*$D$20</f>
        <v>2.4861111111111112E-2</v>
      </c>
      <c r="E155" s="18">
        <f>$C$24</f>
        <v>28</v>
      </c>
      <c r="F155" s="12">
        <f t="shared" ref="F155:F156" si="63">(C155+D155)*E155</f>
        <v>0.69611111111111112</v>
      </c>
    </row>
    <row r="156" spans="2:17" ht="18">
      <c r="B156" s="199" t="s">
        <v>355</v>
      </c>
      <c r="C156" s="194"/>
      <c r="D156" s="194">
        <f>D13*$E$20</f>
        <v>8.9499999999999996E-2</v>
      </c>
      <c r="E156" s="18">
        <f>$C$25</f>
        <v>265</v>
      </c>
      <c r="F156" s="12">
        <f t="shared" si="63"/>
        <v>23.717499999999998</v>
      </c>
    </row>
    <row r="157" spans="2:17" ht="15.6" customHeight="1">
      <c r="B157" s="278" t="s">
        <v>10</v>
      </c>
      <c r="C157" s="278"/>
      <c r="D157" s="278"/>
      <c r="E157" s="278"/>
      <c r="F157" s="200">
        <f>SUM(F154:F156)</f>
        <v>1618.5080555555555</v>
      </c>
    </row>
    <row r="158" spans="2:17" ht="15.6" customHeight="1"/>
    <row r="159" spans="2:17">
      <c r="B159" s="98" t="s">
        <v>302</v>
      </c>
      <c r="C159" s="179" t="str">
        <f>C152</f>
        <v>BRPEC</v>
      </c>
      <c r="K159" s="98" t="s">
        <v>302</v>
      </c>
      <c r="L159" s="179" t="str">
        <f>C159</f>
        <v>BRPEC</v>
      </c>
    </row>
    <row r="160" spans="2:17" ht="15.6" customHeight="1">
      <c r="B160" s="5" t="s">
        <v>365</v>
      </c>
      <c r="C160" s="4" t="s">
        <v>4</v>
      </c>
      <c r="D160" s="4" t="s">
        <v>5</v>
      </c>
      <c r="E160" s="4" t="s">
        <v>6</v>
      </c>
      <c r="F160" s="4" t="s">
        <v>7</v>
      </c>
      <c r="G160" s="4" t="s">
        <v>8</v>
      </c>
      <c r="H160" s="4" t="s">
        <v>9</v>
      </c>
      <c r="I160" s="5" t="s">
        <v>47</v>
      </c>
      <c r="K160" s="5" t="s">
        <v>308</v>
      </c>
      <c r="L160" s="4" t="s">
        <v>4</v>
      </c>
      <c r="M160" s="4" t="s">
        <v>5</v>
      </c>
      <c r="N160" s="4" t="s">
        <v>6</v>
      </c>
      <c r="O160" s="4" t="s">
        <v>7</v>
      </c>
      <c r="P160" s="4" t="s">
        <v>8</v>
      </c>
      <c r="Q160" s="4" t="s">
        <v>9</v>
      </c>
    </row>
    <row r="161" spans="2:17">
      <c r="B161" s="10" t="s">
        <v>4</v>
      </c>
      <c r="C161" s="11"/>
      <c r="D161" s="12">
        <f t="shared" ref="D161:H161" si="64">D29</f>
        <v>175</v>
      </c>
      <c r="E161" s="12">
        <f t="shared" si="64"/>
        <v>156</v>
      </c>
      <c r="F161" s="12">
        <f t="shared" si="64"/>
        <v>0</v>
      </c>
      <c r="G161" s="12">
        <f t="shared" si="64"/>
        <v>226</v>
      </c>
      <c r="H161" s="12">
        <f t="shared" si="64"/>
        <v>648</v>
      </c>
      <c r="I161" s="13">
        <f t="shared" ref="I161:I166" si="65">SUM(C161:H161)</f>
        <v>1205</v>
      </c>
      <c r="K161" s="10" t="s">
        <v>4</v>
      </c>
      <c r="L161" s="171">
        <f>IF(C161=0,0,$F$157/$I$167)</f>
        <v>0</v>
      </c>
      <c r="M161" s="60">
        <f t="shared" ref="M161:Q166" si="66">IF(D161=0,0,$F$157/$I$167)</f>
        <v>1.1892050371458895</v>
      </c>
      <c r="N161" s="60">
        <f t="shared" si="66"/>
        <v>1.1892050371458895</v>
      </c>
      <c r="O161" s="60">
        <f t="shared" si="66"/>
        <v>0</v>
      </c>
      <c r="P161" s="60">
        <f t="shared" si="66"/>
        <v>1.1892050371458895</v>
      </c>
      <c r="Q161" s="60">
        <f t="shared" si="66"/>
        <v>1.1892050371458895</v>
      </c>
    </row>
    <row r="162" spans="2:17">
      <c r="B162" s="10" t="s">
        <v>5</v>
      </c>
      <c r="C162" s="12"/>
      <c r="D162" s="11">
        <f t="shared" ref="D162:H162" si="67">D30</f>
        <v>0</v>
      </c>
      <c r="E162" s="12">
        <f t="shared" si="67"/>
        <v>0</v>
      </c>
      <c r="F162" s="12">
        <f t="shared" si="67"/>
        <v>0</v>
      </c>
      <c r="G162" s="12">
        <f t="shared" si="67"/>
        <v>20</v>
      </c>
      <c r="H162" s="12">
        <f t="shared" si="67"/>
        <v>136</v>
      </c>
      <c r="I162" s="13">
        <f t="shared" si="65"/>
        <v>156</v>
      </c>
      <c r="K162" s="10" t="s">
        <v>5</v>
      </c>
      <c r="L162" s="60">
        <f t="shared" ref="L162:L166" si="68">IF(C162=0,0,$F$157/$I$167)</f>
        <v>0</v>
      </c>
      <c r="M162" s="171">
        <f t="shared" si="66"/>
        <v>0</v>
      </c>
      <c r="N162" s="60">
        <f t="shared" si="66"/>
        <v>0</v>
      </c>
      <c r="O162" s="60">
        <f t="shared" si="66"/>
        <v>0</v>
      </c>
      <c r="P162" s="60">
        <f t="shared" si="66"/>
        <v>1.1892050371458895</v>
      </c>
      <c r="Q162" s="60">
        <f t="shared" si="66"/>
        <v>1.1892050371458895</v>
      </c>
    </row>
    <row r="163" spans="2:17">
      <c r="B163" s="10" t="s">
        <v>6</v>
      </c>
      <c r="C163" s="12"/>
      <c r="D163" s="12"/>
      <c r="E163" s="11"/>
      <c r="F163" s="12"/>
      <c r="G163" s="12"/>
      <c r="H163" s="12"/>
      <c r="I163" s="13">
        <f t="shared" si="65"/>
        <v>0</v>
      </c>
      <c r="K163" s="10" t="s">
        <v>6</v>
      </c>
      <c r="L163" s="60">
        <f t="shared" si="68"/>
        <v>0</v>
      </c>
      <c r="M163" s="60">
        <f t="shared" si="66"/>
        <v>0</v>
      </c>
      <c r="N163" s="171">
        <f t="shared" si="66"/>
        <v>0</v>
      </c>
      <c r="O163" s="60">
        <f t="shared" si="66"/>
        <v>0</v>
      </c>
      <c r="P163" s="60">
        <f t="shared" si="66"/>
        <v>0</v>
      </c>
      <c r="Q163" s="60">
        <f t="shared" si="66"/>
        <v>0</v>
      </c>
    </row>
    <row r="164" spans="2:17">
      <c r="B164" s="10" t="s">
        <v>7</v>
      </c>
      <c r="C164" s="12"/>
      <c r="D164" s="12"/>
      <c r="E164" s="12"/>
      <c r="F164" s="11"/>
      <c r="G164" s="12"/>
      <c r="H164" s="12"/>
      <c r="I164" s="13">
        <f t="shared" si="65"/>
        <v>0</v>
      </c>
      <c r="K164" s="10" t="s">
        <v>7</v>
      </c>
      <c r="L164" s="60">
        <f t="shared" si="68"/>
        <v>0</v>
      </c>
      <c r="M164" s="60">
        <f t="shared" si="66"/>
        <v>0</v>
      </c>
      <c r="N164" s="60">
        <f t="shared" si="66"/>
        <v>0</v>
      </c>
      <c r="O164" s="171">
        <f t="shared" si="66"/>
        <v>0</v>
      </c>
      <c r="P164" s="60">
        <f t="shared" si="66"/>
        <v>0</v>
      </c>
      <c r="Q164" s="60">
        <f t="shared" si="66"/>
        <v>0</v>
      </c>
    </row>
    <row r="165" spans="2:17">
      <c r="B165" s="10" t="s">
        <v>8</v>
      </c>
      <c r="C165" s="12"/>
      <c r="D165" s="12"/>
      <c r="E165" s="12"/>
      <c r="F165" s="12"/>
      <c r="G165" s="11"/>
      <c r="H165" s="12"/>
      <c r="I165" s="13">
        <f t="shared" si="65"/>
        <v>0</v>
      </c>
      <c r="K165" s="10" t="s">
        <v>8</v>
      </c>
      <c r="L165" s="60">
        <f t="shared" si="68"/>
        <v>0</v>
      </c>
      <c r="M165" s="60">
        <f t="shared" si="66"/>
        <v>0</v>
      </c>
      <c r="N165" s="60">
        <f t="shared" si="66"/>
        <v>0</v>
      </c>
      <c r="O165" s="60">
        <f t="shared" si="66"/>
        <v>0</v>
      </c>
      <c r="P165" s="171">
        <f t="shared" si="66"/>
        <v>0</v>
      </c>
      <c r="Q165" s="60">
        <f t="shared" si="66"/>
        <v>0</v>
      </c>
    </row>
    <row r="166" spans="2:17">
      <c r="B166" s="10" t="s">
        <v>9</v>
      </c>
      <c r="C166" s="12"/>
      <c r="D166" s="12"/>
      <c r="E166" s="12"/>
      <c r="F166" s="12"/>
      <c r="G166" s="12"/>
      <c r="H166" s="11"/>
      <c r="I166" s="13">
        <f t="shared" si="65"/>
        <v>0</v>
      </c>
      <c r="K166" s="10" t="s">
        <v>9</v>
      </c>
      <c r="L166" s="60">
        <f t="shared" si="68"/>
        <v>0</v>
      </c>
      <c r="M166" s="60">
        <f t="shared" si="66"/>
        <v>0</v>
      </c>
      <c r="N166" s="60">
        <f t="shared" si="66"/>
        <v>0</v>
      </c>
      <c r="O166" s="60">
        <f t="shared" si="66"/>
        <v>0</v>
      </c>
      <c r="P166" s="60">
        <f t="shared" si="66"/>
        <v>0</v>
      </c>
      <c r="Q166" s="171">
        <f t="shared" si="66"/>
        <v>0</v>
      </c>
    </row>
    <row r="167" spans="2:17">
      <c r="B167" s="16" t="s">
        <v>48</v>
      </c>
      <c r="C167" s="13">
        <f t="shared" ref="C167:I167" si="69">SUM(C161:C166)</f>
        <v>0</v>
      </c>
      <c r="D167" s="13">
        <f t="shared" si="69"/>
        <v>175</v>
      </c>
      <c r="E167" s="13">
        <f t="shared" si="69"/>
        <v>156</v>
      </c>
      <c r="F167" s="13">
        <f t="shared" si="69"/>
        <v>0</v>
      </c>
      <c r="G167" s="13">
        <f t="shared" si="69"/>
        <v>246</v>
      </c>
      <c r="H167" s="13">
        <f t="shared" si="69"/>
        <v>784</v>
      </c>
      <c r="I167" s="13">
        <f t="shared" si="69"/>
        <v>1361</v>
      </c>
    </row>
    <row r="171" spans="2:17">
      <c r="B171" s="98" t="s">
        <v>302</v>
      </c>
      <c r="C171" s="179" t="s">
        <v>6</v>
      </c>
    </row>
    <row r="172" spans="2:17">
      <c r="B172" s="98" t="s">
        <v>307</v>
      </c>
      <c r="C172" s="98" t="s">
        <v>306</v>
      </c>
      <c r="D172" s="98" t="s">
        <v>305</v>
      </c>
      <c r="E172" s="98" t="s">
        <v>235</v>
      </c>
      <c r="F172" s="178" t="s">
        <v>309</v>
      </c>
    </row>
    <row r="173" spans="2:17" ht="18">
      <c r="B173" s="199" t="s">
        <v>356</v>
      </c>
      <c r="C173" s="12"/>
      <c r="D173" s="12">
        <f>D14*$C$20</f>
        <v>4007.5</v>
      </c>
      <c r="E173" s="12">
        <f>$C$23</f>
        <v>1</v>
      </c>
      <c r="F173" s="12">
        <f>(C173+D173)*E173</f>
        <v>4007.5</v>
      </c>
    </row>
    <row r="174" spans="2:17" ht="18">
      <c r="B174" s="199" t="s">
        <v>354</v>
      </c>
      <c r="C174" s="39"/>
      <c r="D174" s="39">
        <f>D14*$D$20</f>
        <v>6.25E-2</v>
      </c>
      <c r="E174" s="18">
        <f>$C$24</f>
        <v>28</v>
      </c>
      <c r="F174" s="12">
        <f t="shared" ref="F174:F175" si="70">(C174+D174)*E174</f>
        <v>1.75</v>
      </c>
    </row>
    <row r="175" spans="2:17" ht="18">
      <c r="B175" s="199" t="s">
        <v>355</v>
      </c>
      <c r="C175" s="194"/>
      <c r="D175" s="194">
        <f>D14*$E$20</f>
        <v>0.22499999999999998</v>
      </c>
      <c r="E175" s="18">
        <f>$C$25</f>
        <v>265</v>
      </c>
      <c r="F175" s="12">
        <f t="shared" si="70"/>
        <v>59.624999999999993</v>
      </c>
    </row>
    <row r="176" spans="2:17" ht="15.6" customHeight="1">
      <c r="B176" s="278" t="s">
        <v>10</v>
      </c>
      <c r="C176" s="278"/>
      <c r="D176" s="278"/>
      <c r="E176" s="278"/>
      <c r="F176" s="200">
        <f>SUM(F173:F175)</f>
        <v>4068.875</v>
      </c>
    </row>
    <row r="177" spans="2:17" ht="15.6" customHeight="1"/>
    <row r="178" spans="2:17">
      <c r="B178" s="98" t="s">
        <v>302</v>
      </c>
      <c r="C178" s="179" t="str">
        <f>C171</f>
        <v>BRSUA</v>
      </c>
      <c r="K178" s="98" t="s">
        <v>302</v>
      </c>
      <c r="L178" s="179" t="str">
        <f>C178</f>
        <v>BRSUA</v>
      </c>
    </row>
    <row r="179" spans="2:17" ht="15.6" customHeight="1">
      <c r="B179" s="5" t="s">
        <v>365</v>
      </c>
      <c r="C179" s="4" t="s">
        <v>4</v>
      </c>
      <c r="D179" s="4" t="s">
        <v>5</v>
      </c>
      <c r="E179" s="4" t="s">
        <v>6</v>
      </c>
      <c r="F179" s="4" t="s">
        <v>7</v>
      </c>
      <c r="G179" s="4" t="s">
        <v>8</v>
      </c>
      <c r="H179" s="4" t="s">
        <v>9</v>
      </c>
      <c r="I179" s="5" t="s">
        <v>47</v>
      </c>
      <c r="K179" s="5" t="s">
        <v>308</v>
      </c>
      <c r="L179" s="4" t="s">
        <v>4</v>
      </c>
      <c r="M179" s="4" t="s">
        <v>5</v>
      </c>
      <c r="N179" s="4" t="s">
        <v>6</v>
      </c>
      <c r="O179" s="4" t="s">
        <v>7</v>
      </c>
      <c r="P179" s="4" t="s">
        <v>8</v>
      </c>
      <c r="Q179" s="4" t="s">
        <v>9</v>
      </c>
    </row>
    <row r="180" spans="2:17">
      <c r="B180" s="10" t="s">
        <v>4</v>
      </c>
      <c r="C180" s="11"/>
      <c r="D180" s="12"/>
      <c r="E180" s="12">
        <f t="shared" ref="E180:H180" si="71">E29</f>
        <v>156</v>
      </c>
      <c r="F180" s="12">
        <f t="shared" si="71"/>
        <v>0</v>
      </c>
      <c r="G180" s="12">
        <f t="shared" si="71"/>
        <v>226</v>
      </c>
      <c r="H180" s="12">
        <f t="shared" si="71"/>
        <v>648</v>
      </c>
      <c r="I180" s="13">
        <f t="shared" ref="I180:I185" si="72">SUM(C180:H180)</f>
        <v>1030</v>
      </c>
      <c r="K180" s="10" t="s">
        <v>4</v>
      </c>
      <c r="L180" s="171">
        <f>IF(C180=0,0,$F$176/$I$186)</f>
        <v>0</v>
      </c>
      <c r="M180" s="60">
        <f t="shared" ref="M180:Q185" si="73">IF(D180=0,0,$F$176/$I$186)</f>
        <v>0</v>
      </c>
      <c r="N180" s="60">
        <f>IF(E180=0,0,$F$176/$I$186)</f>
        <v>3.1937794348508635</v>
      </c>
      <c r="O180" s="60">
        <f t="shared" si="73"/>
        <v>0</v>
      </c>
      <c r="P180" s="60">
        <f t="shared" si="73"/>
        <v>3.1937794348508635</v>
      </c>
      <c r="Q180" s="60">
        <f t="shared" si="73"/>
        <v>3.1937794348508635</v>
      </c>
    </row>
    <row r="181" spans="2:17">
      <c r="B181" s="10" t="s">
        <v>5</v>
      </c>
      <c r="C181" s="12"/>
      <c r="D181" s="11"/>
      <c r="E181" s="12">
        <f t="shared" ref="E181:H181" si="74">E30</f>
        <v>0</v>
      </c>
      <c r="F181" s="12">
        <f t="shared" si="74"/>
        <v>0</v>
      </c>
      <c r="G181" s="12">
        <f t="shared" si="74"/>
        <v>20</v>
      </c>
      <c r="H181" s="12">
        <f t="shared" si="74"/>
        <v>136</v>
      </c>
      <c r="I181" s="13">
        <f t="shared" si="72"/>
        <v>156</v>
      </c>
      <c r="K181" s="10" t="s">
        <v>5</v>
      </c>
      <c r="L181" s="60">
        <f t="shared" ref="L181:L185" si="75">IF(C181=0,0,$F$176/$I$186)</f>
        <v>0</v>
      </c>
      <c r="M181" s="171">
        <f t="shared" si="73"/>
        <v>0</v>
      </c>
      <c r="N181" s="60">
        <f t="shared" si="73"/>
        <v>0</v>
      </c>
      <c r="O181" s="60">
        <f t="shared" si="73"/>
        <v>0</v>
      </c>
      <c r="P181" s="60">
        <f t="shared" si="73"/>
        <v>3.1937794348508635</v>
      </c>
      <c r="Q181" s="60">
        <f t="shared" si="73"/>
        <v>3.1937794348508635</v>
      </c>
    </row>
    <row r="182" spans="2:17">
      <c r="B182" s="10" t="s">
        <v>6</v>
      </c>
      <c r="C182" s="12"/>
      <c r="D182" s="12"/>
      <c r="E182" s="11">
        <f t="shared" ref="E182:H182" si="76">E31</f>
        <v>0</v>
      </c>
      <c r="F182" s="12">
        <f t="shared" si="76"/>
        <v>0</v>
      </c>
      <c r="G182" s="12">
        <f t="shared" si="76"/>
        <v>30</v>
      </c>
      <c r="H182" s="12">
        <f t="shared" si="76"/>
        <v>58</v>
      </c>
      <c r="I182" s="13">
        <f t="shared" si="72"/>
        <v>88</v>
      </c>
      <c r="K182" s="10" t="s">
        <v>6</v>
      </c>
      <c r="L182" s="60">
        <f t="shared" si="75"/>
        <v>0</v>
      </c>
      <c r="M182" s="60">
        <f t="shared" si="73"/>
        <v>0</v>
      </c>
      <c r="N182" s="171">
        <f t="shared" si="73"/>
        <v>0</v>
      </c>
      <c r="O182" s="60">
        <f t="shared" si="73"/>
        <v>0</v>
      </c>
      <c r="P182" s="60">
        <f t="shared" si="73"/>
        <v>3.1937794348508635</v>
      </c>
      <c r="Q182" s="60">
        <f t="shared" si="73"/>
        <v>3.1937794348508635</v>
      </c>
    </row>
    <row r="183" spans="2:17">
      <c r="B183" s="10" t="s">
        <v>7</v>
      </c>
      <c r="C183" s="12"/>
      <c r="D183" s="12"/>
      <c r="E183" s="12"/>
      <c r="F183" s="11"/>
      <c r="G183" s="12"/>
      <c r="H183" s="12"/>
      <c r="I183" s="13">
        <f t="shared" si="72"/>
        <v>0</v>
      </c>
      <c r="K183" s="10" t="s">
        <v>7</v>
      </c>
      <c r="L183" s="60">
        <f t="shared" si="75"/>
        <v>0</v>
      </c>
      <c r="M183" s="60">
        <f t="shared" si="73"/>
        <v>0</v>
      </c>
      <c r="N183" s="60">
        <f t="shared" si="73"/>
        <v>0</v>
      </c>
      <c r="O183" s="171">
        <f t="shared" si="73"/>
        <v>0</v>
      </c>
      <c r="P183" s="60">
        <f t="shared" si="73"/>
        <v>0</v>
      </c>
      <c r="Q183" s="60">
        <f t="shared" si="73"/>
        <v>0</v>
      </c>
    </row>
    <row r="184" spans="2:17">
      <c r="B184" s="10" t="s">
        <v>8</v>
      </c>
      <c r="C184" s="12"/>
      <c r="D184" s="12"/>
      <c r="E184" s="12"/>
      <c r="F184" s="12"/>
      <c r="G184" s="11"/>
      <c r="H184" s="12"/>
      <c r="I184" s="13">
        <f t="shared" si="72"/>
        <v>0</v>
      </c>
      <c r="K184" s="10" t="s">
        <v>8</v>
      </c>
      <c r="L184" s="60">
        <f t="shared" si="75"/>
        <v>0</v>
      </c>
      <c r="M184" s="60">
        <f t="shared" si="73"/>
        <v>0</v>
      </c>
      <c r="N184" s="60">
        <f t="shared" si="73"/>
        <v>0</v>
      </c>
      <c r="O184" s="60">
        <f t="shared" si="73"/>
        <v>0</v>
      </c>
      <c r="P184" s="171">
        <f t="shared" si="73"/>
        <v>0</v>
      </c>
      <c r="Q184" s="60">
        <f t="shared" si="73"/>
        <v>0</v>
      </c>
    </row>
    <row r="185" spans="2:17">
      <c r="B185" s="10" t="s">
        <v>9</v>
      </c>
      <c r="C185" s="12"/>
      <c r="D185" s="12"/>
      <c r="E185" s="12"/>
      <c r="F185" s="12"/>
      <c r="G185" s="12"/>
      <c r="H185" s="11"/>
      <c r="I185" s="13">
        <f t="shared" si="72"/>
        <v>0</v>
      </c>
      <c r="K185" s="10" t="s">
        <v>9</v>
      </c>
      <c r="L185" s="60">
        <f t="shared" si="75"/>
        <v>0</v>
      </c>
      <c r="M185" s="60">
        <f t="shared" si="73"/>
        <v>0</v>
      </c>
      <c r="N185" s="60">
        <f t="shared" si="73"/>
        <v>0</v>
      </c>
      <c r="O185" s="60">
        <f t="shared" si="73"/>
        <v>0</v>
      </c>
      <c r="P185" s="60">
        <f t="shared" si="73"/>
        <v>0</v>
      </c>
      <c r="Q185" s="171">
        <f t="shared" si="73"/>
        <v>0</v>
      </c>
    </row>
    <row r="186" spans="2:17">
      <c r="B186" s="16" t="s">
        <v>48</v>
      </c>
      <c r="C186" s="13">
        <f t="shared" ref="C186:I186" si="77">SUM(C180:C185)</f>
        <v>0</v>
      </c>
      <c r="D186" s="13">
        <f t="shared" si="77"/>
        <v>0</v>
      </c>
      <c r="E186" s="13">
        <f t="shared" si="77"/>
        <v>156</v>
      </c>
      <c r="F186" s="13">
        <f t="shared" si="77"/>
        <v>0</v>
      </c>
      <c r="G186" s="13">
        <f t="shared" si="77"/>
        <v>276</v>
      </c>
      <c r="H186" s="13">
        <f t="shared" si="77"/>
        <v>842</v>
      </c>
      <c r="I186" s="13">
        <f t="shared" si="77"/>
        <v>1274</v>
      </c>
    </row>
    <row r="189" spans="2:17" ht="18">
      <c r="K189" s="260" t="s">
        <v>551</v>
      </c>
      <c r="L189" s="260"/>
      <c r="M189" s="260"/>
      <c r="N189" s="260"/>
      <c r="O189" s="260"/>
      <c r="P189" s="260"/>
      <c r="Q189" s="260"/>
    </row>
    <row r="190" spans="2:17">
      <c r="K190" s="5" t="s">
        <v>302</v>
      </c>
      <c r="L190" s="4" t="s">
        <v>4</v>
      </c>
      <c r="M190" s="4" t="s">
        <v>5</v>
      </c>
      <c r="N190" s="4" t="s">
        <v>6</v>
      </c>
      <c r="O190" s="4" t="s">
        <v>7</v>
      </c>
      <c r="P190" s="4" t="s">
        <v>8</v>
      </c>
      <c r="Q190" s="4" t="s">
        <v>9</v>
      </c>
    </row>
    <row r="191" spans="2:17" ht="18">
      <c r="C191" s="98" t="s">
        <v>548</v>
      </c>
      <c r="D191" s="5" t="s">
        <v>386</v>
      </c>
      <c r="K191" s="10" t="s">
        <v>4</v>
      </c>
      <c r="L191" s="171">
        <f>L47+L66+L85+L104+L123+L142+L161+L180</f>
        <v>0</v>
      </c>
      <c r="M191" s="60">
        <f t="shared" ref="M191:Q191" si="78">M47+M66+M85+M104+M123+M142+M161+M180</f>
        <v>10.014675673528128</v>
      </c>
      <c r="N191" s="60">
        <f t="shared" si="78"/>
        <v>13.208455108378992</v>
      </c>
      <c r="O191" s="60">
        <f t="shared" si="78"/>
        <v>0</v>
      </c>
      <c r="P191" s="60">
        <f t="shared" si="78"/>
        <v>23.026748559936706</v>
      </c>
      <c r="Q191" s="60">
        <f t="shared" si="78"/>
        <v>18.690114527839647</v>
      </c>
    </row>
    <row r="192" spans="2:17">
      <c r="B192" s="5" t="s">
        <v>381</v>
      </c>
      <c r="C192" s="98" t="s">
        <v>341</v>
      </c>
      <c r="D192" s="5" t="s">
        <v>550</v>
      </c>
      <c r="K192" s="10" t="s">
        <v>5</v>
      </c>
      <c r="L192" s="60">
        <f t="shared" ref="L192:Q196" si="79">L48+L67+L86+L105+L124+L143+L162+L181</f>
        <v>11.386325061422314</v>
      </c>
      <c r="M192" s="171">
        <f t="shared" si="79"/>
        <v>0</v>
      </c>
      <c r="N192" s="60">
        <f t="shared" si="79"/>
        <v>0</v>
      </c>
      <c r="O192" s="60">
        <f t="shared" si="79"/>
        <v>0</v>
      </c>
      <c r="P192" s="60">
        <f t="shared" si="79"/>
        <v>14.201277923554468</v>
      </c>
      <c r="Q192" s="60">
        <f t="shared" si="79"/>
        <v>9.8646438914574084</v>
      </c>
    </row>
    <row r="193" spans="2:17">
      <c r="B193" s="10" t="s">
        <v>9</v>
      </c>
      <c r="C193" s="78">
        <f>C7</f>
        <v>1.6351851851851853</v>
      </c>
      <c r="D193" s="82">
        <f>L52</f>
        <v>5.4816594194606552</v>
      </c>
      <c r="K193" s="10" t="s">
        <v>6</v>
      </c>
      <c r="L193" s="60">
        <f t="shared" si="79"/>
        <v>20.241065687141202</v>
      </c>
      <c r="M193" s="60">
        <f t="shared" si="79"/>
        <v>0</v>
      </c>
      <c r="N193" s="171">
        <f t="shared" si="79"/>
        <v>0</v>
      </c>
      <c r="O193" s="60">
        <f t="shared" si="79"/>
        <v>0</v>
      </c>
      <c r="P193" s="60">
        <f t="shared" si="79"/>
        <v>13.012072886408578</v>
      </c>
      <c r="Q193" s="60">
        <f t="shared" si="79"/>
        <v>8.6754388543115191</v>
      </c>
    </row>
    <row r="194" spans="2:17">
      <c r="B194" s="10" t="s">
        <v>8</v>
      </c>
      <c r="C194" s="78">
        <f t="shared" ref="C194:C200" si="80">C8</f>
        <v>0.96388888888888891</v>
      </c>
      <c r="D194" s="82">
        <f>L70</f>
        <v>4.3366340320970593</v>
      </c>
      <c r="K194" s="10" t="s">
        <v>7</v>
      </c>
      <c r="L194" s="60">
        <f t="shared" si="79"/>
        <v>22.367742438873201</v>
      </c>
      <c r="M194" s="60">
        <f t="shared" si="79"/>
        <v>13.542271802490962</v>
      </c>
      <c r="N194" s="60">
        <f t="shared" si="79"/>
        <v>10.981417377450887</v>
      </c>
      <c r="O194" s="171">
        <f t="shared" si="79"/>
        <v>0</v>
      </c>
      <c r="P194" s="60">
        <f t="shared" si="79"/>
        <v>0</v>
      </c>
      <c r="Q194" s="60">
        <f t="shared" si="79"/>
        <v>0</v>
      </c>
    </row>
    <row r="195" spans="2:17">
      <c r="B195" s="10" t="s">
        <v>7</v>
      </c>
      <c r="C195" s="78">
        <f t="shared" si="80"/>
        <v>0.41388888888888892</v>
      </c>
      <c r="D195" s="82">
        <f>L88</f>
        <v>2.1266767517320004</v>
      </c>
      <c r="K195" s="10" t="s">
        <v>8</v>
      </c>
      <c r="L195" s="60">
        <f t="shared" si="79"/>
        <v>26.70437647097026</v>
      </c>
      <c r="M195" s="60">
        <f t="shared" si="79"/>
        <v>17.878905834588021</v>
      </c>
      <c r="N195" s="60">
        <f t="shared" si="79"/>
        <v>15.318051409547946</v>
      </c>
      <c r="O195" s="60">
        <f t="shared" si="79"/>
        <v>6.4633107838290602</v>
      </c>
      <c r="P195" s="171">
        <f t="shared" si="79"/>
        <v>0</v>
      </c>
      <c r="Q195" s="60">
        <f t="shared" si="79"/>
        <v>0</v>
      </c>
    </row>
    <row r="196" spans="2:17">
      <c r="B196" s="10" t="s">
        <v>22</v>
      </c>
      <c r="C196" s="78">
        <f t="shared" si="80"/>
        <v>1.9708333333333332</v>
      </c>
      <c r="D196" s="82">
        <f>L106</f>
        <v>8.8547406257188861</v>
      </c>
      <c r="K196" s="10" t="s">
        <v>9</v>
      </c>
      <c r="L196" s="60">
        <f t="shared" si="79"/>
        <v>32.186035890430915</v>
      </c>
      <c r="M196" s="60">
        <f t="shared" si="79"/>
        <v>23.360565254048677</v>
      </c>
      <c r="N196" s="60">
        <f t="shared" si="79"/>
        <v>20.799710829008603</v>
      </c>
      <c r="O196" s="60">
        <f t="shared" si="79"/>
        <v>11.944970203289715</v>
      </c>
      <c r="P196" s="60">
        <f t="shared" si="79"/>
        <v>0</v>
      </c>
      <c r="Q196" s="171">
        <f t="shared" si="79"/>
        <v>0</v>
      </c>
    </row>
    <row r="197" spans="2:17">
      <c r="B197" s="10" t="s">
        <v>23</v>
      </c>
      <c r="C197" s="78">
        <f t="shared" si="80"/>
        <v>0.5180555555555556</v>
      </c>
      <c r="D197" s="82">
        <f>L124</f>
        <v>2.5608544250400747</v>
      </c>
    </row>
    <row r="198" spans="2:17">
      <c r="B198" s="10" t="s">
        <v>4</v>
      </c>
      <c r="C198" s="78">
        <f t="shared" si="80"/>
        <v>2.9444444444444446</v>
      </c>
      <c r="D198" s="82">
        <f>L143</f>
        <v>8.8254706363822386</v>
      </c>
    </row>
    <row r="199" spans="2:17">
      <c r="B199" s="10" t="s">
        <v>24</v>
      </c>
      <c r="C199" s="78">
        <f t="shared" si="80"/>
        <v>0.24861111111111112</v>
      </c>
      <c r="D199" s="82">
        <f>Q161</f>
        <v>1.1892050371458895</v>
      </c>
    </row>
    <row r="200" spans="2:17">
      <c r="B200" s="10" t="s">
        <v>382</v>
      </c>
      <c r="C200" s="78">
        <f t="shared" si="80"/>
        <v>0.625</v>
      </c>
      <c r="D200" s="82">
        <f>Q180</f>
        <v>3.1937794348508635</v>
      </c>
    </row>
    <row r="203" spans="2:17" ht="18">
      <c r="B203" s="176" t="s">
        <v>256</v>
      </c>
      <c r="C203" s="12">
        <f>F43+F62+F81+F100+F119+F138+F157+F176</f>
        <v>60674.461203703708</v>
      </c>
    </row>
  </sheetData>
  <mergeCells count="10">
    <mergeCell ref="B119:E119"/>
    <mergeCell ref="B138:E138"/>
    <mergeCell ref="B157:E157"/>
    <mergeCell ref="B176:E176"/>
    <mergeCell ref="K189:Q189"/>
    <mergeCell ref="C17:E17"/>
    <mergeCell ref="B43:E43"/>
    <mergeCell ref="B62:E62"/>
    <mergeCell ref="B81:E81"/>
    <mergeCell ref="B100:E100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18F8-F332-4F2B-BC16-AFE9CB2EB814}">
  <dimension ref="B2:Q202"/>
  <sheetViews>
    <sheetView showGridLines="0" zoomScale="70" zoomScaleNormal="70" workbookViewId="0">
      <selection activeCell="F197" sqref="F197"/>
    </sheetView>
  </sheetViews>
  <sheetFormatPr defaultRowHeight="15.6"/>
  <cols>
    <col min="1" max="1" width="8.83984375" style="169"/>
    <col min="2" max="2" width="25.9453125" style="169" customWidth="1"/>
    <col min="3" max="3" width="15.1015625" style="169" customWidth="1"/>
    <col min="4" max="4" width="21.3125" style="169" customWidth="1"/>
    <col min="5" max="5" width="14.578125" style="169" customWidth="1"/>
    <col min="6" max="6" width="13.20703125" style="169" customWidth="1"/>
    <col min="7" max="7" width="10.68359375" style="169" customWidth="1"/>
    <col min="8" max="8" width="12.3671875" style="169" customWidth="1"/>
    <col min="9" max="9" width="13.62890625" style="169" customWidth="1"/>
    <col min="10" max="10" width="2.578125" style="169" customWidth="1"/>
    <col min="11" max="11" width="23.734375" style="169" customWidth="1"/>
    <col min="12" max="12" width="13.05078125" style="169" customWidth="1"/>
    <col min="13" max="13" width="22.15625" style="169" customWidth="1"/>
    <col min="14" max="14" width="18.3125" style="169" bestFit="1" customWidth="1"/>
    <col min="15" max="15" width="15.20703125" style="169" customWidth="1"/>
    <col min="16" max="16" width="14.83984375" style="169" customWidth="1"/>
    <col min="17" max="17" width="14.3125" style="169" customWidth="1"/>
    <col min="18" max="18" width="13.734375" style="169" customWidth="1"/>
    <col min="19" max="19" width="12.3671875" style="169" customWidth="1"/>
    <col min="20" max="20" width="24.83984375" style="169" customWidth="1"/>
    <col min="21" max="24" width="8.83984375" style="169"/>
    <col min="25" max="25" width="16.47265625" style="169" customWidth="1"/>
    <col min="26" max="16384" width="8.83984375" style="169"/>
  </cols>
  <sheetData>
    <row r="2" spans="2:4">
      <c r="B2" s="191" t="s">
        <v>367</v>
      </c>
    </row>
    <row r="3" spans="2:4">
      <c r="B3" s="191" t="s">
        <v>366</v>
      </c>
    </row>
    <row r="5" spans="2:4">
      <c r="D5" s="98" t="s">
        <v>276</v>
      </c>
    </row>
    <row r="6" spans="2:4">
      <c r="B6" s="98" t="s">
        <v>361</v>
      </c>
      <c r="C6" s="98" t="s">
        <v>380</v>
      </c>
      <c r="D6" s="98" t="s">
        <v>507</v>
      </c>
    </row>
    <row r="7" spans="2:4">
      <c r="B7" s="6" t="s">
        <v>9</v>
      </c>
      <c r="C7" s="45">
        <f>CabotageProforma_KAB01!Y21/24</f>
        <v>1.6351851851851853</v>
      </c>
      <c r="D7" s="78">
        <f>'Navio Porto Base C1'!D7*'Fatores Emissao'!$C$96/'Fatores Emissao'!$C$98</f>
        <v>3.4911203703703704</v>
      </c>
    </row>
    <row r="8" spans="2:4">
      <c r="B8" s="6" t="s">
        <v>8</v>
      </c>
      <c r="C8" s="45">
        <f>CabotageProforma_KAB01!Y22/24</f>
        <v>0.96388888888888891</v>
      </c>
      <c r="D8" s="78">
        <f>'Navio Porto Base C1'!D8*'Fatores Emissao'!$C$96/'Fatores Emissao'!$C$98</f>
        <v>2.0579027777777776</v>
      </c>
    </row>
    <row r="9" spans="2:4">
      <c r="B9" s="6" t="s">
        <v>7</v>
      </c>
      <c r="C9" s="45">
        <f>CabotageProforma_KAB01!Y23/24</f>
        <v>0.41388888888888892</v>
      </c>
      <c r="D9" s="78">
        <f>'Navio Porto Base C1'!D9*'Fatores Emissao'!$C$96/'Fatores Emissao'!$C$98</f>
        <v>0.88365277777777784</v>
      </c>
    </row>
    <row r="10" spans="2:4">
      <c r="B10" s="6" t="s">
        <v>6</v>
      </c>
      <c r="C10" s="45">
        <f>CabotageProforma_KAB01!Y24/24</f>
        <v>1.9708333333333332</v>
      </c>
      <c r="D10" s="78">
        <f>'Navio Porto Base C1'!D10*'Fatores Emissao'!$C$96/'Fatores Emissao'!$C$98</f>
        <v>4.2077291666666667</v>
      </c>
    </row>
    <row r="11" spans="2:4">
      <c r="B11" s="6" t="s">
        <v>5</v>
      </c>
      <c r="C11" s="45">
        <f>CabotageProforma_KAB01!Y25/24</f>
        <v>0.5180555555555556</v>
      </c>
      <c r="D11" s="78">
        <f>'Navio Porto Base C1'!D11*'Fatores Emissao'!$C$96/'Fatores Emissao'!$C$98</f>
        <v>1.1060486111111112</v>
      </c>
    </row>
    <row r="12" spans="2:4">
      <c r="B12" s="6" t="s">
        <v>4</v>
      </c>
      <c r="C12" s="45">
        <f>CabotageProforma_KAB01!Y27/24</f>
        <v>2.9444444444444446</v>
      </c>
      <c r="D12" s="78">
        <f>'Navio Porto Base C1'!D12*'Fatores Emissao'!$C$96/'Fatores Emissao'!$C$98</f>
        <v>6.2863888888888892</v>
      </c>
    </row>
    <row r="13" spans="2:4">
      <c r="B13" s="6" t="s">
        <v>5</v>
      </c>
      <c r="C13" s="45">
        <f>CabotageProforma_KAB01!Y29/24</f>
        <v>0.24861111111111112</v>
      </c>
      <c r="D13" s="78">
        <f>'Navio Porto Base C1'!D13*'Fatores Emissao'!$C$96/'Fatores Emissao'!$C$98</f>
        <v>0.53078472222222228</v>
      </c>
    </row>
    <row r="14" spans="2:4">
      <c r="B14" s="6" t="s">
        <v>6</v>
      </c>
      <c r="C14" s="45">
        <f>CabotageProforma_KAB01!Y30/24</f>
        <v>0.625</v>
      </c>
      <c r="D14" s="78">
        <f>'Navio Porto Base C1'!D14*'Fatores Emissao'!$C$96/'Fatores Emissao'!$C$98</f>
        <v>1.3343750000000001</v>
      </c>
    </row>
    <row r="15" spans="2:4">
      <c r="D15" s="198"/>
    </row>
    <row r="16" spans="2:4">
      <c r="D16" s="198"/>
    </row>
    <row r="17" spans="2:9">
      <c r="C17" s="263" t="s">
        <v>234</v>
      </c>
      <c r="D17" s="264"/>
      <c r="E17" s="265"/>
    </row>
    <row r="18" spans="2:9" ht="18">
      <c r="B18" s="34" t="s">
        <v>221</v>
      </c>
      <c r="C18" s="180" t="s">
        <v>310</v>
      </c>
      <c r="D18" s="180" t="s">
        <v>311</v>
      </c>
      <c r="E18" s="180" t="s">
        <v>312</v>
      </c>
    </row>
    <row r="19" spans="2:9">
      <c r="B19" s="84" t="s">
        <v>403</v>
      </c>
      <c r="C19" s="113">
        <f>'Fatores Emissao'!C84</f>
        <v>2836.8489446681765</v>
      </c>
      <c r="D19" s="181">
        <f>'Fatores Emissao'!D84</f>
        <v>0.17111152364665191</v>
      </c>
      <c r="E19" s="181">
        <f>'Fatores Emissao'!E84</f>
        <v>7.8050870435314917E-2</v>
      </c>
    </row>
    <row r="21" spans="2:9">
      <c r="B21" s="98" t="s">
        <v>236</v>
      </c>
      <c r="C21" s="98" t="s">
        <v>235</v>
      </c>
    </row>
    <row r="22" spans="2:9" ht="18">
      <c r="B22" s="18" t="s">
        <v>251</v>
      </c>
      <c r="C22" s="18">
        <v>1</v>
      </c>
    </row>
    <row r="23" spans="2:9" ht="18">
      <c r="B23" s="18" t="s">
        <v>252</v>
      </c>
      <c r="C23" s="18">
        <v>28</v>
      </c>
    </row>
    <row r="24" spans="2:9" ht="18">
      <c r="B24" s="18" t="s">
        <v>253</v>
      </c>
      <c r="C24" s="18">
        <v>265</v>
      </c>
    </row>
    <row r="25" spans="2:9">
      <c r="D25" s="198"/>
    </row>
    <row r="27" spans="2:9">
      <c r="B27" s="5" t="s">
        <v>188</v>
      </c>
      <c r="C27" s="4" t="s">
        <v>4</v>
      </c>
      <c r="D27" s="4" t="s">
        <v>5</v>
      </c>
      <c r="E27" s="4" t="s">
        <v>6</v>
      </c>
      <c r="F27" s="4" t="s">
        <v>7</v>
      </c>
      <c r="G27" s="4" t="s">
        <v>8</v>
      </c>
      <c r="H27" s="4" t="s">
        <v>9</v>
      </c>
      <c r="I27" s="5" t="s">
        <v>47</v>
      </c>
    </row>
    <row r="28" spans="2:9">
      <c r="B28" s="10" t="s">
        <v>4</v>
      </c>
      <c r="C28" s="11">
        <f>'Movimentacao de Conteineres'!K30</f>
        <v>0</v>
      </c>
      <c r="D28" s="12">
        <f>'Movimentacao de Conteineres'!L30</f>
        <v>175</v>
      </c>
      <c r="E28" s="12">
        <f>'Movimentacao de Conteineres'!M30</f>
        <v>156</v>
      </c>
      <c r="F28" s="12">
        <f>'Movimentacao de Conteineres'!N30</f>
        <v>0</v>
      </c>
      <c r="G28" s="12">
        <f>'Movimentacao de Conteineres'!O30</f>
        <v>226</v>
      </c>
      <c r="H28" s="12">
        <f>'Movimentacao de Conteineres'!P30</f>
        <v>648</v>
      </c>
      <c r="I28" s="13">
        <f t="shared" ref="I28:I33" si="0">SUM(C28:H28)</f>
        <v>1205</v>
      </c>
    </row>
    <row r="29" spans="2:9">
      <c r="B29" s="10" t="s">
        <v>5</v>
      </c>
      <c r="C29" s="12">
        <f>'Movimentacao de Conteineres'!K31</f>
        <v>260</v>
      </c>
      <c r="D29" s="11">
        <f>'Movimentacao de Conteineres'!L31</f>
        <v>0</v>
      </c>
      <c r="E29" s="12">
        <f>'Movimentacao de Conteineres'!M31</f>
        <v>0</v>
      </c>
      <c r="F29" s="12">
        <f>'Movimentacao de Conteineres'!N31</f>
        <v>0</v>
      </c>
      <c r="G29" s="12">
        <f>'Movimentacao de Conteineres'!O31</f>
        <v>20</v>
      </c>
      <c r="H29" s="12">
        <f>'Movimentacao de Conteineres'!P31</f>
        <v>136</v>
      </c>
      <c r="I29" s="13">
        <f t="shared" si="0"/>
        <v>416</v>
      </c>
    </row>
    <row r="30" spans="2:9">
      <c r="B30" s="10" t="s">
        <v>6</v>
      </c>
      <c r="C30" s="12">
        <f>'Movimentacao de Conteineres'!K32</f>
        <v>331</v>
      </c>
      <c r="D30" s="12">
        <f>'Movimentacao de Conteineres'!L32</f>
        <v>0</v>
      </c>
      <c r="E30" s="11">
        <f>'Movimentacao de Conteineres'!M32</f>
        <v>0</v>
      </c>
      <c r="F30" s="12">
        <f>'Movimentacao de Conteineres'!N32</f>
        <v>0</v>
      </c>
      <c r="G30" s="12">
        <f>'Movimentacao de Conteineres'!O32</f>
        <v>30</v>
      </c>
      <c r="H30" s="12">
        <f>'Movimentacao de Conteineres'!P32</f>
        <v>58</v>
      </c>
      <c r="I30" s="13">
        <f t="shared" si="0"/>
        <v>419</v>
      </c>
    </row>
    <row r="31" spans="2:9">
      <c r="B31" s="10" t="s">
        <v>7</v>
      </c>
      <c r="C31" s="12">
        <f>'Movimentacao de Conteineres'!K33</f>
        <v>86</v>
      </c>
      <c r="D31" s="12">
        <f>'Movimentacao de Conteineres'!L33</f>
        <v>9</v>
      </c>
      <c r="E31" s="12">
        <f>'Movimentacao de Conteineres'!M33</f>
        <v>1</v>
      </c>
      <c r="F31" s="11">
        <f>'Movimentacao de Conteineres'!N33</f>
        <v>0</v>
      </c>
      <c r="G31" s="12">
        <f>'Movimentacao de Conteineres'!O33</f>
        <v>0</v>
      </c>
      <c r="H31" s="12">
        <f>'Movimentacao de Conteineres'!P33</f>
        <v>0</v>
      </c>
      <c r="I31" s="13">
        <f t="shared" si="0"/>
        <v>96</v>
      </c>
    </row>
    <row r="32" spans="2:9">
      <c r="B32" s="10" t="s">
        <v>8</v>
      </c>
      <c r="C32" s="12">
        <f>'Movimentacao de Conteineres'!K34</f>
        <v>61</v>
      </c>
      <c r="D32" s="12">
        <f>'Movimentacao de Conteineres'!L34</f>
        <v>120</v>
      </c>
      <c r="E32" s="12">
        <f>'Movimentacao de Conteineres'!M34</f>
        <v>119</v>
      </c>
      <c r="F32" s="12">
        <f>'Movimentacao de Conteineres'!N34</f>
        <v>47</v>
      </c>
      <c r="G32" s="11">
        <f>'Movimentacao de Conteineres'!O34</f>
        <v>0</v>
      </c>
      <c r="H32" s="12">
        <f>'Movimentacao de Conteineres'!P34</f>
        <v>0</v>
      </c>
      <c r="I32" s="13">
        <f t="shared" si="0"/>
        <v>347</v>
      </c>
    </row>
    <row r="33" spans="2:17">
      <c r="B33" s="10" t="s">
        <v>9</v>
      </c>
      <c r="C33" s="12">
        <f>'Movimentacao de Conteineres'!K35</f>
        <v>229</v>
      </c>
      <c r="D33" s="12">
        <f>'Movimentacao de Conteineres'!L35</f>
        <v>221</v>
      </c>
      <c r="E33" s="12">
        <f>'Movimentacao de Conteineres'!M35</f>
        <v>272</v>
      </c>
      <c r="F33" s="12">
        <f>'Movimentacao de Conteineres'!N35</f>
        <v>102</v>
      </c>
      <c r="G33" s="12">
        <f>'Movimentacao de Conteineres'!O35</f>
        <v>0</v>
      </c>
      <c r="H33" s="11">
        <f>'Movimentacao de Conteineres'!P35</f>
        <v>0</v>
      </c>
      <c r="I33" s="13">
        <f t="shared" si="0"/>
        <v>824</v>
      </c>
    </row>
    <row r="34" spans="2:17">
      <c r="B34" s="16" t="s">
        <v>48</v>
      </c>
      <c r="C34" s="13">
        <f t="shared" ref="C34:I34" si="1">SUM(C28:C33)</f>
        <v>967</v>
      </c>
      <c r="D34" s="13">
        <f t="shared" si="1"/>
        <v>525</v>
      </c>
      <c r="E34" s="13">
        <f t="shared" si="1"/>
        <v>548</v>
      </c>
      <c r="F34" s="13">
        <f t="shared" si="1"/>
        <v>149</v>
      </c>
      <c r="G34" s="13">
        <f t="shared" si="1"/>
        <v>276</v>
      </c>
      <c r="H34" s="13">
        <f t="shared" si="1"/>
        <v>842</v>
      </c>
      <c r="I34" s="13">
        <f t="shared" si="1"/>
        <v>3307</v>
      </c>
    </row>
    <row r="37" spans="2:17">
      <c r="B37" s="98" t="s">
        <v>302</v>
      </c>
      <c r="C37" s="179" t="s">
        <v>9</v>
      </c>
    </row>
    <row r="38" spans="2:17">
      <c r="B38" s="98" t="s">
        <v>307</v>
      </c>
      <c r="C38" s="98"/>
      <c r="D38" s="98" t="s">
        <v>403</v>
      </c>
      <c r="E38" s="98" t="s">
        <v>235</v>
      </c>
      <c r="F38" s="178" t="s">
        <v>309</v>
      </c>
    </row>
    <row r="39" spans="2:17" ht="18">
      <c r="B39" s="199" t="s">
        <v>356</v>
      </c>
      <c r="C39" s="12"/>
      <c r="D39" s="12">
        <f>D7*$C$19</f>
        <v>9903.7811383947592</v>
      </c>
      <c r="E39" s="12">
        <f>$C$22</f>
        <v>1</v>
      </c>
      <c r="F39" s="12">
        <f>(C39+D39)*E39</f>
        <v>9903.7811383947592</v>
      </c>
    </row>
    <row r="40" spans="2:17" ht="18">
      <c r="B40" s="199" t="s">
        <v>354</v>
      </c>
      <c r="C40" s="39"/>
      <c r="D40" s="39">
        <f>D7*$D$19</f>
        <v>0.59737092580793782</v>
      </c>
      <c r="E40" s="18">
        <f>$C$23</f>
        <v>28</v>
      </c>
      <c r="F40" s="12">
        <f t="shared" ref="F40:F41" si="2">(C40+D40)*E40</f>
        <v>16.72638592262226</v>
      </c>
    </row>
    <row r="41" spans="2:17" ht="18">
      <c r="B41" s="199" t="s">
        <v>355</v>
      </c>
      <c r="C41" s="194"/>
      <c r="D41" s="194">
        <f>D7*$E$19</f>
        <v>0.27248498370186641</v>
      </c>
      <c r="E41" s="18">
        <f>$C$24</f>
        <v>265</v>
      </c>
      <c r="F41" s="12">
        <f t="shared" si="2"/>
        <v>72.208520680994596</v>
      </c>
    </row>
    <row r="42" spans="2:17" ht="15.6" customHeight="1">
      <c r="B42" s="278" t="s">
        <v>10</v>
      </c>
      <c r="C42" s="278"/>
      <c r="D42" s="278"/>
      <c r="E42" s="278"/>
      <c r="F42" s="200">
        <f>SUM(F39:F41)</f>
        <v>9992.7160449983767</v>
      </c>
    </row>
    <row r="43" spans="2:17" ht="15.6" customHeight="1"/>
    <row r="44" spans="2:17">
      <c r="B44" s="98" t="s">
        <v>302</v>
      </c>
      <c r="C44" s="179" t="str">
        <f>C37</f>
        <v>BRSSZ</v>
      </c>
      <c r="K44" s="98" t="s">
        <v>302</v>
      </c>
      <c r="L44" s="179" t="str">
        <f>C44</f>
        <v>BRSSZ</v>
      </c>
    </row>
    <row r="45" spans="2:17" ht="15.6" customHeight="1">
      <c r="B45" s="5" t="s">
        <v>365</v>
      </c>
      <c r="C45" s="4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H45" s="4" t="s">
        <v>9</v>
      </c>
      <c r="I45" s="5" t="s">
        <v>47</v>
      </c>
      <c r="K45" s="5" t="s">
        <v>308</v>
      </c>
      <c r="L45" s="4" t="s">
        <v>4</v>
      </c>
      <c r="M45" s="4" t="s">
        <v>5</v>
      </c>
      <c r="N45" s="4" t="s">
        <v>6</v>
      </c>
      <c r="O45" s="4" t="s">
        <v>7</v>
      </c>
      <c r="P45" s="4" t="s">
        <v>8</v>
      </c>
      <c r="Q45" s="4" t="s">
        <v>9</v>
      </c>
    </row>
    <row r="46" spans="2:17">
      <c r="B46" s="10" t="s">
        <v>4</v>
      </c>
      <c r="C46" s="11"/>
      <c r="D46" s="12"/>
      <c r="E46" s="12"/>
      <c r="F46" s="12"/>
      <c r="G46" s="12">
        <f t="shared" ref="G46:H50" si="3">G28</f>
        <v>226</v>
      </c>
      <c r="H46" s="12">
        <f t="shared" si="3"/>
        <v>648</v>
      </c>
      <c r="I46" s="13">
        <f t="shared" ref="I46:I51" si="4">SUM(C46:H46)</f>
        <v>874</v>
      </c>
      <c r="K46" s="10" t="s">
        <v>4</v>
      </c>
      <c r="L46" s="171">
        <f>IF(C46=0,0,$F$42/$I$52)</f>
        <v>0</v>
      </c>
      <c r="M46" s="60">
        <f t="shared" ref="M46:Q51" si="5">IF(D46=0,0,$F$42/$I$52)</f>
        <v>0</v>
      </c>
      <c r="N46" s="60">
        <f t="shared" si="5"/>
        <v>0</v>
      </c>
      <c r="O46" s="60">
        <f t="shared" si="5"/>
        <v>0</v>
      </c>
      <c r="P46" s="60">
        <f t="shared" si="5"/>
        <v>5.1455798377952506</v>
      </c>
      <c r="Q46" s="60">
        <f t="shared" si="5"/>
        <v>5.1455798377952506</v>
      </c>
    </row>
    <row r="47" spans="2:17">
      <c r="B47" s="10" t="s">
        <v>5</v>
      </c>
      <c r="C47" s="12"/>
      <c r="D47" s="11"/>
      <c r="E47" s="12"/>
      <c r="F47" s="12"/>
      <c r="G47" s="12">
        <f t="shared" si="3"/>
        <v>20</v>
      </c>
      <c r="H47" s="12">
        <f t="shared" si="3"/>
        <v>136</v>
      </c>
      <c r="I47" s="13">
        <f t="shared" si="4"/>
        <v>156</v>
      </c>
      <c r="K47" s="10" t="s">
        <v>5</v>
      </c>
      <c r="L47" s="60">
        <f t="shared" ref="L47:L50" si="6">IF(C47=0,0,$F$42/$I$52)</f>
        <v>0</v>
      </c>
      <c r="M47" s="171">
        <f t="shared" si="5"/>
        <v>0</v>
      </c>
      <c r="N47" s="60">
        <f t="shared" si="5"/>
        <v>0</v>
      </c>
      <c r="O47" s="60">
        <f t="shared" si="5"/>
        <v>0</v>
      </c>
      <c r="P47" s="60">
        <f t="shared" si="5"/>
        <v>5.1455798377952506</v>
      </c>
      <c r="Q47" s="60">
        <f t="shared" si="5"/>
        <v>5.1455798377952506</v>
      </c>
    </row>
    <row r="48" spans="2:17">
      <c r="B48" s="10" t="s">
        <v>6</v>
      </c>
      <c r="C48" s="12"/>
      <c r="D48" s="12"/>
      <c r="E48" s="11"/>
      <c r="F48" s="12"/>
      <c r="G48" s="12">
        <f t="shared" si="3"/>
        <v>30</v>
      </c>
      <c r="H48" s="12">
        <f t="shared" si="3"/>
        <v>58</v>
      </c>
      <c r="I48" s="13">
        <f t="shared" si="4"/>
        <v>88</v>
      </c>
      <c r="K48" s="10" t="s">
        <v>6</v>
      </c>
      <c r="L48" s="60">
        <f t="shared" si="6"/>
        <v>0</v>
      </c>
      <c r="M48" s="60">
        <f t="shared" si="5"/>
        <v>0</v>
      </c>
      <c r="N48" s="171">
        <f t="shared" si="5"/>
        <v>0</v>
      </c>
      <c r="O48" s="60">
        <f t="shared" si="5"/>
        <v>0</v>
      </c>
      <c r="P48" s="60">
        <f t="shared" si="5"/>
        <v>5.1455798377952506</v>
      </c>
      <c r="Q48" s="60">
        <f t="shared" si="5"/>
        <v>5.1455798377952506</v>
      </c>
    </row>
    <row r="49" spans="2:17">
      <c r="B49" s="10" t="s">
        <v>7</v>
      </c>
      <c r="C49" s="12"/>
      <c r="D49" s="12"/>
      <c r="E49" s="12"/>
      <c r="F49" s="11"/>
      <c r="G49" s="12">
        <f t="shared" si="3"/>
        <v>0</v>
      </c>
      <c r="H49" s="12">
        <f t="shared" si="3"/>
        <v>0</v>
      </c>
      <c r="I49" s="13">
        <f t="shared" si="4"/>
        <v>0</v>
      </c>
      <c r="K49" s="10" t="s">
        <v>7</v>
      </c>
      <c r="L49" s="60">
        <f t="shared" si="6"/>
        <v>0</v>
      </c>
      <c r="M49" s="60">
        <f t="shared" si="5"/>
        <v>0</v>
      </c>
      <c r="N49" s="60">
        <f t="shared" si="5"/>
        <v>0</v>
      </c>
      <c r="O49" s="171">
        <f t="shared" si="5"/>
        <v>0</v>
      </c>
      <c r="P49" s="60">
        <f t="shared" si="5"/>
        <v>0</v>
      </c>
      <c r="Q49" s="60">
        <f t="shared" si="5"/>
        <v>0</v>
      </c>
    </row>
    <row r="50" spans="2:17">
      <c r="B50" s="10" t="s">
        <v>8</v>
      </c>
      <c r="C50" s="12"/>
      <c r="D50" s="12"/>
      <c r="E50" s="12"/>
      <c r="F50" s="12"/>
      <c r="G50" s="11">
        <f t="shared" si="3"/>
        <v>0</v>
      </c>
      <c r="H50" s="12">
        <f t="shared" si="3"/>
        <v>0</v>
      </c>
      <c r="I50" s="13">
        <f t="shared" si="4"/>
        <v>0</v>
      </c>
      <c r="K50" s="10" t="s">
        <v>8</v>
      </c>
      <c r="L50" s="60">
        <f t="shared" si="6"/>
        <v>0</v>
      </c>
      <c r="M50" s="60">
        <f t="shared" si="5"/>
        <v>0</v>
      </c>
      <c r="N50" s="60">
        <f t="shared" si="5"/>
        <v>0</v>
      </c>
      <c r="O50" s="60">
        <f t="shared" si="5"/>
        <v>0</v>
      </c>
      <c r="P50" s="171">
        <f t="shared" si="5"/>
        <v>0</v>
      </c>
      <c r="Q50" s="60">
        <f t="shared" si="5"/>
        <v>0</v>
      </c>
    </row>
    <row r="51" spans="2:17">
      <c r="B51" s="10" t="s">
        <v>9</v>
      </c>
      <c r="C51" s="12">
        <f t="shared" ref="C51:H51" si="7">C33</f>
        <v>229</v>
      </c>
      <c r="D51" s="12">
        <f t="shared" si="7"/>
        <v>221</v>
      </c>
      <c r="E51" s="12">
        <f t="shared" si="7"/>
        <v>272</v>
      </c>
      <c r="F51" s="12">
        <f t="shared" si="7"/>
        <v>102</v>
      </c>
      <c r="G51" s="12">
        <f t="shared" si="7"/>
        <v>0</v>
      </c>
      <c r="H51" s="11">
        <f t="shared" si="7"/>
        <v>0</v>
      </c>
      <c r="I51" s="13">
        <f t="shared" si="4"/>
        <v>824</v>
      </c>
      <c r="K51" s="10" t="s">
        <v>9</v>
      </c>
      <c r="L51" s="60">
        <f>IF(C51=0,0,$F$42/$I$52)</f>
        <v>5.1455798377952506</v>
      </c>
      <c r="M51" s="60">
        <f t="shared" si="5"/>
        <v>5.1455798377952506</v>
      </c>
      <c r="N51" s="60">
        <f t="shared" si="5"/>
        <v>5.1455798377952506</v>
      </c>
      <c r="O51" s="60">
        <f t="shared" si="5"/>
        <v>5.1455798377952506</v>
      </c>
      <c r="P51" s="60">
        <f t="shared" si="5"/>
        <v>0</v>
      </c>
      <c r="Q51" s="171">
        <f t="shared" si="5"/>
        <v>0</v>
      </c>
    </row>
    <row r="52" spans="2:17">
      <c r="B52" s="16" t="s">
        <v>48</v>
      </c>
      <c r="C52" s="13">
        <f t="shared" ref="C52:I52" si="8">SUM(C46:C51)</f>
        <v>229</v>
      </c>
      <c r="D52" s="13">
        <f t="shared" si="8"/>
        <v>221</v>
      </c>
      <c r="E52" s="13">
        <f t="shared" si="8"/>
        <v>272</v>
      </c>
      <c r="F52" s="13">
        <f t="shared" si="8"/>
        <v>102</v>
      </c>
      <c r="G52" s="13">
        <f t="shared" si="8"/>
        <v>276</v>
      </c>
      <c r="H52" s="13">
        <f t="shared" si="8"/>
        <v>842</v>
      </c>
      <c r="I52" s="13">
        <f t="shared" si="8"/>
        <v>1942</v>
      </c>
    </row>
    <row r="56" spans="2:17">
      <c r="B56" s="98" t="s">
        <v>302</v>
      </c>
      <c r="C56" s="179" t="s">
        <v>8</v>
      </c>
    </row>
    <row r="57" spans="2:17">
      <c r="B57" s="98" t="s">
        <v>307</v>
      </c>
      <c r="C57" s="98"/>
      <c r="D57" s="98" t="s">
        <v>403</v>
      </c>
      <c r="E57" s="98" t="s">
        <v>235</v>
      </c>
      <c r="F57" s="178" t="s">
        <v>309</v>
      </c>
    </row>
    <row r="58" spans="2:17" ht="18">
      <c r="B58" s="199" t="s">
        <v>356</v>
      </c>
      <c r="C58" s="12"/>
      <c r="D58" s="12">
        <f>D8*$C$19</f>
        <v>5837.9593233685973</v>
      </c>
      <c r="E58" s="12">
        <f>$C$22</f>
        <v>1</v>
      </c>
      <c r="F58" s="12">
        <f>(C58+D58)*E58</f>
        <v>5837.9593233685973</v>
      </c>
    </row>
    <row r="59" spans="2:17" ht="18">
      <c r="B59" s="199" t="s">
        <v>354</v>
      </c>
      <c r="C59" s="39"/>
      <c r="D59" s="39">
        <f>D8*$D$19</f>
        <v>0.35213087982223285</v>
      </c>
      <c r="E59" s="18">
        <f>$C$23</f>
        <v>28</v>
      </c>
      <c r="F59" s="12">
        <f t="shared" ref="F59:F60" si="9">(C59+D59)*E59</f>
        <v>9.8596646350225203</v>
      </c>
    </row>
    <row r="60" spans="2:17" ht="18">
      <c r="B60" s="199" t="s">
        <v>355</v>
      </c>
      <c r="C60" s="194"/>
      <c r="D60" s="194">
        <f>D8*$E$19</f>
        <v>0.16062110307680799</v>
      </c>
      <c r="E60" s="18">
        <f>$C$24</f>
        <v>265</v>
      </c>
      <c r="F60" s="12">
        <f t="shared" si="9"/>
        <v>42.564592315354119</v>
      </c>
    </row>
    <row r="61" spans="2:17" ht="15.6" customHeight="1">
      <c r="B61" s="278" t="s">
        <v>10</v>
      </c>
      <c r="C61" s="278"/>
      <c r="D61" s="278"/>
      <c r="E61" s="278"/>
      <c r="F61" s="200">
        <f>SUM(F58:F60)</f>
        <v>5890.3835803189741</v>
      </c>
    </row>
    <row r="62" spans="2:17" ht="15.6" customHeight="1"/>
    <row r="63" spans="2:17">
      <c r="B63" s="98" t="s">
        <v>302</v>
      </c>
      <c r="C63" s="179" t="str">
        <f>C56</f>
        <v>BRIGI</v>
      </c>
      <c r="K63" s="98" t="s">
        <v>302</v>
      </c>
      <c r="L63" s="179" t="str">
        <f>C63</f>
        <v>BRIGI</v>
      </c>
    </row>
    <row r="64" spans="2:17" ht="15.6" customHeight="1">
      <c r="B64" s="5" t="s">
        <v>365</v>
      </c>
      <c r="C64" s="4" t="s">
        <v>4</v>
      </c>
      <c r="D64" s="4" t="s">
        <v>5</v>
      </c>
      <c r="E64" s="4" t="s">
        <v>6</v>
      </c>
      <c r="F64" s="4" t="s">
        <v>7</v>
      </c>
      <c r="G64" s="4" t="s">
        <v>8</v>
      </c>
      <c r="H64" s="4" t="s">
        <v>9</v>
      </c>
      <c r="I64" s="5" t="s">
        <v>47</v>
      </c>
      <c r="K64" s="5" t="s">
        <v>308</v>
      </c>
      <c r="L64" s="4" t="s">
        <v>4</v>
      </c>
      <c r="M64" s="4" t="s">
        <v>5</v>
      </c>
      <c r="N64" s="4" t="s">
        <v>6</v>
      </c>
      <c r="O64" s="4" t="s">
        <v>7</v>
      </c>
      <c r="P64" s="4" t="s">
        <v>8</v>
      </c>
      <c r="Q64" s="4" t="s">
        <v>9</v>
      </c>
    </row>
    <row r="65" spans="2:17">
      <c r="B65" s="10" t="s">
        <v>4</v>
      </c>
      <c r="C65" s="11"/>
      <c r="D65" s="12"/>
      <c r="E65" s="12"/>
      <c r="F65" s="12"/>
      <c r="G65" s="12">
        <f t="shared" ref="G65:G68" si="10">G28</f>
        <v>226</v>
      </c>
      <c r="H65" s="12"/>
      <c r="I65" s="13">
        <f t="shared" ref="I65:I70" si="11">SUM(C65:H65)</f>
        <v>226</v>
      </c>
      <c r="K65" s="10" t="s">
        <v>4</v>
      </c>
      <c r="L65" s="171">
        <f>IF(C65=0,0,$F$61/$I$71)</f>
        <v>0</v>
      </c>
      <c r="M65" s="60">
        <f t="shared" ref="M65:Q70" si="12">IF(D65=0,0,$F$61/$I$71)</f>
        <v>0</v>
      </c>
      <c r="N65" s="60">
        <f t="shared" si="12"/>
        <v>0</v>
      </c>
      <c r="O65" s="60">
        <f t="shared" si="12"/>
        <v>0</v>
      </c>
      <c r="P65" s="60">
        <f t="shared" si="12"/>
        <v>4.0707557569585173</v>
      </c>
      <c r="Q65" s="60">
        <f t="shared" si="12"/>
        <v>0</v>
      </c>
    </row>
    <row r="66" spans="2:17">
      <c r="B66" s="10" t="s">
        <v>5</v>
      </c>
      <c r="C66" s="12"/>
      <c r="D66" s="11"/>
      <c r="E66" s="12"/>
      <c r="F66" s="12"/>
      <c r="G66" s="12">
        <f t="shared" si="10"/>
        <v>20</v>
      </c>
      <c r="H66" s="12"/>
      <c r="I66" s="13">
        <f t="shared" si="11"/>
        <v>20</v>
      </c>
      <c r="K66" s="10" t="s">
        <v>5</v>
      </c>
      <c r="L66" s="60">
        <f t="shared" ref="L66:L70" si="13">IF(C66=0,0,$F$61/$I$71)</f>
        <v>0</v>
      </c>
      <c r="M66" s="171">
        <f t="shared" si="12"/>
        <v>0</v>
      </c>
      <c r="N66" s="60">
        <f t="shared" si="12"/>
        <v>0</v>
      </c>
      <c r="O66" s="60">
        <f t="shared" si="12"/>
        <v>0</v>
      </c>
      <c r="P66" s="60">
        <f t="shared" si="12"/>
        <v>4.0707557569585173</v>
      </c>
      <c r="Q66" s="60">
        <f t="shared" si="12"/>
        <v>0</v>
      </c>
    </row>
    <row r="67" spans="2:17">
      <c r="B67" s="10" t="s">
        <v>6</v>
      </c>
      <c r="C67" s="12"/>
      <c r="D67" s="12"/>
      <c r="E67" s="11"/>
      <c r="F67" s="12"/>
      <c r="G67" s="12">
        <f t="shared" si="10"/>
        <v>30</v>
      </c>
      <c r="H67" s="12"/>
      <c r="I67" s="13">
        <f t="shared" si="11"/>
        <v>30</v>
      </c>
      <c r="K67" s="10" t="s">
        <v>6</v>
      </c>
      <c r="L67" s="60">
        <f t="shared" si="13"/>
        <v>0</v>
      </c>
      <c r="M67" s="60">
        <f t="shared" si="12"/>
        <v>0</v>
      </c>
      <c r="N67" s="171">
        <f t="shared" si="12"/>
        <v>0</v>
      </c>
      <c r="O67" s="60">
        <f t="shared" si="12"/>
        <v>0</v>
      </c>
      <c r="P67" s="60">
        <f t="shared" si="12"/>
        <v>4.0707557569585173</v>
      </c>
      <c r="Q67" s="60">
        <f t="shared" si="12"/>
        <v>0</v>
      </c>
    </row>
    <row r="68" spans="2:17">
      <c r="B68" s="10" t="s">
        <v>7</v>
      </c>
      <c r="C68" s="12"/>
      <c r="D68" s="12"/>
      <c r="E68" s="12"/>
      <c r="F68" s="11"/>
      <c r="G68" s="12">
        <f t="shared" si="10"/>
        <v>0</v>
      </c>
      <c r="H68" s="12"/>
      <c r="I68" s="13">
        <f t="shared" si="11"/>
        <v>0</v>
      </c>
      <c r="K68" s="10" t="s">
        <v>7</v>
      </c>
      <c r="L68" s="60">
        <f t="shared" si="13"/>
        <v>0</v>
      </c>
      <c r="M68" s="60">
        <f t="shared" si="12"/>
        <v>0</v>
      </c>
      <c r="N68" s="60">
        <f t="shared" si="12"/>
        <v>0</v>
      </c>
      <c r="O68" s="171">
        <f t="shared" si="12"/>
        <v>0</v>
      </c>
      <c r="P68" s="60">
        <f t="shared" si="12"/>
        <v>0</v>
      </c>
      <c r="Q68" s="60">
        <f t="shared" si="12"/>
        <v>0</v>
      </c>
    </row>
    <row r="69" spans="2:17">
      <c r="B69" s="10" t="s">
        <v>8</v>
      </c>
      <c r="C69" s="12">
        <f t="shared" ref="C69:G70" si="14">C32</f>
        <v>61</v>
      </c>
      <c r="D69" s="12">
        <f t="shared" si="14"/>
        <v>120</v>
      </c>
      <c r="E69" s="12">
        <f t="shared" si="14"/>
        <v>119</v>
      </c>
      <c r="F69" s="12">
        <f t="shared" si="14"/>
        <v>47</v>
      </c>
      <c r="G69" s="11">
        <f t="shared" si="14"/>
        <v>0</v>
      </c>
      <c r="H69" s="12"/>
      <c r="I69" s="13">
        <f t="shared" si="11"/>
        <v>347</v>
      </c>
      <c r="K69" s="10" t="s">
        <v>8</v>
      </c>
      <c r="L69" s="60">
        <f t="shared" si="13"/>
        <v>4.0707557569585173</v>
      </c>
      <c r="M69" s="60">
        <f t="shared" si="12"/>
        <v>4.0707557569585173</v>
      </c>
      <c r="N69" s="60">
        <f t="shared" si="12"/>
        <v>4.0707557569585173</v>
      </c>
      <c r="O69" s="60">
        <f t="shared" si="12"/>
        <v>4.0707557569585173</v>
      </c>
      <c r="P69" s="171">
        <f t="shared" si="12"/>
        <v>0</v>
      </c>
      <c r="Q69" s="60">
        <f t="shared" si="12"/>
        <v>0</v>
      </c>
    </row>
    <row r="70" spans="2:17">
      <c r="B70" s="10" t="s">
        <v>9</v>
      </c>
      <c r="C70" s="12">
        <f t="shared" si="14"/>
        <v>229</v>
      </c>
      <c r="D70" s="12">
        <f t="shared" si="14"/>
        <v>221</v>
      </c>
      <c r="E70" s="12">
        <f t="shared" si="14"/>
        <v>272</v>
      </c>
      <c r="F70" s="12">
        <f t="shared" si="14"/>
        <v>102</v>
      </c>
      <c r="G70" s="12">
        <f t="shared" si="14"/>
        <v>0</v>
      </c>
      <c r="H70" s="11"/>
      <c r="I70" s="13">
        <f t="shared" si="11"/>
        <v>824</v>
      </c>
      <c r="K70" s="10" t="s">
        <v>9</v>
      </c>
      <c r="L70" s="60">
        <f t="shared" si="13"/>
        <v>4.0707557569585173</v>
      </c>
      <c r="M70" s="60">
        <f t="shared" si="12"/>
        <v>4.0707557569585173</v>
      </c>
      <c r="N70" s="60">
        <f t="shared" si="12"/>
        <v>4.0707557569585173</v>
      </c>
      <c r="O70" s="60">
        <f t="shared" si="12"/>
        <v>4.0707557569585173</v>
      </c>
      <c r="P70" s="60">
        <f t="shared" si="12"/>
        <v>0</v>
      </c>
      <c r="Q70" s="171">
        <f t="shared" si="12"/>
        <v>0</v>
      </c>
    </row>
    <row r="71" spans="2:17">
      <c r="B71" s="16" t="s">
        <v>48</v>
      </c>
      <c r="C71" s="13">
        <f t="shared" ref="C71:I71" si="15">SUM(C65:C70)</f>
        <v>290</v>
      </c>
      <c r="D71" s="13">
        <f t="shared" si="15"/>
        <v>341</v>
      </c>
      <c r="E71" s="13">
        <f t="shared" si="15"/>
        <v>391</v>
      </c>
      <c r="F71" s="13">
        <f t="shared" si="15"/>
        <v>149</v>
      </c>
      <c r="G71" s="13">
        <f t="shared" si="15"/>
        <v>276</v>
      </c>
      <c r="H71" s="13">
        <f t="shared" si="15"/>
        <v>0</v>
      </c>
      <c r="I71" s="13">
        <f t="shared" si="15"/>
        <v>1447</v>
      </c>
    </row>
    <row r="75" spans="2:17">
      <c r="B75" s="98" t="s">
        <v>302</v>
      </c>
      <c r="C75" s="179" t="s">
        <v>7</v>
      </c>
    </row>
    <row r="76" spans="2:17">
      <c r="B76" s="98" t="s">
        <v>307</v>
      </c>
      <c r="C76" s="98"/>
      <c r="D76" s="98" t="s">
        <v>403</v>
      </c>
      <c r="E76" s="98" t="s">
        <v>235</v>
      </c>
      <c r="F76" s="178" t="s">
        <v>309</v>
      </c>
    </row>
    <row r="77" spans="2:17" ht="18">
      <c r="B77" s="199" t="s">
        <v>356</v>
      </c>
      <c r="C77" s="12"/>
      <c r="D77" s="12">
        <f>D9*$C$19</f>
        <v>2506.789450091992</v>
      </c>
      <c r="E77" s="12">
        <f>$C$22</f>
        <v>1</v>
      </c>
      <c r="F77" s="12">
        <f>(C77+D77)*E77</f>
        <v>2506.789450091992</v>
      </c>
    </row>
    <row r="78" spans="2:17" ht="18">
      <c r="B78" s="199" t="s">
        <v>354</v>
      </c>
      <c r="C78" s="39"/>
      <c r="D78" s="39">
        <f>D9*$D$19</f>
        <v>0.15120317318015189</v>
      </c>
      <c r="E78" s="18">
        <f>$C$23</f>
        <v>28</v>
      </c>
      <c r="F78" s="12">
        <f t="shared" ref="F78:F79" si="16">(C78+D78)*E78</f>
        <v>4.2336888490442526</v>
      </c>
    </row>
    <row r="79" spans="2:17" ht="18">
      <c r="B79" s="199" t="s">
        <v>355</v>
      </c>
      <c r="C79" s="194"/>
      <c r="D79" s="194">
        <f>D9*$E$19</f>
        <v>6.8969868468139461E-2</v>
      </c>
      <c r="E79" s="18">
        <f>$C$24</f>
        <v>265</v>
      </c>
      <c r="F79" s="12">
        <f t="shared" si="16"/>
        <v>18.277015144056957</v>
      </c>
    </row>
    <row r="80" spans="2:17" ht="15.6" customHeight="1">
      <c r="B80" s="278" t="s">
        <v>10</v>
      </c>
      <c r="C80" s="278"/>
      <c r="D80" s="278"/>
      <c r="E80" s="278"/>
      <c r="F80" s="200">
        <f>SUM(F77:F79)</f>
        <v>2529.3001540850928</v>
      </c>
    </row>
    <row r="81" spans="2:17" ht="15.6" customHeight="1"/>
    <row r="82" spans="2:17">
      <c r="B82" s="98" t="s">
        <v>302</v>
      </c>
      <c r="C82" s="179" t="str">
        <f>C75</f>
        <v>BRSSA</v>
      </c>
      <c r="K82" s="98" t="s">
        <v>302</v>
      </c>
      <c r="L82" s="179" t="str">
        <f>C82</f>
        <v>BRSSA</v>
      </c>
    </row>
    <row r="83" spans="2:17" ht="15.6" customHeight="1">
      <c r="B83" s="5" t="s">
        <v>365</v>
      </c>
      <c r="C83" s="4" t="s">
        <v>4</v>
      </c>
      <c r="D83" s="4" t="s">
        <v>5</v>
      </c>
      <c r="E83" s="4" t="s">
        <v>6</v>
      </c>
      <c r="F83" s="4" t="s">
        <v>7</v>
      </c>
      <c r="G83" s="4" t="s">
        <v>8</v>
      </c>
      <c r="H83" s="4" t="s">
        <v>9</v>
      </c>
      <c r="I83" s="5" t="s">
        <v>47</v>
      </c>
      <c r="K83" s="5" t="s">
        <v>308</v>
      </c>
      <c r="L83" s="4" t="s">
        <v>4</v>
      </c>
      <c r="M83" s="4" t="s">
        <v>5</v>
      </c>
      <c r="N83" s="4" t="s">
        <v>6</v>
      </c>
      <c r="O83" s="4" t="s">
        <v>7</v>
      </c>
      <c r="P83" s="4" t="s">
        <v>8</v>
      </c>
      <c r="Q83" s="4" t="s">
        <v>9</v>
      </c>
    </row>
    <row r="84" spans="2:17">
      <c r="B84" s="10" t="s">
        <v>4</v>
      </c>
      <c r="C84" s="11"/>
      <c r="D84" s="12"/>
      <c r="E84" s="12"/>
      <c r="F84" s="12"/>
      <c r="G84" s="12"/>
      <c r="H84" s="12"/>
      <c r="I84" s="13">
        <f t="shared" ref="I84:I89" si="17">SUM(C84:H84)</f>
        <v>0</v>
      </c>
      <c r="K84" s="10" t="s">
        <v>4</v>
      </c>
      <c r="L84" s="171">
        <f t="shared" ref="L84:Q89" si="18">IF(C84=0,0,$F$80/$I$90)</f>
        <v>0</v>
      </c>
      <c r="M84" s="60">
        <f t="shared" si="18"/>
        <v>0</v>
      </c>
      <c r="N84" s="60">
        <f t="shared" si="18"/>
        <v>0</v>
      </c>
      <c r="O84" s="60">
        <f t="shared" si="18"/>
        <v>0</v>
      </c>
      <c r="P84" s="60">
        <f t="shared" si="18"/>
        <v>0</v>
      </c>
      <c r="Q84" s="60">
        <f t="shared" si="18"/>
        <v>0</v>
      </c>
    </row>
    <row r="85" spans="2:17">
      <c r="B85" s="10" t="s">
        <v>5</v>
      </c>
      <c r="C85" s="12"/>
      <c r="D85" s="11"/>
      <c r="E85" s="12"/>
      <c r="F85" s="12"/>
      <c r="G85" s="12"/>
      <c r="H85" s="12"/>
      <c r="I85" s="13">
        <f t="shared" si="17"/>
        <v>0</v>
      </c>
      <c r="K85" s="10" t="s">
        <v>5</v>
      </c>
      <c r="L85" s="60">
        <f t="shared" si="18"/>
        <v>0</v>
      </c>
      <c r="M85" s="171">
        <f t="shared" si="18"/>
        <v>0</v>
      </c>
      <c r="N85" s="60">
        <f t="shared" si="18"/>
        <v>0</v>
      </c>
      <c r="O85" s="60">
        <f t="shared" si="18"/>
        <v>0</v>
      </c>
      <c r="P85" s="60">
        <f t="shared" si="18"/>
        <v>0</v>
      </c>
      <c r="Q85" s="60">
        <f t="shared" si="18"/>
        <v>0</v>
      </c>
    </row>
    <row r="86" spans="2:17">
      <c r="B86" s="10" t="s">
        <v>6</v>
      </c>
      <c r="C86" s="12"/>
      <c r="D86" s="12"/>
      <c r="E86" s="11"/>
      <c r="F86" s="12"/>
      <c r="G86" s="12"/>
      <c r="H86" s="12"/>
      <c r="I86" s="13">
        <f t="shared" si="17"/>
        <v>0</v>
      </c>
      <c r="K86" s="10" t="s">
        <v>6</v>
      </c>
      <c r="L86" s="60">
        <f t="shared" si="18"/>
        <v>0</v>
      </c>
      <c r="M86" s="60">
        <f t="shared" si="18"/>
        <v>0</v>
      </c>
      <c r="N86" s="171">
        <f t="shared" si="18"/>
        <v>0</v>
      </c>
      <c r="O86" s="60">
        <f t="shared" si="18"/>
        <v>0</v>
      </c>
      <c r="P86" s="60">
        <f t="shared" si="18"/>
        <v>0</v>
      </c>
      <c r="Q86" s="60">
        <f t="shared" si="18"/>
        <v>0</v>
      </c>
    </row>
    <row r="87" spans="2:17">
      <c r="B87" s="10" t="s">
        <v>7</v>
      </c>
      <c r="C87" s="12">
        <f t="shared" ref="C87:F89" si="19">C31</f>
        <v>86</v>
      </c>
      <c r="D87" s="12">
        <f t="shared" si="19"/>
        <v>9</v>
      </c>
      <c r="E87" s="12">
        <f t="shared" si="19"/>
        <v>1</v>
      </c>
      <c r="F87" s="11">
        <f t="shared" si="19"/>
        <v>0</v>
      </c>
      <c r="G87" s="12"/>
      <c r="H87" s="12"/>
      <c r="I87" s="13">
        <f t="shared" si="17"/>
        <v>96</v>
      </c>
      <c r="K87" s="10" t="s">
        <v>7</v>
      </c>
      <c r="L87" s="60">
        <f>IF(C87=0,0,$F$80/$I$90)</f>
        <v>1.9962905714957322</v>
      </c>
      <c r="M87" s="60">
        <f t="shared" si="18"/>
        <v>1.9962905714957322</v>
      </c>
      <c r="N87" s="60">
        <f t="shared" si="18"/>
        <v>1.9962905714957322</v>
      </c>
      <c r="O87" s="171">
        <f t="shared" si="18"/>
        <v>0</v>
      </c>
      <c r="P87" s="60">
        <f t="shared" si="18"/>
        <v>0</v>
      </c>
      <c r="Q87" s="60">
        <f t="shared" si="18"/>
        <v>0</v>
      </c>
    </row>
    <row r="88" spans="2:17">
      <c r="B88" s="10" t="s">
        <v>8</v>
      </c>
      <c r="C88" s="12">
        <f t="shared" si="19"/>
        <v>61</v>
      </c>
      <c r="D88" s="12">
        <f t="shared" si="19"/>
        <v>120</v>
      </c>
      <c r="E88" s="12">
        <f t="shared" si="19"/>
        <v>119</v>
      </c>
      <c r="F88" s="12">
        <f t="shared" si="19"/>
        <v>47</v>
      </c>
      <c r="G88" s="11"/>
      <c r="H88" s="12"/>
      <c r="I88" s="13">
        <f t="shared" si="17"/>
        <v>347</v>
      </c>
      <c r="K88" s="10" t="s">
        <v>8</v>
      </c>
      <c r="L88" s="60">
        <f t="shared" ref="L88:L89" si="20">IF(C88=0,0,$F$80/$I$90)</f>
        <v>1.9962905714957322</v>
      </c>
      <c r="M88" s="60">
        <f t="shared" si="18"/>
        <v>1.9962905714957322</v>
      </c>
      <c r="N88" s="60">
        <f t="shared" si="18"/>
        <v>1.9962905714957322</v>
      </c>
      <c r="O88" s="60">
        <f t="shared" si="18"/>
        <v>1.9962905714957322</v>
      </c>
      <c r="P88" s="171">
        <f t="shared" si="18"/>
        <v>0</v>
      </c>
      <c r="Q88" s="60">
        <f t="shared" si="18"/>
        <v>0</v>
      </c>
    </row>
    <row r="89" spans="2:17">
      <c r="B89" s="10" t="s">
        <v>9</v>
      </c>
      <c r="C89" s="12">
        <f t="shared" si="19"/>
        <v>229</v>
      </c>
      <c r="D89" s="12">
        <f t="shared" si="19"/>
        <v>221</v>
      </c>
      <c r="E89" s="12">
        <f t="shared" si="19"/>
        <v>272</v>
      </c>
      <c r="F89" s="12">
        <f t="shared" si="19"/>
        <v>102</v>
      </c>
      <c r="G89" s="12"/>
      <c r="H89" s="11"/>
      <c r="I89" s="13">
        <f t="shared" si="17"/>
        <v>824</v>
      </c>
      <c r="K89" s="10" t="s">
        <v>9</v>
      </c>
      <c r="L89" s="60">
        <f t="shared" si="20"/>
        <v>1.9962905714957322</v>
      </c>
      <c r="M89" s="60">
        <f t="shared" si="18"/>
        <v>1.9962905714957322</v>
      </c>
      <c r="N89" s="60">
        <f t="shared" si="18"/>
        <v>1.9962905714957322</v>
      </c>
      <c r="O89" s="60">
        <f t="shared" si="18"/>
        <v>1.9962905714957322</v>
      </c>
      <c r="P89" s="60">
        <f t="shared" si="18"/>
        <v>0</v>
      </c>
      <c r="Q89" s="171">
        <f t="shared" si="18"/>
        <v>0</v>
      </c>
    </row>
    <row r="90" spans="2:17">
      <c r="B90" s="16" t="s">
        <v>48</v>
      </c>
      <c r="C90" s="13">
        <f t="shared" ref="C90:I90" si="21">SUM(C84:C89)</f>
        <v>376</v>
      </c>
      <c r="D90" s="13">
        <f t="shared" si="21"/>
        <v>350</v>
      </c>
      <c r="E90" s="13">
        <f t="shared" si="21"/>
        <v>392</v>
      </c>
      <c r="F90" s="13">
        <f t="shared" si="21"/>
        <v>149</v>
      </c>
      <c r="G90" s="13">
        <f t="shared" si="21"/>
        <v>0</v>
      </c>
      <c r="H90" s="13">
        <f t="shared" si="21"/>
        <v>0</v>
      </c>
      <c r="I90" s="13">
        <f t="shared" si="21"/>
        <v>1267</v>
      </c>
    </row>
    <row r="94" spans="2:17">
      <c r="B94" s="98" t="s">
        <v>302</v>
      </c>
      <c r="C94" s="179" t="s">
        <v>6</v>
      </c>
    </row>
    <row r="95" spans="2:17">
      <c r="B95" s="98" t="s">
        <v>307</v>
      </c>
      <c r="C95" s="98"/>
      <c r="D95" s="98" t="s">
        <v>403</v>
      </c>
      <c r="E95" s="98" t="s">
        <v>235</v>
      </c>
      <c r="F95" s="178" t="s">
        <v>309</v>
      </c>
    </row>
    <row r="96" spans="2:17" ht="18">
      <c r="B96" s="199" t="s">
        <v>356</v>
      </c>
      <c r="C96" s="12"/>
      <c r="D96" s="12">
        <f>D10*$C$19</f>
        <v>11936.692045907839</v>
      </c>
      <c r="E96" s="12">
        <f>$C$22</f>
        <v>1</v>
      </c>
      <c r="F96" s="12">
        <f>(C96+D96)*E96</f>
        <v>11936.692045907839</v>
      </c>
    </row>
    <row r="97" spans="2:17" ht="18">
      <c r="B97" s="199" t="s">
        <v>354</v>
      </c>
      <c r="C97" s="39"/>
      <c r="D97" s="39">
        <f>D10*$D$19</f>
        <v>0.71999094880079029</v>
      </c>
      <c r="E97" s="18">
        <f>$C$23</f>
        <v>28</v>
      </c>
      <c r="F97" s="12">
        <f t="shared" ref="F97:F98" si="22">(C97+D97)*E97</f>
        <v>20.159746566422129</v>
      </c>
    </row>
    <row r="98" spans="2:17" ht="18">
      <c r="B98" s="199" t="s">
        <v>355</v>
      </c>
      <c r="C98" s="194"/>
      <c r="D98" s="194">
        <f>D10*$E$19</f>
        <v>0.32841692401439559</v>
      </c>
      <c r="E98" s="18">
        <f>$C$24</f>
        <v>265</v>
      </c>
      <c r="F98" s="12">
        <f t="shared" si="22"/>
        <v>87.030484863814834</v>
      </c>
    </row>
    <row r="99" spans="2:17" ht="15.6" customHeight="1">
      <c r="B99" s="278" t="s">
        <v>10</v>
      </c>
      <c r="C99" s="278"/>
      <c r="D99" s="278"/>
      <c r="E99" s="278"/>
      <c r="F99" s="200">
        <f>SUM(F96:F98)</f>
        <v>12043.882277338076</v>
      </c>
    </row>
    <row r="100" spans="2:17" ht="15.6" customHeight="1"/>
    <row r="101" spans="2:17">
      <c r="B101" s="98" t="s">
        <v>302</v>
      </c>
      <c r="C101" s="179" t="str">
        <f>C94</f>
        <v>BRSUA</v>
      </c>
      <c r="K101" s="98" t="s">
        <v>302</v>
      </c>
      <c r="L101" s="179" t="str">
        <f>C101</f>
        <v>BRSUA</v>
      </c>
    </row>
    <row r="102" spans="2:17" ht="15.6" customHeight="1">
      <c r="B102" s="5" t="s">
        <v>365</v>
      </c>
      <c r="C102" s="4" t="s">
        <v>4</v>
      </c>
      <c r="D102" s="4" t="s">
        <v>5</v>
      </c>
      <c r="E102" s="4" t="s">
        <v>6</v>
      </c>
      <c r="F102" s="4" t="s">
        <v>7</v>
      </c>
      <c r="G102" s="4" t="s">
        <v>8</v>
      </c>
      <c r="H102" s="4" t="s">
        <v>9</v>
      </c>
      <c r="I102" s="5" t="s">
        <v>47</v>
      </c>
      <c r="K102" s="5" t="s">
        <v>308</v>
      </c>
      <c r="L102" s="4" t="s">
        <v>4</v>
      </c>
      <c r="M102" s="4" t="s">
        <v>5</v>
      </c>
      <c r="N102" s="4" t="s">
        <v>6</v>
      </c>
      <c r="O102" s="4" t="s">
        <v>7</v>
      </c>
      <c r="P102" s="4" t="s">
        <v>8</v>
      </c>
      <c r="Q102" s="4" t="s">
        <v>9</v>
      </c>
    </row>
    <row r="103" spans="2:17">
      <c r="B103" s="10" t="s">
        <v>4</v>
      </c>
      <c r="C103" s="11"/>
      <c r="D103" s="12"/>
      <c r="E103" s="12"/>
      <c r="F103" s="12"/>
      <c r="G103" s="12"/>
      <c r="H103" s="12"/>
      <c r="I103" s="13">
        <f t="shared" ref="I103:I108" si="23">SUM(C103:H103)</f>
        <v>0</v>
      </c>
      <c r="K103" s="10" t="s">
        <v>4</v>
      </c>
      <c r="L103" s="171">
        <f t="shared" ref="L103:Q108" si="24">IF(C103=0,0,$F$99/$I$109)</f>
        <v>0</v>
      </c>
      <c r="M103" s="60">
        <f t="shared" si="24"/>
        <v>0</v>
      </c>
      <c r="N103" s="60">
        <f t="shared" si="24"/>
        <v>0</v>
      </c>
      <c r="O103" s="60">
        <f t="shared" si="24"/>
        <v>0</v>
      </c>
      <c r="P103" s="60">
        <f t="shared" si="24"/>
        <v>0</v>
      </c>
      <c r="Q103" s="60">
        <f t="shared" si="24"/>
        <v>0</v>
      </c>
    </row>
    <row r="104" spans="2:17">
      <c r="B104" s="10" t="s">
        <v>5</v>
      </c>
      <c r="C104" s="12"/>
      <c r="D104" s="11"/>
      <c r="E104" s="12"/>
      <c r="F104" s="12"/>
      <c r="G104" s="12"/>
      <c r="H104" s="12"/>
      <c r="I104" s="13">
        <f t="shared" si="23"/>
        <v>0</v>
      </c>
      <c r="K104" s="10" t="s">
        <v>5</v>
      </c>
      <c r="L104" s="60">
        <f t="shared" si="24"/>
        <v>0</v>
      </c>
      <c r="M104" s="171">
        <f t="shared" si="24"/>
        <v>0</v>
      </c>
      <c r="N104" s="60">
        <f t="shared" si="24"/>
        <v>0</v>
      </c>
      <c r="O104" s="60">
        <f t="shared" si="24"/>
        <v>0</v>
      </c>
      <c r="P104" s="60">
        <f t="shared" si="24"/>
        <v>0</v>
      </c>
      <c r="Q104" s="60">
        <f t="shared" si="24"/>
        <v>0</v>
      </c>
    </row>
    <row r="105" spans="2:17">
      <c r="B105" s="10" t="s">
        <v>6</v>
      </c>
      <c r="C105" s="12">
        <f t="shared" ref="C105:E108" si="25">C30</f>
        <v>331</v>
      </c>
      <c r="D105" s="12">
        <f t="shared" si="25"/>
        <v>0</v>
      </c>
      <c r="E105" s="11">
        <f t="shared" si="25"/>
        <v>0</v>
      </c>
      <c r="F105" s="12"/>
      <c r="G105" s="12"/>
      <c r="H105" s="12"/>
      <c r="I105" s="13">
        <f t="shared" si="23"/>
        <v>331</v>
      </c>
      <c r="K105" s="10" t="s">
        <v>6</v>
      </c>
      <c r="L105" s="60">
        <f t="shared" si="24"/>
        <v>8.3118580243879059</v>
      </c>
      <c r="M105" s="60">
        <f t="shared" si="24"/>
        <v>0</v>
      </c>
      <c r="N105" s="171">
        <f t="shared" si="24"/>
        <v>0</v>
      </c>
      <c r="O105" s="60">
        <f t="shared" si="24"/>
        <v>0</v>
      </c>
      <c r="P105" s="60">
        <f t="shared" si="24"/>
        <v>0</v>
      </c>
      <c r="Q105" s="60">
        <f t="shared" si="24"/>
        <v>0</v>
      </c>
    </row>
    <row r="106" spans="2:17">
      <c r="B106" s="10" t="s">
        <v>7</v>
      </c>
      <c r="C106" s="12">
        <f t="shared" si="25"/>
        <v>86</v>
      </c>
      <c r="D106" s="12">
        <f t="shared" si="25"/>
        <v>9</v>
      </c>
      <c r="E106" s="12">
        <f t="shared" si="25"/>
        <v>1</v>
      </c>
      <c r="F106" s="11"/>
      <c r="G106" s="12"/>
      <c r="H106" s="12"/>
      <c r="I106" s="13">
        <f t="shared" si="23"/>
        <v>96</v>
      </c>
      <c r="K106" s="10" t="s">
        <v>7</v>
      </c>
      <c r="L106" s="60">
        <f t="shared" si="24"/>
        <v>8.3118580243879059</v>
      </c>
      <c r="M106" s="60">
        <f t="shared" si="24"/>
        <v>8.3118580243879059</v>
      </c>
      <c r="N106" s="60">
        <f t="shared" si="24"/>
        <v>8.3118580243879059</v>
      </c>
      <c r="O106" s="171">
        <f t="shared" si="24"/>
        <v>0</v>
      </c>
      <c r="P106" s="60">
        <f t="shared" si="24"/>
        <v>0</v>
      </c>
      <c r="Q106" s="60">
        <f t="shared" si="24"/>
        <v>0</v>
      </c>
    </row>
    <row r="107" spans="2:17">
      <c r="B107" s="10" t="s">
        <v>8</v>
      </c>
      <c r="C107" s="12">
        <f t="shared" si="25"/>
        <v>61</v>
      </c>
      <c r="D107" s="12">
        <f t="shared" si="25"/>
        <v>120</v>
      </c>
      <c r="E107" s="12">
        <f t="shared" si="25"/>
        <v>119</v>
      </c>
      <c r="F107" s="12"/>
      <c r="G107" s="11"/>
      <c r="H107" s="12"/>
      <c r="I107" s="13">
        <f t="shared" si="23"/>
        <v>300</v>
      </c>
      <c r="K107" s="10" t="s">
        <v>8</v>
      </c>
      <c r="L107" s="60">
        <f t="shared" si="24"/>
        <v>8.3118580243879059</v>
      </c>
      <c r="M107" s="60">
        <f t="shared" si="24"/>
        <v>8.3118580243879059</v>
      </c>
      <c r="N107" s="60">
        <f t="shared" si="24"/>
        <v>8.3118580243879059</v>
      </c>
      <c r="O107" s="60">
        <f t="shared" si="24"/>
        <v>0</v>
      </c>
      <c r="P107" s="171">
        <f t="shared" si="24"/>
        <v>0</v>
      </c>
      <c r="Q107" s="60">
        <f t="shared" si="24"/>
        <v>0</v>
      </c>
    </row>
    <row r="108" spans="2:17">
      <c r="B108" s="10" t="s">
        <v>9</v>
      </c>
      <c r="C108" s="12">
        <f t="shared" si="25"/>
        <v>229</v>
      </c>
      <c r="D108" s="12">
        <f t="shared" si="25"/>
        <v>221</v>
      </c>
      <c r="E108" s="12">
        <f t="shared" si="25"/>
        <v>272</v>
      </c>
      <c r="F108" s="12"/>
      <c r="G108" s="12"/>
      <c r="H108" s="11"/>
      <c r="I108" s="13">
        <f t="shared" si="23"/>
        <v>722</v>
      </c>
      <c r="K108" s="10" t="s">
        <v>9</v>
      </c>
      <c r="L108" s="60">
        <f t="shared" si="24"/>
        <v>8.3118580243879059</v>
      </c>
      <c r="M108" s="60">
        <f t="shared" si="24"/>
        <v>8.3118580243879059</v>
      </c>
      <c r="N108" s="60">
        <f t="shared" si="24"/>
        <v>8.3118580243879059</v>
      </c>
      <c r="O108" s="60">
        <f t="shared" si="24"/>
        <v>0</v>
      </c>
      <c r="P108" s="60">
        <f t="shared" si="24"/>
        <v>0</v>
      </c>
      <c r="Q108" s="171">
        <f t="shared" si="24"/>
        <v>0</v>
      </c>
    </row>
    <row r="109" spans="2:17">
      <c r="B109" s="16" t="s">
        <v>48</v>
      </c>
      <c r="C109" s="13">
        <f t="shared" ref="C109:I109" si="26">SUM(C103:C108)</f>
        <v>707</v>
      </c>
      <c r="D109" s="13">
        <f t="shared" si="26"/>
        <v>350</v>
      </c>
      <c r="E109" s="13">
        <f t="shared" si="26"/>
        <v>392</v>
      </c>
      <c r="F109" s="13">
        <f t="shared" si="26"/>
        <v>0</v>
      </c>
      <c r="G109" s="13">
        <f t="shared" si="26"/>
        <v>0</v>
      </c>
      <c r="H109" s="13">
        <f t="shared" si="26"/>
        <v>0</v>
      </c>
      <c r="I109" s="13">
        <f t="shared" si="26"/>
        <v>1449</v>
      </c>
    </row>
    <row r="113" spans="2:17">
      <c r="B113" s="98" t="s">
        <v>302</v>
      </c>
      <c r="C113" s="179" t="s">
        <v>5</v>
      </c>
    </row>
    <row r="114" spans="2:17">
      <c r="B114" s="98" t="s">
        <v>307</v>
      </c>
      <c r="C114" s="98"/>
      <c r="D114" s="98" t="s">
        <v>403</v>
      </c>
      <c r="E114" s="98" t="s">
        <v>235</v>
      </c>
      <c r="F114" s="178" t="s">
        <v>309</v>
      </c>
    </row>
    <row r="115" spans="2:17" ht="18">
      <c r="B115" s="199" t="s">
        <v>356</v>
      </c>
      <c r="C115" s="12"/>
      <c r="D115" s="12">
        <f>D11*$C$19</f>
        <v>3137.692835182258</v>
      </c>
      <c r="E115" s="12">
        <f>$C$22</f>
        <v>1</v>
      </c>
      <c r="F115" s="12">
        <f>(C115+D115)*E115</f>
        <v>3137.692835182258</v>
      </c>
    </row>
    <row r="116" spans="2:17" ht="18">
      <c r="B116" s="199" t="s">
        <v>354</v>
      </c>
      <c r="C116" s="39"/>
      <c r="D116" s="39">
        <f>D11*$D$19</f>
        <v>0.18925766307448541</v>
      </c>
      <c r="E116" s="18">
        <f>$C$23</f>
        <v>28</v>
      </c>
      <c r="F116" s="12">
        <f t="shared" ref="F116:F117" si="27">(C116+D116)*E116</f>
        <v>5.2992145660855918</v>
      </c>
    </row>
    <row r="117" spans="2:17" ht="18">
      <c r="B117" s="199" t="s">
        <v>355</v>
      </c>
      <c r="C117" s="194"/>
      <c r="D117" s="194">
        <f>D11*$E$19</f>
        <v>8.6328056840993359E-2</v>
      </c>
      <c r="E117" s="18">
        <f>$C$24</f>
        <v>265</v>
      </c>
      <c r="F117" s="12">
        <f t="shared" si="27"/>
        <v>22.87693506286324</v>
      </c>
    </row>
    <row r="118" spans="2:17" ht="15.6" customHeight="1">
      <c r="B118" s="278" t="s">
        <v>10</v>
      </c>
      <c r="C118" s="278"/>
      <c r="D118" s="278"/>
      <c r="E118" s="278"/>
      <c r="F118" s="200">
        <f>SUM(F115:F117)</f>
        <v>3165.8689848112067</v>
      </c>
    </row>
    <row r="119" spans="2:17" ht="15.6" customHeight="1"/>
    <row r="120" spans="2:17">
      <c r="B120" s="98" t="s">
        <v>302</v>
      </c>
      <c r="C120" s="179" t="str">
        <f>C113</f>
        <v>BRPEC</v>
      </c>
      <c r="K120" s="98" t="s">
        <v>302</v>
      </c>
      <c r="L120" s="179" t="str">
        <f>C120</f>
        <v>BRPEC</v>
      </c>
    </row>
    <row r="121" spans="2:17" ht="15.6" customHeight="1">
      <c r="B121" s="5" t="s">
        <v>365</v>
      </c>
      <c r="C121" s="4" t="s">
        <v>4</v>
      </c>
      <c r="D121" s="4" t="s">
        <v>5</v>
      </c>
      <c r="E121" s="4" t="s">
        <v>6</v>
      </c>
      <c r="F121" s="4" t="s">
        <v>7</v>
      </c>
      <c r="G121" s="4" t="s">
        <v>8</v>
      </c>
      <c r="H121" s="4" t="s">
        <v>9</v>
      </c>
      <c r="I121" s="5" t="s">
        <v>47</v>
      </c>
      <c r="K121" s="5" t="s">
        <v>308</v>
      </c>
      <c r="L121" s="4" t="s">
        <v>4</v>
      </c>
      <c r="M121" s="4" t="s">
        <v>5</v>
      </c>
      <c r="N121" s="4" t="s">
        <v>6</v>
      </c>
      <c r="O121" s="4" t="s">
        <v>7</v>
      </c>
      <c r="P121" s="4" t="s">
        <v>8</v>
      </c>
      <c r="Q121" s="4" t="s">
        <v>9</v>
      </c>
    </row>
    <row r="122" spans="2:17">
      <c r="B122" s="10" t="s">
        <v>4</v>
      </c>
      <c r="C122" s="11">
        <f>C28</f>
        <v>0</v>
      </c>
      <c r="D122" s="12"/>
      <c r="E122" s="12"/>
      <c r="F122" s="12"/>
      <c r="G122" s="12"/>
      <c r="H122" s="12"/>
      <c r="I122" s="13">
        <f t="shared" ref="I122:I127" si="28">SUM(C122:H122)</f>
        <v>0</v>
      </c>
      <c r="K122" s="10" t="s">
        <v>4</v>
      </c>
      <c r="L122" s="171">
        <f>IF(C122=0,0,$F$118/$I$128)</f>
        <v>0</v>
      </c>
      <c r="M122" s="60">
        <f t="shared" ref="M122:Q127" si="29">IF(D122=0,0,$F$118/$I$128)</f>
        <v>0</v>
      </c>
      <c r="N122" s="60">
        <f t="shared" si="29"/>
        <v>0</v>
      </c>
      <c r="O122" s="60">
        <f t="shared" si="29"/>
        <v>0</v>
      </c>
      <c r="P122" s="60">
        <f t="shared" si="29"/>
        <v>0</v>
      </c>
      <c r="Q122" s="60">
        <f t="shared" si="29"/>
        <v>0</v>
      </c>
    </row>
    <row r="123" spans="2:17">
      <c r="B123" s="10" t="s">
        <v>5</v>
      </c>
      <c r="C123" s="12">
        <f t="shared" ref="C123:D127" si="30">C29</f>
        <v>260</v>
      </c>
      <c r="D123" s="11"/>
      <c r="E123" s="12"/>
      <c r="F123" s="12"/>
      <c r="G123" s="12"/>
      <c r="H123" s="12"/>
      <c r="I123" s="13">
        <f t="shared" si="28"/>
        <v>260</v>
      </c>
      <c r="K123" s="10" t="s">
        <v>5</v>
      </c>
      <c r="L123" s="60">
        <f t="shared" ref="L123:L127" si="31">IF(C123=0,0,$F$118/$I$128)</f>
        <v>2.4038488874800357</v>
      </c>
      <c r="M123" s="171">
        <f t="shared" si="29"/>
        <v>0</v>
      </c>
      <c r="N123" s="60">
        <f t="shared" si="29"/>
        <v>0</v>
      </c>
      <c r="O123" s="60">
        <f t="shared" si="29"/>
        <v>0</v>
      </c>
      <c r="P123" s="60">
        <f t="shared" si="29"/>
        <v>0</v>
      </c>
      <c r="Q123" s="60">
        <f t="shared" si="29"/>
        <v>0</v>
      </c>
    </row>
    <row r="124" spans="2:17">
      <c r="B124" s="10" t="s">
        <v>6</v>
      </c>
      <c r="C124" s="12">
        <f t="shared" si="30"/>
        <v>331</v>
      </c>
      <c r="D124" s="12">
        <f t="shared" si="30"/>
        <v>0</v>
      </c>
      <c r="E124" s="11"/>
      <c r="F124" s="12"/>
      <c r="G124" s="12"/>
      <c r="H124" s="12"/>
      <c r="I124" s="13">
        <f t="shared" si="28"/>
        <v>331</v>
      </c>
      <c r="K124" s="10" t="s">
        <v>6</v>
      </c>
      <c r="L124" s="60">
        <f t="shared" si="31"/>
        <v>2.4038488874800357</v>
      </c>
      <c r="M124" s="60">
        <f t="shared" si="29"/>
        <v>0</v>
      </c>
      <c r="N124" s="171">
        <f t="shared" si="29"/>
        <v>0</v>
      </c>
      <c r="O124" s="60">
        <f t="shared" si="29"/>
        <v>0</v>
      </c>
      <c r="P124" s="60">
        <f t="shared" si="29"/>
        <v>0</v>
      </c>
      <c r="Q124" s="60">
        <f t="shared" si="29"/>
        <v>0</v>
      </c>
    </row>
    <row r="125" spans="2:17">
      <c r="B125" s="10" t="s">
        <v>7</v>
      </c>
      <c r="C125" s="12">
        <f t="shared" si="30"/>
        <v>86</v>
      </c>
      <c r="D125" s="12">
        <f t="shared" si="30"/>
        <v>9</v>
      </c>
      <c r="E125" s="12"/>
      <c r="F125" s="11"/>
      <c r="G125" s="12"/>
      <c r="H125" s="12"/>
      <c r="I125" s="13">
        <f t="shared" si="28"/>
        <v>95</v>
      </c>
      <c r="K125" s="10" t="s">
        <v>7</v>
      </c>
      <c r="L125" s="60">
        <f t="shared" si="31"/>
        <v>2.4038488874800357</v>
      </c>
      <c r="M125" s="60">
        <f t="shared" si="29"/>
        <v>2.4038488874800357</v>
      </c>
      <c r="N125" s="60">
        <f t="shared" si="29"/>
        <v>0</v>
      </c>
      <c r="O125" s="171">
        <f t="shared" si="29"/>
        <v>0</v>
      </c>
      <c r="P125" s="60">
        <f t="shared" si="29"/>
        <v>0</v>
      </c>
      <c r="Q125" s="60">
        <f t="shared" si="29"/>
        <v>0</v>
      </c>
    </row>
    <row r="126" spans="2:17">
      <c r="B126" s="10" t="s">
        <v>8</v>
      </c>
      <c r="C126" s="12">
        <f t="shared" si="30"/>
        <v>61</v>
      </c>
      <c r="D126" s="12">
        <f t="shared" si="30"/>
        <v>120</v>
      </c>
      <c r="E126" s="12"/>
      <c r="F126" s="12"/>
      <c r="G126" s="11"/>
      <c r="H126" s="12"/>
      <c r="I126" s="13">
        <f t="shared" si="28"/>
        <v>181</v>
      </c>
      <c r="K126" s="10" t="s">
        <v>8</v>
      </c>
      <c r="L126" s="60">
        <f t="shared" si="31"/>
        <v>2.4038488874800357</v>
      </c>
      <c r="M126" s="60">
        <f t="shared" si="29"/>
        <v>2.4038488874800357</v>
      </c>
      <c r="N126" s="60">
        <f t="shared" si="29"/>
        <v>0</v>
      </c>
      <c r="O126" s="60">
        <f t="shared" si="29"/>
        <v>0</v>
      </c>
      <c r="P126" s="171">
        <f t="shared" si="29"/>
        <v>0</v>
      </c>
      <c r="Q126" s="60">
        <f t="shared" si="29"/>
        <v>0</v>
      </c>
    </row>
    <row r="127" spans="2:17">
      <c r="B127" s="10" t="s">
        <v>9</v>
      </c>
      <c r="C127" s="12">
        <f t="shared" si="30"/>
        <v>229</v>
      </c>
      <c r="D127" s="12">
        <f t="shared" si="30"/>
        <v>221</v>
      </c>
      <c r="E127" s="12"/>
      <c r="F127" s="12"/>
      <c r="G127" s="12"/>
      <c r="H127" s="11"/>
      <c r="I127" s="13">
        <f t="shared" si="28"/>
        <v>450</v>
      </c>
      <c r="K127" s="10" t="s">
        <v>9</v>
      </c>
      <c r="L127" s="60">
        <f t="shared" si="31"/>
        <v>2.4038488874800357</v>
      </c>
      <c r="M127" s="60">
        <f t="shared" si="29"/>
        <v>2.4038488874800357</v>
      </c>
      <c r="N127" s="60">
        <f t="shared" si="29"/>
        <v>0</v>
      </c>
      <c r="O127" s="60">
        <f t="shared" si="29"/>
        <v>0</v>
      </c>
      <c r="P127" s="60">
        <f t="shared" si="29"/>
        <v>0</v>
      </c>
      <c r="Q127" s="171">
        <f t="shared" si="29"/>
        <v>0</v>
      </c>
    </row>
    <row r="128" spans="2:17">
      <c r="B128" s="16" t="s">
        <v>48</v>
      </c>
      <c r="C128" s="13">
        <f t="shared" ref="C128:I128" si="32">SUM(C122:C127)</f>
        <v>967</v>
      </c>
      <c r="D128" s="13">
        <f t="shared" si="32"/>
        <v>350</v>
      </c>
      <c r="E128" s="13">
        <f t="shared" si="32"/>
        <v>0</v>
      </c>
      <c r="F128" s="13">
        <f t="shared" si="32"/>
        <v>0</v>
      </c>
      <c r="G128" s="13">
        <f t="shared" si="32"/>
        <v>0</v>
      </c>
      <c r="H128" s="13">
        <f t="shared" si="32"/>
        <v>0</v>
      </c>
      <c r="I128" s="13">
        <f t="shared" si="32"/>
        <v>1317</v>
      </c>
    </row>
    <row r="132" spans="2:17">
      <c r="B132" s="98" t="s">
        <v>302</v>
      </c>
      <c r="C132" s="179" t="s">
        <v>4</v>
      </c>
    </row>
    <row r="133" spans="2:17">
      <c r="B133" s="98" t="s">
        <v>307</v>
      </c>
      <c r="C133" s="98"/>
      <c r="D133" s="98" t="s">
        <v>403</v>
      </c>
      <c r="E133" s="98" t="s">
        <v>235</v>
      </c>
      <c r="F133" s="178" t="s">
        <v>309</v>
      </c>
    </row>
    <row r="134" spans="2:17" ht="18">
      <c r="B134" s="199" t="s">
        <v>356</v>
      </c>
      <c r="C134" s="12"/>
      <c r="D134" s="12">
        <f>D12*$C$19</f>
        <v>17833.535685218198</v>
      </c>
      <c r="E134" s="12">
        <f>$C$22</f>
        <v>1</v>
      </c>
      <c r="F134" s="12">
        <f>(C134+D134)*E134</f>
        <v>17833.535685218198</v>
      </c>
    </row>
    <row r="135" spans="2:17" ht="18">
      <c r="B135" s="199" t="s">
        <v>354</v>
      </c>
      <c r="C135" s="39"/>
      <c r="D135" s="39">
        <f>D12*$D$19</f>
        <v>1.075673581013161</v>
      </c>
      <c r="E135" s="18">
        <f>$C$23</f>
        <v>28</v>
      </c>
      <c r="F135" s="12">
        <f t="shared" ref="F135:F136" si="33">(C135+D135)*E135</f>
        <v>30.118860268368508</v>
      </c>
    </row>
    <row r="136" spans="2:17" ht="18">
      <c r="B136" s="199" t="s">
        <v>355</v>
      </c>
      <c r="C136" s="194"/>
      <c r="D136" s="194">
        <f>D12*$E$19</f>
        <v>0.49065812467267</v>
      </c>
      <c r="E136" s="18">
        <f>$C$24</f>
        <v>265</v>
      </c>
      <c r="F136" s="12">
        <f t="shared" si="33"/>
        <v>130.02440303825756</v>
      </c>
    </row>
    <row r="137" spans="2:17" ht="15.6" customHeight="1">
      <c r="B137" s="278" t="s">
        <v>10</v>
      </c>
      <c r="C137" s="278"/>
      <c r="D137" s="278"/>
      <c r="E137" s="278"/>
      <c r="F137" s="200">
        <f>SUM(F134:F136)</f>
        <v>17993.678948524823</v>
      </c>
    </row>
    <row r="138" spans="2:17" ht="15.6" customHeight="1"/>
    <row r="139" spans="2:17">
      <c r="B139" s="98" t="s">
        <v>302</v>
      </c>
      <c r="C139" s="179" t="str">
        <f>C132</f>
        <v>BRMAO</v>
      </c>
      <c r="K139" s="98" t="s">
        <v>302</v>
      </c>
      <c r="L139" s="179" t="str">
        <f>C139</f>
        <v>BRMAO</v>
      </c>
    </row>
    <row r="140" spans="2:17" ht="15.6" customHeight="1">
      <c r="B140" s="5" t="s">
        <v>365</v>
      </c>
      <c r="C140" s="4" t="s">
        <v>4</v>
      </c>
      <c r="D140" s="4" t="s">
        <v>5</v>
      </c>
      <c r="E140" s="4" t="s">
        <v>6</v>
      </c>
      <c r="F140" s="4" t="s">
        <v>7</v>
      </c>
      <c r="G140" s="4" t="s">
        <v>8</v>
      </c>
      <c r="H140" s="4" t="s">
        <v>9</v>
      </c>
      <c r="I140" s="5" t="s">
        <v>47</v>
      </c>
      <c r="K140" s="5" t="s">
        <v>308</v>
      </c>
      <c r="L140" s="4" t="s">
        <v>4</v>
      </c>
      <c r="M140" s="4" t="s">
        <v>5</v>
      </c>
      <c r="N140" s="4" t="s">
        <v>6</v>
      </c>
      <c r="O140" s="4" t="s">
        <v>7</v>
      </c>
      <c r="P140" s="4" t="s">
        <v>8</v>
      </c>
      <c r="Q140" s="4" t="s">
        <v>9</v>
      </c>
    </row>
    <row r="141" spans="2:17">
      <c r="B141" s="10" t="s">
        <v>4</v>
      </c>
      <c r="C141" s="11">
        <f>C28</f>
        <v>0</v>
      </c>
      <c r="D141" s="12">
        <f t="shared" ref="D141:H141" si="34">D28</f>
        <v>175</v>
      </c>
      <c r="E141" s="12">
        <f t="shared" si="34"/>
        <v>156</v>
      </c>
      <c r="F141" s="12">
        <f t="shared" si="34"/>
        <v>0</v>
      </c>
      <c r="G141" s="12">
        <f t="shared" si="34"/>
        <v>226</v>
      </c>
      <c r="H141" s="12">
        <f t="shared" si="34"/>
        <v>648</v>
      </c>
      <c r="I141" s="13">
        <f t="shared" ref="I141:I146" si="35">SUM(C141:H141)</f>
        <v>1205</v>
      </c>
      <c r="K141" s="10" t="s">
        <v>4</v>
      </c>
      <c r="L141" s="171">
        <f>IF(C141=0,0,$F$137/$I$147)</f>
        <v>0</v>
      </c>
      <c r="M141" s="60">
        <f t="shared" ref="M141:Q146" si="36">IF(D141=0,0,$F$137/$I$147)</f>
        <v>8.2843825729856455</v>
      </c>
      <c r="N141" s="60">
        <f t="shared" si="36"/>
        <v>8.2843825729856455</v>
      </c>
      <c r="O141" s="60">
        <f t="shared" si="36"/>
        <v>0</v>
      </c>
      <c r="P141" s="60">
        <f t="shared" si="36"/>
        <v>8.2843825729856455</v>
      </c>
      <c r="Q141" s="60">
        <f t="shared" si="36"/>
        <v>8.2843825729856455</v>
      </c>
    </row>
    <row r="142" spans="2:17">
      <c r="B142" s="10" t="s">
        <v>5</v>
      </c>
      <c r="C142" s="12">
        <f t="shared" ref="C142:C146" si="37">C29</f>
        <v>260</v>
      </c>
      <c r="D142" s="11"/>
      <c r="E142" s="12"/>
      <c r="F142" s="12"/>
      <c r="G142" s="12"/>
      <c r="H142" s="12"/>
      <c r="I142" s="13">
        <f t="shared" si="35"/>
        <v>260</v>
      </c>
      <c r="K142" s="10" t="s">
        <v>5</v>
      </c>
      <c r="L142" s="60">
        <f t="shared" ref="L142:L146" si="38">IF(C142=0,0,$F$137/$I$147)</f>
        <v>8.2843825729856455</v>
      </c>
      <c r="M142" s="171">
        <f t="shared" si="36"/>
        <v>0</v>
      </c>
      <c r="N142" s="60">
        <f t="shared" si="36"/>
        <v>0</v>
      </c>
      <c r="O142" s="60">
        <f t="shared" si="36"/>
        <v>0</v>
      </c>
      <c r="P142" s="60">
        <f t="shared" si="36"/>
        <v>0</v>
      </c>
      <c r="Q142" s="60">
        <f t="shared" si="36"/>
        <v>0</v>
      </c>
    </row>
    <row r="143" spans="2:17">
      <c r="B143" s="10" t="s">
        <v>6</v>
      </c>
      <c r="C143" s="12">
        <f t="shared" si="37"/>
        <v>331</v>
      </c>
      <c r="D143" s="12"/>
      <c r="E143" s="11"/>
      <c r="F143" s="12"/>
      <c r="G143" s="12"/>
      <c r="H143" s="12"/>
      <c r="I143" s="13">
        <f t="shared" si="35"/>
        <v>331</v>
      </c>
      <c r="K143" s="10" t="s">
        <v>6</v>
      </c>
      <c r="L143" s="60">
        <f t="shared" si="38"/>
        <v>8.2843825729856455</v>
      </c>
      <c r="M143" s="60">
        <f t="shared" si="36"/>
        <v>0</v>
      </c>
      <c r="N143" s="171">
        <f t="shared" si="36"/>
        <v>0</v>
      </c>
      <c r="O143" s="60">
        <f t="shared" si="36"/>
        <v>0</v>
      </c>
      <c r="P143" s="60">
        <f t="shared" si="36"/>
        <v>0</v>
      </c>
      <c r="Q143" s="60">
        <f t="shared" si="36"/>
        <v>0</v>
      </c>
    </row>
    <row r="144" spans="2:17">
      <c r="B144" s="10" t="s">
        <v>7</v>
      </c>
      <c r="C144" s="12">
        <f t="shared" si="37"/>
        <v>86</v>
      </c>
      <c r="D144" s="12"/>
      <c r="E144" s="12"/>
      <c r="F144" s="11"/>
      <c r="G144" s="12"/>
      <c r="H144" s="12"/>
      <c r="I144" s="13">
        <f t="shared" si="35"/>
        <v>86</v>
      </c>
      <c r="K144" s="10" t="s">
        <v>7</v>
      </c>
      <c r="L144" s="60">
        <f t="shared" si="38"/>
        <v>8.2843825729856455</v>
      </c>
      <c r="M144" s="60">
        <f t="shared" si="36"/>
        <v>0</v>
      </c>
      <c r="N144" s="60">
        <f t="shared" si="36"/>
        <v>0</v>
      </c>
      <c r="O144" s="171">
        <f t="shared" si="36"/>
        <v>0</v>
      </c>
      <c r="P144" s="60">
        <f t="shared" si="36"/>
        <v>0</v>
      </c>
      <c r="Q144" s="60">
        <f t="shared" si="36"/>
        <v>0</v>
      </c>
    </row>
    <row r="145" spans="2:17">
      <c r="B145" s="10" t="s">
        <v>8</v>
      </c>
      <c r="C145" s="12">
        <f t="shared" si="37"/>
        <v>61</v>
      </c>
      <c r="D145" s="12"/>
      <c r="E145" s="12"/>
      <c r="F145" s="12"/>
      <c r="G145" s="11"/>
      <c r="H145" s="12"/>
      <c r="I145" s="13">
        <f t="shared" si="35"/>
        <v>61</v>
      </c>
      <c r="K145" s="10" t="s">
        <v>8</v>
      </c>
      <c r="L145" s="60">
        <f t="shared" si="38"/>
        <v>8.2843825729856455</v>
      </c>
      <c r="M145" s="60">
        <f t="shared" si="36"/>
        <v>0</v>
      </c>
      <c r="N145" s="60">
        <f t="shared" si="36"/>
        <v>0</v>
      </c>
      <c r="O145" s="60">
        <f t="shared" si="36"/>
        <v>0</v>
      </c>
      <c r="P145" s="171">
        <f t="shared" si="36"/>
        <v>0</v>
      </c>
      <c r="Q145" s="60">
        <f t="shared" si="36"/>
        <v>0</v>
      </c>
    </row>
    <row r="146" spans="2:17">
      <c r="B146" s="10" t="s">
        <v>9</v>
      </c>
      <c r="C146" s="12">
        <f t="shared" si="37"/>
        <v>229</v>
      </c>
      <c r="D146" s="12"/>
      <c r="E146" s="12"/>
      <c r="F146" s="12"/>
      <c r="G146" s="12"/>
      <c r="H146" s="11"/>
      <c r="I146" s="13">
        <f t="shared" si="35"/>
        <v>229</v>
      </c>
      <c r="K146" s="10" t="s">
        <v>9</v>
      </c>
      <c r="L146" s="60">
        <f t="shared" si="38"/>
        <v>8.2843825729856455</v>
      </c>
      <c r="M146" s="60">
        <f t="shared" si="36"/>
        <v>0</v>
      </c>
      <c r="N146" s="60">
        <f t="shared" si="36"/>
        <v>0</v>
      </c>
      <c r="O146" s="60">
        <f t="shared" si="36"/>
        <v>0</v>
      </c>
      <c r="P146" s="60">
        <f t="shared" si="36"/>
        <v>0</v>
      </c>
      <c r="Q146" s="171">
        <f t="shared" si="36"/>
        <v>0</v>
      </c>
    </row>
    <row r="147" spans="2:17">
      <c r="B147" s="16" t="s">
        <v>48</v>
      </c>
      <c r="C147" s="13">
        <f t="shared" ref="C147:I147" si="39">SUM(C141:C146)</f>
        <v>967</v>
      </c>
      <c r="D147" s="13">
        <f t="shared" si="39"/>
        <v>175</v>
      </c>
      <c r="E147" s="13">
        <f t="shared" si="39"/>
        <v>156</v>
      </c>
      <c r="F147" s="13">
        <f t="shared" si="39"/>
        <v>0</v>
      </c>
      <c r="G147" s="13">
        <f t="shared" si="39"/>
        <v>226</v>
      </c>
      <c r="H147" s="13">
        <f t="shared" si="39"/>
        <v>648</v>
      </c>
      <c r="I147" s="13">
        <f t="shared" si="39"/>
        <v>2172</v>
      </c>
    </row>
    <row r="151" spans="2:17">
      <c r="B151" s="98" t="s">
        <v>302</v>
      </c>
      <c r="C151" s="179" t="s">
        <v>5</v>
      </c>
    </row>
    <row r="152" spans="2:17">
      <c r="B152" s="98" t="s">
        <v>307</v>
      </c>
      <c r="C152" s="98"/>
      <c r="D152" s="98" t="s">
        <v>403</v>
      </c>
      <c r="E152" s="98" t="s">
        <v>235</v>
      </c>
      <c r="F152" s="178" t="s">
        <v>309</v>
      </c>
    </row>
    <row r="153" spans="2:17" ht="18">
      <c r="B153" s="199" t="s">
        <v>356</v>
      </c>
      <c r="C153" s="12"/>
      <c r="D153" s="12">
        <f>D13*$C$19</f>
        <v>1505.7560790821026</v>
      </c>
      <c r="E153" s="12">
        <f>$C$22</f>
        <v>1</v>
      </c>
      <c r="F153" s="12">
        <f>(C153+D153)*E153</f>
        <v>1505.7560790821026</v>
      </c>
    </row>
    <row r="154" spans="2:17" ht="18">
      <c r="B154" s="199" t="s">
        <v>354</v>
      </c>
      <c r="C154" s="39"/>
      <c r="D154" s="39">
        <f>D13*$D$19</f>
        <v>9.0823382547809361E-2</v>
      </c>
      <c r="E154" s="18">
        <f>$C$23</f>
        <v>28</v>
      </c>
      <c r="F154" s="12">
        <f t="shared" ref="F154:F155" si="40">(C154+D154)*E154</f>
        <v>2.5430547113386623</v>
      </c>
    </row>
    <row r="155" spans="2:17" ht="18">
      <c r="B155" s="199" t="s">
        <v>355</v>
      </c>
      <c r="C155" s="194"/>
      <c r="D155" s="194">
        <f>D13*$E$19</f>
        <v>4.1428209583211292E-2</v>
      </c>
      <c r="E155" s="18">
        <f>$C$24</f>
        <v>265</v>
      </c>
      <c r="F155" s="12">
        <f t="shared" si="40"/>
        <v>10.978475539550992</v>
      </c>
    </row>
    <row r="156" spans="2:17" ht="15.6" customHeight="1">
      <c r="B156" s="278" t="s">
        <v>10</v>
      </c>
      <c r="C156" s="278"/>
      <c r="D156" s="278"/>
      <c r="E156" s="278"/>
      <c r="F156" s="200">
        <f>SUM(F153:F155)</f>
        <v>1519.2776093329924</v>
      </c>
    </row>
    <row r="157" spans="2:17" ht="15.6" customHeight="1"/>
    <row r="158" spans="2:17">
      <c r="B158" s="98" t="s">
        <v>302</v>
      </c>
      <c r="C158" s="179" t="str">
        <f>C151</f>
        <v>BRPEC</v>
      </c>
      <c r="K158" s="98" t="s">
        <v>302</v>
      </c>
      <c r="L158" s="179" t="str">
        <f>C158</f>
        <v>BRPEC</v>
      </c>
    </row>
    <row r="159" spans="2:17" ht="15.6" customHeight="1">
      <c r="B159" s="5" t="s">
        <v>365</v>
      </c>
      <c r="C159" s="4" t="s">
        <v>4</v>
      </c>
      <c r="D159" s="4" t="s">
        <v>5</v>
      </c>
      <c r="E159" s="4" t="s">
        <v>6</v>
      </c>
      <c r="F159" s="4" t="s">
        <v>7</v>
      </c>
      <c r="G159" s="4" t="s">
        <v>8</v>
      </c>
      <c r="H159" s="4" t="s">
        <v>9</v>
      </c>
      <c r="I159" s="5" t="s">
        <v>47</v>
      </c>
      <c r="K159" s="5" t="s">
        <v>308</v>
      </c>
      <c r="L159" s="4" t="s">
        <v>4</v>
      </c>
      <c r="M159" s="4" t="s">
        <v>5</v>
      </c>
      <c r="N159" s="4" t="s">
        <v>6</v>
      </c>
      <c r="O159" s="4" t="s">
        <v>7</v>
      </c>
      <c r="P159" s="4" t="s">
        <v>8</v>
      </c>
      <c r="Q159" s="4" t="s">
        <v>9</v>
      </c>
    </row>
    <row r="160" spans="2:17">
      <c r="B160" s="10" t="s">
        <v>4</v>
      </c>
      <c r="C160" s="11"/>
      <c r="D160" s="12">
        <f t="shared" ref="D160:H161" si="41">D28</f>
        <v>175</v>
      </c>
      <c r="E160" s="12">
        <f t="shared" si="41"/>
        <v>156</v>
      </c>
      <c r="F160" s="12">
        <f t="shared" si="41"/>
        <v>0</v>
      </c>
      <c r="G160" s="12">
        <f t="shared" si="41"/>
        <v>226</v>
      </c>
      <c r="H160" s="12">
        <f t="shared" si="41"/>
        <v>648</v>
      </c>
      <c r="I160" s="13">
        <f t="shared" ref="I160:I165" si="42">SUM(C160:H160)</f>
        <v>1205</v>
      </c>
      <c r="K160" s="10" t="s">
        <v>4</v>
      </c>
      <c r="L160" s="171">
        <f>IF(C160=0,0,$F$156/$I$166)</f>
        <v>0</v>
      </c>
      <c r="M160" s="60">
        <f t="shared" ref="M160:Q165" si="43">IF(D160=0,0,$F$156/$I$166)</f>
        <v>1.1162950840066073</v>
      </c>
      <c r="N160" s="60">
        <f t="shared" si="43"/>
        <v>1.1162950840066073</v>
      </c>
      <c r="O160" s="60">
        <f t="shared" si="43"/>
        <v>0</v>
      </c>
      <c r="P160" s="60">
        <f t="shared" si="43"/>
        <v>1.1162950840066073</v>
      </c>
      <c r="Q160" s="60">
        <f t="shared" si="43"/>
        <v>1.1162950840066073</v>
      </c>
    </row>
    <row r="161" spans="2:17">
      <c r="B161" s="10" t="s">
        <v>5</v>
      </c>
      <c r="C161" s="12"/>
      <c r="D161" s="11">
        <f t="shared" si="41"/>
        <v>0</v>
      </c>
      <c r="E161" s="12">
        <f t="shared" si="41"/>
        <v>0</v>
      </c>
      <c r="F161" s="12">
        <f t="shared" si="41"/>
        <v>0</v>
      </c>
      <c r="G161" s="12">
        <f t="shared" si="41"/>
        <v>20</v>
      </c>
      <c r="H161" s="12">
        <f t="shared" si="41"/>
        <v>136</v>
      </c>
      <c r="I161" s="13">
        <f t="shared" si="42"/>
        <v>156</v>
      </c>
      <c r="K161" s="10" t="s">
        <v>5</v>
      </c>
      <c r="L161" s="60">
        <f t="shared" ref="L161:L165" si="44">IF(C161=0,0,$F$156/$I$166)</f>
        <v>0</v>
      </c>
      <c r="M161" s="171">
        <f t="shared" si="43"/>
        <v>0</v>
      </c>
      <c r="N161" s="60">
        <f t="shared" si="43"/>
        <v>0</v>
      </c>
      <c r="O161" s="60">
        <f t="shared" si="43"/>
        <v>0</v>
      </c>
      <c r="P161" s="60">
        <f t="shared" si="43"/>
        <v>1.1162950840066073</v>
      </c>
      <c r="Q161" s="60">
        <f t="shared" si="43"/>
        <v>1.1162950840066073</v>
      </c>
    </row>
    <row r="162" spans="2:17">
      <c r="B162" s="10" t="s">
        <v>6</v>
      </c>
      <c r="C162" s="12"/>
      <c r="D162" s="12"/>
      <c r="E162" s="11"/>
      <c r="F162" s="12"/>
      <c r="G162" s="12"/>
      <c r="H162" s="12"/>
      <c r="I162" s="13">
        <f t="shared" si="42"/>
        <v>0</v>
      </c>
      <c r="K162" s="10" t="s">
        <v>6</v>
      </c>
      <c r="L162" s="60">
        <f t="shared" si="44"/>
        <v>0</v>
      </c>
      <c r="M162" s="60">
        <f t="shared" si="43"/>
        <v>0</v>
      </c>
      <c r="N162" s="171">
        <f t="shared" si="43"/>
        <v>0</v>
      </c>
      <c r="O162" s="60">
        <f t="shared" si="43"/>
        <v>0</v>
      </c>
      <c r="P162" s="60">
        <f t="shared" si="43"/>
        <v>0</v>
      </c>
      <c r="Q162" s="60">
        <f t="shared" si="43"/>
        <v>0</v>
      </c>
    </row>
    <row r="163" spans="2:17">
      <c r="B163" s="10" t="s">
        <v>7</v>
      </c>
      <c r="C163" s="12"/>
      <c r="D163" s="12"/>
      <c r="E163" s="12"/>
      <c r="F163" s="11"/>
      <c r="G163" s="12"/>
      <c r="H163" s="12"/>
      <c r="I163" s="13">
        <f t="shared" si="42"/>
        <v>0</v>
      </c>
      <c r="K163" s="10" t="s">
        <v>7</v>
      </c>
      <c r="L163" s="60">
        <f t="shared" si="44"/>
        <v>0</v>
      </c>
      <c r="M163" s="60">
        <f t="shared" si="43"/>
        <v>0</v>
      </c>
      <c r="N163" s="60">
        <f t="shared" si="43"/>
        <v>0</v>
      </c>
      <c r="O163" s="171">
        <f t="shared" si="43"/>
        <v>0</v>
      </c>
      <c r="P163" s="60">
        <f t="shared" si="43"/>
        <v>0</v>
      </c>
      <c r="Q163" s="60">
        <f t="shared" si="43"/>
        <v>0</v>
      </c>
    </row>
    <row r="164" spans="2:17">
      <c r="B164" s="10" t="s">
        <v>8</v>
      </c>
      <c r="C164" s="12"/>
      <c r="D164" s="12"/>
      <c r="E164" s="12"/>
      <c r="F164" s="12"/>
      <c r="G164" s="11"/>
      <c r="H164" s="12"/>
      <c r="I164" s="13">
        <f t="shared" si="42"/>
        <v>0</v>
      </c>
      <c r="K164" s="10" t="s">
        <v>8</v>
      </c>
      <c r="L164" s="60">
        <f t="shared" si="44"/>
        <v>0</v>
      </c>
      <c r="M164" s="60">
        <f t="shared" si="43"/>
        <v>0</v>
      </c>
      <c r="N164" s="60">
        <f t="shared" si="43"/>
        <v>0</v>
      </c>
      <c r="O164" s="60">
        <f t="shared" si="43"/>
        <v>0</v>
      </c>
      <c r="P164" s="171">
        <f t="shared" si="43"/>
        <v>0</v>
      </c>
      <c r="Q164" s="60">
        <f t="shared" si="43"/>
        <v>0</v>
      </c>
    </row>
    <row r="165" spans="2:17">
      <c r="B165" s="10" t="s">
        <v>9</v>
      </c>
      <c r="C165" s="12"/>
      <c r="D165" s="12"/>
      <c r="E165" s="12"/>
      <c r="F165" s="12"/>
      <c r="G165" s="12"/>
      <c r="H165" s="11"/>
      <c r="I165" s="13">
        <f t="shared" si="42"/>
        <v>0</v>
      </c>
      <c r="K165" s="10" t="s">
        <v>9</v>
      </c>
      <c r="L165" s="60">
        <f t="shared" si="44"/>
        <v>0</v>
      </c>
      <c r="M165" s="60">
        <f t="shared" si="43"/>
        <v>0</v>
      </c>
      <c r="N165" s="60">
        <f t="shared" si="43"/>
        <v>0</v>
      </c>
      <c r="O165" s="60">
        <f t="shared" si="43"/>
        <v>0</v>
      </c>
      <c r="P165" s="60">
        <f t="shared" si="43"/>
        <v>0</v>
      </c>
      <c r="Q165" s="171">
        <f t="shared" si="43"/>
        <v>0</v>
      </c>
    </row>
    <row r="166" spans="2:17">
      <c r="B166" s="16" t="s">
        <v>48</v>
      </c>
      <c r="C166" s="13">
        <f t="shared" ref="C166:I166" si="45">SUM(C160:C165)</f>
        <v>0</v>
      </c>
      <c r="D166" s="13">
        <f t="shared" si="45"/>
        <v>175</v>
      </c>
      <c r="E166" s="13">
        <f t="shared" si="45"/>
        <v>156</v>
      </c>
      <c r="F166" s="13">
        <f t="shared" si="45"/>
        <v>0</v>
      </c>
      <c r="G166" s="13">
        <f t="shared" si="45"/>
        <v>246</v>
      </c>
      <c r="H166" s="13">
        <f t="shared" si="45"/>
        <v>784</v>
      </c>
      <c r="I166" s="13">
        <f t="shared" si="45"/>
        <v>1361</v>
      </c>
    </row>
    <row r="170" spans="2:17">
      <c r="B170" s="98" t="s">
        <v>302</v>
      </c>
      <c r="C170" s="179" t="s">
        <v>6</v>
      </c>
    </row>
    <row r="171" spans="2:17">
      <c r="B171" s="98" t="s">
        <v>307</v>
      </c>
      <c r="C171" s="98"/>
      <c r="D171" s="98" t="s">
        <v>403</v>
      </c>
      <c r="E171" s="98" t="s">
        <v>235</v>
      </c>
      <c r="F171" s="178" t="s">
        <v>309</v>
      </c>
    </row>
    <row r="172" spans="2:17" ht="18">
      <c r="B172" s="199" t="s">
        <v>356</v>
      </c>
      <c r="C172" s="12"/>
      <c r="D172" s="12">
        <f>D14*$C$19</f>
        <v>3785.4203105415982</v>
      </c>
      <c r="E172" s="12">
        <f>$C$22</f>
        <v>1</v>
      </c>
      <c r="F172" s="12">
        <f>(C172+D172)*E172</f>
        <v>3785.4203105415982</v>
      </c>
    </row>
    <row r="173" spans="2:17" ht="18">
      <c r="B173" s="199" t="s">
        <v>354</v>
      </c>
      <c r="C173" s="39"/>
      <c r="D173" s="39">
        <f>D14*$D$19</f>
        <v>0.22832693936600115</v>
      </c>
      <c r="E173" s="18">
        <f>$C$23</f>
        <v>28</v>
      </c>
      <c r="F173" s="12">
        <f t="shared" ref="F173:F174" si="46">(C173+D173)*E173</f>
        <v>6.3931543022480319</v>
      </c>
    </row>
    <row r="174" spans="2:17" ht="18">
      <c r="B174" s="199" t="s">
        <v>355</v>
      </c>
      <c r="C174" s="194"/>
      <c r="D174" s="194">
        <f>D14*$E$19</f>
        <v>0.10414913023712336</v>
      </c>
      <c r="E174" s="18">
        <f>$C$24</f>
        <v>265</v>
      </c>
      <c r="F174" s="12">
        <f t="shared" si="46"/>
        <v>27.599519512837688</v>
      </c>
    </row>
    <row r="175" spans="2:17" ht="15.6" customHeight="1">
      <c r="B175" s="278" t="s">
        <v>10</v>
      </c>
      <c r="C175" s="278"/>
      <c r="D175" s="278"/>
      <c r="E175" s="278"/>
      <c r="F175" s="200">
        <f>SUM(F172:F174)</f>
        <v>3819.4129843566839</v>
      </c>
    </row>
    <row r="176" spans="2:17" ht="15.6" customHeight="1"/>
    <row r="177" spans="2:17">
      <c r="B177" s="98" t="s">
        <v>302</v>
      </c>
      <c r="C177" s="179" t="str">
        <f>C170</f>
        <v>BRSUA</v>
      </c>
      <c r="K177" s="98" t="s">
        <v>302</v>
      </c>
      <c r="L177" s="179" t="str">
        <f>C177</f>
        <v>BRSUA</v>
      </c>
    </row>
    <row r="178" spans="2:17" ht="15.6" customHeight="1">
      <c r="B178" s="5" t="s">
        <v>365</v>
      </c>
      <c r="C178" s="4" t="s">
        <v>4</v>
      </c>
      <c r="D178" s="4" t="s">
        <v>5</v>
      </c>
      <c r="E178" s="4" t="s">
        <v>6</v>
      </c>
      <c r="F178" s="4" t="s">
        <v>7</v>
      </c>
      <c r="G178" s="4" t="s">
        <v>8</v>
      </c>
      <c r="H178" s="4" t="s">
        <v>9</v>
      </c>
      <c r="I178" s="5" t="s">
        <v>47</v>
      </c>
      <c r="K178" s="5" t="s">
        <v>308</v>
      </c>
      <c r="L178" s="4" t="s">
        <v>4</v>
      </c>
      <c r="M178" s="4" t="s">
        <v>5</v>
      </c>
      <c r="N178" s="4" t="s">
        <v>6</v>
      </c>
      <c r="O178" s="4" t="s">
        <v>7</v>
      </c>
      <c r="P178" s="4" t="s">
        <v>8</v>
      </c>
      <c r="Q178" s="4" t="s">
        <v>9</v>
      </c>
    </row>
    <row r="179" spans="2:17">
      <c r="B179" s="10" t="s">
        <v>4</v>
      </c>
      <c r="C179" s="11"/>
      <c r="D179" s="12"/>
      <c r="E179" s="12">
        <f t="shared" ref="E179:H181" si="47">E28</f>
        <v>156</v>
      </c>
      <c r="F179" s="12">
        <f t="shared" si="47"/>
        <v>0</v>
      </c>
      <c r="G179" s="12">
        <f t="shared" si="47"/>
        <v>226</v>
      </c>
      <c r="H179" s="12">
        <f t="shared" si="47"/>
        <v>648</v>
      </c>
      <c r="I179" s="13">
        <f t="shared" ref="I179:I184" si="48">SUM(C179:H179)</f>
        <v>1030</v>
      </c>
      <c r="K179" s="10" t="s">
        <v>4</v>
      </c>
      <c r="L179" s="171">
        <f>IF(C179=0,0,$F$175/$I$185)</f>
        <v>0</v>
      </c>
      <c r="M179" s="60">
        <f t="shared" ref="M179:Q184" si="49">IF(D179=0,0,$F$175/$I$185)</f>
        <v>0</v>
      </c>
      <c r="N179" s="60">
        <f>IF(E179=0,0,$F$175/$I$185)</f>
        <v>2.9979693754762038</v>
      </c>
      <c r="O179" s="60">
        <f t="shared" si="49"/>
        <v>0</v>
      </c>
      <c r="P179" s="60">
        <f t="shared" si="49"/>
        <v>2.9979693754762038</v>
      </c>
      <c r="Q179" s="60">
        <f t="shared" si="49"/>
        <v>2.9979693754762038</v>
      </c>
    </row>
    <row r="180" spans="2:17">
      <c r="B180" s="10" t="s">
        <v>5</v>
      </c>
      <c r="C180" s="12"/>
      <c r="D180" s="11"/>
      <c r="E180" s="12">
        <f t="shared" si="47"/>
        <v>0</v>
      </c>
      <c r="F180" s="12">
        <f t="shared" si="47"/>
        <v>0</v>
      </c>
      <c r="G180" s="12">
        <f t="shared" si="47"/>
        <v>20</v>
      </c>
      <c r="H180" s="12">
        <f t="shared" si="47"/>
        <v>136</v>
      </c>
      <c r="I180" s="13">
        <f t="shared" si="48"/>
        <v>156</v>
      </c>
      <c r="K180" s="10" t="s">
        <v>5</v>
      </c>
      <c r="L180" s="60">
        <f t="shared" ref="L180:L184" si="50">IF(C180=0,0,$F$175/$I$185)</f>
        <v>0</v>
      </c>
      <c r="M180" s="171">
        <f t="shared" si="49"/>
        <v>0</v>
      </c>
      <c r="N180" s="60">
        <f t="shared" si="49"/>
        <v>0</v>
      </c>
      <c r="O180" s="60">
        <f t="shared" si="49"/>
        <v>0</v>
      </c>
      <c r="P180" s="60">
        <f t="shared" si="49"/>
        <v>2.9979693754762038</v>
      </c>
      <c r="Q180" s="60">
        <f t="shared" si="49"/>
        <v>2.9979693754762038</v>
      </c>
    </row>
    <row r="181" spans="2:17">
      <c r="B181" s="10" t="s">
        <v>6</v>
      </c>
      <c r="C181" s="12"/>
      <c r="D181" s="12"/>
      <c r="E181" s="11">
        <f t="shared" si="47"/>
        <v>0</v>
      </c>
      <c r="F181" s="12">
        <f t="shared" si="47"/>
        <v>0</v>
      </c>
      <c r="G181" s="12">
        <f t="shared" si="47"/>
        <v>30</v>
      </c>
      <c r="H181" s="12">
        <f t="shared" si="47"/>
        <v>58</v>
      </c>
      <c r="I181" s="13">
        <f t="shared" si="48"/>
        <v>88</v>
      </c>
      <c r="K181" s="10" t="s">
        <v>6</v>
      </c>
      <c r="L181" s="60">
        <f t="shared" si="50"/>
        <v>0</v>
      </c>
      <c r="M181" s="60">
        <f t="shared" si="49"/>
        <v>0</v>
      </c>
      <c r="N181" s="171">
        <f t="shared" si="49"/>
        <v>0</v>
      </c>
      <c r="O181" s="60">
        <f t="shared" si="49"/>
        <v>0</v>
      </c>
      <c r="P181" s="60">
        <f t="shared" si="49"/>
        <v>2.9979693754762038</v>
      </c>
      <c r="Q181" s="60">
        <f t="shared" si="49"/>
        <v>2.9979693754762038</v>
      </c>
    </row>
    <row r="182" spans="2:17">
      <c r="B182" s="10" t="s">
        <v>7</v>
      </c>
      <c r="C182" s="12"/>
      <c r="D182" s="12"/>
      <c r="E182" s="12"/>
      <c r="F182" s="11"/>
      <c r="G182" s="12"/>
      <c r="H182" s="12"/>
      <c r="I182" s="13">
        <f t="shared" si="48"/>
        <v>0</v>
      </c>
      <c r="K182" s="10" t="s">
        <v>7</v>
      </c>
      <c r="L182" s="60">
        <f t="shared" si="50"/>
        <v>0</v>
      </c>
      <c r="M182" s="60">
        <f t="shared" si="49"/>
        <v>0</v>
      </c>
      <c r="N182" s="60">
        <f t="shared" si="49"/>
        <v>0</v>
      </c>
      <c r="O182" s="171">
        <f t="shared" si="49"/>
        <v>0</v>
      </c>
      <c r="P182" s="60">
        <f t="shared" si="49"/>
        <v>0</v>
      </c>
      <c r="Q182" s="60">
        <f t="shared" si="49"/>
        <v>0</v>
      </c>
    </row>
    <row r="183" spans="2:17">
      <c r="B183" s="10" t="s">
        <v>8</v>
      </c>
      <c r="C183" s="12"/>
      <c r="D183" s="12"/>
      <c r="E183" s="12"/>
      <c r="F183" s="12"/>
      <c r="G183" s="11"/>
      <c r="H183" s="12"/>
      <c r="I183" s="13">
        <f t="shared" si="48"/>
        <v>0</v>
      </c>
      <c r="K183" s="10" t="s">
        <v>8</v>
      </c>
      <c r="L183" s="60">
        <f t="shared" si="50"/>
        <v>0</v>
      </c>
      <c r="M183" s="60">
        <f t="shared" si="49"/>
        <v>0</v>
      </c>
      <c r="N183" s="60">
        <f t="shared" si="49"/>
        <v>0</v>
      </c>
      <c r="O183" s="60">
        <f t="shared" si="49"/>
        <v>0</v>
      </c>
      <c r="P183" s="171">
        <f t="shared" si="49"/>
        <v>0</v>
      </c>
      <c r="Q183" s="60">
        <f t="shared" si="49"/>
        <v>0</v>
      </c>
    </row>
    <row r="184" spans="2:17">
      <c r="B184" s="10" t="s">
        <v>9</v>
      </c>
      <c r="C184" s="12"/>
      <c r="D184" s="12"/>
      <c r="E184" s="12"/>
      <c r="F184" s="12"/>
      <c r="G184" s="12"/>
      <c r="H184" s="11"/>
      <c r="I184" s="13">
        <f t="shared" si="48"/>
        <v>0</v>
      </c>
      <c r="K184" s="10" t="s">
        <v>9</v>
      </c>
      <c r="L184" s="60">
        <f t="shared" si="50"/>
        <v>0</v>
      </c>
      <c r="M184" s="60">
        <f t="shared" si="49"/>
        <v>0</v>
      </c>
      <c r="N184" s="60">
        <f t="shared" si="49"/>
        <v>0</v>
      </c>
      <c r="O184" s="60">
        <f t="shared" si="49"/>
        <v>0</v>
      </c>
      <c r="P184" s="60">
        <f t="shared" si="49"/>
        <v>0</v>
      </c>
      <c r="Q184" s="171">
        <f t="shared" si="49"/>
        <v>0</v>
      </c>
    </row>
    <row r="185" spans="2:17">
      <c r="B185" s="16" t="s">
        <v>48</v>
      </c>
      <c r="C185" s="13">
        <f t="shared" ref="C185:I185" si="51">SUM(C179:C184)</f>
        <v>0</v>
      </c>
      <c r="D185" s="13">
        <f t="shared" si="51"/>
        <v>0</v>
      </c>
      <c r="E185" s="13">
        <f t="shared" si="51"/>
        <v>156</v>
      </c>
      <c r="F185" s="13">
        <f t="shared" si="51"/>
        <v>0</v>
      </c>
      <c r="G185" s="13">
        <f t="shared" si="51"/>
        <v>276</v>
      </c>
      <c r="H185" s="13">
        <f t="shared" si="51"/>
        <v>842</v>
      </c>
      <c r="I185" s="13">
        <f t="shared" si="51"/>
        <v>1274</v>
      </c>
    </row>
    <row r="188" spans="2:17" ht="18">
      <c r="K188" s="260" t="s">
        <v>474</v>
      </c>
      <c r="L188" s="260"/>
      <c r="M188" s="260"/>
      <c r="N188" s="260"/>
      <c r="O188" s="260"/>
      <c r="P188" s="260"/>
      <c r="Q188" s="260"/>
    </row>
    <row r="189" spans="2:17">
      <c r="K189" s="5" t="s">
        <v>308</v>
      </c>
      <c r="L189" s="4" t="s">
        <v>4</v>
      </c>
      <c r="M189" s="4" t="s">
        <v>5</v>
      </c>
      <c r="N189" s="4" t="s">
        <v>6</v>
      </c>
      <c r="O189" s="4" t="s">
        <v>7</v>
      </c>
      <c r="P189" s="4" t="s">
        <v>8</v>
      </c>
      <c r="Q189" s="4" t="s">
        <v>9</v>
      </c>
    </row>
    <row r="190" spans="2:17">
      <c r="K190" s="10" t="s">
        <v>4</v>
      </c>
      <c r="L190" s="171">
        <f>L46+L65+L84+L103+L122+L141+L160+L179</f>
        <v>0</v>
      </c>
      <c r="M190" s="60">
        <f t="shared" ref="M190:Q190" si="52">M46+M65+M84+M103+M122+M141+M160+M179</f>
        <v>9.4006776569922526</v>
      </c>
      <c r="N190" s="60">
        <f t="shared" si="52"/>
        <v>12.398647032468457</v>
      </c>
      <c r="O190" s="60">
        <f t="shared" si="52"/>
        <v>0</v>
      </c>
      <c r="P190" s="60">
        <f t="shared" si="52"/>
        <v>21.614982627222226</v>
      </c>
      <c r="Q190" s="60">
        <f t="shared" si="52"/>
        <v>17.544226870263707</v>
      </c>
    </row>
    <row r="191" spans="2:17">
      <c r="B191" s="5" t="s">
        <v>381</v>
      </c>
      <c r="C191" s="98" t="s">
        <v>380</v>
      </c>
      <c r="D191" s="5" t="s">
        <v>308</v>
      </c>
      <c r="K191" s="10" t="s">
        <v>5</v>
      </c>
      <c r="L191" s="60">
        <f t="shared" ref="L191:Q195" si="53">L47+L66+L85+L104+L123+L142+L161+L180</f>
        <v>10.688231460465682</v>
      </c>
      <c r="M191" s="171">
        <f t="shared" si="53"/>
        <v>0</v>
      </c>
      <c r="N191" s="60">
        <f t="shared" si="53"/>
        <v>0</v>
      </c>
      <c r="O191" s="60">
        <f t="shared" si="53"/>
        <v>0</v>
      </c>
      <c r="P191" s="60">
        <f t="shared" si="53"/>
        <v>13.33060005423658</v>
      </c>
      <c r="Q191" s="60">
        <f t="shared" si="53"/>
        <v>9.259844297278061</v>
      </c>
    </row>
    <row r="192" spans="2:17">
      <c r="B192" s="10" t="s">
        <v>9</v>
      </c>
      <c r="C192" s="78">
        <f>C7</f>
        <v>1.6351851851851853</v>
      </c>
      <c r="D192" s="82">
        <f>L51</f>
        <v>5.1455798377952506</v>
      </c>
      <c r="K192" s="10" t="s">
        <v>6</v>
      </c>
      <c r="L192" s="60">
        <f t="shared" si="53"/>
        <v>19.000089484853589</v>
      </c>
      <c r="M192" s="60">
        <f t="shared" si="53"/>
        <v>0</v>
      </c>
      <c r="N192" s="171">
        <f t="shared" si="53"/>
        <v>0</v>
      </c>
      <c r="O192" s="60">
        <f t="shared" si="53"/>
        <v>0</v>
      </c>
      <c r="P192" s="60">
        <f t="shared" si="53"/>
        <v>12.214304970229973</v>
      </c>
      <c r="Q192" s="60">
        <f t="shared" si="53"/>
        <v>8.143549213271454</v>
      </c>
    </row>
    <row r="193" spans="2:17">
      <c r="B193" s="10" t="s">
        <v>8</v>
      </c>
      <c r="C193" s="78">
        <f t="shared" ref="C193:C199" si="54">C8</f>
        <v>0.96388888888888891</v>
      </c>
      <c r="D193" s="82">
        <f>L69</f>
        <v>4.0707557569585173</v>
      </c>
      <c r="K193" s="10" t="s">
        <v>7</v>
      </c>
      <c r="L193" s="60">
        <f t="shared" si="53"/>
        <v>20.99638005634932</v>
      </c>
      <c r="M193" s="60">
        <f t="shared" si="53"/>
        <v>12.711997483363675</v>
      </c>
      <c r="N193" s="60">
        <f t="shared" si="53"/>
        <v>10.308148595883639</v>
      </c>
      <c r="O193" s="171">
        <f t="shared" si="53"/>
        <v>0</v>
      </c>
      <c r="P193" s="60">
        <f t="shared" si="53"/>
        <v>0</v>
      </c>
      <c r="Q193" s="60">
        <f t="shared" si="53"/>
        <v>0</v>
      </c>
    </row>
    <row r="194" spans="2:17">
      <c r="B194" s="10" t="s">
        <v>7</v>
      </c>
      <c r="C194" s="78">
        <f t="shared" si="54"/>
        <v>0.41388888888888892</v>
      </c>
      <c r="D194" s="82">
        <f>L87</f>
        <v>1.9962905714957322</v>
      </c>
      <c r="K194" s="10" t="s">
        <v>8</v>
      </c>
      <c r="L194" s="60">
        <f t="shared" si="53"/>
        <v>25.067135813307836</v>
      </c>
      <c r="M194" s="60">
        <f t="shared" si="53"/>
        <v>16.78275324032219</v>
      </c>
      <c r="N194" s="60">
        <f t="shared" si="53"/>
        <v>14.378904352842156</v>
      </c>
      <c r="O194" s="60">
        <f t="shared" si="53"/>
        <v>6.06704632845425</v>
      </c>
      <c r="P194" s="171">
        <f t="shared" si="53"/>
        <v>0</v>
      </c>
      <c r="Q194" s="60">
        <f t="shared" si="53"/>
        <v>0</v>
      </c>
    </row>
    <row r="195" spans="2:17">
      <c r="B195" s="10" t="s">
        <v>22</v>
      </c>
      <c r="C195" s="78">
        <f t="shared" si="54"/>
        <v>1.9708333333333332</v>
      </c>
      <c r="D195" s="82">
        <f>L105</f>
        <v>8.3118580243879059</v>
      </c>
      <c r="K195" s="10" t="s">
        <v>9</v>
      </c>
      <c r="L195" s="60">
        <f t="shared" si="53"/>
        <v>30.212715651103089</v>
      </c>
      <c r="M195" s="60">
        <f t="shared" si="53"/>
        <v>21.928333078117443</v>
      </c>
      <c r="N195" s="60">
        <f t="shared" si="53"/>
        <v>19.524484190637409</v>
      </c>
      <c r="O195" s="60">
        <f t="shared" si="53"/>
        <v>11.212626166249501</v>
      </c>
      <c r="P195" s="60">
        <f t="shared" si="53"/>
        <v>0</v>
      </c>
      <c r="Q195" s="171">
        <f t="shared" si="53"/>
        <v>0</v>
      </c>
    </row>
    <row r="196" spans="2:17">
      <c r="B196" s="10" t="s">
        <v>23</v>
      </c>
      <c r="C196" s="78">
        <f t="shared" si="54"/>
        <v>0.5180555555555556</v>
      </c>
      <c r="D196" s="82">
        <f>L123</f>
        <v>2.4038488874800357</v>
      </c>
    </row>
    <row r="197" spans="2:17">
      <c r="B197" s="10" t="s">
        <v>4</v>
      </c>
      <c r="C197" s="78">
        <f t="shared" si="54"/>
        <v>2.9444444444444446</v>
      </c>
      <c r="D197" s="82">
        <f>L142</f>
        <v>8.2843825729856455</v>
      </c>
    </row>
    <row r="198" spans="2:17">
      <c r="B198" s="10" t="s">
        <v>24</v>
      </c>
      <c r="C198" s="78">
        <f t="shared" si="54"/>
        <v>0.24861111111111112</v>
      </c>
      <c r="D198" s="82">
        <f>Q160</f>
        <v>1.1162950840066073</v>
      </c>
    </row>
    <row r="199" spans="2:17">
      <c r="B199" s="10" t="s">
        <v>382</v>
      </c>
      <c r="C199" s="78">
        <f t="shared" si="54"/>
        <v>0.625</v>
      </c>
      <c r="D199" s="82">
        <f>Q179</f>
        <v>2.9979693754762038</v>
      </c>
    </row>
    <row r="202" spans="2:17" ht="18">
      <c r="B202" s="176" t="s">
        <v>256</v>
      </c>
      <c r="C202" s="12">
        <f>F42+F61+F80+F99+F118+F137+F156+F175</f>
        <v>56954.520583766229</v>
      </c>
    </row>
  </sheetData>
  <mergeCells count="10">
    <mergeCell ref="B137:E137"/>
    <mergeCell ref="B156:E156"/>
    <mergeCell ref="B175:E175"/>
    <mergeCell ref="K188:Q188"/>
    <mergeCell ref="C17:E17"/>
    <mergeCell ref="B42:E42"/>
    <mergeCell ref="B61:E61"/>
    <mergeCell ref="B80:E80"/>
    <mergeCell ref="B99:E99"/>
    <mergeCell ref="B118:E118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5026-15F0-4C60-85B3-422B45787CE1}">
  <dimension ref="B2:Q202"/>
  <sheetViews>
    <sheetView showGridLines="0" zoomScale="70" zoomScaleNormal="70" workbookViewId="0">
      <selection activeCell="F190" sqref="F190"/>
    </sheetView>
  </sheetViews>
  <sheetFormatPr defaultRowHeight="15.6"/>
  <cols>
    <col min="1" max="1" width="8.83984375" style="169"/>
    <col min="2" max="2" width="25.9453125" style="169" customWidth="1"/>
    <col min="3" max="3" width="15.1015625" style="169" customWidth="1"/>
    <col min="4" max="4" width="21.3125" style="169" customWidth="1"/>
    <col min="5" max="5" width="14.578125" style="169" customWidth="1"/>
    <col min="6" max="6" width="13.20703125" style="169" customWidth="1"/>
    <col min="7" max="7" width="10.68359375" style="169" customWidth="1"/>
    <col min="8" max="8" width="12.3671875" style="169" customWidth="1"/>
    <col min="9" max="9" width="13.62890625" style="169" customWidth="1"/>
    <col min="10" max="10" width="2.578125" style="169" customWidth="1"/>
    <col min="11" max="11" width="23.734375" style="169" customWidth="1"/>
    <col min="12" max="12" width="13.05078125" style="169" customWidth="1"/>
    <col min="13" max="13" width="22.15625" style="169" customWidth="1"/>
    <col min="14" max="14" width="18.3125" style="169" bestFit="1" customWidth="1"/>
    <col min="15" max="15" width="15.20703125" style="169" customWidth="1"/>
    <col min="16" max="16" width="14.83984375" style="169" customWidth="1"/>
    <col min="17" max="17" width="14.3125" style="169" customWidth="1"/>
    <col min="18" max="18" width="13.734375" style="169" customWidth="1"/>
    <col min="19" max="19" width="12.3671875" style="169" customWidth="1"/>
    <col min="20" max="20" width="24.83984375" style="169" customWidth="1"/>
    <col min="21" max="24" width="8.83984375" style="169"/>
    <col min="25" max="25" width="16.47265625" style="169" customWidth="1"/>
    <col min="26" max="16384" width="8.83984375" style="169"/>
  </cols>
  <sheetData>
    <row r="2" spans="2:4">
      <c r="B2" s="191" t="s">
        <v>367</v>
      </c>
    </row>
    <row r="3" spans="2:4">
      <c r="B3" s="191" t="s">
        <v>366</v>
      </c>
    </row>
    <row r="5" spans="2:4">
      <c r="D5" s="98" t="s">
        <v>276</v>
      </c>
    </row>
    <row r="6" spans="2:4">
      <c r="B6" s="98" t="s">
        <v>361</v>
      </c>
      <c r="C6" s="98" t="s">
        <v>380</v>
      </c>
      <c r="D6" s="98" t="s">
        <v>511</v>
      </c>
    </row>
    <row r="7" spans="2:4">
      <c r="B7" s="6" t="s">
        <v>9</v>
      </c>
      <c r="C7" s="45">
        <f>CabotageProforma_KAB01!Y21/24</f>
        <v>1.6351851851851853</v>
      </c>
      <c r="D7" s="78">
        <f>'Navio Porto Base C1'!D7*'Fatores Emissao'!$C$96/'Fatores Emissao'!$C$99</f>
        <v>2.909266975308642</v>
      </c>
    </row>
    <row r="8" spans="2:4">
      <c r="B8" s="6" t="s">
        <v>8</v>
      </c>
      <c r="C8" s="45">
        <f>CabotageProforma_KAB01!Y22/24</f>
        <v>0.96388888888888891</v>
      </c>
      <c r="D8" s="78">
        <f>'Navio Porto Base C1'!D8*'Fatores Emissao'!$C$96/'Fatores Emissao'!$C$99</f>
        <v>1.7149189814814816</v>
      </c>
    </row>
    <row r="9" spans="2:4">
      <c r="B9" s="6" t="s">
        <v>7</v>
      </c>
      <c r="C9" s="45">
        <f>CabotageProforma_KAB01!Y23/24</f>
        <v>0.41388888888888892</v>
      </c>
      <c r="D9" s="78">
        <f>'Navio Porto Base C1'!D9*'Fatores Emissao'!$C$96/'Fatores Emissao'!$C$99</f>
        <v>0.73637731481481483</v>
      </c>
    </row>
    <row r="10" spans="2:4">
      <c r="B10" s="6" t="s">
        <v>6</v>
      </c>
      <c r="C10" s="45">
        <f>CabotageProforma_KAB01!Y24/24</f>
        <v>1.9708333333333332</v>
      </c>
      <c r="D10" s="78">
        <f>'Navio Porto Base C1'!D10*'Fatores Emissao'!$C$96/'Fatores Emissao'!$C$99</f>
        <v>3.5064409722222223</v>
      </c>
    </row>
    <row r="11" spans="2:4">
      <c r="B11" s="6" t="s">
        <v>5</v>
      </c>
      <c r="C11" s="45">
        <f>CabotageProforma_KAB01!Y25/24</f>
        <v>0.5180555555555556</v>
      </c>
      <c r="D11" s="78">
        <f>'Navio Porto Base C1'!D11*'Fatores Emissao'!$C$96/'Fatores Emissao'!$C$99</f>
        <v>0.92170717592592599</v>
      </c>
    </row>
    <row r="12" spans="2:4">
      <c r="B12" s="6" t="s">
        <v>4</v>
      </c>
      <c r="C12" s="45">
        <f>CabotageProforma_KAB01!Y27/24</f>
        <v>2.9444444444444446</v>
      </c>
      <c r="D12" s="78">
        <f>'Navio Porto Base C1'!D12*'Fatores Emissao'!$C$96/'Fatores Emissao'!$C$99</f>
        <v>5.2386574074074082</v>
      </c>
    </row>
    <row r="13" spans="2:4">
      <c r="B13" s="6" t="s">
        <v>5</v>
      </c>
      <c r="C13" s="45">
        <f>CabotageProforma_KAB01!Y29/24</f>
        <v>0.24861111111111112</v>
      </c>
      <c r="D13" s="78">
        <f>'Navio Porto Base C1'!D13*'Fatores Emissao'!$C$96/'Fatores Emissao'!$C$99</f>
        <v>0.4423206018518519</v>
      </c>
    </row>
    <row r="14" spans="2:4">
      <c r="B14" s="6" t="s">
        <v>6</v>
      </c>
      <c r="C14" s="45">
        <f>CabotageProforma_KAB01!Y30/24</f>
        <v>0.625</v>
      </c>
      <c r="D14" s="78">
        <f>'Navio Porto Base C1'!D14*'Fatores Emissao'!$C$96/'Fatores Emissao'!$C$99</f>
        <v>1.1119791666666667</v>
      </c>
    </row>
    <row r="15" spans="2:4">
      <c r="D15" s="198"/>
    </row>
    <row r="16" spans="2:4">
      <c r="D16" s="198"/>
    </row>
    <row r="17" spans="2:9">
      <c r="C17" s="263" t="s">
        <v>234</v>
      </c>
      <c r="D17" s="264"/>
      <c r="E17" s="265"/>
    </row>
    <row r="18" spans="2:9" ht="18">
      <c r="B18" s="34" t="s">
        <v>221</v>
      </c>
      <c r="C18" s="180" t="s">
        <v>310</v>
      </c>
      <c r="D18" s="180" t="s">
        <v>311</v>
      </c>
      <c r="E18" s="180" t="s">
        <v>312</v>
      </c>
    </row>
    <row r="19" spans="2:9">
      <c r="B19" s="84" t="s">
        <v>216</v>
      </c>
      <c r="C19" s="113">
        <f>'Fatores Emissao'!C64</f>
        <v>2750</v>
      </c>
      <c r="D19" s="181">
        <f>'Fatores Emissao'!D64</f>
        <v>11.96</v>
      </c>
      <c r="E19" s="181">
        <f>'Fatores Emissao'!E64</f>
        <v>0.1</v>
      </c>
    </row>
    <row r="21" spans="2:9">
      <c r="B21" s="98" t="s">
        <v>236</v>
      </c>
      <c r="C21" s="98" t="s">
        <v>235</v>
      </c>
    </row>
    <row r="22" spans="2:9" ht="18">
      <c r="B22" s="18" t="s">
        <v>251</v>
      </c>
      <c r="C22" s="18">
        <v>1</v>
      </c>
    </row>
    <row r="23" spans="2:9" ht="18">
      <c r="B23" s="18" t="s">
        <v>252</v>
      </c>
      <c r="C23" s="18">
        <v>28</v>
      </c>
    </row>
    <row r="24" spans="2:9" ht="18">
      <c r="B24" s="18" t="s">
        <v>253</v>
      </c>
      <c r="C24" s="18">
        <v>265</v>
      </c>
    </row>
    <row r="25" spans="2:9">
      <c r="D25" s="198"/>
    </row>
    <row r="27" spans="2:9">
      <c r="B27" s="5" t="s">
        <v>188</v>
      </c>
      <c r="C27" s="4" t="s">
        <v>4</v>
      </c>
      <c r="D27" s="4" t="s">
        <v>5</v>
      </c>
      <c r="E27" s="4" t="s">
        <v>6</v>
      </c>
      <c r="F27" s="4" t="s">
        <v>7</v>
      </c>
      <c r="G27" s="4" t="s">
        <v>8</v>
      </c>
      <c r="H27" s="4" t="s">
        <v>9</v>
      </c>
      <c r="I27" s="5" t="s">
        <v>47</v>
      </c>
    </row>
    <row r="28" spans="2:9">
      <c r="B28" s="10" t="s">
        <v>4</v>
      </c>
      <c r="C28" s="11">
        <f>'Movimentacao de Conteineres'!K30</f>
        <v>0</v>
      </c>
      <c r="D28" s="12">
        <f>'Movimentacao de Conteineres'!L30</f>
        <v>175</v>
      </c>
      <c r="E28" s="12">
        <f>'Movimentacao de Conteineres'!M30</f>
        <v>156</v>
      </c>
      <c r="F28" s="12">
        <f>'Movimentacao de Conteineres'!N30</f>
        <v>0</v>
      </c>
      <c r="G28" s="12">
        <f>'Movimentacao de Conteineres'!O30</f>
        <v>226</v>
      </c>
      <c r="H28" s="12">
        <f>'Movimentacao de Conteineres'!P30</f>
        <v>648</v>
      </c>
      <c r="I28" s="13">
        <f t="shared" ref="I28:I33" si="0">SUM(C28:H28)</f>
        <v>1205</v>
      </c>
    </row>
    <row r="29" spans="2:9">
      <c r="B29" s="10" t="s">
        <v>5</v>
      </c>
      <c r="C29" s="12">
        <f>'Movimentacao de Conteineres'!K31</f>
        <v>260</v>
      </c>
      <c r="D29" s="11">
        <f>'Movimentacao de Conteineres'!L31</f>
        <v>0</v>
      </c>
      <c r="E29" s="12">
        <f>'Movimentacao de Conteineres'!M31</f>
        <v>0</v>
      </c>
      <c r="F29" s="12">
        <f>'Movimentacao de Conteineres'!N31</f>
        <v>0</v>
      </c>
      <c r="G29" s="12">
        <f>'Movimentacao de Conteineres'!O31</f>
        <v>20</v>
      </c>
      <c r="H29" s="12">
        <f>'Movimentacao de Conteineres'!P31</f>
        <v>136</v>
      </c>
      <c r="I29" s="13">
        <f t="shared" si="0"/>
        <v>416</v>
      </c>
    </row>
    <row r="30" spans="2:9">
      <c r="B30" s="10" t="s">
        <v>6</v>
      </c>
      <c r="C30" s="12">
        <f>'Movimentacao de Conteineres'!K32</f>
        <v>331</v>
      </c>
      <c r="D30" s="12">
        <f>'Movimentacao de Conteineres'!L32</f>
        <v>0</v>
      </c>
      <c r="E30" s="11">
        <f>'Movimentacao de Conteineres'!M32</f>
        <v>0</v>
      </c>
      <c r="F30" s="12">
        <f>'Movimentacao de Conteineres'!N32</f>
        <v>0</v>
      </c>
      <c r="G30" s="12">
        <f>'Movimentacao de Conteineres'!O32</f>
        <v>30</v>
      </c>
      <c r="H30" s="12">
        <f>'Movimentacao de Conteineres'!P32</f>
        <v>58</v>
      </c>
      <c r="I30" s="13">
        <f t="shared" si="0"/>
        <v>419</v>
      </c>
    </row>
    <row r="31" spans="2:9">
      <c r="B31" s="10" t="s">
        <v>7</v>
      </c>
      <c r="C31" s="12">
        <f>'Movimentacao de Conteineres'!K33</f>
        <v>86</v>
      </c>
      <c r="D31" s="12">
        <f>'Movimentacao de Conteineres'!L33</f>
        <v>9</v>
      </c>
      <c r="E31" s="12">
        <f>'Movimentacao de Conteineres'!M33</f>
        <v>1</v>
      </c>
      <c r="F31" s="11">
        <f>'Movimentacao de Conteineres'!N33</f>
        <v>0</v>
      </c>
      <c r="G31" s="12">
        <f>'Movimentacao de Conteineres'!O33</f>
        <v>0</v>
      </c>
      <c r="H31" s="12">
        <f>'Movimentacao de Conteineres'!P33</f>
        <v>0</v>
      </c>
      <c r="I31" s="13">
        <f t="shared" si="0"/>
        <v>96</v>
      </c>
    </row>
    <row r="32" spans="2:9">
      <c r="B32" s="10" t="s">
        <v>8</v>
      </c>
      <c r="C32" s="12">
        <f>'Movimentacao de Conteineres'!K34</f>
        <v>61</v>
      </c>
      <c r="D32" s="12">
        <f>'Movimentacao de Conteineres'!L34</f>
        <v>120</v>
      </c>
      <c r="E32" s="12">
        <f>'Movimentacao de Conteineres'!M34</f>
        <v>119</v>
      </c>
      <c r="F32" s="12">
        <f>'Movimentacao de Conteineres'!N34</f>
        <v>47</v>
      </c>
      <c r="G32" s="11">
        <f>'Movimentacao de Conteineres'!O34</f>
        <v>0</v>
      </c>
      <c r="H32" s="12">
        <f>'Movimentacao de Conteineres'!P34</f>
        <v>0</v>
      </c>
      <c r="I32" s="13">
        <f t="shared" si="0"/>
        <v>347</v>
      </c>
    </row>
    <row r="33" spans="2:17">
      <c r="B33" s="10" t="s">
        <v>9</v>
      </c>
      <c r="C33" s="12">
        <f>'Movimentacao de Conteineres'!K35</f>
        <v>229</v>
      </c>
      <c r="D33" s="12">
        <f>'Movimentacao de Conteineres'!L35</f>
        <v>221</v>
      </c>
      <c r="E33" s="12">
        <f>'Movimentacao de Conteineres'!M35</f>
        <v>272</v>
      </c>
      <c r="F33" s="12">
        <f>'Movimentacao de Conteineres'!N35</f>
        <v>102</v>
      </c>
      <c r="G33" s="12">
        <f>'Movimentacao de Conteineres'!O35</f>
        <v>0</v>
      </c>
      <c r="H33" s="11">
        <f>'Movimentacao de Conteineres'!P35</f>
        <v>0</v>
      </c>
      <c r="I33" s="13">
        <f t="shared" si="0"/>
        <v>824</v>
      </c>
    </row>
    <row r="34" spans="2:17">
      <c r="B34" s="16" t="s">
        <v>48</v>
      </c>
      <c r="C34" s="13">
        <f t="shared" ref="C34:I34" si="1">SUM(C28:C33)</f>
        <v>967</v>
      </c>
      <c r="D34" s="13">
        <f t="shared" si="1"/>
        <v>525</v>
      </c>
      <c r="E34" s="13">
        <f t="shared" si="1"/>
        <v>548</v>
      </c>
      <c r="F34" s="13">
        <f t="shared" si="1"/>
        <v>149</v>
      </c>
      <c r="G34" s="13">
        <f t="shared" si="1"/>
        <v>276</v>
      </c>
      <c r="H34" s="13">
        <f t="shared" si="1"/>
        <v>842</v>
      </c>
      <c r="I34" s="13">
        <f t="shared" si="1"/>
        <v>3307</v>
      </c>
    </row>
    <row r="37" spans="2:17">
      <c r="B37" s="98" t="s">
        <v>302</v>
      </c>
      <c r="C37" s="179" t="s">
        <v>9</v>
      </c>
    </row>
    <row r="38" spans="2:17">
      <c r="B38" s="98" t="s">
        <v>307</v>
      </c>
      <c r="C38" s="98"/>
      <c r="D38" s="98" t="s">
        <v>216</v>
      </c>
      <c r="E38" s="98" t="s">
        <v>235</v>
      </c>
      <c r="F38" s="178" t="s">
        <v>309</v>
      </c>
    </row>
    <row r="39" spans="2:17" ht="18">
      <c r="B39" s="199" t="s">
        <v>356</v>
      </c>
      <c r="C39" s="12"/>
      <c r="D39" s="12">
        <f>D7*$C$19</f>
        <v>8000.4841820987658</v>
      </c>
      <c r="E39" s="12">
        <f>$C$22</f>
        <v>1</v>
      </c>
      <c r="F39" s="12">
        <f>(C39+D39)*E39</f>
        <v>8000.4841820987658</v>
      </c>
    </row>
    <row r="40" spans="2:17" ht="18">
      <c r="B40" s="199" t="s">
        <v>354</v>
      </c>
      <c r="C40" s="39"/>
      <c r="D40" s="39">
        <f>D7*$D$19</f>
        <v>34.794833024691357</v>
      </c>
      <c r="E40" s="18">
        <f>$C$23</f>
        <v>28</v>
      </c>
      <c r="F40" s="12">
        <f t="shared" ref="F40:F41" si="2">(C40+D40)*E40</f>
        <v>974.25532469135806</v>
      </c>
    </row>
    <row r="41" spans="2:17" ht="18">
      <c r="B41" s="199" t="s">
        <v>355</v>
      </c>
      <c r="C41" s="194"/>
      <c r="D41" s="194">
        <f>D7*$E$19</f>
        <v>0.2909266975308642</v>
      </c>
      <c r="E41" s="18">
        <f>$C$24</f>
        <v>265</v>
      </c>
      <c r="F41" s="12">
        <f t="shared" si="2"/>
        <v>77.09557484567901</v>
      </c>
    </row>
    <row r="42" spans="2:17" ht="15.6" customHeight="1">
      <c r="B42" s="278" t="s">
        <v>10</v>
      </c>
      <c r="C42" s="278"/>
      <c r="D42" s="278"/>
      <c r="E42" s="278"/>
      <c r="F42" s="200">
        <f>SUM(F39:F41)</f>
        <v>9051.8350816358015</v>
      </c>
    </row>
    <row r="43" spans="2:17" ht="15.6" customHeight="1"/>
    <row r="44" spans="2:17">
      <c r="B44" s="98" t="s">
        <v>302</v>
      </c>
      <c r="C44" s="179" t="str">
        <f>C37</f>
        <v>BRSSZ</v>
      </c>
      <c r="K44" s="98" t="s">
        <v>302</v>
      </c>
      <c r="L44" s="179" t="str">
        <f>C44</f>
        <v>BRSSZ</v>
      </c>
    </row>
    <row r="45" spans="2:17" ht="15.6" customHeight="1">
      <c r="B45" s="5" t="s">
        <v>365</v>
      </c>
      <c r="C45" s="4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H45" s="4" t="s">
        <v>9</v>
      </c>
      <c r="I45" s="5" t="s">
        <v>47</v>
      </c>
      <c r="K45" s="5" t="s">
        <v>308</v>
      </c>
      <c r="L45" s="4" t="s">
        <v>4</v>
      </c>
      <c r="M45" s="4" t="s">
        <v>5</v>
      </c>
      <c r="N45" s="4" t="s">
        <v>6</v>
      </c>
      <c r="O45" s="4" t="s">
        <v>7</v>
      </c>
      <c r="P45" s="4" t="s">
        <v>8</v>
      </c>
      <c r="Q45" s="4" t="s">
        <v>9</v>
      </c>
    </row>
    <row r="46" spans="2:17">
      <c r="B46" s="10" t="s">
        <v>4</v>
      </c>
      <c r="C46" s="11"/>
      <c r="D46" s="12"/>
      <c r="E46" s="12"/>
      <c r="F46" s="12"/>
      <c r="G46" s="12">
        <f t="shared" ref="G46:H50" si="3">G28</f>
        <v>226</v>
      </c>
      <c r="H46" s="12">
        <f t="shared" si="3"/>
        <v>648</v>
      </c>
      <c r="I46" s="13">
        <f t="shared" ref="I46:I51" si="4">SUM(C46:H46)</f>
        <v>874</v>
      </c>
      <c r="K46" s="10" t="s">
        <v>4</v>
      </c>
      <c r="L46" s="171">
        <f>IF(C46=0,0,$F$42/$I$52)</f>
        <v>0</v>
      </c>
      <c r="M46" s="60">
        <f t="shared" ref="M46:Q51" si="5">IF(D46=0,0,$F$42/$I$52)</f>
        <v>0</v>
      </c>
      <c r="N46" s="60">
        <f t="shared" si="5"/>
        <v>0</v>
      </c>
      <c r="O46" s="60">
        <f t="shared" si="5"/>
        <v>0</v>
      </c>
      <c r="P46" s="60">
        <f t="shared" si="5"/>
        <v>4.6610891254561286</v>
      </c>
      <c r="Q46" s="60">
        <f t="shared" si="5"/>
        <v>4.6610891254561286</v>
      </c>
    </row>
    <row r="47" spans="2:17">
      <c r="B47" s="10" t="s">
        <v>5</v>
      </c>
      <c r="C47" s="12"/>
      <c r="D47" s="11"/>
      <c r="E47" s="12"/>
      <c r="F47" s="12"/>
      <c r="G47" s="12">
        <f t="shared" si="3"/>
        <v>20</v>
      </c>
      <c r="H47" s="12">
        <f t="shared" si="3"/>
        <v>136</v>
      </c>
      <c r="I47" s="13">
        <f t="shared" si="4"/>
        <v>156</v>
      </c>
      <c r="K47" s="10" t="s">
        <v>5</v>
      </c>
      <c r="L47" s="60">
        <f t="shared" ref="L47:L50" si="6">IF(C47=0,0,$F$42/$I$52)</f>
        <v>0</v>
      </c>
      <c r="M47" s="171">
        <f t="shared" si="5"/>
        <v>0</v>
      </c>
      <c r="N47" s="60">
        <f t="shared" si="5"/>
        <v>0</v>
      </c>
      <c r="O47" s="60">
        <f t="shared" si="5"/>
        <v>0</v>
      </c>
      <c r="P47" s="60">
        <f t="shared" si="5"/>
        <v>4.6610891254561286</v>
      </c>
      <c r="Q47" s="60">
        <f t="shared" si="5"/>
        <v>4.6610891254561286</v>
      </c>
    </row>
    <row r="48" spans="2:17">
      <c r="B48" s="10" t="s">
        <v>6</v>
      </c>
      <c r="C48" s="12"/>
      <c r="D48" s="12"/>
      <c r="E48" s="11"/>
      <c r="F48" s="12"/>
      <c r="G48" s="12">
        <f t="shared" si="3"/>
        <v>30</v>
      </c>
      <c r="H48" s="12">
        <f t="shared" si="3"/>
        <v>58</v>
      </c>
      <c r="I48" s="13">
        <f t="shared" si="4"/>
        <v>88</v>
      </c>
      <c r="K48" s="10" t="s">
        <v>6</v>
      </c>
      <c r="L48" s="60">
        <f t="shared" si="6"/>
        <v>0</v>
      </c>
      <c r="M48" s="60">
        <f t="shared" si="5"/>
        <v>0</v>
      </c>
      <c r="N48" s="171">
        <f t="shared" si="5"/>
        <v>0</v>
      </c>
      <c r="O48" s="60">
        <f t="shared" si="5"/>
        <v>0</v>
      </c>
      <c r="P48" s="60">
        <f t="shared" si="5"/>
        <v>4.6610891254561286</v>
      </c>
      <c r="Q48" s="60">
        <f t="shared" si="5"/>
        <v>4.6610891254561286</v>
      </c>
    </row>
    <row r="49" spans="2:17">
      <c r="B49" s="10" t="s">
        <v>7</v>
      </c>
      <c r="C49" s="12"/>
      <c r="D49" s="12"/>
      <c r="E49" s="12"/>
      <c r="F49" s="11"/>
      <c r="G49" s="12">
        <f t="shared" si="3"/>
        <v>0</v>
      </c>
      <c r="H49" s="12">
        <f t="shared" si="3"/>
        <v>0</v>
      </c>
      <c r="I49" s="13">
        <f t="shared" si="4"/>
        <v>0</v>
      </c>
      <c r="K49" s="10" t="s">
        <v>7</v>
      </c>
      <c r="L49" s="60">
        <f t="shared" si="6"/>
        <v>0</v>
      </c>
      <c r="M49" s="60">
        <f t="shared" si="5"/>
        <v>0</v>
      </c>
      <c r="N49" s="60">
        <f t="shared" si="5"/>
        <v>0</v>
      </c>
      <c r="O49" s="171">
        <f t="shared" si="5"/>
        <v>0</v>
      </c>
      <c r="P49" s="60">
        <f t="shared" si="5"/>
        <v>0</v>
      </c>
      <c r="Q49" s="60">
        <f t="shared" si="5"/>
        <v>0</v>
      </c>
    </row>
    <row r="50" spans="2:17">
      <c r="B50" s="10" t="s">
        <v>8</v>
      </c>
      <c r="C50" s="12"/>
      <c r="D50" s="12"/>
      <c r="E50" s="12"/>
      <c r="F50" s="12"/>
      <c r="G50" s="11">
        <f t="shared" si="3"/>
        <v>0</v>
      </c>
      <c r="H50" s="12">
        <f t="shared" si="3"/>
        <v>0</v>
      </c>
      <c r="I50" s="13">
        <f t="shared" si="4"/>
        <v>0</v>
      </c>
      <c r="K50" s="10" t="s">
        <v>8</v>
      </c>
      <c r="L50" s="60">
        <f t="shared" si="6"/>
        <v>0</v>
      </c>
      <c r="M50" s="60">
        <f t="shared" si="5"/>
        <v>0</v>
      </c>
      <c r="N50" s="60">
        <f t="shared" si="5"/>
        <v>0</v>
      </c>
      <c r="O50" s="60">
        <f t="shared" si="5"/>
        <v>0</v>
      </c>
      <c r="P50" s="171">
        <f t="shared" si="5"/>
        <v>0</v>
      </c>
      <c r="Q50" s="60">
        <f t="shared" si="5"/>
        <v>0</v>
      </c>
    </row>
    <row r="51" spans="2:17">
      <c r="B51" s="10" t="s">
        <v>9</v>
      </c>
      <c r="C51" s="12">
        <f t="shared" ref="C51:H51" si="7">C33</f>
        <v>229</v>
      </c>
      <c r="D51" s="12">
        <f t="shared" si="7"/>
        <v>221</v>
      </c>
      <c r="E51" s="12">
        <f t="shared" si="7"/>
        <v>272</v>
      </c>
      <c r="F51" s="12">
        <f t="shared" si="7"/>
        <v>102</v>
      </c>
      <c r="G51" s="12">
        <f t="shared" si="7"/>
        <v>0</v>
      </c>
      <c r="H51" s="11">
        <f t="shared" si="7"/>
        <v>0</v>
      </c>
      <c r="I51" s="13">
        <f t="shared" si="4"/>
        <v>824</v>
      </c>
      <c r="K51" s="10" t="s">
        <v>9</v>
      </c>
      <c r="L51" s="60">
        <f>IF(C51=0,0,$F$42/$I$52)</f>
        <v>4.6610891254561286</v>
      </c>
      <c r="M51" s="60">
        <f t="shared" si="5"/>
        <v>4.6610891254561286</v>
      </c>
      <c r="N51" s="60">
        <f t="shared" si="5"/>
        <v>4.6610891254561286</v>
      </c>
      <c r="O51" s="60">
        <f t="shared" si="5"/>
        <v>4.6610891254561286</v>
      </c>
      <c r="P51" s="60">
        <f t="shared" si="5"/>
        <v>0</v>
      </c>
      <c r="Q51" s="171">
        <f t="shared" si="5"/>
        <v>0</v>
      </c>
    </row>
    <row r="52" spans="2:17">
      <c r="B52" s="16" t="s">
        <v>48</v>
      </c>
      <c r="C52" s="13">
        <f t="shared" ref="C52:I52" si="8">SUM(C46:C51)</f>
        <v>229</v>
      </c>
      <c r="D52" s="13">
        <f t="shared" si="8"/>
        <v>221</v>
      </c>
      <c r="E52" s="13">
        <f t="shared" si="8"/>
        <v>272</v>
      </c>
      <c r="F52" s="13">
        <f t="shared" si="8"/>
        <v>102</v>
      </c>
      <c r="G52" s="13">
        <f t="shared" si="8"/>
        <v>276</v>
      </c>
      <c r="H52" s="13">
        <f t="shared" si="8"/>
        <v>842</v>
      </c>
      <c r="I52" s="13">
        <f t="shared" si="8"/>
        <v>1942</v>
      </c>
    </row>
    <row r="56" spans="2:17">
      <c r="B56" s="98" t="s">
        <v>302</v>
      </c>
      <c r="C56" s="179" t="s">
        <v>8</v>
      </c>
    </row>
    <row r="57" spans="2:17">
      <c r="B57" s="98" t="s">
        <v>307</v>
      </c>
      <c r="C57" s="98"/>
      <c r="D57" s="98" t="s">
        <v>216</v>
      </c>
      <c r="E57" s="98" t="s">
        <v>235</v>
      </c>
      <c r="F57" s="178" t="s">
        <v>309</v>
      </c>
    </row>
    <row r="58" spans="2:17" ht="18">
      <c r="B58" s="199" t="s">
        <v>356</v>
      </c>
      <c r="C58" s="12"/>
      <c r="D58" s="12">
        <f>D8*$C$19</f>
        <v>4716.0271990740748</v>
      </c>
      <c r="E58" s="12">
        <f>$C$22</f>
        <v>1</v>
      </c>
      <c r="F58" s="12">
        <f>(C58+D58)*E58</f>
        <v>4716.0271990740748</v>
      </c>
    </row>
    <row r="59" spans="2:17" ht="18">
      <c r="B59" s="199" t="s">
        <v>354</v>
      </c>
      <c r="C59" s="39"/>
      <c r="D59" s="39">
        <f>D8*$D$19</f>
        <v>20.510431018518521</v>
      </c>
      <c r="E59" s="18">
        <f>$C$23</f>
        <v>28</v>
      </c>
      <c r="F59" s="12">
        <f t="shared" ref="F59:F60" si="9">(C59+D59)*E59</f>
        <v>574.29206851851859</v>
      </c>
    </row>
    <row r="60" spans="2:17" ht="18">
      <c r="B60" s="199" t="s">
        <v>355</v>
      </c>
      <c r="C60" s="194"/>
      <c r="D60" s="194">
        <f>D8*$E$19</f>
        <v>0.17149189814814816</v>
      </c>
      <c r="E60" s="18">
        <f>$C$24</f>
        <v>265</v>
      </c>
      <c r="F60" s="12">
        <f t="shared" si="9"/>
        <v>45.445353009259264</v>
      </c>
    </row>
    <row r="61" spans="2:17" ht="15.6" customHeight="1">
      <c r="B61" s="278" t="s">
        <v>10</v>
      </c>
      <c r="C61" s="278"/>
      <c r="D61" s="278"/>
      <c r="E61" s="278"/>
      <c r="F61" s="200">
        <f>SUM(F58:F60)</f>
        <v>5335.7646206018526</v>
      </c>
    </row>
    <row r="62" spans="2:17" ht="15.6" customHeight="1"/>
    <row r="63" spans="2:17">
      <c r="B63" s="98" t="s">
        <v>302</v>
      </c>
      <c r="C63" s="179" t="str">
        <f>C56</f>
        <v>BRIGI</v>
      </c>
      <c r="K63" s="98" t="s">
        <v>302</v>
      </c>
      <c r="L63" s="179" t="str">
        <f>C63</f>
        <v>BRIGI</v>
      </c>
    </row>
    <row r="64" spans="2:17" ht="15.6" customHeight="1">
      <c r="B64" s="5" t="s">
        <v>365</v>
      </c>
      <c r="C64" s="4" t="s">
        <v>4</v>
      </c>
      <c r="D64" s="4" t="s">
        <v>5</v>
      </c>
      <c r="E64" s="4" t="s">
        <v>6</v>
      </c>
      <c r="F64" s="4" t="s">
        <v>7</v>
      </c>
      <c r="G64" s="4" t="s">
        <v>8</v>
      </c>
      <c r="H64" s="4" t="s">
        <v>9</v>
      </c>
      <c r="I64" s="5" t="s">
        <v>47</v>
      </c>
      <c r="K64" s="5" t="s">
        <v>308</v>
      </c>
      <c r="L64" s="4" t="s">
        <v>4</v>
      </c>
      <c r="M64" s="4" t="s">
        <v>5</v>
      </c>
      <c r="N64" s="4" t="s">
        <v>6</v>
      </c>
      <c r="O64" s="4" t="s">
        <v>7</v>
      </c>
      <c r="P64" s="4" t="s">
        <v>8</v>
      </c>
      <c r="Q64" s="4" t="s">
        <v>9</v>
      </c>
    </row>
    <row r="65" spans="2:17">
      <c r="B65" s="10" t="s">
        <v>4</v>
      </c>
      <c r="C65" s="11"/>
      <c r="D65" s="12"/>
      <c r="E65" s="12"/>
      <c r="F65" s="12"/>
      <c r="G65" s="12">
        <f t="shared" ref="G65:G68" si="10">G28</f>
        <v>226</v>
      </c>
      <c r="H65" s="12"/>
      <c r="I65" s="13">
        <f t="shared" ref="I65:I70" si="11">SUM(C65:H65)</f>
        <v>226</v>
      </c>
      <c r="K65" s="10" t="s">
        <v>4</v>
      </c>
      <c r="L65" s="171">
        <f>IF(C65=0,0,$F$61/$I$71)</f>
        <v>0</v>
      </c>
      <c r="M65" s="60">
        <f t="shared" ref="M65:Q70" si="12">IF(D65=0,0,$F$61/$I$71)</f>
        <v>0</v>
      </c>
      <c r="N65" s="60">
        <f t="shared" si="12"/>
        <v>0</v>
      </c>
      <c r="O65" s="60">
        <f t="shared" si="12"/>
        <v>0</v>
      </c>
      <c r="P65" s="60">
        <f t="shared" si="12"/>
        <v>3.6874669112659659</v>
      </c>
      <c r="Q65" s="60">
        <f t="shared" si="12"/>
        <v>0</v>
      </c>
    </row>
    <row r="66" spans="2:17">
      <c r="B66" s="10" t="s">
        <v>5</v>
      </c>
      <c r="C66" s="12"/>
      <c r="D66" s="11"/>
      <c r="E66" s="12"/>
      <c r="F66" s="12"/>
      <c r="G66" s="12">
        <f t="shared" si="10"/>
        <v>20</v>
      </c>
      <c r="H66" s="12"/>
      <c r="I66" s="13">
        <f t="shared" si="11"/>
        <v>20</v>
      </c>
      <c r="K66" s="10" t="s">
        <v>5</v>
      </c>
      <c r="L66" s="60">
        <f t="shared" ref="L66:L70" si="13">IF(C66=0,0,$F$61/$I$71)</f>
        <v>0</v>
      </c>
      <c r="M66" s="171">
        <f t="shared" si="12"/>
        <v>0</v>
      </c>
      <c r="N66" s="60">
        <f t="shared" si="12"/>
        <v>0</v>
      </c>
      <c r="O66" s="60">
        <f t="shared" si="12"/>
        <v>0</v>
      </c>
      <c r="P66" s="60">
        <f t="shared" si="12"/>
        <v>3.6874669112659659</v>
      </c>
      <c r="Q66" s="60">
        <f t="shared" si="12"/>
        <v>0</v>
      </c>
    </row>
    <row r="67" spans="2:17">
      <c r="B67" s="10" t="s">
        <v>6</v>
      </c>
      <c r="C67" s="12"/>
      <c r="D67" s="12"/>
      <c r="E67" s="11"/>
      <c r="F67" s="12"/>
      <c r="G67" s="12">
        <f t="shared" si="10"/>
        <v>30</v>
      </c>
      <c r="H67" s="12"/>
      <c r="I67" s="13">
        <f t="shared" si="11"/>
        <v>30</v>
      </c>
      <c r="K67" s="10" t="s">
        <v>6</v>
      </c>
      <c r="L67" s="60">
        <f t="shared" si="13"/>
        <v>0</v>
      </c>
      <c r="M67" s="60">
        <f t="shared" si="12"/>
        <v>0</v>
      </c>
      <c r="N67" s="171">
        <f t="shared" si="12"/>
        <v>0</v>
      </c>
      <c r="O67" s="60">
        <f t="shared" si="12"/>
        <v>0</v>
      </c>
      <c r="P67" s="60">
        <f t="shared" si="12"/>
        <v>3.6874669112659659</v>
      </c>
      <c r="Q67" s="60">
        <f t="shared" si="12"/>
        <v>0</v>
      </c>
    </row>
    <row r="68" spans="2:17">
      <c r="B68" s="10" t="s">
        <v>7</v>
      </c>
      <c r="C68" s="12"/>
      <c r="D68" s="12"/>
      <c r="E68" s="12"/>
      <c r="F68" s="11"/>
      <c r="G68" s="12">
        <f t="shared" si="10"/>
        <v>0</v>
      </c>
      <c r="H68" s="12"/>
      <c r="I68" s="13">
        <f t="shared" si="11"/>
        <v>0</v>
      </c>
      <c r="K68" s="10" t="s">
        <v>7</v>
      </c>
      <c r="L68" s="60">
        <f t="shared" si="13"/>
        <v>0</v>
      </c>
      <c r="M68" s="60">
        <f t="shared" si="12"/>
        <v>0</v>
      </c>
      <c r="N68" s="60">
        <f t="shared" si="12"/>
        <v>0</v>
      </c>
      <c r="O68" s="171">
        <f t="shared" si="12"/>
        <v>0</v>
      </c>
      <c r="P68" s="60">
        <f t="shared" si="12"/>
        <v>0</v>
      </c>
      <c r="Q68" s="60">
        <f t="shared" si="12"/>
        <v>0</v>
      </c>
    </row>
    <row r="69" spans="2:17">
      <c r="B69" s="10" t="s">
        <v>8</v>
      </c>
      <c r="C69" s="12">
        <f t="shared" ref="C69:G70" si="14">C32</f>
        <v>61</v>
      </c>
      <c r="D69" s="12">
        <f t="shared" si="14"/>
        <v>120</v>
      </c>
      <c r="E69" s="12">
        <f t="shared" si="14"/>
        <v>119</v>
      </c>
      <c r="F69" s="12">
        <f t="shared" si="14"/>
        <v>47</v>
      </c>
      <c r="G69" s="11">
        <f t="shared" si="14"/>
        <v>0</v>
      </c>
      <c r="H69" s="12"/>
      <c r="I69" s="13">
        <f t="shared" si="11"/>
        <v>347</v>
      </c>
      <c r="K69" s="10" t="s">
        <v>8</v>
      </c>
      <c r="L69" s="60">
        <f t="shared" si="13"/>
        <v>3.6874669112659659</v>
      </c>
      <c r="M69" s="60">
        <f t="shared" si="12"/>
        <v>3.6874669112659659</v>
      </c>
      <c r="N69" s="60">
        <f t="shared" si="12"/>
        <v>3.6874669112659659</v>
      </c>
      <c r="O69" s="60">
        <f t="shared" si="12"/>
        <v>3.6874669112659659</v>
      </c>
      <c r="P69" s="171">
        <f t="shared" si="12"/>
        <v>0</v>
      </c>
      <c r="Q69" s="60">
        <f t="shared" si="12"/>
        <v>0</v>
      </c>
    </row>
    <row r="70" spans="2:17">
      <c r="B70" s="10" t="s">
        <v>9</v>
      </c>
      <c r="C70" s="12">
        <f t="shared" si="14"/>
        <v>229</v>
      </c>
      <c r="D70" s="12">
        <f t="shared" si="14"/>
        <v>221</v>
      </c>
      <c r="E70" s="12">
        <f t="shared" si="14"/>
        <v>272</v>
      </c>
      <c r="F70" s="12">
        <f t="shared" si="14"/>
        <v>102</v>
      </c>
      <c r="G70" s="12">
        <f t="shared" si="14"/>
        <v>0</v>
      </c>
      <c r="H70" s="11"/>
      <c r="I70" s="13">
        <f t="shared" si="11"/>
        <v>824</v>
      </c>
      <c r="K70" s="10" t="s">
        <v>9</v>
      </c>
      <c r="L70" s="60">
        <f t="shared" si="13"/>
        <v>3.6874669112659659</v>
      </c>
      <c r="M70" s="60">
        <f t="shared" si="12"/>
        <v>3.6874669112659659</v>
      </c>
      <c r="N70" s="60">
        <f t="shared" si="12"/>
        <v>3.6874669112659659</v>
      </c>
      <c r="O70" s="60">
        <f t="shared" si="12"/>
        <v>3.6874669112659659</v>
      </c>
      <c r="P70" s="60">
        <f t="shared" si="12"/>
        <v>0</v>
      </c>
      <c r="Q70" s="171">
        <f t="shared" si="12"/>
        <v>0</v>
      </c>
    </row>
    <row r="71" spans="2:17">
      <c r="B71" s="16" t="s">
        <v>48</v>
      </c>
      <c r="C71" s="13">
        <f t="shared" ref="C71:I71" si="15">SUM(C65:C70)</f>
        <v>290</v>
      </c>
      <c r="D71" s="13">
        <f t="shared" si="15"/>
        <v>341</v>
      </c>
      <c r="E71" s="13">
        <f t="shared" si="15"/>
        <v>391</v>
      </c>
      <c r="F71" s="13">
        <f t="shared" si="15"/>
        <v>149</v>
      </c>
      <c r="G71" s="13">
        <f t="shared" si="15"/>
        <v>276</v>
      </c>
      <c r="H71" s="13">
        <f t="shared" si="15"/>
        <v>0</v>
      </c>
      <c r="I71" s="13">
        <f t="shared" si="15"/>
        <v>1447</v>
      </c>
    </row>
    <row r="75" spans="2:17">
      <c r="B75" s="98" t="s">
        <v>302</v>
      </c>
      <c r="C75" s="179" t="s">
        <v>7</v>
      </c>
    </row>
    <row r="76" spans="2:17">
      <c r="B76" s="98" t="s">
        <v>307</v>
      </c>
      <c r="C76" s="98"/>
      <c r="D76" s="98" t="s">
        <v>216</v>
      </c>
      <c r="E76" s="98" t="s">
        <v>235</v>
      </c>
      <c r="F76" s="178" t="s">
        <v>309</v>
      </c>
    </row>
    <row r="77" spans="2:17" ht="18">
      <c r="B77" s="199" t="s">
        <v>356</v>
      </c>
      <c r="C77" s="12"/>
      <c r="D77" s="12">
        <f>D9*$C$19</f>
        <v>2025.0376157407409</v>
      </c>
      <c r="E77" s="12">
        <f>$C$22</f>
        <v>1</v>
      </c>
      <c r="F77" s="12">
        <f>(C77+D77)*E77</f>
        <v>2025.0376157407409</v>
      </c>
    </row>
    <row r="78" spans="2:17" ht="18">
      <c r="B78" s="199" t="s">
        <v>354</v>
      </c>
      <c r="C78" s="39"/>
      <c r="D78" s="39">
        <f>D9*$D$19</f>
        <v>8.8070726851851866</v>
      </c>
      <c r="E78" s="18">
        <f>$C$23</f>
        <v>28</v>
      </c>
      <c r="F78" s="12">
        <f t="shared" ref="F78:F79" si="16">(C78+D78)*E78</f>
        <v>246.59803518518521</v>
      </c>
    </row>
    <row r="79" spans="2:17" ht="18">
      <c r="B79" s="199" t="s">
        <v>355</v>
      </c>
      <c r="C79" s="194"/>
      <c r="D79" s="194">
        <f>D9*$E$19</f>
        <v>7.3637731481481492E-2</v>
      </c>
      <c r="E79" s="18">
        <f>$C$24</f>
        <v>265</v>
      </c>
      <c r="F79" s="12">
        <f t="shared" si="16"/>
        <v>19.513998842592596</v>
      </c>
    </row>
    <row r="80" spans="2:17" ht="15.6" customHeight="1">
      <c r="B80" s="278" t="s">
        <v>10</v>
      </c>
      <c r="C80" s="278"/>
      <c r="D80" s="278"/>
      <c r="E80" s="278"/>
      <c r="F80" s="200">
        <f>SUM(F77:F79)</f>
        <v>2291.1496497685189</v>
      </c>
    </row>
    <row r="81" spans="2:17" ht="15.6" customHeight="1"/>
    <row r="82" spans="2:17">
      <c r="B82" s="98" t="s">
        <v>302</v>
      </c>
      <c r="C82" s="179" t="str">
        <f>C75</f>
        <v>BRSSA</v>
      </c>
      <c r="K82" s="98" t="s">
        <v>302</v>
      </c>
      <c r="L82" s="179" t="str">
        <f>C82</f>
        <v>BRSSA</v>
      </c>
    </row>
    <row r="83" spans="2:17" ht="15.6" customHeight="1">
      <c r="B83" s="5" t="s">
        <v>365</v>
      </c>
      <c r="C83" s="4" t="s">
        <v>4</v>
      </c>
      <c r="D83" s="4" t="s">
        <v>5</v>
      </c>
      <c r="E83" s="4" t="s">
        <v>6</v>
      </c>
      <c r="F83" s="4" t="s">
        <v>7</v>
      </c>
      <c r="G83" s="4" t="s">
        <v>8</v>
      </c>
      <c r="H83" s="4" t="s">
        <v>9</v>
      </c>
      <c r="I83" s="5" t="s">
        <v>47</v>
      </c>
      <c r="K83" s="5" t="s">
        <v>308</v>
      </c>
      <c r="L83" s="4" t="s">
        <v>4</v>
      </c>
      <c r="M83" s="4" t="s">
        <v>5</v>
      </c>
      <c r="N83" s="4" t="s">
        <v>6</v>
      </c>
      <c r="O83" s="4" t="s">
        <v>7</v>
      </c>
      <c r="P83" s="4" t="s">
        <v>8</v>
      </c>
      <c r="Q83" s="4" t="s">
        <v>9</v>
      </c>
    </row>
    <row r="84" spans="2:17">
      <c r="B84" s="10" t="s">
        <v>4</v>
      </c>
      <c r="C84" s="11"/>
      <c r="D84" s="12"/>
      <c r="E84" s="12"/>
      <c r="F84" s="12"/>
      <c r="G84" s="12"/>
      <c r="H84" s="12"/>
      <c r="I84" s="13">
        <f t="shared" ref="I84:I89" si="17">SUM(C84:H84)</f>
        <v>0</v>
      </c>
      <c r="K84" s="10" t="s">
        <v>4</v>
      </c>
      <c r="L84" s="171">
        <f t="shared" ref="L84:Q89" si="18">IF(C84=0,0,$F$80/$I$90)</f>
        <v>0</v>
      </c>
      <c r="M84" s="60">
        <f t="shared" si="18"/>
        <v>0</v>
      </c>
      <c r="N84" s="60">
        <f t="shared" si="18"/>
        <v>0</v>
      </c>
      <c r="O84" s="60">
        <f t="shared" si="18"/>
        <v>0</v>
      </c>
      <c r="P84" s="60">
        <f t="shared" si="18"/>
        <v>0</v>
      </c>
      <c r="Q84" s="60">
        <f t="shared" si="18"/>
        <v>0</v>
      </c>
    </row>
    <row r="85" spans="2:17">
      <c r="B85" s="10" t="s">
        <v>5</v>
      </c>
      <c r="C85" s="12"/>
      <c r="D85" s="11"/>
      <c r="E85" s="12"/>
      <c r="F85" s="12"/>
      <c r="G85" s="12"/>
      <c r="H85" s="12"/>
      <c r="I85" s="13">
        <f t="shared" si="17"/>
        <v>0</v>
      </c>
      <c r="K85" s="10" t="s">
        <v>5</v>
      </c>
      <c r="L85" s="60">
        <f t="shared" si="18"/>
        <v>0</v>
      </c>
      <c r="M85" s="171">
        <f t="shared" si="18"/>
        <v>0</v>
      </c>
      <c r="N85" s="60">
        <f t="shared" si="18"/>
        <v>0</v>
      </c>
      <c r="O85" s="60">
        <f t="shared" si="18"/>
        <v>0</v>
      </c>
      <c r="P85" s="60">
        <f t="shared" si="18"/>
        <v>0</v>
      </c>
      <c r="Q85" s="60">
        <f t="shared" si="18"/>
        <v>0</v>
      </c>
    </row>
    <row r="86" spans="2:17">
      <c r="B86" s="10" t="s">
        <v>6</v>
      </c>
      <c r="C86" s="12"/>
      <c r="D86" s="12"/>
      <c r="E86" s="11"/>
      <c r="F86" s="12"/>
      <c r="G86" s="12"/>
      <c r="H86" s="12"/>
      <c r="I86" s="13">
        <f t="shared" si="17"/>
        <v>0</v>
      </c>
      <c r="K86" s="10" t="s">
        <v>6</v>
      </c>
      <c r="L86" s="60">
        <f t="shared" si="18"/>
        <v>0</v>
      </c>
      <c r="M86" s="60">
        <f t="shared" si="18"/>
        <v>0</v>
      </c>
      <c r="N86" s="171">
        <f t="shared" si="18"/>
        <v>0</v>
      </c>
      <c r="O86" s="60">
        <f t="shared" si="18"/>
        <v>0</v>
      </c>
      <c r="P86" s="60">
        <f t="shared" si="18"/>
        <v>0</v>
      </c>
      <c r="Q86" s="60">
        <f t="shared" si="18"/>
        <v>0</v>
      </c>
    </row>
    <row r="87" spans="2:17">
      <c r="B87" s="10" t="s">
        <v>7</v>
      </c>
      <c r="C87" s="12">
        <f t="shared" ref="C87:F89" si="19">C31</f>
        <v>86</v>
      </c>
      <c r="D87" s="12">
        <f t="shared" si="19"/>
        <v>9</v>
      </c>
      <c r="E87" s="12">
        <f t="shared" si="19"/>
        <v>1</v>
      </c>
      <c r="F87" s="11">
        <f t="shared" si="19"/>
        <v>0</v>
      </c>
      <c r="G87" s="12"/>
      <c r="H87" s="12"/>
      <c r="I87" s="13">
        <f t="shared" si="17"/>
        <v>96</v>
      </c>
      <c r="K87" s="10" t="s">
        <v>7</v>
      </c>
      <c r="L87" s="60">
        <f>IF(C87=0,0,$F$80/$I$90)</f>
        <v>1.8083264796910172</v>
      </c>
      <c r="M87" s="60">
        <f t="shared" si="18"/>
        <v>1.8083264796910172</v>
      </c>
      <c r="N87" s="60">
        <f t="shared" si="18"/>
        <v>1.8083264796910172</v>
      </c>
      <c r="O87" s="171">
        <f t="shared" si="18"/>
        <v>0</v>
      </c>
      <c r="P87" s="60">
        <f t="shared" si="18"/>
        <v>0</v>
      </c>
      <c r="Q87" s="60">
        <f t="shared" si="18"/>
        <v>0</v>
      </c>
    </row>
    <row r="88" spans="2:17">
      <c r="B88" s="10" t="s">
        <v>8</v>
      </c>
      <c r="C88" s="12">
        <f t="shared" si="19"/>
        <v>61</v>
      </c>
      <c r="D88" s="12">
        <f t="shared" si="19"/>
        <v>120</v>
      </c>
      <c r="E88" s="12">
        <f t="shared" si="19"/>
        <v>119</v>
      </c>
      <c r="F88" s="12">
        <f t="shared" si="19"/>
        <v>47</v>
      </c>
      <c r="G88" s="11"/>
      <c r="H88" s="12"/>
      <c r="I88" s="13">
        <f t="shared" si="17"/>
        <v>347</v>
      </c>
      <c r="K88" s="10" t="s">
        <v>8</v>
      </c>
      <c r="L88" s="60">
        <f t="shared" ref="L88:L89" si="20">IF(C88=0,0,$F$80/$I$90)</f>
        <v>1.8083264796910172</v>
      </c>
      <c r="M88" s="60">
        <f t="shared" si="18"/>
        <v>1.8083264796910172</v>
      </c>
      <c r="N88" s="60">
        <f t="shared" si="18"/>
        <v>1.8083264796910172</v>
      </c>
      <c r="O88" s="60">
        <f t="shared" si="18"/>
        <v>1.8083264796910172</v>
      </c>
      <c r="P88" s="171">
        <f t="shared" si="18"/>
        <v>0</v>
      </c>
      <c r="Q88" s="60">
        <f t="shared" si="18"/>
        <v>0</v>
      </c>
    </row>
    <row r="89" spans="2:17">
      <c r="B89" s="10" t="s">
        <v>9</v>
      </c>
      <c r="C89" s="12">
        <f t="shared" si="19"/>
        <v>229</v>
      </c>
      <c r="D89" s="12">
        <f t="shared" si="19"/>
        <v>221</v>
      </c>
      <c r="E89" s="12">
        <f t="shared" si="19"/>
        <v>272</v>
      </c>
      <c r="F89" s="12">
        <f t="shared" si="19"/>
        <v>102</v>
      </c>
      <c r="G89" s="12"/>
      <c r="H89" s="11"/>
      <c r="I89" s="13">
        <f t="shared" si="17"/>
        <v>824</v>
      </c>
      <c r="K89" s="10" t="s">
        <v>9</v>
      </c>
      <c r="L89" s="60">
        <f t="shared" si="20"/>
        <v>1.8083264796910172</v>
      </c>
      <c r="M89" s="60">
        <f t="shared" si="18"/>
        <v>1.8083264796910172</v>
      </c>
      <c r="N89" s="60">
        <f t="shared" si="18"/>
        <v>1.8083264796910172</v>
      </c>
      <c r="O89" s="60">
        <f t="shared" si="18"/>
        <v>1.8083264796910172</v>
      </c>
      <c r="P89" s="60">
        <f t="shared" si="18"/>
        <v>0</v>
      </c>
      <c r="Q89" s="171">
        <f t="shared" si="18"/>
        <v>0</v>
      </c>
    </row>
    <row r="90" spans="2:17">
      <c r="B90" s="16" t="s">
        <v>48</v>
      </c>
      <c r="C90" s="13">
        <f t="shared" ref="C90:I90" si="21">SUM(C84:C89)</f>
        <v>376</v>
      </c>
      <c r="D90" s="13">
        <f t="shared" si="21"/>
        <v>350</v>
      </c>
      <c r="E90" s="13">
        <f t="shared" si="21"/>
        <v>392</v>
      </c>
      <c r="F90" s="13">
        <f t="shared" si="21"/>
        <v>149</v>
      </c>
      <c r="G90" s="13">
        <f t="shared" si="21"/>
        <v>0</v>
      </c>
      <c r="H90" s="13">
        <f t="shared" si="21"/>
        <v>0</v>
      </c>
      <c r="I90" s="13">
        <f t="shared" si="21"/>
        <v>1267</v>
      </c>
    </row>
    <row r="94" spans="2:17">
      <c r="B94" s="98" t="s">
        <v>302</v>
      </c>
      <c r="C94" s="179" t="s">
        <v>6</v>
      </c>
    </row>
    <row r="95" spans="2:17">
      <c r="B95" s="98" t="s">
        <v>307</v>
      </c>
      <c r="C95" s="98"/>
      <c r="D95" s="98" t="s">
        <v>216</v>
      </c>
      <c r="E95" s="98" t="s">
        <v>235</v>
      </c>
      <c r="F95" s="178" t="s">
        <v>309</v>
      </c>
    </row>
    <row r="96" spans="2:17" ht="18">
      <c r="B96" s="199" t="s">
        <v>356</v>
      </c>
      <c r="C96" s="12"/>
      <c r="D96" s="12">
        <f>D10*$C$19</f>
        <v>9642.7126736111113</v>
      </c>
      <c r="E96" s="12">
        <f>$C$22</f>
        <v>1</v>
      </c>
      <c r="F96" s="12">
        <f>(C96+D96)*E96</f>
        <v>9642.7126736111113</v>
      </c>
    </row>
    <row r="97" spans="2:17" ht="18">
      <c r="B97" s="199" t="s">
        <v>354</v>
      </c>
      <c r="C97" s="39"/>
      <c r="D97" s="39">
        <f>D10*$D$19</f>
        <v>41.937034027777784</v>
      </c>
      <c r="E97" s="18">
        <f>$C$23</f>
        <v>28</v>
      </c>
      <c r="F97" s="12">
        <f t="shared" ref="F97:F98" si="22">(C97+D97)*E97</f>
        <v>1174.236952777778</v>
      </c>
    </row>
    <row r="98" spans="2:17" ht="18">
      <c r="B98" s="199" t="s">
        <v>355</v>
      </c>
      <c r="C98" s="194"/>
      <c r="D98" s="194">
        <f>D10*$E$19</f>
        <v>0.35064409722222223</v>
      </c>
      <c r="E98" s="18">
        <f>$C$24</f>
        <v>265</v>
      </c>
      <c r="F98" s="12">
        <f t="shared" si="22"/>
        <v>92.920685763888883</v>
      </c>
    </row>
    <row r="99" spans="2:17" ht="15.6" customHeight="1">
      <c r="B99" s="278" t="s">
        <v>10</v>
      </c>
      <c r="C99" s="278"/>
      <c r="D99" s="278"/>
      <c r="E99" s="278"/>
      <c r="F99" s="200">
        <f>SUM(F96:F98)</f>
        <v>10909.870312152778</v>
      </c>
    </row>
    <row r="100" spans="2:17" ht="15.6" customHeight="1"/>
    <row r="101" spans="2:17">
      <c r="B101" s="98" t="s">
        <v>302</v>
      </c>
      <c r="C101" s="179" t="str">
        <f>C94</f>
        <v>BRSUA</v>
      </c>
      <c r="K101" s="98" t="s">
        <v>302</v>
      </c>
      <c r="L101" s="179" t="str">
        <f>C101</f>
        <v>BRSUA</v>
      </c>
    </row>
    <row r="102" spans="2:17" ht="15.6" customHeight="1">
      <c r="B102" s="5" t="s">
        <v>365</v>
      </c>
      <c r="C102" s="4" t="s">
        <v>4</v>
      </c>
      <c r="D102" s="4" t="s">
        <v>5</v>
      </c>
      <c r="E102" s="4" t="s">
        <v>6</v>
      </c>
      <c r="F102" s="4" t="s">
        <v>7</v>
      </c>
      <c r="G102" s="4" t="s">
        <v>8</v>
      </c>
      <c r="H102" s="4" t="s">
        <v>9</v>
      </c>
      <c r="I102" s="5" t="s">
        <v>47</v>
      </c>
      <c r="K102" s="5" t="s">
        <v>308</v>
      </c>
      <c r="L102" s="4" t="s">
        <v>4</v>
      </c>
      <c r="M102" s="4" t="s">
        <v>5</v>
      </c>
      <c r="N102" s="4" t="s">
        <v>6</v>
      </c>
      <c r="O102" s="4" t="s">
        <v>7</v>
      </c>
      <c r="P102" s="4" t="s">
        <v>8</v>
      </c>
      <c r="Q102" s="4" t="s">
        <v>9</v>
      </c>
    </row>
    <row r="103" spans="2:17">
      <c r="B103" s="10" t="s">
        <v>4</v>
      </c>
      <c r="C103" s="11"/>
      <c r="D103" s="12"/>
      <c r="E103" s="12"/>
      <c r="F103" s="12"/>
      <c r="G103" s="12"/>
      <c r="H103" s="12"/>
      <c r="I103" s="13">
        <f t="shared" ref="I103:I108" si="23">SUM(C103:H103)</f>
        <v>0</v>
      </c>
      <c r="K103" s="10" t="s">
        <v>4</v>
      </c>
      <c r="L103" s="171">
        <f t="shared" ref="L103:Q108" si="24">IF(C103=0,0,$F$99/$I$109)</f>
        <v>0</v>
      </c>
      <c r="M103" s="60">
        <f t="shared" si="24"/>
        <v>0</v>
      </c>
      <c r="N103" s="60">
        <f t="shared" si="24"/>
        <v>0</v>
      </c>
      <c r="O103" s="60">
        <f t="shared" si="24"/>
        <v>0</v>
      </c>
      <c r="P103" s="60">
        <f t="shared" si="24"/>
        <v>0</v>
      </c>
      <c r="Q103" s="60">
        <f t="shared" si="24"/>
        <v>0</v>
      </c>
    </row>
    <row r="104" spans="2:17">
      <c r="B104" s="10" t="s">
        <v>5</v>
      </c>
      <c r="C104" s="12"/>
      <c r="D104" s="11"/>
      <c r="E104" s="12"/>
      <c r="F104" s="12"/>
      <c r="G104" s="12"/>
      <c r="H104" s="12"/>
      <c r="I104" s="13">
        <f t="shared" si="23"/>
        <v>0</v>
      </c>
      <c r="K104" s="10" t="s">
        <v>5</v>
      </c>
      <c r="L104" s="60">
        <f t="shared" si="24"/>
        <v>0</v>
      </c>
      <c r="M104" s="171">
        <f t="shared" si="24"/>
        <v>0</v>
      </c>
      <c r="N104" s="60">
        <f t="shared" si="24"/>
        <v>0</v>
      </c>
      <c r="O104" s="60">
        <f t="shared" si="24"/>
        <v>0</v>
      </c>
      <c r="P104" s="60">
        <f t="shared" si="24"/>
        <v>0</v>
      </c>
      <c r="Q104" s="60">
        <f t="shared" si="24"/>
        <v>0</v>
      </c>
    </row>
    <row r="105" spans="2:17">
      <c r="B105" s="10" t="s">
        <v>6</v>
      </c>
      <c r="C105" s="12">
        <f t="shared" ref="C105:E108" si="25">C30</f>
        <v>331</v>
      </c>
      <c r="D105" s="12">
        <f t="shared" si="25"/>
        <v>0</v>
      </c>
      <c r="E105" s="11">
        <f t="shared" si="25"/>
        <v>0</v>
      </c>
      <c r="F105" s="12"/>
      <c r="G105" s="12"/>
      <c r="H105" s="12"/>
      <c r="I105" s="13">
        <f t="shared" si="23"/>
        <v>331</v>
      </c>
      <c r="K105" s="10" t="s">
        <v>6</v>
      </c>
      <c r="L105" s="60">
        <f t="shared" si="24"/>
        <v>7.5292410711889426</v>
      </c>
      <c r="M105" s="60">
        <f t="shared" si="24"/>
        <v>0</v>
      </c>
      <c r="N105" s="171">
        <f t="shared" si="24"/>
        <v>0</v>
      </c>
      <c r="O105" s="60">
        <f t="shared" si="24"/>
        <v>0</v>
      </c>
      <c r="P105" s="60">
        <f t="shared" si="24"/>
        <v>0</v>
      </c>
      <c r="Q105" s="60">
        <f t="shared" si="24"/>
        <v>0</v>
      </c>
    </row>
    <row r="106" spans="2:17">
      <c r="B106" s="10" t="s">
        <v>7</v>
      </c>
      <c r="C106" s="12">
        <f t="shared" si="25"/>
        <v>86</v>
      </c>
      <c r="D106" s="12">
        <f t="shared" si="25"/>
        <v>9</v>
      </c>
      <c r="E106" s="12">
        <f t="shared" si="25"/>
        <v>1</v>
      </c>
      <c r="F106" s="11"/>
      <c r="G106" s="12"/>
      <c r="H106" s="12"/>
      <c r="I106" s="13">
        <f t="shared" si="23"/>
        <v>96</v>
      </c>
      <c r="K106" s="10" t="s">
        <v>7</v>
      </c>
      <c r="L106" s="60">
        <f t="shared" si="24"/>
        <v>7.5292410711889426</v>
      </c>
      <c r="M106" s="60">
        <f t="shared" si="24"/>
        <v>7.5292410711889426</v>
      </c>
      <c r="N106" s="60">
        <f t="shared" si="24"/>
        <v>7.5292410711889426</v>
      </c>
      <c r="O106" s="171">
        <f t="shared" si="24"/>
        <v>0</v>
      </c>
      <c r="P106" s="60">
        <f t="shared" si="24"/>
        <v>0</v>
      </c>
      <c r="Q106" s="60">
        <f t="shared" si="24"/>
        <v>0</v>
      </c>
    </row>
    <row r="107" spans="2:17">
      <c r="B107" s="10" t="s">
        <v>8</v>
      </c>
      <c r="C107" s="12">
        <f t="shared" si="25"/>
        <v>61</v>
      </c>
      <c r="D107" s="12">
        <f t="shared" si="25"/>
        <v>120</v>
      </c>
      <c r="E107" s="12">
        <f t="shared" si="25"/>
        <v>119</v>
      </c>
      <c r="F107" s="12"/>
      <c r="G107" s="11"/>
      <c r="H107" s="12"/>
      <c r="I107" s="13">
        <f t="shared" si="23"/>
        <v>300</v>
      </c>
      <c r="K107" s="10" t="s">
        <v>8</v>
      </c>
      <c r="L107" s="60">
        <f t="shared" si="24"/>
        <v>7.5292410711889426</v>
      </c>
      <c r="M107" s="60">
        <f t="shared" si="24"/>
        <v>7.5292410711889426</v>
      </c>
      <c r="N107" s="60">
        <f t="shared" si="24"/>
        <v>7.5292410711889426</v>
      </c>
      <c r="O107" s="60">
        <f t="shared" si="24"/>
        <v>0</v>
      </c>
      <c r="P107" s="171">
        <f t="shared" si="24"/>
        <v>0</v>
      </c>
      <c r="Q107" s="60">
        <f t="shared" si="24"/>
        <v>0</v>
      </c>
    </row>
    <row r="108" spans="2:17">
      <c r="B108" s="10" t="s">
        <v>9</v>
      </c>
      <c r="C108" s="12">
        <f t="shared" si="25"/>
        <v>229</v>
      </c>
      <c r="D108" s="12">
        <f t="shared" si="25"/>
        <v>221</v>
      </c>
      <c r="E108" s="12">
        <f t="shared" si="25"/>
        <v>272</v>
      </c>
      <c r="F108" s="12"/>
      <c r="G108" s="12"/>
      <c r="H108" s="11"/>
      <c r="I108" s="13">
        <f t="shared" si="23"/>
        <v>722</v>
      </c>
      <c r="K108" s="10" t="s">
        <v>9</v>
      </c>
      <c r="L108" s="60">
        <f t="shared" si="24"/>
        <v>7.5292410711889426</v>
      </c>
      <c r="M108" s="60">
        <f t="shared" si="24"/>
        <v>7.5292410711889426</v>
      </c>
      <c r="N108" s="60">
        <f t="shared" si="24"/>
        <v>7.5292410711889426</v>
      </c>
      <c r="O108" s="60">
        <f t="shared" si="24"/>
        <v>0</v>
      </c>
      <c r="P108" s="60">
        <f t="shared" si="24"/>
        <v>0</v>
      </c>
      <c r="Q108" s="171">
        <f t="shared" si="24"/>
        <v>0</v>
      </c>
    </row>
    <row r="109" spans="2:17">
      <c r="B109" s="16" t="s">
        <v>48</v>
      </c>
      <c r="C109" s="13">
        <f t="shared" ref="C109:I109" si="26">SUM(C103:C108)</f>
        <v>707</v>
      </c>
      <c r="D109" s="13">
        <f t="shared" si="26"/>
        <v>350</v>
      </c>
      <c r="E109" s="13">
        <f t="shared" si="26"/>
        <v>392</v>
      </c>
      <c r="F109" s="13">
        <f t="shared" si="26"/>
        <v>0</v>
      </c>
      <c r="G109" s="13">
        <f t="shared" si="26"/>
        <v>0</v>
      </c>
      <c r="H109" s="13">
        <f t="shared" si="26"/>
        <v>0</v>
      </c>
      <c r="I109" s="13">
        <f t="shared" si="26"/>
        <v>1449</v>
      </c>
    </row>
    <row r="113" spans="2:17">
      <c r="B113" s="98" t="s">
        <v>302</v>
      </c>
      <c r="C113" s="179" t="s">
        <v>5</v>
      </c>
    </row>
    <row r="114" spans="2:17">
      <c r="B114" s="98" t="s">
        <v>307</v>
      </c>
      <c r="C114" s="98"/>
      <c r="D114" s="98" t="s">
        <v>216</v>
      </c>
      <c r="E114" s="98" t="s">
        <v>235</v>
      </c>
      <c r="F114" s="178" t="s">
        <v>309</v>
      </c>
    </row>
    <row r="115" spans="2:17" ht="18">
      <c r="B115" s="199" t="s">
        <v>356</v>
      </c>
      <c r="C115" s="12"/>
      <c r="D115" s="12">
        <f>D11*$C$19</f>
        <v>2534.6947337962965</v>
      </c>
      <c r="E115" s="12">
        <f>$C$22</f>
        <v>1</v>
      </c>
      <c r="F115" s="12">
        <f>(C115+D115)*E115</f>
        <v>2534.6947337962965</v>
      </c>
    </row>
    <row r="116" spans="2:17" ht="18">
      <c r="B116" s="199" t="s">
        <v>354</v>
      </c>
      <c r="C116" s="39"/>
      <c r="D116" s="39">
        <f>D11*$D$19</f>
        <v>11.023617824074076</v>
      </c>
      <c r="E116" s="18">
        <f>$C$23</f>
        <v>28</v>
      </c>
      <c r="F116" s="12">
        <f t="shared" ref="F116:F117" si="27">(C116+D116)*E116</f>
        <v>308.66129907407412</v>
      </c>
    </row>
    <row r="117" spans="2:17" ht="18">
      <c r="B117" s="199" t="s">
        <v>355</v>
      </c>
      <c r="C117" s="194"/>
      <c r="D117" s="194">
        <f>D11*$E$19</f>
        <v>9.2170717592592599E-2</v>
      </c>
      <c r="E117" s="18">
        <f>$C$24</f>
        <v>265</v>
      </c>
      <c r="F117" s="12">
        <f t="shared" si="27"/>
        <v>24.425240162037039</v>
      </c>
    </row>
    <row r="118" spans="2:17" ht="15.6" customHeight="1">
      <c r="B118" s="278" t="s">
        <v>10</v>
      </c>
      <c r="C118" s="278"/>
      <c r="D118" s="278"/>
      <c r="E118" s="278"/>
      <c r="F118" s="200">
        <f>SUM(F115:F117)</f>
        <v>2867.7812730324076</v>
      </c>
    </row>
    <row r="119" spans="2:17" ht="15.6" customHeight="1"/>
    <row r="120" spans="2:17">
      <c r="B120" s="98" t="s">
        <v>302</v>
      </c>
      <c r="C120" s="179" t="str">
        <f>C113</f>
        <v>BRPEC</v>
      </c>
      <c r="K120" s="98" t="s">
        <v>302</v>
      </c>
      <c r="L120" s="179" t="str">
        <f>C120</f>
        <v>BRPEC</v>
      </c>
    </row>
    <row r="121" spans="2:17" ht="15.6" customHeight="1">
      <c r="B121" s="5" t="s">
        <v>365</v>
      </c>
      <c r="C121" s="4" t="s">
        <v>4</v>
      </c>
      <c r="D121" s="4" t="s">
        <v>5</v>
      </c>
      <c r="E121" s="4" t="s">
        <v>6</v>
      </c>
      <c r="F121" s="4" t="s">
        <v>7</v>
      </c>
      <c r="G121" s="4" t="s">
        <v>8</v>
      </c>
      <c r="H121" s="4" t="s">
        <v>9</v>
      </c>
      <c r="I121" s="5" t="s">
        <v>47</v>
      </c>
      <c r="K121" s="5" t="s">
        <v>308</v>
      </c>
      <c r="L121" s="4" t="s">
        <v>4</v>
      </c>
      <c r="M121" s="4" t="s">
        <v>5</v>
      </c>
      <c r="N121" s="4" t="s">
        <v>6</v>
      </c>
      <c r="O121" s="4" t="s">
        <v>7</v>
      </c>
      <c r="P121" s="4" t="s">
        <v>8</v>
      </c>
      <c r="Q121" s="4" t="s">
        <v>9</v>
      </c>
    </row>
    <row r="122" spans="2:17">
      <c r="B122" s="10" t="s">
        <v>4</v>
      </c>
      <c r="C122" s="11">
        <f>C28</f>
        <v>0</v>
      </c>
      <c r="D122" s="12"/>
      <c r="E122" s="12"/>
      <c r="F122" s="12"/>
      <c r="G122" s="12"/>
      <c r="H122" s="12"/>
      <c r="I122" s="13">
        <f t="shared" ref="I122:I127" si="28">SUM(C122:H122)</f>
        <v>0</v>
      </c>
      <c r="K122" s="10" t="s">
        <v>4</v>
      </c>
      <c r="L122" s="171">
        <f>IF(C122=0,0,$F$118/$I$128)</f>
        <v>0</v>
      </c>
      <c r="M122" s="60">
        <f t="shared" ref="M122:Q127" si="29">IF(D122=0,0,$F$118/$I$128)</f>
        <v>0</v>
      </c>
      <c r="N122" s="60">
        <f t="shared" si="29"/>
        <v>0</v>
      </c>
      <c r="O122" s="60">
        <f t="shared" si="29"/>
        <v>0</v>
      </c>
      <c r="P122" s="60">
        <f t="shared" si="29"/>
        <v>0</v>
      </c>
      <c r="Q122" s="60">
        <f t="shared" si="29"/>
        <v>0</v>
      </c>
    </row>
    <row r="123" spans="2:17">
      <c r="B123" s="10" t="s">
        <v>5</v>
      </c>
      <c r="C123" s="12">
        <f t="shared" ref="C123:D127" si="30">C29</f>
        <v>260</v>
      </c>
      <c r="D123" s="11"/>
      <c r="E123" s="12"/>
      <c r="F123" s="12"/>
      <c r="G123" s="12"/>
      <c r="H123" s="12"/>
      <c r="I123" s="13">
        <f t="shared" si="28"/>
        <v>260</v>
      </c>
      <c r="K123" s="10" t="s">
        <v>5</v>
      </c>
      <c r="L123" s="60">
        <f t="shared" ref="L123:L127" si="31">IF(C123=0,0,$F$118/$I$128)</f>
        <v>2.1775104578833773</v>
      </c>
      <c r="M123" s="171">
        <f t="shared" si="29"/>
        <v>0</v>
      </c>
      <c r="N123" s="60">
        <f t="shared" si="29"/>
        <v>0</v>
      </c>
      <c r="O123" s="60">
        <f t="shared" si="29"/>
        <v>0</v>
      </c>
      <c r="P123" s="60">
        <f t="shared" si="29"/>
        <v>0</v>
      </c>
      <c r="Q123" s="60">
        <f t="shared" si="29"/>
        <v>0</v>
      </c>
    </row>
    <row r="124" spans="2:17">
      <c r="B124" s="10" t="s">
        <v>6</v>
      </c>
      <c r="C124" s="12">
        <f t="shared" si="30"/>
        <v>331</v>
      </c>
      <c r="D124" s="12">
        <f t="shared" si="30"/>
        <v>0</v>
      </c>
      <c r="E124" s="11"/>
      <c r="F124" s="12"/>
      <c r="G124" s="12"/>
      <c r="H124" s="12"/>
      <c r="I124" s="13">
        <f t="shared" si="28"/>
        <v>331</v>
      </c>
      <c r="K124" s="10" t="s">
        <v>6</v>
      </c>
      <c r="L124" s="60">
        <f t="shared" si="31"/>
        <v>2.1775104578833773</v>
      </c>
      <c r="M124" s="60">
        <f t="shared" si="29"/>
        <v>0</v>
      </c>
      <c r="N124" s="171">
        <f t="shared" si="29"/>
        <v>0</v>
      </c>
      <c r="O124" s="60">
        <f t="shared" si="29"/>
        <v>0</v>
      </c>
      <c r="P124" s="60">
        <f t="shared" si="29"/>
        <v>0</v>
      </c>
      <c r="Q124" s="60">
        <f t="shared" si="29"/>
        <v>0</v>
      </c>
    </row>
    <row r="125" spans="2:17">
      <c r="B125" s="10" t="s">
        <v>7</v>
      </c>
      <c r="C125" s="12">
        <f t="shared" si="30"/>
        <v>86</v>
      </c>
      <c r="D125" s="12">
        <f t="shared" si="30"/>
        <v>9</v>
      </c>
      <c r="E125" s="12"/>
      <c r="F125" s="11"/>
      <c r="G125" s="12"/>
      <c r="H125" s="12"/>
      <c r="I125" s="13">
        <f t="shared" si="28"/>
        <v>95</v>
      </c>
      <c r="K125" s="10" t="s">
        <v>7</v>
      </c>
      <c r="L125" s="60">
        <f t="shared" si="31"/>
        <v>2.1775104578833773</v>
      </c>
      <c r="M125" s="60">
        <f t="shared" si="29"/>
        <v>2.1775104578833773</v>
      </c>
      <c r="N125" s="60">
        <f t="shared" si="29"/>
        <v>0</v>
      </c>
      <c r="O125" s="171">
        <f t="shared" si="29"/>
        <v>0</v>
      </c>
      <c r="P125" s="60">
        <f t="shared" si="29"/>
        <v>0</v>
      </c>
      <c r="Q125" s="60">
        <f t="shared" si="29"/>
        <v>0</v>
      </c>
    </row>
    <row r="126" spans="2:17">
      <c r="B126" s="10" t="s">
        <v>8</v>
      </c>
      <c r="C126" s="12">
        <f t="shared" si="30"/>
        <v>61</v>
      </c>
      <c r="D126" s="12">
        <f t="shared" si="30"/>
        <v>120</v>
      </c>
      <c r="E126" s="12"/>
      <c r="F126" s="12"/>
      <c r="G126" s="11"/>
      <c r="H126" s="12"/>
      <c r="I126" s="13">
        <f t="shared" si="28"/>
        <v>181</v>
      </c>
      <c r="K126" s="10" t="s">
        <v>8</v>
      </c>
      <c r="L126" s="60">
        <f t="shared" si="31"/>
        <v>2.1775104578833773</v>
      </c>
      <c r="M126" s="60">
        <f t="shared" si="29"/>
        <v>2.1775104578833773</v>
      </c>
      <c r="N126" s="60">
        <f t="shared" si="29"/>
        <v>0</v>
      </c>
      <c r="O126" s="60">
        <f t="shared" si="29"/>
        <v>0</v>
      </c>
      <c r="P126" s="171">
        <f t="shared" si="29"/>
        <v>0</v>
      </c>
      <c r="Q126" s="60">
        <f t="shared" si="29"/>
        <v>0</v>
      </c>
    </row>
    <row r="127" spans="2:17">
      <c r="B127" s="10" t="s">
        <v>9</v>
      </c>
      <c r="C127" s="12">
        <f t="shared" si="30"/>
        <v>229</v>
      </c>
      <c r="D127" s="12">
        <f t="shared" si="30"/>
        <v>221</v>
      </c>
      <c r="E127" s="12"/>
      <c r="F127" s="12"/>
      <c r="G127" s="12"/>
      <c r="H127" s="11"/>
      <c r="I127" s="13">
        <f t="shared" si="28"/>
        <v>450</v>
      </c>
      <c r="K127" s="10" t="s">
        <v>9</v>
      </c>
      <c r="L127" s="60">
        <f t="shared" si="31"/>
        <v>2.1775104578833773</v>
      </c>
      <c r="M127" s="60">
        <f t="shared" si="29"/>
        <v>2.1775104578833773</v>
      </c>
      <c r="N127" s="60">
        <f t="shared" si="29"/>
        <v>0</v>
      </c>
      <c r="O127" s="60">
        <f t="shared" si="29"/>
        <v>0</v>
      </c>
      <c r="P127" s="60">
        <f t="shared" si="29"/>
        <v>0</v>
      </c>
      <c r="Q127" s="171">
        <f t="shared" si="29"/>
        <v>0</v>
      </c>
    </row>
    <row r="128" spans="2:17">
      <c r="B128" s="16" t="s">
        <v>48</v>
      </c>
      <c r="C128" s="13">
        <f t="shared" ref="C128:I128" si="32">SUM(C122:C127)</f>
        <v>967</v>
      </c>
      <c r="D128" s="13">
        <f t="shared" si="32"/>
        <v>350</v>
      </c>
      <c r="E128" s="13">
        <f t="shared" si="32"/>
        <v>0</v>
      </c>
      <c r="F128" s="13">
        <f t="shared" si="32"/>
        <v>0</v>
      </c>
      <c r="G128" s="13">
        <f t="shared" si="32"/>
        <v>0</v>
      </c>
      <c r="H128" s="13">
        <f t="shared" si="32"/>
        <v>0</v>
      </c>
      <c r="I128" s="13">
        <f t="shared" si="32"/>
        <v>1317</v>
      </c>
    </row>
    <row r="132" spans="2:17">
      <c r="B132" s="98" t="s">
        <v>302</v>
      </c>
      <c r="C132" s="179" t="s">
        <v>4</v>
      </c>
    </row>
    <row r="133" spans="2:17">
      <c r="B133" s="98" t="s">
        <v>307</v>
      </c>
      <c r="C133" s="98"/>
      <c r="D133" s="98" t="s">
        <v>216</v>
      </c>
      <c r="E133" s="98" t="s">
        <v>235</v>
      </c>
      <c r="F133" s="178" t="s">
        <v>309</v>
      </c>
    </row>
    <row r="134" spans="2:17" ht="18">
      <c r="B134" s="199" t="s">
        <v>356</v>
      </c>
      <c r="C134" s="12"/>
      <c r="D134" s="12">
        <f>D12*$C$19</f>
        <v>14406.307870370372</v>
      </c>
      <c r="E134" s="12">
        <f>$C$22</f>
        <v>1</v>
      </c>
      <c r="F134" s="12">
        <f>(C134+D134)*E134</f>
        <v>14406.307870370372</v>
      </c>
    </row>
    <row r="135" spans="2:17" ht="18">
      <c r="B135" s="199" t="s">
        <v>354</v>
      </c>
      <c r="C135" s="39"/>
      <c r="D135" s="39">
        <f>D12*$D$19</f>
        <v>62.654342592592606</v>
      </c>
      <c r="E135" s="18">
        <f>$C$23</f>
        <v>28</v>
      </c>
      <c r="F135" s="12">
        <f t="shared" ref="F135:F136" si="33">(C135+D135)*E135</f>
        <v>1754.3215925925929</v>
      </c>
    </row>
    <row r="136" spans="2:17" ht="18">
      <c r="B136" s="199" t="s">
        <v>355</v>
      </c>
      <c r="C136" s="194"/>
      <c r="D136" s="194">
        <f>D12*$E$19</f>
        <v>0.52386574074074088</v>
      </c>
      <c r="E136" s="18">
        <f>$C$24</f>
        <v>265</v>
      </c>
      <c r="F136" s="12">
        <f t="shared" si="33"/>
        <v>138.82442129629632</v>
      </c>
    </row>
    <row r="137" spans="2:17" ht="15.6" customHeight="1">
      <c r="B137" s="278" t="s">
        <v>10</v>
      </c>
      <c r="C137" s="278"/>
      <c r="D137" s="278"/>
      <c r="E137" s="278"/>
      <c r="F137" s="200">
        <f>SUM(F134:F136)</f>
        <v>16299.453884259261</v>
      </c>
    </row>
    <row r="138" spans="2:17" ht="15.6" customHeight="1"/>
    <row r="139" spans="2:17">
      <c r="B139" s="98" t="s">
        <v>302</v>
      </c>
      <c r="C139" s="179" t="str">
        <f>C132</f>
        <v>BRMAO</v>
      </c>
      <c r="K139" s="98" t="s">
        <v>302</v>
      </c>
      <c r="L139" s="179" t="str">
        <f>C139</f>
        <v>BRMAO</v>
      </c>
    </row>
    <row r="140" spans="2:17" ht="15.6" customHeight="1">
      <c r="B140" s="5" t="s">
        <v>365</v>
      </c>
      <c r="C140" s="4" t="s">
        <v>4</v>
      </c>
      <c r="D140" s="4" t="s">
        <v>5</v>
      </c>
      <c r="E140" s="4" t="s">
        <v>6</v>
      </c>
      <c r="F140" s="4" t="s">
        <v>7</v>
      </c>
      <c r="G140" s="4" t="s">
        <v>8</v>
      </c>
      <c r="H140" s="4" t="s">
        <v>9</v>
      </c>
      <c r="I140" s="5" t="s">
        <v>47</v>
      </c>
      <c r="K140" s="5" t="s">
        <v>308</v>
      </c>
      <c r="L140" s="4" t="s">
        <v>4</v>
      </c>
      <c r="M140" s="4" t="s">
        <v>5</v>
      </c>
      <c r="N140" s="4" t="s">
        <v>6</v>
      </c>
      <c r="O140" s="4" t="s">
        <v>7</v>
      </c>
      <c r="P140" s="4" t="s">
        <v>8</v>
      </c>
      <c r="Q140" s="4" t="s">
        <v>9</v>
      </c>
    </row>
    <row r="141" spans="2:17">
      <c r="B141" s="10" t="s">
        <v>4</v>
      </c>
      <c r="C141" s="11">
        <f>C28</f>
        <v>0</v>
      </c>
      <c r="D141" s="12">
        <f t="shared" ref="D141:H141" si="34">D28</f>
        <v>175</v>
      </c>
      <c r="E141" s="12">
        <f t="shared" si="34"/>
        <v>156</v>
      </c>
      <c r="F141" s="12">
        <f t="shared" si="34"/>
        <v>0</v>
      </c>
      <c r="G141" s="12">
        <f t="shared" si="34"/>
        <v>226</v>
      </c>
      <c r="H141" s="12">
        <f t="shared" si="34"/>
        <v>648</v>
      </c>
      <c r="I141" s="13">
        <f t="shared" ref="I141:I146" si="35">SUM(C141:H141)</f>
        <v>1205</v>
      </c>
      <c r="K141" s="10" t="s">
        <v>4</v>
      </c>
      <c r="L141" s="171">
        <f>IF(C141=0,0,$F$137/$I$147)</f>
        <v>0</v>
      </c>
      <c r="M141" s="60">
        <f t="shared" ref="M141:Q146" si="36">IF(D141=0,0,$F$137/$I$147)</f>
        <v>7.504352617062275</v>
      </c>
      <c r="N141" s="60">
        <f t="shared" si="36"/>
        <v>7.504352617062275</v>
      </c>
      <c r="O141" s="60">
        <f t="shared" si="36"/>
        <v>0</v>
      </c>
      <c r="P141" s="60">
        <f t="shared" si="36"/>
        <v>7.504352617062275</v>
      </c>
      <c r="Q141" s="60">
        <f t="shared" si="36"/>
        <v>7.504352617062275</v>
      </c>
    </row>
    <row r="142" spans="2:17">
      <c r="B142" s="10" t="s">
        <v>5</v>
      </c>
      <c r="C142" s="12">
        <f t="shared" ref="C142:C146" si="37">C29</f>
        <v>260</v>
      </c>
      <c r="D142" s="11"/>
      <c r="E142" s="12"/>
      <c r="F142" s="12"/>
      <c r="G142" s="12"/>
      <c r="H142" s="12"/>
      <c r="I142" s="13">
        <f t="shared" si="35"/>
        <v>260</v>
      </c>
      <c r="K142" s="10" t="s">
        <v>5</v>
      </c>
      <c r="L142" s="60">
        <f t="shared" ref="L142:L146" si="38">IF(C142=0,0,$F$137/$I$147)</f>
        <v>7.504352617062275</v>
      </c>
      <c r="M142" s="171">
        <f t="shared" si="36"/>
        <v>0</v>
      </c>
      <c r="N142" s="60">
        <f t="shared" si="36"/>
        <v>0</v>
      </c>
      <c r="O142" s="60">
        <f t="shared" si="36"/>
        <v>0</v>
      </c>
      <c r="P142" s="60">
        <f t="shared" si="36"/>
        <v>0</v>
      </c>
      <c r="Q142" s="60">
        <f t="shared" si="36"/>
        <v>0</v>
      </c>
    </row>
    <row r="143" spans="2:17">
      <c r="B143" s="10" t="s">
        <v>6</v>
      </c>
      <c r="C143" s="12">
        <f t="shared" si="37"/>
        <v>331</v>
      </c>
      <c r="D143" s="12"/>
      <c r="E143" s="11"/>
      <c r="F143" s="12"/>
      <c r="G143" s="12"/>
      <c r="H143" s="12"/>
      <c r="I143" s="13">
        <f t="shared" si="35"/>
        <v>331</v>
      </c>
      <c r="K143" s="10" t="s">
        <v>6</v>
      </c>
      <c r="L143" s="60">
        <f t="shared" si="38"/>
        <v>7.504352617062275</v>
      </c>
      <c r="M143" s="60">
        <f t="shared" si="36"/>
        <v>0</v>
      </c>
      <c r="N143" s="171">
        <f t="shared" si="36"/>
        <v>0</v>
      </c>
      <c r="O143" s="60">
        <f t="shared" si="36"/>
        <v>0</v>
      </c>
      <c r="P143" s="60">
        <f t="shared" si="36"/>
        <v>0</v>
      </c>
      <c r="Q143" s="60">
        <f t="shared" si="36"/>
        <v>0</v>
      </c>
    </row>
    <row r="144" spans="2:17">
      <c r="B144" s="10" t="s">
        <v>7</v>
      </c>
      <c r="C144" s="12">
        <f t="shared" si="37"/>
        <v>86</v>
      </c>
      <c r="D144" s="12"/>
      <c r="E144" s="12"/>
      <c r="F144" s="11"/>
      <c r="G144" s="12"/>
      <c r="H144" s="12"/>
      <c r="I144" s="13">
        <f t="shared" si="35"/>
        <v>86</v>
      </c>
      <c r="K144" s="10" t="s">
        <v>7</v>
      </c>
      <c r="L144" s="60">
        <f t="shared" si="38"/>
        <v>7.504352617062275</v>
      </c>
      <c r="M144" s="60">
        <f t="shared" si="36"/>
        <v>0</v>
      </c>
      <c r="N144" s="60">
        <f t="shared" si="36"/>
        <v>0</v>
      </c>
      <c r="O144" s="171">
        <f t="shared" si="36"/>
        <v>0</v>
      </c>
      <c r="P144" s="60">
        <f t="shared" si="36"/>
        <v>0</v>
      </c>
      <c r="Q144" s="60">
        <f t="shared" si="36"/>
        <v>0</v>
      </c>
    </row>
    <row r="145" spans="2:17">
      <c r="B145" s="10" t="s">
        <v>8</v>
      </c>
      <c r="C145" s="12">
        <f t="shared" si="37"/>
        <v>61</v>
      </c>
      <c r="D145" s="12"/>
      <c r="E145" s="12"/>
      <c r="F145" s="12"/>
      <c r="G145" s="11"/>
      <c r="H145" s="12"/>
      <c r="I145" s="13">
        <f t="shared" si="35"/>
        <v>61</v>
      </c>
      <c r="K145" s="10" t="s">
        <v>8</v>
      </c>
      <c r="L145" s="60">
        <f t="shared" si="38"/>
        <v>7.504352617062275</v>
      </c>
      <c r="M145" s="60">
        <f t="shared" si="36"/>
        <v>0</v>
      </c>
      <c r="N145" s="60">
        <f t="shared" si="36"/>
        <v>0</v>
      </c>
      <c r="O145" s="60">
        <f t="shared" si="36"/>
        <v>0</v>
      </c>
      <c r="P145" s="171">
        <f t="shared" si="36"/>
        <v>0</v>
      </c>
      <c r="Q145" s="60">
        <f t="shared" si="36"/>
        <v>0</v>
      </c>
    </row>
    <row r="146" spans="2:17">
      <c r="B146" s="10" t="s">
        <v>9</v>
      </c>
      <c r="C146" s="12">
        <f t="shared" si="37"/>
        <v>229</v>
      </c>
      <c r="D146" s="12"/>
      <c r="E146" s="12"/>
      <c r="F146" s="12"/>
      <c r="G146" s="12"/>
      <c r="H146" s="11"/>
      <c r="I146" s="13">
        <f t="shared" si="35"/>
        <v>229</v>
      </c>
      <c r="K146" s="10" t="s">
        <v>9</v>
      </c>
      <c r="L146" s="60">
        <f t="shared" si="38"/>
        <v>7.504352617062275</v>
      </c>
      <c r="M146" s="60">
        <f t="shared" si="36"/>
        <v>0</v>
      </c>
      <c r="N146" s="60">
        <f t="shared" si="36"/>
        <v>0</v>
      </c>
      <c r="O146" s="60">
        <f t="shared" si="36"/>
        <v>0</v>
      </c>
      <c r="P146" s="60">
        <f t="shared" si="36"/>
        <v>0</v>
      </c>
      <c r="Q146" s="171">
        <f t="shared" si="36"/>
        <v>0</v>
      </c>
    </row>
    <row r="147" spans="2:17">
      <c r="B147" s="16" t="s">
        <v>48</v>
      </c>
      <c r="C147" s="13">
        <f t="shared" ref="C147:I147" si="39">SUM(C141:C146)</f>
        <v>967</v>
      </c>
      <c r="D147" s="13">
        <f t="shared" si="39"/>
        <v>175</v>
      </c>
      <c r="E147" s="13">
        <f t="shared" si="39"/>
        <v>156</v>
      </c>
      <c r="F147" s="13">
        <f t="shared" si="39"/>
        <v>0</v>
      </c>
      <c r="G147" s="13">
        <f t="shared" si="39"/>
        <v>226</v>
      </c>
      <c r="H147" s="13">
        <f t="shared" si="39"/>
        <v>648</v>
      </c>
      <c r="I147" s="13">
        <f t="shared" si="39"/>
        <v>2172</v>
      </c>
    </row>
    <row r="151" spans="2:17">
      <c r="B151" s="98" t="s">
        <v>302</v>
      </c>
      <c r="C151" s="179" t="s">
        <v>5</v>
      </c>
    </row>
    <row r="152" spans="2:17">
      <c r="B152" s="98" t="s">
        <v>307</v>
      </c>
      <c r="C152" s="98"/>
      <c r="D152" s="98" t="s">
        <v>216</v>
      </c>
      <c r="E152" s="98" t="s">
        <v>235</v>
      </c>
      <c r="F152" s="178" t="s">
        <v>309</v>
      </c>
    </row>
    <row r="153" spans="2:17" ht="18">
      <c r="B153" s="199" t="s">
        <v>356</v>
      </c>
      <c r="C153" s="12"/>
      <c r="D153" s="12">
        <f>D13*$C$19</f>
        <v>1216.3816550925928</v>
      </c>
      <c r="E153" s="12">
        <f>$C$22</f>
        <v>1</v>
      </c>
      <c r="F153" s="12">
        <f>(C153+D153)*E153</f>
        <v>1216.3816550925928</v>
      </c>
    </row>
    <row r="154" spans="2:17" ht="18">
      <c r="B154" s="199" t="s">
        <v>354</v>
      </c>
      <c r="C154" s="39"/>
      <c r="D154" s="39">
        <f>D13*$D$19</f>
        <v>5.2901543981481494</v>
      </c>
      <c r="E154" s="18">
        <f>$C$23</f>
        <v>28</v>
      </c>
      <c r="F154" s="12">
        <f t="shared" ref="F154:F155" si="40">(C154+D154)*E154</f>
        <v>148.12432314814819</v>
      </c>
    </row>
    <row r="155" spans="2:17" ht="18">
      <c r="B155" s="199" t="s">
        <v>355</v>
      </c>
      <c r="C155" s="194"/>
      <c r="D155" s="194">
        <f>D13*$E$19</f>
        <v>4.423206018518519E-2</v>
      </c>
      <c r="E155" s="18">
        <f>$C$24</f>
        <v>265</v>
      </c>
      <c r="F155" s="12">
        <f t="shared" si="40"/>
        <v>11.721495949074075</v>
      </c>
    </row>
    <row r="156" spans="2:17" ht="15.6" customHeight="1">
      <c r="B156" s="278" t="s">
        <v>10</v>
      </c>
      <c r="C156" s="278"/>
      <c r="D156" s="278"/>
      <c r="E156" s="278"/>
      <c r="F156" s="200">
        <f>SUM(F153:F155)</f>
        <v>1376.2274741898152</v>
      </c>
    </row>
    <row r="157" spans="2:17" ht="15.6" customHeight="1"/>
    <row r="158" spans="2:17">
      <c r="B158" s="98" t="s">
        <v>302</v>
      </c>
      <c r="C158" s="179" t="str">
        <f>C151</f>
        <v>BRPEC</v>
      </c>
      <c r="K158" s="98" t="s">
        <v>302</v>
      </c>
      <c r="L158" s="179" t="str">
        <f>C158</f>
        <v>BRPEC</v>
      </c>
    </row>
    <row r="159" spans="2:17" ht="15.6" customHeight="1">
      <c r="B159" s="5" t="s">
        <v>365</v>
      </c>
      <c r="C159" s="4" t="s">
        <v>4</v>
      </c>
      <c r="D159" s="4" t="s">
        <v>5</v>
      </c>
      <c r="E159" s="4" t="s">
        <v>6</v>
      </c>
      <c r="F159" s="4" t="s">
        <v>7</v>
      </c>
      <c r="G159" s="4" t="s">
        <v>8</v>
      </c>
      <c r="H159" s="4" t="s">
        <v>9</v>
      </c>
      <c r="I159" s="5" t="s">
        <v>47</v>
      </c>
      <c r="K159" s="5" t="s">
        <v>308</v>
      </c>
      <c r="L159" s="4" t="s">
        <v>4</v>
      </c>
      <c r="M159" s="4" t="s">
        <v>5</v>
      </c>
      <c r="N159" s="4" t="s">
        <v>6</v>
      </c>
      <c r="O159" s="4" t="s">
        <v>7</v>
      </c>
      <c r="P159" s="4" t="s">
        <v>8</v>
      </c>
      <c r="Q159" s="4" t="s">
        <v>9</v>
      </c>
    </row>
    <row r="160" spans="2:17">
      <c r="B160" s="10" t="s">
        <v>4</v>
      </c>
      <c r="C160" s="11"/>
      <c r="D160" s="12">
        <f t="shared" ref="D160:H161" si="41">D28</f>
        <v>175</v>
      </c>
      <c r="E160" s="12">
        <f t="shared" si="41"/>
        <v>156</v>
      </c>
      <c r="F160" s="12">
        <f t="shared" si="41"/>
        <v>0</v>
      </c>
      <c r="G160" s="12">
        <f t="shared" si="41"/>
        <v>226</v>
      </c>
      <c r="H160" s="12">
        <f t="shared" si="41"/>
        <v>648</v>
      </c>
      <c r="I160" s="13">
        <f t="shared" ref="I160:I165" si="42">SUM(C160:H160)</f>
        <v>1205</v>
      </c>
      <c r="K160" s="10" t="s">
        <v>4</v>
      </c>
      <c r="L160" s="171">
        <f>IF(C160=0,0,$F$156/$I$166)</f>
        <v>0</v>
      </c>
      <c r="M160" s="60">
        <f t="shared" ref="M160:Q165" si="43">IF(D160=0,0,$F$156/$I$166)</f>
        <v>1.0111884454003051</v>
      </c>
      <c r="N160" s="60">
        <f t="shared" si="43"/>
        <v>1.0111884454003051</v>
      </c>
      <c r="O160" s="60">
        <f t="shared" si="43"/>
        <v>0</v>
      </c>
      <c r="P160" s="60">
        <f t="shared" si="43"/>
        <v>1.0111884454003051</v>
      </c>
      <c r="Q160" s="60">
        <f t="shared" si="43"/>
        <v>1.0111884454003051</v>
      </c>
    </row>
    <row r="161" spans="2:17">
      <c r="B161" s="10" t="s">
        <v>5</v>
      </c>
      <c r="C161" s="12"/>
      <c r="D161" s="11">
        <f t="shared" si="41"/>
        <v>0</v>
      </c>
      <c r="E161" s="12">
        <f t="shared" si="41"/>
        <v>0</v>
      </c>
      <c r="F161" s="12">
        <f t="shared" si="41"/>
        <v>0</v>
      </c>
      <c r="G161" s="12">
        <f t="shared" si="41"/>
        <v>20</v>
      </c>
      <c r="H161" s="12">
        <f t="shared" si="41"/>
        <v>136</v>
      </c>
      <c r="I161" s="13">
        <f t="shared" si="42"/>
        <v>156</v>
      </c>
      <c r="K161" s="10" t="s">
        <v>5</v>
      </c>
      <c r="L161" s="60">
        <f t="shared" ref="L161:L165" si="44">IF(C161=0,0,$F$156/$I$166)</f>
        <v>0</v>
      </c>
      <c r="M161" s="171">
        <f t="shared" si="43"/>
        <v>0</v>
      </c>
      <c r="N161" s="60">
        <f t="shared" si="43"/>
        <v>0</v>
      </c>
      <c r="O161" s="60">
        <f t="shared" si="43"/>
        <v>0</v>
      </c>
      <c r="P161" s="60">
        <f t="shared" si="43"/>
        <v>1.0111884454003051</v>
      </c>
      <c r="Q161" s="60">
        <f t="shared" si="43"/>
        <v>1.0111884454003051</v>
      </c>
    </row>
    <row r="162" spans="2:17">
      <c r="B162" s="10" t="s">
        <v>6</v>
      </c>
      <c r="C162" s="12"/>
      <c r="D162" s="12"/>
      <c r="E162" s="11"/>
      <c r="F162" s="12"/>
      <c r="G162" s="12"/>
      <c r="H162" s="12"/>
      <c r="I162" s="13">
        <f t="shared" si="42"/>
        <v>0</v>
      </c>
      <c r="K162" s="10" t="s">
        <v>6</v>
      </c>
      <c r="L162" s="60">
        <f t="shared" si="44"/>
        <v>0</v>
      </c>
      <c r="M162" s="60">
        <f t="shared" si="43"/>
        <v>0</v>
      </c>
      <c r="N162" s="171">
        <f t="shared" si="43"/>
        <v>0</v>
      </c>
      <c r="O162" s="60">
        <f t="shared" si="43"/>
        <v>0</v>
      </c>
      <c r="P162" s="60">
        <f t="shared" si="43"/>
        <v>0</v>
      </c>
      <c r="Q162" s="60">
        <f t="shared" si="43"/>
        <v>0</v>
      </c>
    </row>
    <row r="163" spans="2:17">
      <c r="B163" s="10" t="s">
        <v>7</v>
      </c>
      <c r="C163" s="12"/>
      <c r="D163" s="12"/>
      <c r="E163" s="12"/>
      <c r="F163" s="11"/>
      <c r="G163" s="12"/>
      <c r="H163" s="12"/>
      <c r="I163" s="13">
        <f t="shared" si="42"/>
        <v>0</v>
      </c>
      <c r="K163" s="10" t="s">
        <v>7</v>
      </c>
      <c r="L163" s="60">
        <f t="shared" si="44"/>
        <v>0</v>
      </c>
      <c r="M163" s="60">
        <f t="shared" si="43"/>
        <v>0</v>
      </c>
      <c r="N163" s="60">
        <f t="shared" si="43"/>
        <v>0</v>
      </c>
      <c r="O163" s="171">
        <f t="shared" si="43"/>
        <v>0</v>
      </c>
      <c r="P163" s="60">
        <f t="shared" si="43"/>
        <v>0</v>
      </c>
      <c r="Q163" s="60">
        <f t="shared" si="43"/>
        <v>0</v>
      </c>
    </row>
    <row r="164" spans="2:17">
      <c r="B164" s="10" t="s">
        <v>8</v>
      </c>
      <c r="C164" s="12"/>
      <c r="D164" s="12"/>
      <c r="E164" s="12"/>
      <c r="F164" s="12"/>
      <c r="G164" s="11"/>
      <c r="H164" s="12"/>
      <c r="I164" s="13">
        <f t="shared" si="42"/>
        <v>0</v>
      </c>
      <c r="K164" s="10" t="s">
        <v>8</v>
      </c>
      <c r="L164" s="60">
        <f t="shared" si="44"/>
        <v>0</v>
      </c>
      <c r="M164" s="60">
        <f t="shared" si="43"/>
        <v>0</v>
      </c>
      <c r="N164" s="60">
        <f t="shared" si="43"/>
        <v>0</v>
      </c>
      <c r="O164" s="60">
        <f t="shared" si="43"/>
        <v>0</v>
      </c>
      <c r="P164" s="171">
        <f t="shared" si="43"/>
        <v>0</v>
      </c>
      <c r="Q164" s="60">
        <f t="shared" si="43"/>
        <v>0</v>
      </c>
    </row>
    <row r="165" spans="2:17">
      <c r="B165" s="10" t="s">
        <v>9</v>
      </c>
      <c r="C165" s="12"/>
      <c r="D165" s="12"/>
      <c r="E165" s="12"/>
      <c r="F165" s="12"/>
      <c r="G165" s="12"/>
      <c r="H165" s="11"/>
      <c r="I165" s="13">
        <f t="shared" si="42"/>
        <v>0</v>
      </c>
      <c r="K165" s="10" t="s">
        <v>9</v>
      </c>
      <c r="L165" s="60">
        <f t="shared" si="44"/>
        <v>0</v>
      </c>
      <c r="M165" s="60">
        <f t="shared" si="43"/>
        <v>0</v>
      </c>
      <c r="N165" s="60">
        <f t="shared" si="43"/>
        <v>0</v>
      </c>
      <c r="O165" s="60">
        <f t="shared" si="43"/>
        <v>0</v>
      </c>
      <c r="P165" s="60">
        <f t="shared" si="43"/>
        <v>0</v>
      </c>
      <c r="Q165" s="171">
        <f t="shared" si="43"/>
        <v>0</v>
      </c>
    </row>
    <row r="166" spans="2:17">
      <c r="B166" s="16" t="s">
        <v>48</v>
      </c>
      <c r="C166" s="13">
        <f t="shared" ref="C166:I166" si="45">SUM(C160:C165)</f>
        <v>0</v>
      </c>
      <c r="D166" s="13">
        <f t="shared" si="45"/>
        <v>175</v>
      </c>
      <c r="E166" s="13">
        <f t="shared" si="45"/>
        <v>156</v>
      </c>
      <c r="F166" s="13">
        <f t="shared" si="45"/>
        <v>0</v>
      </c>
      <c r="G166" s="13">
        <f t="shared" si="45"/>
        <v>246</v>
      </c>
      <c r="H166" s="13">
        <f t="shared" si="45"/>
        <v>784</v>
      </c>
      <c r="I166" s="13">
        <f t="shared" si="45"/>
        <v>1361</v>
      </c>
    </row>
    <row r="170" spans="2:17">
      <c r="B170" s="98" t="s">
        <v>302</v>
      </c>
      <c r="C170" s="179" t="s">
        <v>6</v>
      </c>
    </row>
    <row r="171" spans="2:17">
      <c r="B171" s="98" t="s">
        <v>307</v>
      </c>
      <c r="C171" s="98"/>
      <c r="D171" s="98" t="s">
        <v>216</v>
      </c>
      <c r="E171" s="98" t="s">
        <v>235</v>
      </c>
      <c r="F171" s="178" t="s">
        <v>309</v>
      </c>
    </row>
    <row r="172" spans="2:17" ht="18">
      <c r="B172" s="199" t="s">
        <v>356</v>
      </c>
      <c r="C172" s="12"/>
      <c r="D172" s="12">
        <f>D14*$C$19</f>
        <v>3057.9427083333335</v>
      </c>
      <c r="E172" s="12">
        <f>$C$22</f>
        <v>1</v>
      </c>
      <c r="F172" s="12">
        <f>(C172+D172)*E172</f>
        <v>3057.9427083333335</v>
      </c>
    </row>
    <row r="173" spans="2:17" ht="18">
      <c r="B173" s="199" t="s">
        <v>354</v>
      </c>
      <c r="C173" s="39"/>
      <c r="D173" s="39">
        <f>D14*$D$19</f>
        <v>13.299270833333335</v>
      </c>
      <c r="E173" s="18">
        <f>$C$23</f>
        <v>28</v>
      </c>
      <c r="F173" s="12">
        <f t="shared" ref="F173:F174" si="46">(C173+D173)*E173</f>
        <v>372.37958333333336</v>
      </c>
    </row>
    <row r="174" spans="2:17" ht="18">
      <c r="B174" s="199" t="s">
        <v>355</v>
      </c>
      <c r="C174" s="194"/>
      <c r="D174" s="194">
        <f>D14*$E$19</f>
        <v>0.11119791666666667</v>
      </c>
      <c r="E174" s="18">
        <f>$C$24</f>
        <v>265</v>
      </c>
      <c r="F174" s="12">
        <f t="shared" si="46"/>
        <v>29.467447916666668</v>
      </c>
    </row>
    <row r="175" spans="2:17" ht="15.6" customHeight="1">
      <c r="B175" s="278" t="s">
        <v>10</v>
      </c>
      <c r="C175" s="278"/>
      <c r="D175" s="278"/>
      <c r="E175" s="278"/>
      <c r="F175" s="200">
        <f>SUM(F172:F174)</f>
        <v>3459.7897395833334</v>
      </c>
    </row>
    <row r="176" spans="2:17" ht="15.6" customHeight="1"/>
    <row r="177" spans="2:17">
      <c r="B177" s="98" t="s">
        <v>302</v>
      </c>
      <c r="C177" s="179" t="str">
        <f>C170</f>
        <v>BRSUA</v>
      </c>
      <c r="K177" s="98" t="s">
        <v>302</v>
      </c>
      <c r="L177" s="179" t="str">
        <f>C177</f>
        <v>BRSUA</v>
      </c>
    </row>
    <row r="178" spans="2:17" ht="15.6" customHeight="1">
      <c r="B178" s="5" t="s">
        <v>365</v>
      </c>
      <c r="C178" s="4" t="s">
        <v>4</v>
      </c>
      <c r="D178" s="4" t="s">
        <v>5</v>
      </c>
      <c r="E178" s="4" t="s">
        <v>6</v>
      </c>
      <c r="F178" s="4" t="s">
        <v>7</v>
      </c>
      <c r="G178" s="4" t="s">
        <v>8</v>
      </c>
      <c r="H178" s="4" t="s">
        <v>9</v>
      </c>
      <c r="I178" s="5" t="s">
        <v>47</v>
      </c>
      <c r="K178" s="5" t="s">
        <v>308</v>
      </c>
      <c r="L178" s="4" t="s">
        <v>4</v>
      </c>
      <c r="M178" s="4" t="s">
        <v>5</v>
      </c>
      <c r="N178" s="4" t="s">
        <v>6</v>
      </c>
      <c r="O178" s="4" t="s">
        <v>7</v>
      </c>
      <c r="P178" s="4" t="s">
        <v>8</v>
      </c>
      <c r="Q178" s="4" t="s">
        <v>9</v>
      </c>
    </row>
    <row r="179" spans="2:17">
      <c r="B179" s="10" t="s">
        <v>4</v>
      </c>
      <c r="C179" s="11"/>
      <c r="D179" s="12"/>
      <c r="E179" s="12">
        <f t="shared" ref="E179:H181" si="47">E28</f>
        <v>156</v>
      </c>
      <c r="F179" s="12">
        <f t="shared" si="47"/>
        <v>0</v>
      </c>
      <c r="G179" s="12">
        <f t="shared" si="47"/>
        <v>226</v>
      </c>
      <c r="H179" s="12">
        <f t="shared" si="47"/>
        <v>648</v>
      </c>
      <c r="I179" s="13">
        <f t="shared" ref="I179:I184" si="48">SUM(C179:H179)</f>
        <v>1030</v>
      </c>
      <c r="K179" s="10" t="s">
        <v>4</v>
      </c>
      <c r="L179" s="171">
        <f>IF(C179=0,0,$F$175/$I$185)</f>
        <v>0</v>
      </c>
      <c r="M179" s="60">
        <f t="shared" ref="M179:Q184" si="49">IF(D179=0,0,$F$175/$I$185)</f>
        <v>0</v>
      </c>
      <c r="N179" s="60">
        <f>IF(E179=0,0,$F$175/$I$185)</f>
        <v>2.7156905334249086</v>
      </c>
      <c r="O179" s="60">
        <f t="shared" si="49"/>
        <v>0</v>
      </c>
      <c r="P179" s="60">
        <f t="shared" si="49"/>
        <v>2.7156905334249086</v>
      </c>
      <c r="Q179" s="60">
        <f t="shared" si="49"/>
        <v>2.7156905334249086</v>
      </c>
    </row>
    <row r="180" spans="2:17">
      <c r="B180" s="10" t="s">
        <v>5</v>
      </c>
      <c r="C180" s="12"/>
      <c r="D180" s="11"/>
      <c r="E180" s="12">
        <f t="shared" si="47"/>
        <v>0</v>
      </c>
      <c r="F180" s="12">
        <f t="shared" si="47"/>
        <v>0</v>
      </c>
      <c r="G180" s="12">
        <f t="shared" si="47"/>
        <v>20</v>
      </c>
      <c r="H180" s="12">
        <f t="shared" si="47"/>
        <v>136</v>
      </c>
      <c r="I180" s="13">
        <f t="shared" si="48"/>
        <v>156</v>
      </c>
      <c r="K180" s="10" t="s">
        <v>5</v>
      </c>
      <c r="L180" s="60">
        <f t="shared" ref="L180:L184" si="50">IF(C180=0,0,$F$175/$I$185)</f>
        <v>0</v>
      </c>
      <c r="M180" s="171">
        <f t="shared" si="49"/>
        <v>0</v>
      </c>
      <c r="N180" s="60">
        <f t="shared" si="49"/>
        <v>0</v>
      </c>
      <c r="O180" s="60">
        <f t="shared" si="49"/>
        <v>0</v>
      </c>
      <c r="P180" s="60">
        <f t="shared" si="49"/>
        <v>2.7156905334249086</v>
      </c>
      <c r="Q180" s="60">
        <f t="shared" si="49"/>
        <v>2.7156905334249086</v>
      </c>
    </row>
    <row r="181" spans="2:17">
      <c r="B181" s="10" t="s">
        <v>6</v>
      </c>
      <c r="C181" s="12"/>
      <c r="D181" s="12"/>
      <c r="E181" s="11">
        <f t="shared" si="47"/>
        <v>0</v>
      </c>
      <c r="F181" s="12">
        <f t="shared" si="47"/>
        <v>0</v>
      </c>
      <c r="G181" s="12">
        <f t="shared" si="47"/>
        <v>30</v>
      </c>
      <c r="H181" s="12">
        <f t="shared" si="47"/>
        <v>58</v>
      </c>
      <c r="I181" s="13">
        <f t="shared" si="48"/>
        <v>88</v>
      </c>
      <c r="K181" s="10" t="s">
        <v>6</v>
      </c>
      <c r="L181" s="60">
        <f t="shared" si="50"/>
        <v>0</v>
      </c>
      <c r="M181" s="60">
        <f t="shared" si="49"/>
        <v>0</v>
      </c>
      <c r="N181" s="171">
        <f t="shared" si="49"/>
        <v>0</v>
      </c>
      <c r="O181" s="60">
        <f t="shared" si="49"/>
        <v>0</v>
      </c>
      <c r="P181" s="60">
        <f t="shared" si="49"/>
        <v>2.7156905334249086</v>
      </c>
      <c r="Q181" s="60">
        <f t="shared" si="49"/>
        <v>2.7156905334249086</v>
      </c>
    </row>
    <row r="182" spans="2:17">
      <c r="B182" s="10" t="s">
        <v>7</v>
      </c>
      <c r="C182" s="12"/>
      <c r="D182" s="12"/>
      <c r="E182" s="12"/>
      <c r="F182" s="11"/>
      <c r="G182" s="12"/>
      <c r="H182" s="12"/>
      <c r="I182" s="13">
        <f t="shared" si="48"/>
        <v>0</v>
      </c>
      <c r="K182" s="10" t="s">
        <v>7</v>
      </c>
      <c r="L182" s="60">
        <f t="shared" si="50"/>
        <v>0</v>
      </c>
      <c r="M182" s="60">
        <f t="shared" si="49"/>
        <v>0</v>
      </c>
      <c r="N182" s="60">
        <f t="shared" si="49"/>
        <v>0</v>
      </c>
      <c r="O182" s="171">
        <f t="shared" si="49"/>
        <v>0</v>
      </c>
      <c r="P182" s="60">
        <f t="shared" si="49"/>
        <v>0</v>
      </c>
      <c r="Q182" s="60">
        <f t="shared" si="49"/>
        <v>0</v>
      </c>
    </row>
    <row r="183" spans="2:17">
      <c r="B183" s="10" t="s">
        <v>8</v>
      </c>
      <c r="C183" s="12"/>
      <c r="D183" s="12"/>
      <c r="E183" s="12"/>
      <c r="F183" s="12"/>
      <c r="G183" s="11"/>
      <c r="H183" s="12"/>
      <c r="I183" s="13">
        <f t="shared" si="48"/>
        <v>0</v>
      </c>
      <c r="K183" s="10" t="s">
        <v>8</v>
      </c>
      <c r="L183" s="60">
        <f t="shared" si="50"/>
        <v>0</v>
      </c>
      <c r="M183" s="60">
        <f t="shared" si="49"/>
        <v>0</v>
      </c>
      <c r="N183" s="60">
        <f t="shared" si="49"/>
        <v>0</v>
      </c>
      <c r="O183" s="60">
        <f t="shared" si="49"/>
        <v>0</v>
      </c>
      <c r="P183" s="171">
        <f t="shared" si="49"/>
        <v>0</v>
      </c>
      <c r="Q183" s="60">
        <f t="shared" si="49"/>
        <v>0</v>
      </c>
    </row>
    <row r="184" spans="2:17">
      <c r="B184" s="10" t="s">
        <v>9</v>
      </c>
      <c r="C184" s="12"/>
      <c r="D184" s="12"/>
      <c r="E184" s="12"/>
      <c r="F184" s="12"/>
      <c r="G184" s="12"/>
      <c r="H184" s="11"/>
      <c r="I184" s="13">
        <f t="shared" si="48"/>
        <v>0</v>
      </c>
      <c r="K184" s="10" t="s">
        <v>9</v>
      </c>
      <c r="L184" s="60">
        <f t="shared" si="50"/>
        <v>0</v>
      </c>
      <c r="M184" s="60">
        <f t="shared" si="49"/>
        <v>0</v>
      </c>
      <c r="N184" s="60">
        <f t="shared" si="49"/>
        <v>0</v>
      </c>
      <c r="O184" s="60">
        <f t="shared" si="49"/>
        <v>0</v>
      </c>
      <c r="P184" s="60">
        <f t="shared" si="49"/>
        <v>0</v>
      </c>
      <c r="Q184" s="171">
        <f t="shared" si="49"/>
        <v>0</v>
      </c>
    </row>
    <row r="185" spans="2:17">
      <c r="B185" s="16" t="s">
        <v>48</v>
      </c>
      <c r="C185" s="13">
        <f t="shared" ref="C185:I185" si="51">SUM(C179:C184)</f>
        <v>0</v>
      </c>
      <c r="D185" s="13">
        <f t="shared" si="51"/>
        <v>0</v>
      </c>
      <c r="E185" s="13">
        <f t="shared" si="51"/>
        <v>156</v>
      </c>
      <c r="F185" s="13">
        <f t="shared" si="51"/>
        <v>0</v>
      </c>
      <c r="G185" s="13">
        <f t="shared" si="51"/>
        <v>276</v>
      </c>
      <c r="H185" s="13">
        <f t="shared" si="51"/>
        <v>842</v>
      </c>
      <c r="I185" s="13">
        <f t="shared" si="51"/>
        <v>1274</v>
      </c>
    </row>
    <row r="188" spans="2:17" ht="18">
      <c r="K188" s="260" t="s">
        <v>474</v>
      </c>
      <c r="L188" s="260"/>
      <c r="M188" s="260"/>
      <c r="N188" s="260"/>
      <c r="O188" s="260"/>
      <c r="P188" s="260"/>
      <c r="Q188" s="260"/>
    </row>
    <row r="189" spans="2:17">
      <c r="K189" s="5" t="s">
        <v>308</v>
      </c>
      <c r="L189" s="4" t="s">
        <v>4</v>
      </c>
      <c r="M189" s="4" t="s">
        <v>5</v>
      </c>
      <c r="N189" s="4" t="s">
        <v>6</v>
      </c>
      <c r="O189" s="4" t="s">
        <v>7</v>
      </c>
      <c r="P189" s="4" t="s">
        <v>8</v>
      </c>
      <c r="Q189" s="4" t="s">
        <v>9</v>
      </c>
    </row>
    <row r="190" spans="2:17">
      <c r="K190" s="10" t="s">
        <v>4</v>
      </c>
      <c r="L190" s="171">
        <f>L46+L65+L84+L103+L122+L141+L160+L179</f>
        <v>0</v>
      </c>
      <c r="M190" s="60">
        <f t="shared" ref="M190:Q190" si="52">M46+M65+M84+M103+M122+M141+M160+M179</f>
        <v>8.5155410624625798</v>
      </c>
      <c r="N190" s="60">
        <f t="shared" si="52"/>
        <v>11.231231595887488</v>
      </c>
      <c r="O190" s="60">
        <f t="shared" si="52"/>
        <v>0</v>
      </c>
      <c r="P190" s="60">
        <f t="shared" si="52"/>
        <v>19.57978763260958</v>
      </c>
      <c r="Q190" s="60">
        <f t="shared" si="52"/>
        <v>15.892320721343618</v>
      </c>
    </row>
    <row r="191" spans="2:17">
      <c r="B191" s="5" t="s">
        <v>381</v>
      </c>
      <c r="C191" s="98" t="s">
        <v>380</v>
      </c>
      <c r="D191" s="5" t="s">
        <v>308</v>
      </c>
      <c r="K191" s="10" t="s">
        <v>5</v>
      </c>
      <c r="L191" s="60">
        <f t="shared" ref="L191:Q195" si="53">L47+L66+L85+L104+L123+L142+L161+L180</f>
        <v>9.6818630749456531</v>
      </c>
      <c r="M191" s="171">
        <f t="shared" si="53"/>
        <v>0</v>
      </c>
      <c r="N191" s="60">
        <f t="shared" si="53"/>
        <v>0</v>
      </c>
      <c r="O191" s="60">
        <f t="shared" si="53"/>
        <v>0</v>
      </c>
      <c r="P191" s="60">
        <f t="shared" si="53"/>
        <v>12.075435015547308</v>
      </c>
      <c r="Q191" s="60">
        <f t="shared" si="53"/>
        <v>8.3879681042813417</v>
      </c>
    </row>
    <row r="192" spans="2:17">
      <c r="B192" s="10" t="s">
        <v>9</v>
      </c>
      <c r="C192" s="78">
        <f>C7</f>
        <v>1.6351851851851853</v>
      </c>
      <c r="D192" s="82">
        <f>L51</f>
        <v>4.6610891254561286</v>
      </c>
      <c r="K192" s="10" t="s">
        <v>6</v>
      </c>
      <c r="L192" s="60">
        <f t="shared" si="53"/>
        <v>17.211104146134595</v>
      </c>
      <c r="M192" s="60">
        <f t="shared" si="53"/>
        <v>0</v>
      </c>
      <c r="N192" s="171">
        <f t="shared" si="53"/>
        <v>0</v>
      </c>
      <c r="O192" s="60">
        <f t="shared" si="53"/>
        <v>0</v>
      </c>
      <c r="P192" s="60">
        <f t="shared" si="53"/>
        <v>11.064246570147002</v>
      </c>
      <c r="Q192" s="60">
        <f t="shared" si="53"/>
        <v>7.3767796588810377</v>
      </c>
    </row>
    <row r="193" spans="2:17">
      <c r="B193" s="10" t="s">
        <v>8</v>
      </c>
      <c r="C193" s="78">
        <f t="shared" ref="C193:C199" si="54">C8</f>
        <v>0.96388888888888891</v>
      </c>
      <c r="D193" s="82">
        <f>L69</f>
        <v>3.6874669112659659</v>
      </c>
      <c r="K193" s="10" t="s">
        <v>7</v>
      </c>
      <c r="L193" s="60">
        <f t="shared" si="53"/>
        <v>19.019430625825613</v>
      </c>
      <c r="M193" s="60">
        <f t="shared" si="53"/>
        <v>11.515078008763338</v>
      </c>
      <c r="N193" s="60">
        <f t="shared" si="53"/>
        <v>9.3375675508799603</v>
      </c>
      <c r="O193" s="171">
        <f t="shared" si="53"/>
        <v>0</v>
      </c>
      <c r="P193" s="60">
        <f t="shared" si="53"/>
        <v>0</v>
      </c>
      <c r="Q193" s="60">
        <f t="shared" si="53"/>
        <v>0</v>
      </c>
    </row>
    <row r="194" spans="2:17">
      <c r="B194" s="10" t="s">
        <v>7</v>
      </c>
      <c r="C194" s="78">
        <f t="shared" si="54"/>
        <v>0.41388888888888892</v>
      </c>
      <c r="D194" s="82">
        <f>L87</f>
        <v>1.8083264796910172</v>
      </c>
      <c r="K194" s="10" t="s">
        <v>8</v>
      </c>
      <c r="L194" s="60">
        <f t="shared" si="53"/>
        <v>22.706897537091578</v>
      </c>
      <c r="M194" s="60">
        <f t="shared" si="53"/>
        <v>15.202544920029302</v>
      </c>
      <c r="N194" s="60">
        <f t="shared" si="53"/>
        <v>13.025034462145925</v>
      </c>
      <c r="O194" s="60">
        <f t="shared" si="53"/>
        <v>5.4957933909569832</v>
      </c>
      <c r="P194" s="171">
        <f t="shared" si="53"/>
        <v>0</v>
      </c>
      <c r="Q194" s="60">
        <f t="shared" si="53"/>
        <v>0</v>
      </c>
    </row>
    <row r="195" spans="2:17">
      <c r="B195" s="10" t="s">
        <v>22</v>
      </c>
      <c r="C195" s="78">
        <f t="shared" si="54"/>
        <v>1.9708333333333332</v>
      </c>
      <c r="D195" s="82">
        <f>L105</f>
        <v>7.5292410711889426</v>
      </c>
      <c r="K195" s="10" t="s">
        <v>9</v>
      </c>
      <c r="L195" s="60">
        <f t="shared" si="53"/>
        <v>27.367986662547708</v>
      </c>
      <c r="M195" s="60">
        <f t="shared" si="53"/>
        <v>19.863634045485433</v>
      </c>
      <c r="N195" s="60">
        <f t="shared" si="53"/>
        <v>17.686123587602054</v>
      </c>
      <c r="O195" s="60">
        <f t="shared" si="53"/>
        <v>10.156882516413111</v>
      </c>
      <c r="P195" s="60">
        <f t="shared" si="53"/>
        <v>0</v>
      </c>
      <c r="Q195" s="171">
        <f t="shared" si="53"/>
        <v>0</v>
      </c>
    </row>
    <row r="196" spans="2:17">
      <c r="B196" s="10" t="s">
        <v>23</v>
      </c>
      <c r="C196" s="78">
        <f t="shared" si="54"/>
        <v>0.5180555555555556</v>
      </c>
      <c r="D196" s="82">
        <f>L123</f>
        <v>2.1775104578833773</v>
      </c>
    </row>
    <row r="197" spans="2:17">
      <c r="B197" s="10" t="s">
        <v>4</v>
      </c>
      <c r="C197" s="78">
        <f t="shared" si="54"/>
        <v>2.9444444444444446</v>
      </c>
      <c r="D197" s="82">
        <f>L142</f>
        <v>7.504352617062275</v>
      </c>
    </row>
    <row r="198" spans="2:17">
      <c r="B198" s="10" t="s">
        <v>24</v>
      </c>
      <c r="C198" s="78">
        <f t="shared" si="54"/>
        <v>0.24861111111111112</v>
      </c>
      <c r="D198" s="82">
        <f>Q160</f>
        <v>1.0111884454003051</v>
      </c>
    </row>
    <row r="199" spans="2:17">
      <c r="B199" s="10" t="s">
        <v>382</v>
      </c>
      <c r="C199" s="78">
        <f t="shared" si="54"/>
        <v>0.625</v>
      </c>
      <c r="D199" s="82">
        <f>Q179</f>
        <v>2.7156905334249086</v>
      </c>
    </row>
    <row r="202" spans="2:17" ht="18">
      <c r="B202" s="176" t="s">
        <v>256</v>
      </c>
      <c r="C202" s="12">
        <f>F42+F61+F80+F99+F118+F137+F156+F175</f>
        <v>51591.872035223765</v>
      </c>
    </row>
  </sheetData>
  <mergeCells count="10">
    <mergeCell ref="B137:E137"/>
    <mergeCell ref="B156:E156"/>
    <mergeCell ref="B175:E175"/>
    <mergeCell ref="K188:Q188"/>
    <mergeCell ref="C17:E17"/>
    <mergeCell ref="B42:E42"/>
    <mergeCell ref="B61:E61"/>
    <mergeCell ref="B80:E80"/>
    <mergeCell ref="B99:E99"/>
    <mergeCell ref="B118:E118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D569-DE48-4F86-99E9-1727085AA4C2}">
  <dimension ref="B2:Q202"/>
  <sheetViews>
    <sheetView showGridLines="0" zoomScale="70" zoomScaleNormal="70" workbookViewId="0">
      <selection activeCell="F14" sqref="F14"/>
    </sheetView>
  </sheetViews>
  <sheetFormatPr defaultRowHeight="15.6"/>
  <cols>
    <col min="1" max="1" width="8.83984375" style="169"/>
    <col min="2" max="2" width="25.9453125" style="169" customWidth="1"/>
    <col min="3" max="3" width="15.1015625" style="169" customWidth="1"/>
    <col min="4" max="4" width="21.3125" style="169" customWidth="1"/>
    <col min="5" max="5" width="14.578125" style="169" customWidth="1"/>
    <col min="6" max="6" width="13.20703125" style="169" customWidth="1"/>
    <col min="7" max="7" width="10.68359375" style="169" customWidth="1"/>
    <col min="8" max="8" width="12.3671875" style="169" customWidth="1"/>
    <col min="9" max="9" width="13.62890625" style="169" customWidth="1"/>
    <col min="10" max="10" width="2.578125" style="169" customWidth="1"/>
    <col min="11" max="11" width="23.734375" style="169" customWidth="1"/>
    <col min="12" max="12" width="13.05078125" style="169" customWidth="1"/>
    <col min="13" max="13" width="22.15625" style="169" customWidth="1"/>
    <col min="14" max="14" width="18.3125" style="169" bestFit="1" customWidth="1"/>
    <col min="15" max="15" width="15.20703125" style="169" customWidth="1"/>
    <col min="16" max="16" width="14.83984375" style="169" customWidth="1"/>
    <col min="17" max="17" width="14.3125" style="169" customWidth="1"/>
    <col min="18" max="18" width="13.734375" style="169" customWidth="1"/>
    <col min="19" max="19" width="12.3671875" style="169" customWidth="1"/>
    <col min="20" max="20" width="24.83984375" style="169" customWidth="1"/>
    <col min="21" max="24" width="8.83984375" style="169"/>
    <col min="25" max="25" width="16.47265625" style="169" customWidth="1"/>
    <col min="26" max="16384" width="8.83984375" style="169"/>
  </cols>
  <sheetData>
    <row r="2" spans="2:4">
      <c r="B2" s="191" t="s">
        <v>367</v>
      </c>
    </row>
    <row r="3" spans="2:4">
      <c r="B3" s="191" t="s">
        <v>366</v>
      </c>
    </row>
    <row r="5" spans="2:4">
      <c r="D5" s="98" t="s">
        <v>276</v>
      </c>
    </row>
    <row r="6" spans="2:4">
      <c r="B6" s="98" t="s">
        <v>361</v>
      </c>
      <c r="C6" s="98" t="s">
        <v>380</v>
      </c>
      <c r="D6" s="98" t="s">
        <v>514</v>
      </c>
    </row>
    <row r="7" spans="2:4">
      <c r="B7" s="6" t="s">
        <v>9</v>
      </c>
      <c r="C7" s="45">
        <f>CabotageProforma_KAB01!Y21/24</f>
        <v>1.6351851851851853</v>
      </c>
      <c r="D7" s="78">
        <f>'Navio Porto Base C1'!D7*'Fatores Emissao'!$C$96/'Fatores Emissao'!$C$100</f>
        <v>7.0173273776288863</v>
      </c>
    </row>
    <row r="8" spans="2:4">
      <c r="B8" s="6" t="s">
        <v>8</v>
      </c>
      <c r="C8" s="45">
        <f>CabotageProforma_KAB01!Y22/24</f>
        <v>0.96388888888888891</v>
      </c>
      <c r="D8" s="78">
        <f>'Navio Porto Base C1'!D8*'Fatores Emissao'!$C$96/'Fatores Emissao'!$C$100</f>
        <v>4.1364879955332219</v>
      </c>
    </row>
    <row r="9" spans="2:4">
      <c r="B9" s="6" t="s">
        <v>7</v>
      </c>
      <c r="C9" s="45">
        <f>CabotageProforma_KAB01!Y23/24</f>
        <v>0.41388888888888892</v>
      </c>
      <c r="D9" s="78">
        <f>'Navio Porto Base C1'!D9*'Fatores Emissao'!$C$96/'Fatores Emissao'!$C$100</f>
        <v>1.7761864879955336</v>
      </c>
    </row>
    <row r="10" spans="2:4">
      <c r="B10" s="6" t="s">
        <v>6</v>
      </c>
      <c r="C10" s="45">
        <f>CabotageProforma_KAB01!Y24/24</f>
        <v>1.9708333333333332</v>
      </c>
      <c r="D10" s="78">
        <f>'Navio Porto Base C1'!D10*'Fatores Emissao'!$C$96/'Fatores Emissao'!$C$100</f>
        <v>8.4577470686767171</v>
      </c>
    </row>
    <row r="11" spans="2:4">
      <c r="B11" s="6" t="s">
        <v>5</v>
      </c>
      <c r="C11" s="45">
        <f>CabotageProforma_KAB01!Y25/24</f>
        <v>0.5180555555555556</v>
      </c>
      <c r="D11" s="78">
        <f>'Navio Porto Base C1'!D11*'Fatores Emissao'!$C$96/'Fatores Emissao'!$C$100</f>
        <v>2.2232132886655505</v>
      </c>
    </row>
    <row r="12" spans="2:4">
      <c r="B12" s="6" t="s">
        <v>4</v>
      </c>
      <c r="C12" s="45">
        <f>CabotageProforma_KAB01!Y27/24</f>
        <v>2.9444444444444446</v>
      </c>
      <c r="D12" s="78">
        <f>'Navio Porto Base C1'!D12*'Fatores Emissao'!$C$96/'Fatores Emissao'!$C$100</f>
        <v>12.635957565605809</v>
      </c>
    </row>
    <row r="13" spans="2:4">
      <c r="B13" s="6" t="s">
        <v>5</v>
      </c>
      <c r="C13" s="45">
        <f>CabotageProforma_KAB01!Y29/24</f>
        <v>0.24861111111111112</v>
      </c>
      <c r="D13" s="78">
        <f>'Navio Porto Base C1'!D13*'Fatores Emissao'!$C$96/'Fatores Emissao'!$C$100</f>
        <v>1.0669039642657734</v>
      </c>
    </row>
    <row r="14" spans="2:4">
      <c r="B14" s="6" t="s">
        <v>6</v>
      </c>
      <c r="C14" s="45">
        <f>CabotageProforma_KAB01!Y30/24</f>
        <v>0.625</v>
      </c>
      <c r="D14" s="78">
        <f>'Navio Porto Base C1'!D14*'Fatores Emissao'!$C$96/'Fatores Emissao'!$C$100</f>
        <v>2.6821608040201008</v>
      </c>
    </row>
    <row r="15" spans="2:4">
      <c r="D15" s="198"/>
    </row>
    <row r="16" spans="2:4">
      <c r="D16" s="198"/>
    </row>
    <row r="17" spans="2:9">
      <c r="C17" s="263" t="s">
        <v>234</v>
      </c>
      <c r="D17" s="264"/>
      <c r="E17" s="265"/>
    </row>
    <row r="18" spans="2:9" ht="18">
      <c r="B18" s="34" t="s">
        <v>221</v>
      </c>
      <c r="C18" s="180" t="s">
        <v>310</v>
      </c>
      <c r="D18" s="180" t="s">
        <v>311</v>
      </c>
      <c r="E18" s="180" t="s">
        <v>312</v>
      </c>
    </row>
    <row r="19" spans="2:9">
      <c r="B19" s="84" t="s">
        <v>513</v>
      </c>
      <c r="C19" s="113">
        <f>'Fatores Emissao'!C65</f>
        <v>1375</v>
      </c>
      <c r="D19" s="113">
        <f>'Fatores Emissao'!D65</f>
        <v>0</v>
      </c>
      <c r="E19" s="113">
        <f>'Fatores Emissao'!E65</f>
        <v>0</v>
      </c>
    </row>
    <row r="21" spans="2:9">
      <c r="B21" s="98" t="s">
        <v>236</v>
      </c>
      <c r="C21" s="98" t="s">
        <v>235</v>
      </c>
    </row>
    <row r="22" spans="2:9" ht="18">
      <c r="B22" s="18" t="s">
        <v>251</v>
      </c>
      <c r="C22" s="18">
        <v>1</v>
      </c>
    </row>
    <row r="23" spans="2:9" ht="18">
      <c r="B23" s="18" t="s">
        <v>252</v>
      </c>
      <c r="C23" s="18">
        <v>28</v>
      </c>
    </row>
    <row r="24" spans="2:9" ht="18">
      <c r="B24" s="18" t="s">
        <v>253</v>
      </c>
      <c r="C24" s="18">
        <v>265</v>
      </c>
    </row>
    <row r="25" spans="2:9">
      <c r="D25" s="198"/>
    </row>
    <row r="27" spans="2:9">
      <c r="B27" s="5" t="s">
        <v>188</v>
      </c>
      <c r="C27" s="4" t="s">
        <v>4</v>
      </c>
      <c r="D27" s="4" t="s">
        <v>5</v>
      </c>
      <c r="E27" s="4" t="s">
        <v>6</v>
      </c>
      <c r="F27" s="4" t="s">
        <v>7</v>
      </c>
      <c r="G27" s="4" t="s">
        <v>8</v>
      </c>
      <c r="H27" s="4" t="s">
        <v>9</v>
      </c>
      <c r="I27" s="5" t="s">
        <v>47</v>
      </c>
    </row>
    <row r="28" spans="2:9">
      <c r="B28" s="10" t="s">
        <v>4</v>
      </c>
      <c r="C28" s="11">
        <f>'Movimentacao de Conteineres'!K30</f>
        <v>0</v>
      </c>
      <c r="D28" s="12">
        <f>'Movimentacao de Conteineres'!L30</f>
        <v>175</v>
      </c>
      <c r="E28" s="12">
        <f>'Movimentacao de Conteineres'!M30</f>
        <v>156</v>
      </c>
      <c r="F28" s="12">
        <f>'Movimentacao de Conteineres'!N30</f>
        <v>0</v>
      </c>
      <c r="G28" s="12">
        <f>'Movimentacao de Conteineres'!O30</f>
        <v>226</v>
      </c>
      <c r="H28" s="12">
        <f>'Movimentacao de Conteineres'!P30</f>
        <v>648</v>
      </c>
      <c r="I28" s="13">
        <f t="shared" ref="I28:I33" si="0">SUM(C28:H28)</f>
        <v>1205</v>
      </c>
    </row>
    <row r="29" spans="2:9">
      <c r="B29" s="10" t="s">
        <v>5</v>
      </c>
      <c r="C29" s="12">
        <f>'Movimentacao de Conteineres'!K31</f>
        <v>260</v>
      </c>
      <c r="D29" s="11">
        <f>'Movimentacao de Conteineres'!L31</f>
        <v>0</v>
      </c>
      <c r="E29" s="12">
        <f>'Movimentacao de Conteineres'!M31</f>
        <v>0</v>
      </c>
      <c r="F29" s="12">
        <f>'Movimentacao de Conteineres'!N31</f>
        <v>0</v>
      </c>
      <c r="G29" s="12">
        <f>'Movimentacao de Conteineres'!O31</f>
        <v>20</v>
      </c>
      <c r="H29" s="12">
        <f>'Movimentacao de Conteineres'!P31</f>
        <v>136</v>
      </c>
      <c r="I29" s="13">
        <f t="shared" si="0"/>
        <v>416</v>
      </c>
    </row>
    <row r="30" spans="2:9">
      <c r="B30" s="10" t="s">
        <v>6</v>
      </c>
      <c r="C30" s="12">
        <f>'Movimentacao de Conteineres'!K32</f>
        <v>331</v>
      </c>
      <c r="D30" s="12">
        <f>'Movimentacao de Conteineres'!L32</f>
        <v>0</v>
      </c>
      <c r="E30" s="11">
        <f>'Movimentacao de Conteineres'!M32</f>
        <v>0</v>
      </c>
      <c r="F30" s="12">
        <f>'Movimentacao de Conteineres'!N32</f>
        <v>0</v>
      </c>
      <c r="G30" s="12">
        <f>'Movimentacao de Conteineres'!O32</f>
        <v>30</v>
      </c>
      <c r="H30" s="12">
        <f>'Movimentacao de Conteineres'!P32</f>
        <v>58</v>
      </c>
      <c r="I30" s="13">
        <f t="shared" si="0"/>
        <v>419</v>
      </c>
    </row>
    <row r="31" spans="2:9">
      <c r="B31" s="10" t="s">
        <v>7</v>
      </c>
      <c r="C31" s="12">
        <f>'Movimentacao de Conteineres'!K33</f>
        <v>86</v>
      </c>
      <c r="D31" s="12">
        <f>'Movimentacao de Conteineres'!L33</f>
        <v>9</v>
      </c>
      <c r="E31" s="12">
        <f>'Movimentacao de Conteineres'!M33</f>
        <v>1</v>
      </c>
      <c r="F31" s="11">
        <f>'Movimentacao de Conteineres'!N33</f>
        <v>0</v>
      </c>
      <c r="G31" s="12">
        <f>'Movimentacao de Conteineres'!O33</f>
        <v>0</v>
      </c>
      <c r="H31" s="12">
        <f>'Movimentacao de Conteineres'!P33</f>
        <v>0</v>
      </c>
      <c r="I31" s="13">
        <f t="shared" si="0"/>
        <v>96</v>
      </c>
    </row>
    <row r="32" spans="2:9">
      <c r="B32" s="10" t="s">
        <v>8</v>
      </c>
      <c r="C32" s="12">
        <f>'Movimentacao de Conteineres'!K34</f>
        <v>61</v>
      </c>
      <c r="D32" s="12">
        <f>'Movimentacao de Conteineres'!L34</f>
        <v>120</v>
      </c>
      <c r="E32" s="12">
        <f>'Movimentacao de Conteineres'!M34</f>
        <v>119</v>
      </c>
      <c r="F32" s="12">
        <f>'Movimentacao de Conteineres'!N34</f>
        <v>47</v>
      </c>
      <c r="G32" s="11">
        <f>'Movimentacao de Conteineres'!O34</f>
        <v>0</v>
      </c>
      <c r="H32" s="12">
        <f>'Movimentacao de Conteineres'!P34</f>
        <v>0</v>
      </c>
      <c r="I32" s="13">
        <f t="shared" si="0"/>
        <v>347</v>
      </c>
    </row>
    <row r="33" spans="2:17">
      <c r="B33" s="10" t="s">
        <v>9</v>
      </c>
      <c r="C33" s="12">
        <f>'Movimentacao de Conteineres'!K35</f>
        <v>229</v>
      </c>
      <c r="D33" s="12">
        <f>'Movimentacao de Conteineres'!L35</f>
        <v>221</v>
      </c>
      <c r="E33" s="12">
        <f>'Movimentacao de Conteineres'!M35</f>
        <v>272</v>
      </c>
      <c r="F33" s="12">
        <f>'Movimentacao de Conteineres'!N35</f>
        <v>102</v>
      </c>
      <c r="G33" s="12">
        <f>'Movimentacao de Conteineres'!O35</f>
        <v>0</v>
      </c>
      <c r="H33" s="11">
        <f>'Movimentacao de Conteineres'!P35</f>
        <v>0</v>
      </c>
      <c r="I33" s="13">
        <f t="shared" si="0"/>
        <v>824</v>
      </c>
    </row>
    <row r="34" spans="2:17">
      <c r="B34" s="16" t="s">
        <v>48</v>
      </c>
      <c r="C34" s="13">
        <f t="shared" ref="C34:I34" si="1">SUM(C28:C33)</f>
        <v>967</v>
      </c>
      <c r="D34" s="13">
        <f t="shared" si="1"/>
        <v>525</v>
      </c>
      <c r="E34" s="13">
        <f t="shared" si="1"/>
        <v>548</v>
      </c>
      <c r="F34" s="13">
        <f t="shared" si="1"/>
        <v>149</v>
      </c>
      <c r="G34" s="13">
        <f t="shared" si="1"/>
        <v>276</v>
      </c>
      <c r="H34" s="13">
        <f t="shared" si="1"/>
        <v>842</v>
      </c>
      <c r="I34" s="13">
        <f t="shared" si="1"/>
        <v>3307</v>
      </c>
    </row>
    <row r="37" spans="2:17">
      <c r="B37" s="98" t="s">
        <v>302</v>
      </c>
      <c r="C37" s="179" t="s">
        <v>9</v>
      </c>
    </row>
    <row r="38" spans="2:17">
      <c r="B38" s="98" t="s">
        <v>307</v>
      </c>
      <c r="C38" s="98"/>
      <c r="D38" s="98" t="s">
        <v>513</v>
      </c>
      <c r="E38" s="98" t="s">
        <v>235</v>
      </c>
      <c r="F38" s="178" t="s">
        <v>309</v>
      </c>
    </row>
    <row r="39" spans="2:17" ht="18">
      <c r="B39" s="199" t="s">
        <v>356</v>
      </c>
      <c r="C39" s="12"/>
      <c r="D39" s="12">
        <f>D7*$C$19</f>
        <v>9648.8251442397177</v>
      </c>
      <c r="E39" s="12">
        <f>$C$22</f>
        <v>1</v>
      </c>
      <c r="F39" s="12">
        <f>(C39+D39)*E39</f>
        <v>9648.8251442397177</v>
      </c>
    </row>
    <row r="40" spans="2:17" ht="18">
      <c r="B40" s="199" t="s">
        <v>354</v>
      </c>
      <c r="C40" s="39"/>
      <c r="D40" s="39">
        <f>D7*$D$19</f>
        <v>0</v>
      </c>
      <c r="E40" s="18">
        <f>$C$23</f>
        <v>28</v>
      </c>
      <c r="F40" s="12">
        <f t="shared" ref="F40:F41" si="2">(C40+D40)*E40</f>
        <v>0</v>
      </c>
    </row>
    <row r="41" spans="2:17" ht="18">
      <c r="B41" s="199" t="s">
        <v>355</v>
      </c>
      <c r="C41" s="194"/>
      <c r="D41" s="194">
        <f>D7*$E$19</f>
        <v>0</v>
      </c>
      <c r="E41" s="18">
        <f>$C$24</f>
        <v>265</v>
      </c>
      <c r="F41" s="12">
        <f t="shared" si="2"/>
        <v>0</v>
      </c>
    </row>
    <row r="42" spans="2:17" ht="15.6" customHeight="1">
      <c r="B42" s="278" t="s">
        <v>10</v>
      </c>
      <c r="C42" s="278"/>
      <c r="D42" s="278"/>
      <c r="E42" s="278"/>
      <c r="F42" s="200">
        <f>SUM(F39:F41)</f>
        <v>9648.8251442397177</v>
      </c>
    </row>
    <row r="43" spans="2:17" ht="15.6" customHeight="1"/>
    <row r="44" spans="2:17">
      <c r="B44" s="98" t="s">
        <v>302</v>
      </c>
      <c r="C44" s="179" t="str">
        <f>C37</f>
        <v>BRSSZ</v>
      </c>
      <c r="K44" s="98" t="s">
        <v>302</v>
      </c>
      <c r="L44" s="179" t="str">
        <f>C44</f>
        <v>BRSSZ</v>
      </c>
    </row>
    <row r="45" spans="2:17" ht="15.6" customHeight="1">
      <c r="B45" s="5" t="s">
        <v>365</v>
      </c>
      <c r="C45" s="4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H45" s="4" t="s">
        <v>9</v>
      </c>
      <c r="I45" s="5" t="s">
        <v>47</v>
      </c>
      <c r="K45" s="5" t="s">
        <v>308</v>
      </c>
      <c r="L45" s="4" t="s">
        <v>4</v>
      </c>
      <c r="M45" s="4" t="s">
        <v>5</v>
      </c>
      <c r="N45" s="4" t="s">
        <v>6</v>
      </c>
      <c r="O45" s="4" t="s">
        <v>7</v>
      </c>
      <c r="P45" s="4" t="s">
        <v>8</v>
      </c>
      <c r="Q45" s="4" t="s">
        <v>9</v>
      </c>
    </row>
    <row r="46" spans="2:17">
      <c r="B46" s="10" t="s">
        <v>4</v>
      </c>
      <c r="C46" s="11"/>
      <c r="D46" s="12"/>
      <c r="E46" s="12"/>
      <c r="F46" s="12"/>
      <c r="G46" s="12">
        <f t="shared" ref="G46:H50" si="3">G28</f>
        <v>226</v>
      </c>
      <c r="H46" s="12">
        <f t="shared" si="3"/>
        <v>648</v>
      </c>
      <c r="I46" s="13">
        <f t="shared" ref="I46:I51" si="4">SUM(C46:H46)</f>
        <v>874</v>
      </c>
      <c r="K46" s="10" t="s">
        <v>4</v>
      </c>
      <c r="L46" s="171">
        <f>IF(C46=0,0,$F$42/$I$52)</f>
        <v>0</v>
      </c>
      <c r="M46" s="60">
        <f t="shared" ref="M46:Q51" si="5">IF(D46=0,0,$F$42/$I$52)</f>
        <v>0</v>
      </c>
      <c r="N46" s="60">
        <f t="shared" si="5"/>
        <v>0</v>
      </c>
      <c r="O46" s="60">
        <f t="shared" si="5"/>
        <v>0</v>
      </c>
      <c r="P46" s="60">
        <f t="shared" si="5"/>
        <v>4.9684990444076815</v>
      </c>
      <c r="Q46" s="60">
        <f t="shared" si="5"/>
        <v>4.9684990444076815</v>
      </c>
    </row>
    <row r="47" spans="2:17">
      <c r="B47" s="10" t="s">
        <v>5</v>
      </c>
      <c r="C47" s="12"/>
      <c r="D47" s="11"/>
      <c r="E47" s="12"/>
      <c r="F47" s="12"/>
      <c r="G47" s="12">
        <f t="shared" si="3"/>
        <v>20</v>
      </c>
      <c r="H47" s="12">
        <f t="shared" si="3"/>
        <v>136</v>
      </c>
      <c r="I47" s="13">
        <f t="shared" si="4"/>
        <v>156</v>
      </c>
      <c r="K47" s="10" t="s">
        <v>5</v>
      </c>
      <c r="L47" s="60">
        <f t="shared" ref="L47:L50" si="6">IF(C47=0,0,$F$42/$I$52)</f>
        <v>0</v>
      </c>
      <c r="M47" s="171">
        <f t="shared" si="5"/>
        <v>0</v>
      </c>
      <c r="N47" s="60">
        <f t="shared" si="5"/>
        <v>0</v>
      </c>
      <c r="O47" s="60">
        <f t="shared" si="5"/>
        <v>0</v>
      </c>
      <c r="P47" s="60">
        <f t="shared" si="5"/>
        <v>4.9684990444076815</v>
      </c>
      <c r="Q47" s="60">
        <f t="shared" si="5"/>
        <v>4.9684990444076815</v>
      </c>
    </row>
    <row r="48" spans="2:17">
      <c r="B48" s="10" t="s">
        <v>6</v>
      </c>
      <c r="C48" s="12"/>
      <c r="D48" s="12"/>
      <c r="E48" s="11"/>
      <c r="F48" s="12"/>
      <c r="G48" s="12">
        <f t="shared" si="3"/>
        <v>30</v>
      </c>
      <c r="H48" s="12">
        <f t="shared" si="3"/>
        <v>58</v>
      </c>
      <c r="I48" s="13">
        <f t="shared" si="4"/>
        <v>88</v>
      </c>
      <c r="K48" s="10" t="s">
        <v>6</v>
      </c>
      <c r="L48" s="60">
        <f t="shared" si="6"/>
        <v>0</v>
      </c>
      <c r="M48" s="60">
        <f t="shared" si="5"/>
        <v>0</v>
      </c>
      <c r="N48" s="171">
        <f t="shared" si="5"/>
        <v>0</v>
      </c>
      <c r="O48" s="60">
        <f t="shared" si="5"/>
        <v>0</v>
      </c>
      <c r="P48" s="60">
        <f t="shared" si="5"/>
        <v>4.9684990444076815</v>
      </c>
      <c r="Q48" s="60">
        <f t="shared" si="5"/>
        <v>4.9684990444076815</v>
      </c>
    </row>
    <row r="49" spans="2:17">
      <c r="B49" s="10" t="s">
        <v>7</v>
      </c>
      <c r="C49" s="12"/>
      <c r="D49" s="12"/>
      <c r="E49" s="12"/>
      <c r="F49" s="11"/>
      <c r="G49" s="12">
        <f t="shared" si="3"/>
        <v>0</v>
      </c>
      <c r="H49" s="12">
        <f t="shared" si="3"/>
        <v>0</v>
      </c>
      <c r="I49" s="13">
        <f t="shared" si="4"/>
        <v>0</v>
      </c>
      <c r="K49" s="10" t="s">
        <v>7</v>
      </c>
      <c r="L49" s="60">
        <f t="shared" si="6"/>
        <v>0</v>
      </c>
      <c r="M49" s="60">
        <f t="shared" si="5"/>
        <v>0</v>
      </c>
      <c r="N49" s="60">
        <f t="shared" si="5"/>
        <v>0</v>
      </c>
      <c r="O49" s="171">
        <f t="shared" si="5"/>
        <v>0</v>
      </c>
      <c r="P49" s="60">
        <f t="shared" si="5"/>
        <v>0</v>
      </c>
      <c r="Q49" s="60">
        <f t="shared" si="5"/>
        <v>0</v>
      </c>
    </row>
    <row r="50" spans="2:17">
      <c r="B50" s="10" t="s">
        <v>8</v>
      </c>
      <c r="C50" s="12"/>
      <c r="D50" s="12"/>
      <c r="E50" s="12"/>
      <c r="F50" s="12"/>
      <c r="G50" s="11">
        <f t="shared" si="3"/>
        <v>0</v>
      </c>
      <c r="H50" s="12">
        <f t="shared" si="3"/>
        <v>0</v>
      </c>
      <c r="I50" s="13">
        <f t="shared" si="4"/>
        <v>0</v>
      </c>
      <c r="K50" s="10" t="s">
        <v>8</v>
      </c>
      <c r="L50" s="60">
        <f t="shared" si="6"/>
        <v>0</v>
      </c>
      <c r="M50" s="60">
        <f t="shared" si="5"/>
        <v>0</v>
      </c>
      <c r="N50" s="60">
        <f t="shared" si="5"/>
        <v>0</v>
      </c>
      <c r="O50" s="60">
        <f t="shared" si="5"/>
        <v>0</v>
      </c>
      <c r="P50" s="171">
        <f t="shared" si="5"/>
        <v>0</v>
      </c>
      <c r="Q50" s="60">
        <f t="shared" si="5"/>
        <v>0</v>
      </c>
    </row>
    <row r="51" spans="2:17">
      <c r="B51" s="10" t="s">
        <v>9</v>
      </c>
      <c r="C51" s="12">
        <f t="shared" ref="C51:H51" si="7">C33</f>
        <v>229</v>
      </c>
      <c r="D51" s="12">
        <f t="shared" si="7"/>
        <v>221</v>
      </c>
      <c r="E51" s="12">
        <f t="shared" si="7"/>
        <v>272</v>
      </c>
      <c r="F51" s="12">
        <f t="shared" si="7"/>
        <v>102</v>
      </c>
      <c r="G51" s="12">
        <f t="shared" si="7"/>
        <v>0</v>
      </c>
      <c r="H51" s="11">
        <f t="shared" si="7"/>
        <v>0</v>
      </c>
      <c r="I51" s="13">
        <f t="shared" si="4"/>
        <v>824</v>
      </c>
      <c r="K51" s="10" t="s">
        <v>9</v>
      </c>
      <c r="L51" s="60">
        <f>IF(C51=0,0,$F$42/$I$52)</f>
        <v>4.9684990444076815</v>
      </c>
      <c r="M51" s="60">
        <f t="shared" si="5"/>
        <v>4.9684990444076815</v>
      </c>
      <c r="N51" s="60">
        <f t="shared" si="5"/>
        <v>4.9684990444076815</v>
      </c>
      <c r="O51" s="60">
        <f t="shared" si="5"/>
        <v>4.9684990444076815</v>
      </c>
      <c r="P51" s="60">
        <f t="shared" si="5"/>
        <v>0</v>
      </c>
      <c r="Q51" s="171">
        <f t="shared" si="5"/>
        <v>0</v>
      </c>
    </row>
    <row r="52" spans="2:17">
      <c r="B52" s="16" t="s">
        <v>48</v>
      </c>
      <c r="C52" s="13">
        <f t="shared" ref="C52:I52" si="8">SUM(C46:C51)</f>
        <v>229</v>
      </c>
      <c r="D52" s="13">
        <f t="shared" si="8"/>
        <v>221</v>
      </c>
      <c r="E52" s="13">
        <f t="shared" si="8"/>
        <v>272</v>
      </c>
      <c r="F52" s="13">
        <f t="shared" si="8"/>
        <v>102</v>
      </c>
      <c r="G52" s="13">
        <f t="shared" si="8"/>
        <v>276</v>
      </c>
      <c r="H52" s="13">
        <f t="shared" si="8"/>
        <v>842</v>
      </c>
      <c r="I52" s="13">
        <f t="shared" si="8"/>
        <v>1942</v>
      </c>
    </row>
    <row r="56" spans="2:17">
      <c r="B56" s="98" t="s">
        <v>302</v>
      </c>
      <c r="C56" s="179" t="s">
        <v>8</v>
      </c>
    </row>
    <row r="57" spans="2:17">
      <c r="B57" s="98" t="s">
        <v>307</v>
      </c>
      <c r="C57" s="98"/>
      <c r="D57" s="98" t="s">
        <v>513</v>
      </c>
      <c r="E57" s="98" t="s">
        <v>235</v>
      </c>
      <c r="F57" s="178" t="s">
        <v>309</v>
      </c>
    </row>
    <row r="58" spans="2:17" ht="18">
      <c r="B58" s="199" t="s">
        <v>356</v>
      </c>
      <c r="C58" s="12"/>
      <c r="D58" s="12">
        <f>D8*$C$19</f>
        <v>5687.6709938581798</v>
      </c>
      <c r="E58" s="12">
        <f>$C$22</f>
        <v>1</v>
      </c>
      <c r="F58" s="12">
        <f>(C58+D58)*E58</f>
        <v>5687.6709938581798</v>
      </c>
    </row>
    <row r="59" spans="2:17" ht="18">
      <c r="B59" s="199" t="s">
        <v>354</v>
      </c>
      <c r="C59" s="39"/>
      <c r="D59" s="39">
        <f>D8*$D$19</f>
        <v>0</v>
      </c>
      <c r="E59" s="18">
        <f>$C$23</f>
        <v>28</v>
      </c>
      <c r="F59" s="12">
        <f t="shared" ref="F59:F60" si="9">(C59+D59)*E59</f>
        <v>0</v>
      </c>
    </row>
    <row r="60" spans="2:17" ht="18">
      <c r="B60" s="199" t="s">
        <v>355</v>
      </c>
      <c r="C60" s="194"/>
      <c r="D60" s="194">
        <f>D8*$E$19</f>
        <v>0</v>
      </c>
      <c r="E60" s="18">
        <f>$C$24</f>
        <v>265</v>
      </c>
      <c r="F60" s="12">
        <f t="shared" si="9"/>
        <v>0</v>
      </c>
    </row>
    <row r="61" spans="2:17" ht="15.6" customHeight="1">
      <c r="B61" s="278" t="s">
        <v>10</v>
      </c>
      <c r="C61" s="278"/>
      <c r="D61" s="278"/>
      <c r="E61" s="278"/>
      <c r="F61" s="200">
        <f>SUM(F58:F60)</f>
        <v>5687.6709938581798</v>
      </c>
    </row>
    <row r="62" spans="2:17" ht="15.6" customHeight="1"/>
    <row r="63" spans="2:17">
      <c r="B63" s="98" t="s">
        <v>302</v>
      </c>
      <c r="C63" s="179" t="str">
        <f>C56</f>
        <v>BRIGI</v>
      </c>
      <c r="K63" s="98" t="s">
        <v>302</v>
      </c>
      <c r="L63" s="179" t="str">
        <f>C63</f>
        <v>BRIGI</v>
      </c>
    </row>
    <row r="64" spans="2:17" ht="15.6" customHeight="1">
      <c r="B64" s="5" t="s">
        <v>365</v>
      </c>
      <c r="C64" s="4" t="s">
        <v>4</v>
      </c>
      <c r="D64" s="4" t="s">
        <v>5</v>
      </c>
      <c r="E64" s="4" t="s">
        <v>6</v>
      </c>
      <c r="F64" s="4" t="s">
        <v>7</v>
      </c>
      <c r="G64" s="4" t="s">
        <v>8</v>
      </c>
      <c r="H64" s="4" t="s">
        <v>9</v>
      </c>
      <c r="I64" s="5" t="s">
        <v>47</v>
      </c>
      <c r="K64" s="5" t="s">
        <v>308</v>
      </c>
      <c r="L64" s="4" t="s">
        <v>4</v>
      </c>
      <c r="M64" s="4" t="s">
        <v>5</v>
      </c>
      <c r="N64" s="4" t="s">
        <v>6</v>
      </c>
      <c r="O64" s="4" t="s">
        <v>7</v>
      </c>
      <c r="P64" s="4" t="s">
        <v>8</v>
      </c>
      <c r="Q64" s="4" t="s">
        <v>9</v>
      </c>
    </row>
    <row r="65" spans="2:17">
      <c r="B65" s="10" t="s">
        <v>4</v>
      </c>
      <c r="C65" s="11"/>
      <c r="D65" s="12"/>
      <c r="E65" s="12"/>
      <c r="F65" s="12"/>
      <c r="G65" s="12">
        <f t="shared" ref="G65:G68" si="10">G28</f>
        <v>226</v>
      </c>
      <c r="H65" s="12"/>
      <c r="I65" s="13">
        <f t="shared" ref="I65:I70" si="11">SUM(C65:H65)</f>
        <v>226</v>
      </c>
      <c r="K65" s="10" t="s">
        <v>4</v>
      </c>
      <c r="L65" s="171">
        <f>IF(C65=0,0,$F$61/$I$71)</f>
        <v>0</v>
      </c>
      <c r="M65" s="60">
        <f t="shared" ref="M65:Q70" si="12">IF(D65=0,0,$F$61/$I$71)</f>
        <v>0</v>
      </c>
      <c r="N65" s="60">
        <f t="shared" si="12"/>
        <v>0</v>
      </c>
      <c r="O65" s="60">
        <f t="shared" si="12"/>
        <v>0</v>
      </c>
      <c r="P65" s="60">
        <f t="shared" si="12"/>
        <v>3.9306641284438006</v>
      </c>
      <c r="Q65" s="60">
        <f t="shared" si="12"/>
        <v>0</v>
      </c>
    </row>
    <row r="66" spans="2:17">
      <c r="B66" s="10" t="s">
        <v>5</v>
      </c>
      <c r="C66" s="12"/>
      <c r="D66" s="11"/>
      <c r="E66" s="12"/>
      <c r="F66" s="12"/>
      <c r="G66" s="12">
        <f t="shared" si="10"/>
        <v>20</v>
      </c>
      <c r="H66" s="12"/>
      <c r="I66" s="13">
        <f t="shared" si="11"/>
        <v>20</v>
      </c>
      <c r="K66" s="10" t="s">
        <v>5</v>
      </c>
      <c r="L66" s="60">
        <f t="shared" ref="L66:L70" si="13">IF(C66=0,0,$F$61/$I$71)</f>
        <v>0</v>
      </c>
      <c r="M66" s="171">
        <f t="shared" si="12"/>
        <v>0</v>
      </c>
      <c r="N66" s="60">
        <f t="shared" si="12"/>
        <v>0</v>
      </c>
      <c r="O66" s="60">
        <f t="shared" si="12"/>
        <v>0</v>
      </c>
      <c r="P66" s="60">
        <f t="shared" si="12"/>
        <v>3.9306641284438006</v>
      </c>
      <c r="Q66" s="60">
        <f t="shared" si="12"/>
        <v>0</v>
      </c>
    </row>
    <row r="67" spans="2:17">
      <c r="B67" s="10" t="s">
        <v>6</v>
      </c>
      <c r="C67" s="12"/>
      <c r="D67" s="12"/>
      <c r="E67" s="11"/>
      <c r="F67" s="12"/>
      <c r="G67" s="12">
        <f t="shared" si="10"/>
        <v>30</v>
      </c>
      <c r="H67" s="12"/>
      <c r="I67" s="13">
        <f t="shared" si="11"/>
        <v>30</v>
      </c>
      <c r="K67" s="10" t="s">
        <v>6</v>
      </c>
      <c r="L67" s="60">
        <f t="shared" si="13"/>
        <v>0</v>
      </c>
      <c r="M67" s="60">
        <f t="shared" si="12"/>
        <v>0</v>
      </c>
      <c r="N67" s="171">
        <f t="shared" si="12"/>
        <v>0</v>
      </c>
      <c r="O67" s="60">
        <f t="shared" si="12"/>
        <v>0</v>
      </c>
      <c r="P67" s="60">
        <f t="shared" si="12"/>
        <v>3.9306641284438006</v>
      </c>
      <c r="Q67" s="60">
        <f t="shared" si="12"/>
        <v>0</v>
      </c>
    </row>
    <row r="68" spans="2:17">
      <c r="B68" s="10" t="s">
        <v>7</v>
      </c>
      <c r="C68" s="12"/>
      <c r="D68" s="12"/>
      <c r="E68" s="12"/>
      <c r="F68" s="11"/>
      <c r="G68" s="12">
        <f t="shared" si="10"/>
        <v>0</v>
      </c>
      <c r="H68" s="12"/>
      <c r="I68" s="13">
        <f t="shared" si="11"/>
        <v>0</v>
      </c>
      <c r="K68" s="10" t="s">
        <v>7</v>
      </c>
      <c r="L68" s="60">
        <f t="shared" si="13"/>
        <v>0</v>
      </c>
      <c r="M68" s="60">
        <f t="shared" si="12"/>
        <v>0</v>
      </c>
      <c r="N68" s="60">
        <f t="shared" si="12"/>
        <v>0</v>
      </c>
      <c r="O68" s="171">
        <f t="shared" si="12"/>
        <v>0</v>
      </c>
      <c r="P68" s="60">
        <f t="shared" si="12"/>
        <v>0</v>
      </c>
      <c r="Q68" s="60">
        <f t="shared" si="12"/>
        <v>0</v>
      </c>
    </row>
    <row r="69" spans="2:17">
      <c r="B69" s="10" t="s">
        <v>8</v>
      </c>
      <c r="C69" s="12">
        <f t="shared" ref="C69:G70" si="14">C32</f>
        <v>61</v>
      </c>
      <c r="D69" s="12">
        <f t="shared" si="14"/>
        <v>120</v>
      </c>
      <c r="E69" s="12">
        <f t="shared" si="14"/>
        <v>119</v>
      </c>
      <c r="F69" s="12">
        <f t="shared" si="14"/>
        <v>47</v>
      </c>
      <c r="G69" s="11">
        <f t="shared" si="14"/>
        <v>0</v>
      </c>
      <c r="H69" s="12"/>
      <c r="I69" s="13">
        <f t="shared" si="11"/>
        <v>347</v>
      </c>
      <c r="K69" s="10" t="s">
        <v>8</v>
      </c>
      <c r="L69" s="60">
        <f t="shared" si="13"/>
        <v>3.9306641284438006</v>
      </c>
      <c r="M69" s="60">
        <f t="shared" si="12"/>
        <v>3.9306641284438006</v>
      </c>
      <c r="N69" s="60">
        <f t="shared" si="12"/>
        <v>3.9306641284438006</v>
      </c>
      <c r="O69" s="60">
        <f t="shared" si="12"/>
        <v>3.9306641284438006</v>
      </c>
      <c r="P69" s="171">
        <f t="shared" si="12"/>
        <v>0</v>
      </c>
      <c r="Q69" s="60">
        <f t="shared" si="12"/>
        <v>0</v>
      </c>
    </row>
    <row r="70" spans="2:17">
      <c r="B70" s="10" t="s">
        <v>9</v>
      </c>
      <c r="C70" s="12">
        <f t="shared" si="14"/>
        <v>229</v>
      </c>
      <c r="D70" s="12">
        <f t="shared" si="14"/>
        <v>221</v>
      </c>
      <c r="E70" s="12">
        <f t="shared" si="14"/>
        <v>272</v>
      </c>
      <c r="F70" s="12">
        <f t="shared" si="14"/>
        <v>102</v>
      </c>
      <c r="G70" s="12">
        <f t="shared" si="14"/>
        <v>0</v>
      </c>
      <c r="H70" s="11"/>
      <c r="I70" s="13">
        <f t="shared" si="11"/>
        <v>824</v>
      </c>
      <c r="K70" s="10" t="s">
        <v>9</v>
      </c>
      <c r="L70" s="60">
        <f t="shared" si="13"/>
        <v>3.9306641284438006</v>
      </c>
      <c r="M70" s="60">
        <f t="shared" si="12"/>
        <v>3.9306641284438006</v>
      </c>
      <c r="N70" s="60">
        <f t="shared" si="12"/>
        <v>3.9306641284438006</v>
      </c>
      <c r="O70" s="60">
        <f t="shared" si="12"/>
        <v>3.9306641284438006</v>
      </c>
      <c r="P70" s="60">
        <f t="shared" si="12"/>
        <v>0</v>
      </c>
      <c r="Q70" s="171">
        <f t="shared" si="12"/>
        <v>0</v>
      </c>
    </row>
    <row r="71" spans="2:17">
      <c r="B71" s="16" t="s">
        <v>48</v>
      </c>
      <c r="C71" s="13">
        <f t="shared" ref="C71:I71" si="15">SUM(C65:C70)</f>
        <v>290</v>
      </c>
      <c r="D71" s="13">
        <f t="shared" si="15"/>
        <v>341</v>
      </c>
      <c r="E71" s="13">
        <f t="shared" si="15"/>
        <v>391</v>
      </c>
      <c r="F71" s="13">
        <f t="shared" si="15"/>
        <v>149</v>
      </c>
      <c r="G71" s="13">
        <f t="shared" si="15"/>
        <v>276</v>
      </c>
      <c r="H71" s="13">
        <f t="shared" si="15"/>
        <v>0</v>
      </c>
      <c r="I71" s="13">
        <f t="shared" si="15"/>
        <v>1447</v>
      </c>
    </row>
    <row r="75" spans="2:17">
      <c r="B75" s="98" t="s">
        <v>302</v>
      </c>
      <c r="C75" s="179" t="s">
        <v>7</v>
      </c>
    </row>
    <row r="76" spans="2:17">
      <c r="B76" s="98" t="s">
        <v>307</v>
      </c>
      <c r="C76" s="98"/>
      <c r="D76" s="98" t="s">
        <v>513</v>
      </c>
      <c r="E76" s="98" t="s">
        <v>235</v>
      </c>
      <c r="F76" s="178" t="s">
        <v>309</v>
      </c>
    </row>
    <row r="77" spans="2:17" ht="18">
      <c r="B77" s="199" t="s">
        <v>356</v>
      </c>
      <c r="C77" s="12"/>
      <c r="D77" s="12">
        <f>D9*$C$19</f>
        <v>2442.2564209938587</v>
      </c>
      <c r="E77" s="12">
        <f>$C$22</f>
        <v>1</v>
      </c>
      <c r="F77" s="12">
        <f>(C77+D77)*E77</f>
        <v>2442.2564209938587</v>
      </c>
    </row>
    <row r="78" spans="2:17" ht="18">
      <c r="B78" s="199" t="s">
        <v>354</v>
      </c>
      <c r="C78" s="39"/>
      <c r="D78" s="39">
        <f>D9*$D$19</f>
        <v>0</v>
      </c>
      <c r="E78" s="18">
        <f>$C$23</f>
        <v>28</v>
      </c>
      <c r="F78" s="12">
        <f t="shared" ref="F78:F79" si="16">(C78+D78)*E78</f>
        <v>0</v>
      </c>
    </row>
    <row r="79" spans="2:17" ht="18">
      <c r="B79" s="199" t="s">
        <v>355</v>
      </c>
      <c r="C79" s="194"/>
      <c r="D79" s="194">
        <f>D9*$E$19</f>
        <v>0</v>
      </c>
      <c r="E79" s="18">
        <f>$C$24</f>
        <v>265</v>
      </c>
      <c r="F79" s="12">
        <f t="shared" si="16"/>
        <v>0</v>
      </c>
    </row>
    <row r="80" spans="2:17" ht="15.6" customHeight="1">
      <c r="B80" s="278" t="s">
        <v>10</v>
      </c>
      <c r="C80" s="278"/>
      <c r="D80" s="278"/>
      <c r="E80" s="278"/>
      <c r="F80" s="200">
        <f>SUM(F77:F79)</f>
        <v>2442.2564209938587</v>
      </c>
    </row>
    <row r="81" spans="2:17" ht="15.6" customHeight="1"/>
    <row r="82" spans="2:17">
      <c r="B82" s="98" t="s">
        <v>302</v>
      </c>
      <c r="C82" s="179" t="str">
        <f>C75</f>
        <v>BRSSA</v>
      </c>
      <c r="K82" s="98" t="s">
        <v>302</v>
      </c>
      <c r="L82" s="179" t="str">
        <f>C82</f>
        <v>BRSSA</v>
      </c>
    </row>
    <row r="83" spans="2:17" ht="15.6" customHeight="1">
      <c r="B83" s="5" t="s">
        <v>365</v>
      </c>
      <c r="C83" s="4" t="s">
        <v>4</v>
      </c>
      <c r="D83" s="4" t="s">
        <v>5</v>
      </c>
      <c r="E83" s="4" t="s">
        <v>6</v>
      </c>
      <c r="F83" s="4" t="s">
        <v>7</v>
      </c>
      <c r="G83" s="4" t="s">
        <v>8</v>
      </c>
      <c r="H83" s="4" t="s">
        <v>9</v>
      </c>
      <c r="I83" s="5" t="s">
        <v>47</v>
      </c>
      <c r="K83" s="5" t="s">
        <v>308</v>
      </c>
      <c r="L83" s="4" t="s">
        <v>4</v>
      </c>
      <c r="M83" s="4" t="s">
        <v>5</v>
      </c>
      <c r="N83" s="4" t="s">
        <v>6</v>
      </c>
      <c r="O83" s="4" t="s">
        <v>7</v>
      </c>
      <c r="P83" s="4" t="s">
        <v>8</v>
      </c>
      <c r="Q83" s="4" t="s">
        <v>9</v>
      </c>
    </row>
    <row r="84" spans="2:17">
      <c r="B84" s="10" t="s">
        <v>4</v>
      </c>
      <c r="C84" s="11"/>
      <c r="D84" s="12"/>
      <c r="E84" s="12"/>
      <c r="F84" s="12"/>
      <c r="G84" s="12"/>
      <c r="H84" s="12"/>
      <c r="I84" s="13">
        <f t="shared" ref="I84:I89" si="17">SUM(C84:H84)</f>
        <v>0</v>
      </c>
      <c r="K84" s="10" t="s">
        <v>4</v>
      </c>
      <c r="L84" s="171">
        <f t="shared" ref="L84:Q89" si="18">IF(C84=0,0,$F$80/$I$90)</f>
        <v>0</v>
      </c>
      <c r="M84" s="60">
        <f t="shared" si="18"/>
        <v>0</v>
      </c>
      <c r="N84" s="60">
        <f t="shared" si="18"/>
        <v>0</v>
      </c>
      <c r="O84" s="60">
        <f t="shared" si="18"/>
        <v>0</v>
      </c>
      <c r="P84" s="60">
        <f t="shared" si="18"/>
        <v>0</v>
      </c>
      <c r="Q84" s="60">
        <f t="shared" si="18"/>
        <v>0</v>
      </c>
    </row>
    <row r="85" spans="2:17">
      <c r="B85" s="10" t="s">
        <v>5</v>
      </c>
      <c r="C85" s="12"/>
      <c r="D85" s="11"/>
      <c r="E85" s="12"/>
      <c r="F85" s="12"/>
      <c r="G85" s="12"/>
      <c r="H85" s="12"/>
      <c r="I85" s="13">
        <f t="shared" si="17"/>
        <v>0</v>
      </c>
      <c r="K85" s="10" t="s">
        <v>5</v>
      </c>
      <c r="L85" s="60">
        <f t="shared" si="18"/>
        <v>0</v>
      </c>
      <c r="M85" s="171">
        <f t="shared" si="18"/>
        <v>0</v>
      </c>
      <c r="N85" s="60">
        <f t="shared" si="18"/>
        <v>0</v>
      </c>
      <c r="O85" s="60">
        <f t="shared" si="18"/>
        <v>0</v>
      </c>
      <c r="P85" s="60">
        <f t="shared" si="18"/>
        <v>0</v>
      </c>
      <c r="Q85" s="60">
        <f t="shared" si="18"/>
        <v>0</v>
      </c>
    </row>
    <row r="86" spans="2:17">
      <c r="B86" s="10" t="s">
        <v>6</v>
      </c>
      <c r="C86" s="12"/>
      <c r="D86" s="12"/>
      <c r="E86" s="11"/>
      <c r="F86" s="12"/>
      <c r="G86" s="12"/>
      <c r="H86" s="12"/>
      <c r="I86" s="13">
        <f t="shared" si="17"/>
        <v>0</v>
      </c>
      <c r="K86" s="10" t="s">
        <v>6</v>
      </c>
      <c r="L86" s="60">
        <f t="shared" si="18"/>
        <v>0</v>
      </c>
      <c r="M86" s="60">
        <f t="shared" si="18"/>
        <v>0</v>
      </c>
      <c r="N86" s="171">
        <f t="shared" si="18"/>
        <v>0</v>
      </c>
      <c r="O86" s="60">
        <f t="shared" si="18"/>
        <v>0</v>
      </c>
      <c r="P86" s="60">
        <f t="shared" si="18"/>
        <v>0</v>
      </c>
      <c r="Q86" s="60">
        <f t="shared" si="18"/>
        <v>0</v>
      </c>
    </row>
    <row r="87" spans="2:17">
      <c r="B87" s="10" t="s">
        <v>7</v>
      </c>
      <c r="C87" s="12">
        <f t="shared" ref="C87:F89" si="19">C31</f>
        <v>86</v>
      </c>
      <c r="D87" s="12">
        <f t="shared" si="19"/>
        <v>9</v>
      </c>
      <c r="E87" s="12">
        <f t="shared" si="19"/>
        <v>1</v>
      </c>
      <c r="F87" s="11">
        <f t="shared" si="19"/>
        <v>0</v>
      </c>
      <c r="G87" s="12"/>
      <c r="H87" s="12"/>
      <c r="I87" s="13">
        <f t="shared" si="17"/>
        <v>96</v>
      </c>
      <c r="K87" s="10" t="s">
        <v>7</v>
      </c>
      <c r="L87" s="60">
        <f>IF(C87=0,0,$F$80/$I$90)</f>
        <v>1.9275899139651607</v>
      </c>
      <c r="M87" s="60">
        <f t="shared" si="18"/>
        <v>1.9275899139651607</v>
      </c>
      <c r="N87" s="60">
        <f t="shared" si="18"/>
        <v>1.9275899139651607</v>
      </c>
      <c r="O87" s="171">
        <f t="shared" si="18"/>
        <v>0</v>
      </c>
      <c r="P87" s="60">
        <f t="shared" si="18"/>
        <v>0</v>
      </c>
      <c r="Q87" s="60">
        <f t="shared" si="18"/>
        <v>0</v>
      </c>
    </row>
    <row r="88" spans="2:17">
      <c r="B88" s="10" t="s">
        <v>8</v>
      </c>
      <c r="C88" s="12">
        <f t="shared" si="19"/>
        <v>61</v>
      </c>
      <c r="D88" s="12">
        <f t="shared" si="19"/>
        <v>120</v>
      </c>
      <c r="E88" s="12">
        <f t="shared" si="19"/>
        <v>119</v>
      </c>
      <c r="F88" s="12">
        <f t="shared" si="19"/>
        <v>47</v>
      </c>
      <c r="G88" s="11"/>
      <c r="H88" s="12"/>
      <c r="I88" s="13">
        <f t="shared" si="17"/>
        <v>347</v>
      </c>
      <c r="K88" s="10" t="s">
        <v>8</v>
      </c>
      <c r="L88" s="60">
        <f t="shared" ref="L88:L89" si="20">IF(C88=0,0,$F$80/$I$90)</f>
        <v>1.9275899139651607</v>
      </c>
      <c r="M88" s="60">
        <f t="shared" si="18"/>
        <v>1.9275899139651607</v>
      </c>
      <c r="N88" s="60">
        <f t="shared" si="18"/>
        <v>1.9275899139651607</v>
      </c>
      <c r="O88" s="60">
        <f t="shared" si="18"/>
        <v>1.9275899139651607</v>
      </c>
      <c r="P88" s="171">
        <f t="shared" si="18"/>
        <v>0</v>
      </c>
      <c r="Q88" s="60">
        <f t="shared" si="18"/>
        <v>0</v>
      </c>
    </row>
    <row r="89" spans="2:17">
      <c r="B89" s="10" t="s">
        <v>9</v>
      </c>
      <c r="C89" s="12">
        <f t="shared" si="19"/>
        <v>229</v>
      </c>
      <c r="D89" s="12">
        <f t="shared" si="19"/>
        <v>221</v>
      </c>
      <c r="E89" s="12">
        <f t="shared" si="19"/>
        <v>272</v>
      </c>
      <c r="F89" s="12">
        <f t="shared" si="19"/>
        <v>102</v>
      </c>
      <c r="G89" s="12"/>
      <c r="H89" s="11"/>
      <c r="I89" s="13">
        <f t="shared" si="17"/>
        <v>824</v>
      </c>
      <c r="K89" s="10" t="s">
        <v>9</v>
      </c>
      <c r="L89" s="60">
        <f t="shared" si="20"/>
        <v>1.9275899139651607</v>
      </c>
      <c r="M89" s="60">
        <f t="shared" si="18"/>
        <v>1.9275899139651607</v>
      </c>
      <c r="N89" s="60">
        <f t="shared" si="18"/>
        <v>1.9275899139651607</v>
      </c>
      <c r="O89" s="60">
        <f t="shared" si="18"/>
        <v>1.9275899139651607</v>
      </c>
      <c r="P89" s="60">
        <f t="shared" si="18"/>
        <v>0</v>
      </c>
      <c r="Q89" s="171">
        <f t="shared" si="18"/>
        <v>0</v>
      </c>
    </row>
    <row r="90" spans="2:17">
      <c r="B90" s="16" t="s">
        <v>48</v>
      </c>
      <c r="C90" s="13">
        <f t="shared" ref="C90:I90" si="21">SUM(C84:C89)</f>
        <v>376</v>
      </c>
      <c r="D90" s="13">
        <f t="shared" si="21"/>
        <v>350</v>
      </c>
      <c r="E90" s="13">
        <f t="shared" si="21"/>
        <v>392</v>
      </c>
      <c r="F90" s="13">
        <f t="shared" si="21"/>
        <v>149</v>
      </c>
      <c r="G90" s="13">
        <f t="shared" si="21"/>
        <v>0</v>
      </c>
      <c r="H90" s="13">
        <f t="shared" si="21"/>
        <v>0</v>
      </c>
      <c r="I90" s="13">
        <f t="shared" si="21"/>
        <v>1267</v>
      </c>
    </row>
    <row r="94" spans="2:17">
      <c r="B94" s="98" t="s">
        <v>302</v>
      </c>
      <c r="C94" s="179" t="s">
        <v>6</v>
      </c>
    </row>
    <row r="95" spans="2:17">
      <c r="B95" s="98" t="s">
        <v>307</v>
      </c>
      <c r="C95" s="98"/>
      <c r="D95" s="98" t="s">
        <v>513</v>
      </c>
      <c r="E95" s="98" t="s">
        <v>235</v>
      </c>
      <c r="F95" s="178" t="s">
        <v>309</v>
      </c>
    </row>
    <row r="96" spans="2:17" ht="18">
      <c r="B96" s="199" t="s">
        <v>356</v>
      </c>
      <c r="C96" s="12"/>
      <c r="D96" s="12">
        <f>D10*$C$19</f>
        <v>11629.402219430485</v>
      </c>
      <c r="E96" s="12">
        <f>$C$22</f>
        <v>1</v>
      </c>
      <c r="F96" s="12">
        <f>(C96+D96)*E96</f>
        <v>11629.402219430485</v>
      </c>
    </row>
    <row r="97" spans="2:17" ht="18">
      <c r="B97" s="199" t="s">
        <v>354</v>
      </c>
      <c r="C97" s="39"/>
      <c r="D97" s="39">
        <f>D10*$D$19</f>
        <v>0</v>
      </c>
      <c r="E97" s="18">
        <f>$C$23</f>
        <v>28</v>
      </c>
      <c r="F97" s="12">
        <f t="shared" ref="F97:F98" si="22">(C97+D97)*E97</f>
        <v>0</v>
      </c>
    </row>
    <row r="98" spans="2:17" ht="18">
      <c r="B98" s="199" t="s">
        <v>355</v>
      </c>
      <c r="C98" s="194"/>
      <c r="D98" s="194">
        <f>D10*$E$19</f>
        <v>0</v>
      </c>
      <c r="E98" s="18">
        <f>$C$24</f>
        <v>265</v>
      </c>
      <c r="F98" s="12">
        <f t="shared" si="22"/>
        <v>0</v>
      </c>
    </row>
    <row r="99" spans="2:17" ht="15.6" customHeight="1">
      <c r="B99" s="278" t="s">
        <v>10</v>
      </c>
      <c r="C99" s="278"/>
      <c r="D99" s="278"/>
      <c r="E99" s="278"/>
      <c r="F99" s="200">
        <f>SUM(F96:F98)</f>
        <v>11629.402219430485</v>
      </c>
    </row>
    <row r="100" spans="2:17" ht="15.6" customHeight="1"/>
    <row r="101" spans="2:17">
      <c r="B101" s="98" t="s">
        <v>302</v>
      </c>
      <c r="C101" s="179" t="str">
        <f>C94</f>
        <v>BRSUA</v>
      </c>
      <c r="K101" s="98" t="s">
        <v>302</v>
      </c>
      <c r="L101" s="179" t="str">
        <f>C101</f>
        <v>BRSUA</v>
      </c>
    </row>
    <row r="102" spans="2:17" ht="15.6" customHeight="1">
      <c r="B102" s="5" t="s">
        <v>365</v>
      </c>
      <c r="C102" s="4" t="s">
        <v>4</v>
      </c>
      <c r="D102" s="4" t="s">
        <v>5</v>
      </c>
      <c r="E102" s="4" t="s">
        <v>6</v>
      </c>
      <c r="F102" s="4" t="s">
        <v>7</v>
      </c>
      <c r="G102" s="4" t="s">
        <v>8</v>
      </c>
      <c r="H102" s="4" t="s">
        <v>9</v>
      </c>
      <c r="I102" s="5" t="s">
        <v>47</v>
      </c>
      <c r="K102" s="5" t="s">
        <v>308</v>
      </c>
      <c r="L102" s="4" t="s">
        <v>4</v>
      </c>
      <c r="M102" s="4" t="s">
        <v>5</v>
      </c>
      <c r="N102" s="4" t="s">
        <v>6</v>
      </c>
      <c r="O102" s="4" t="s">
        <v>7</v>
      </c>
      <c r="P102" s="4" t="s">
        <v>8</v>
      </c>
      <c r="Q102" s="4" t="s">
        <v>9</v>
      </c>
    </row>
    <row r="103" spans="2:17">
      <c r="B103" s="10" t="s">
        <v>4</v>
      </c>
      <c r="C103" s="11"/>
      <c r="D103" s="12"/>
      <c r="E103" s="12"/>
      <c r="F103" s="12"/>
      <c r="G103" s="12"/>
      <c r="H103" s="12"/>
      <c r="I103" s="13">
        <f t="shared" ref="I103:I108" si="23">SUM(C103:H103)</f>
        <v>0</v>
      </c>
      <c r="K103" s="10" t="s">
        <v>4</v>
      </c>
      <c r="L103" s="171">
        <f t="shared" ref="L103:Q108" si="24">IF(C103=0,0,$F$99/$I$109)</f>
        <v>0</v>
      </c>
      <c r="M103" s="60">
        <f t="shared" si="24"/>
        <v>0</v>
      </c>
      <c r="N103" s="60">
        <f t="shared" si="24"/>
        <v>0</v>
      </c>
      <c r="O103" s="60">
        <f t="shared" si="24"/>
        <v>0</v>
      </c>
      <c r="P103" s="60">
        <f t="shared" si="24"/>
        <v>0</v>
      </c>
      <c r="Q103" s="60">
        <f t="shared" si="24"/>
        <v>0</v>
      </c>
    </row>
    <row r="104" spans="2:17">
      <c r="B104" s="10" t="s">
        <v>5</v>
      </c>
      <c r="C104" s="12"/>
      <c r="D104" s="11"/>
      <c r="E104" s="12"/>
      <c r="F104" s="12"/>
      <c r="G104" s="12"/>
      <c r="H104" s="12"/>
      <c r="I104" s="13">
        <f t="shared" si="23"/>
        <v>0</v>
      </c>
      <c r="K104" s="10" t="s">
        <v>5</v>
      </c>
      <c r="L104" s="60">
        <f t="shared" si="24"/>
        <v>0</v>
      </c>
      <c r="M104" s="171">
        <f t="shared" si="24"/>
        <v>0</v>
      </c>
      <c r="N104" s="60">
        <f t="shared" si="24"/>
        <v>0</v>
      </c>
      <c r="O104" s="60">
        <f t="shared" si="24"/>
        <v>0</v>
      </c>
      <c r="P104" s="60">
        <f t="shared" si="24"/>
        <v>0</v>
      </c>
      <c r="Q104" s="60">
        <f t="shared" si="24"/>
        <v>0</v>
      </c>
    </row>
    <row r="105" spans="2:17">
      <c r="B105" s="10" t="s">
        <v>6</v>
      </c>
      <c r="C105" s="12">
        <f t="shared" ref="C105:E108" si="25">C30</f>
        <v>331</v>
      </c>
      <c r="D105" s="12">
        <f t="shared" si="25"/>
        <v>0</v>
      </c>
      <c r="E105" s="11">
        <f t="shared" si="25"/>
        <v>0</v>
      </c>
      <c r="F105" s="12"/>
      <c r="G105" s="12"/>
      <c r="H105" s="12"/>
      <c r="I105" s="13">
        <f t="shared" si="23"/>
        <v>331</v>
      </c>
      <c r="K105" s="10" t="s">
        <v>6</v>
      </c>
      <c r="L105" s="60">
        <f t="shared" si="24"/>
        <v>8.0258124357698311</v>
      </c>
      <c r="M105" s="60">
        <f t="shared" si="24"/>
        <v>0</v>
      </c>
      <c r="N105" s="171">
        <f t="shared" si="24"/>
        <v>0</v>
      </c>
      <c r="O105" s="60">
        <f t="shared" si="24"/>
        <v>0</v>
      </c>
      <c r="P105" s="60">
        <f t="shared" si="24"/>
        <v>0</v>
      </c>
      <c r="Q105" s="60">
        <f t="shared" si="24"/>
        <v>0</v>
      </c>
    </row>
    <row r="106" spans="2:17">
      <c r="B106" s="10" t="s">
        <v>7</v>
      </c>
      <c r="C106" s="12">
        <f t="shared" si="25"/>
        <v>86</v>
      </c>
      <c r="D106" s="12">
        <f t="shared" si="25"/>
        <v>9</v>
      </c>
      <c r="E106" s="12">
        <f t="shared" si="25"/>
        <v>1</v>
      </c>
      <c r="F106" s="11"/>
      <c r="G106" s="12"/>
      <c r="H106" s="12"/>
      <c r="I106" s="13">
        <f t="shared" si="23"/>
        <v>96</v>
      </c>
      <c r="K106" s="10" t="s">
        <v>7</v>
      </c>
      <c r="L106" s="60">
        <f t="shared" si="24"/>
        <v>8.0258124357698311</v>
      </c>
      <c r="M106" s="60">
        <f t="shared" si="24"/>
        <v>8.0258124357698311</v>
      </c>
      <c r="N106" s="60">
        <f t="shared" si="24"/>
        <v>8.0258124357698311</v>
      </c>
      <c r="O106" s="171">
        <f t="shared" si="24"/>
        <v>0</v>
      </c>
      <c r="P106" s="60">
        <f t="shared" si="24"/>
        <v>0</v>
      </c>
      <c r="Q106" s="60">
        <f t="shared" si="24"/>
        <v>0</v>
      </c>
    </row>
    <row r="107" spans="2:17">
      <c r="B107" s="10" t="s">
        <v>8</v>
      </c>
      <c r="C107" s="12">
        <f t="shared" si="25"/>
        <v>61</v>
      </c>
      <c r="D107" s="12">
        <f t="shared" si="25"/>
        <v>120</v>
      </c>
      <c r="E107" s="12">
        <f t="shared" si="25"/>
        <v>119</v>
      </c>
      <c r="F107" s="12"/>
      <c r="G107" s="11"/>
      <c r="H107" s="12"/>
      <c r="I107" s="13">
        <f t="shared" si="23"/>
        <v>300</v>
      </c>
      <c r="K107" s="10" t="s">
        <v>8</v>
      </c>
      <c r="L107" s="60">
        <f t="shared" si="24"/>
        <v>8.0258124357698311</v>
      </c>
      <c r="M107" s="60">
        <f t="shared" si="24"/>
        <v>8.0258124357698311</v>
      </c>
      <c r="N107" s="60">
        <f t="shared" si="24"/>
        <v>8.0258124357698311</v>
      </c>
      <c r="O107" s="60">
        <f t="shared" si="24"/>
        <v>0</v>
      </c>
      <c r="P107" s="171">
        <f t="shared" si="24"/>
        <v>0</v>
      </c>
      <c r="Q107" s="60">
        <f t="shared" si="24"/>
        <v>0</v>
      </c>
    </row>
    <row r="108" spans="2:17">
      <c r="B108" s="10" t="s">
        <v>9</v>
      </c>
      <c r="C108" s="12">
        <f t="shared" si="25"/>
        <v>229</v>
      </c>
      <c r="D108" s="12">
        <f t="shared" si="25"/>
        <v>221</v>
      </c>
      <c r="E108" s="12">
        <f t="shared" si="25"/>
        <v>272</v>
      </c>
      <c r="F108" s="12"/>
      <c r="G108" s="12"/>
      <c r="H108" s="11"/>
      <c r="I108" s="13">
        <f t="shared" si="23"/>
        <v>722</v>
      </c>
      <c r="K108" s="10" t="s">
        <v>9</v>
      </c>
      <c r="L108" s="60">
        <f t="shared" si="24"/>
        <v>8.0258124357698311</v>
      </c>
      <c r="M108" s="60">
        <f t="shared" si="24"/>
        <v>8.0258124357698311</v>
      </c>
      <c r="N108" s="60">
        <f t="shared" si="24"/>
        <v>8.0258124357698311</v>
      </c>
      <c r="O108" s="60">
        <f t="shared" si="24"/>
        <v>0</v>
      </c>
      <c r="P108" s="60">
        <f t="shared" si="24"/>
        <v>0</v>
      </c>
      <c r="Q108" s="171">
        <f t="shared" si="24"/>
        <v>0</v>
      </c>
    </row>
    <row r="109" spans="2:17">
      <c r="B109" s="16" t="s">
        <v>48</v>
      </c>
      <c r="C109" s="13">
        <f t="shared" ref="C109:I109" si="26">SUM(C103:C108)</f>
        <v>707</v>
      </c>
      <c r="D109" s="13">
        <f t="shared" si="26"/>
        <v>350</v>
      </c>
      <c r="E109" s="13">
        <f t="shared" si="26"/>
        <v>392</v>
      </c>
      <c r="F109" s="13">
        <f t="shared" si="26"/>
        <v>0</v>
      </c>
      <c r="G109" s="13">
        <f t="shared" si="26"/>
        <v>0</v>
      </c>
      <c r="H109" s="13">
        <f t="shared" si="26"/>
        <v>0</v>
      </c>
      <c r="I109" s="13">
        <f t="shared" si="26"/>
        <v>1449</v>
      </c>
    </row>
    <row r="113" spans="2:17">
      <c r="B113" s="98" t="s">
        <v>302</v>
      </c>
      <c r="C113" s="179" t="s">
        <v>5</v>
      </c>
    </row>
    <row r="114" spans="2:17">
      <c r="B114" s="98" t="s">
        <v>307</v>
      </c>
      <c r="C114" s="98"/>
      <c r="D114" s="98" t="s">
        <v>513</v>
      </c>
      <c r="E114" s="98" t="s">
        <v>235</v>
      </c>
      <c r="F114" s="178" t="s">
        <v>309</v>
      </c>
    </row>
    <row r="115" spans="2:17" ht="18">
      <c r="B115" s="199" t="s">
        <v>356</v>
      </c>
      <c r="C115" s="12"/>
      <c r="D115" s="12">
        <f>D11*$C$19</f>
        <v>3056.9182719151318</v>
      </c>
      <c r="E115" s="12">
        <f>$C$22</f>
        <v>1</v>
      </c>
      <c r="F115" s="12">
        <f>(C115+D115)*E115</f>
        <v>3056.9182719151318</v>
      </c>
    </row>
    <row r="116" spans="2:17" ht="18">
      <c r="B116" s="199" t="s">
        <v>354</v>
      </c>
      <c r="C116" s="39"/>
      <c r="D116" s="39">
        <f>D11*$D$19</f>
        <v>0</v>
      </c>
      <c r="E116" s="18">
        <f>$C$23</f>
        <v>28</v>
      </c>
      <c r="F116" s="12">
        <f t="shared" ref="F116:F117" si="27">(C116+D116)*E116</f>
        <v>0</v>
      </c>
    </row>
    <row r="117" spans="2:17" ht="18">
      <c r="B117" s="199" t="s">
        <v>355</v>
      </c>
      <c r="C117" s="194"/>
      <c r="D117" s="194">
        <f>D11*$E$19</f>
        <v>0</v>
      </c>
      <c r="E117" s="18">
        <f>$C$24</f>
        <v>265</v>
      </c>
      <c r="F117" s="12">
        <f t="shared" si="27"/>
        <v>0</v>
      </c>
    </row>
    <row r="118" spans="2:17" ht="15.6" customHeight="1">
      <c r="B118" s="278" t="s">
        <v>10</v>
      </c>
      <c r="C118" s="278"/>
      <c r="D118" s="278"/>
      <c r="E118" s="278"/>
      <c r="F118" s="200">
        <f>SUM(F115:F117)</f>
        <v>3056.9182719151318</v>
      </c>
    </row>
    <row r="119" spans="2:17" ht="15.6" customHeight="1"/>
    <row r="120" spans="2:17">
      <c r="B120" s="98" t="s">
        <v>302</v>
      </c>
      <c r="C120" s="179" t="str">
        <f>C113</f>
        <v>BRPEC</v>
      </c>
      <c r="K120" s="98" t="s">
        <v>302</v>
      </c>
      <c r="L120" s="179" t="str">
        <f>C120</f>
        <v>BRPEC</v>
      </c>
    </row>
    <row r="121" spans="2:17" ht="15.6" customHeight="1">
      <c r="B121" s="5" t="s">
        <v>365</v>
      </c>
      <c r="C121" s="4" t="s">
        <v>4</v>
      </c>
      <c r="D121" s="4" t="s">
        <v>5</v>
      </c>
      <c r="E121" s="4" t="s">
        <v>6</v>
      </c>
      <c r="F121" s="4" t="s">
        <v>7</v>
      </c>
      <c r="G121" s="4" t="s">
        <v>8</v>
      </c>
      <c r="H121" s="4" t="s">
        <v>9</v>
      </c>
      <c r="I121" s="5" t="s">
        <v>47</v>
      </c>
      <c r="K121" s="5" t="s">
        <v>308</v>
      </c>
      <c r="L121" s="4" t="s">
        <v>4</v>
      </c>
      <c r="M121" s="4" t="s">
        <v>5</v>
      </c>
      <c r="N121" s="4" t="s">
        <v>6</v>
      </c>
      <c r="O121" s="4" t="s">
        <v>7</v>
      </c>
      <c r="P121" s="4" t="s">
        <v>8</v>
      </c>
      <c r="Q121" s="4" t="s">
        <v>9</v>
      </c>
    </row>
    <row r="122" spans="2:17">
      <c r="B122" s="10" t="s">
        <v>4</v>
      </c>
      <c r="C122" s="11">
        <f>C28</f>
        <v>0</v>
      </c>
      <c r="D122" s="12"/>
      <c r="E122" s="12"/>
      <c r="F122" s="12"/>
      <c r="G122" s="12"/>
      <c r="H122" s="12"/>
      <c r="I122" s="13">
        <f t="shared" ref="I122:I127" si="28">SUM(C122:H122)</f>
        <v>0</v>
      </c>
      <c r="K122" s="10" t="s">
        <v>4</v>
      </c>
      <c r="L122" s="171">
        <f>IF(C122=0,0,$F$118/$I$128)</f>
        <v>0</v>
      </c>
      <c r="M122" s="60">
        <f t="shared" ref="M122:Q127" si="29">IF(D122=0,0,$F$118/$I$128)</f>
        <v>0</v>
      </c>
      <c r="N122" s="60">
        <f t="shared" si="29"/>
        <v>0</v>
      </c>
      <c r="O122" s="60">
        <f t="shared" si="29"/>
        <v>0</v>
      </c>
      <c r="P122" s="60">
        <f t="shared" si="29"/>
        <v>0</v>
      </c>
      <c r="Q122" s="60">
        <f t="shared" si="29"/>
        <v>0</v>
      </c>
    </row>
    <row r="123" spans="2:17">
      <c r="B123" s="10" t="s">
        <v>5</v>
      </c>
      <c r="C123" s="12">
        <f t="shared" ref="C123:D127" si="30">C29</f>
        <v>260</v>
      </c>
      <c r="D123" s="11"/>
      <c r="E123" s="12"/>
      <c r="F123" s="12"/>
      <c r="G123" s="12"/>
      <c r="H123" s="12"/>
      <c r="I123" s="13">
        <f t="shared" si="28"/>
        <v>260</v>
      </c>
      <c r="K123" s="10" t="s">
        <v>5</v>
      </c>
      <c r="L123" s="60">
        <f t="shared" ref="L123:L127" si="31">IF(C123=0,0,$F$118/$I$128)</f>
        <v>2.3211224539978224</v>
      </c>
      <c r="M123" s="171">
        <f t="shared" si="29"/>
        <v>0</v>
      </c>
      <c r="N123" s="60">
        <f t="shared" si="29"/>
        <v>0</v>
      </c>
      <c r="O123" s="60">
        <f t="shared" si="29"/>
        <v>0</v>
      </c>
      <c r="P123" s="60">
        <f t="shared" si="29"/>
        <v>0</v>
      </c>
      <c r="Q123" s="60">
        <f t="shared" si="29"/>
        <v>0</v>
      </c>
    </row>
    <row r="124" spans="2:17">
      <c r="B124" s="10" t="s">
        <v>6</v>
      </c>
      <c r="C124" s="12">
        <f t="shared" si="30"/>
        <v>331</v>
      </c>
      <c r="D124" s="12">
        <f t="shared" si="30"/>
        <v>0</v>
      </c>
      <c r="E124" s="11"/>
      <c r="F124" s="12"/>
      <c r="G124" s="12"/>
      <c r="H124" s="12"/>
      <c r="I124" s="13">
        <f t="shared" si="28"/>
        <v>331</v>
      </c>
      <c r="K124" s="10" t="s">
        <v>6</v>
      </c>
      <c r="L124" s="60">
        <f t="shared" si="31"/>
        <v>2.3211224539978224</v>
      </c>
      <c r="M124" s="60">
        <f t="shared" si="29"/>
        <v>0</v>
      </c>
      <c r="N124" s="171">
        <f t="shared" si="29"/>
        <v>0</v>
      </c>
      <c r="O124" s="60">
        <f t="shared" si="29"/>
        <v>0</v>
      </c>
      <c r="P124" s="60">
        <f t="shared" si="29"/>
        <v>0</v>
      </c>
      <c r="Q124" s="60">
        <f t="shared" si="29"/>
        <v>0</v>
      </c>
    </row>
    <row r="125" spans="2:17">
      <c r="B125" s="10" t="s">
        <v>7</v>
      </c>
      <c r="C125" s="12">
        <f t="shared" si="30"/>
        <v>86</v>
      </c>
      <c r="D125" s="12">
        <f t="shared" si="30"/>
        <v>9</v>
      </c>
      <c r="E125" s="12"/>
      <c r="F125" s="11"/>
      <c r="G125" s="12"/>
      <c r="H125" s="12"/>
      <c r="I125" s="13">
        <f t="shared" si="28"/>
        <v>95</v>
      </c>
      <c r="K125" s="10" t="s">
        <v>7</v>
      </c>
      <c r="L125" s="60">
        <f t="shared" si="31"/>
        <v>2.3211224539978224</v>
      </c>
      <c r="M125" s="60">
        <f t="shared" si="29"/>
        <v>2.3211224539978224</v>
      </c>
      <c r="N125" s="60">
        <f t="shared" si="29"/>
        <v>0</v>
      </c>
      <c r="O125" s="171">
        <f t="shared" si="29"/>
        <v>0</v>
      </c>
      <c r="P125" s="60">
        <f t="shared" si="29"/>
        <v>0</v>
      </c>
      <c r="Q125" s="60">
        <f t="shared" si="29"/>
        <v>0</v>
      </c>
    </row>
    <row r="126" spans="2:17">
      <c r="B126" s="10" t="s">
        <v>8</v>
      </c>
      <c r="C126" s="12">
        <f t="shared" si="30"/>
        <v>61</v>
      </c>
      <c r="D126" s="12">
        <f t="shared" si="30"/>
        <v>120</v>
      </c>
      <c r="E126" s="12"/>
      <c r="F126" s="12"/>
      <c r="G126" s="11"/>
      <c r="H126" s="12"/>
      <c r="I126" s="13">
        <f t="shared" si="28"/>
        <v>181</v>
      </c>
      <c r="K126" s="10" t="s">
        <v>8</v>
      </c>
      <c r="L126" s="60">
        <f t="shared" si="31"/>
        <v>2.3211224539978224</v>
      </c>
      <c r="M126" s="60">
        <f t="shared" si="29"/>
        <v>2.3211224539978224</v>
      </c>
      <c r="N126" s="60">
        <f t="shared" si="29"/>
        <v>0</v>
      </c>
      <c r="O126" s="60">
        <f t="shared" si="29"/>
        <v>0</v>
      </c>
      <c r="P126" s="171">
        <f t="shared" si="29"/>
        <v>0</v>
      </c>
      <c r="Q126" s="60">
        <f t="shared" si="29"/>
        <v>0</v>
      </c>
    </row>
    <row r="127" spans="2:17">
      <c r="B127" s="10" t="s">
        <v>9</v>
      </c>
      <c r="C127" s="12">
        <f t="shared" si="30"/>
        <v>229</v>
      </c>
      <c r="D127" s="12">
        <f t="shared" si="30"/>
        <v>221</v>
      </c>
      <c r="E127" s="12"/>
      <c r="F127" s="12"/>
      <c r="G127" s="12"/>
      <c r="H127" s="11"/>
      <c r="I127" s="13">
        <f t="shared" si="28"/>
        <v>450</v>
      </c>
      <c r="K127" s="10" t="s">
        <v>9</v>
      </c>
      <c r="L127" s="60">
        <f t="shared" si="31"/>
        <v>2.3211224539978224</v>
      </c>
      <c r="M127" s="60">
        <f t="shared" si="29"/>
        <v>2.3211224539978224</v>
      </c>
      <c r="N127" s="60">
        <f t="shared" si="29"/>
        <v>0</v>
      </c>
      <c r="O127" s="60">
        <f t="shared" si="29"/>
        <v>0</v>
      </c>
      <c r="P127" s="60">
        <f t="shared" si="29"/>
        <v>0</v>
      </c>
      <c r="Q127" s="171">
        <f t="shared" si="29"/>
        <v>0</v>
      </c>
    </row>
    <row r="128" spans="2:17">
      <c r="B128" s="16" t="s">
        <v>48</v>
      </c>
      <c r="C128" s="13">
        <f t="shared" ref="C128:I128" si="32">SUM(C122:C127)</f>
        <v>967</v>
      </c>
      <c r="D128" s="13">
        <f t="shared" si="32"/>
        <v>350</v>
      </c>
      <c r="E128" s="13">
        <f t="shared" si="32"/>
        <v>0</v>
      </c>
      <c r="F128" s="13">
        <f t="shared" si="32"/>
        <v>0</v>
      </c>
      <c r="G128" s="13">
        <f t="shared" si="32"/>
        <v>0</v>
      </c>
      <c r="H128" s="13">
        <f t="shared" si="32"/>
        <v>0</v>
      </c>
      <c r="I128" s="13">
        <f t="shared" si="32"/>
        <v>1317</v>
      </c>
    </row>
    <row r="132" spans="2:17">
      <c r="B132" s="98" t="s">
        <v>302</v>
      </c>
      <c r="C132" s="179" t="s">
        <v>4</v>
      </c>
    </row>
    <row r="133" spans="2:17">
      <c r="B133" s="98" t="s">
        <v>307</v>
      </c>
      <c r="C133" s="98"/>
      <c r="D133" s="98" t="s">
        <v>513</v>
      </c>
      <c r="E133" s="98" t="s">
        <v>235</v>
      </c>
      <c r="F133" s="178" t="s">
        <v>309</v>
      </c>
    </row>
    <row r="134" spans="2:17" ht="18">
      <c r="B134" s="199" t="s">
        <v>356</v>
      </c>
      <c r="C134" s="12"/>
      <c r="D134" s="12">
        <f>D12*$C$19</f>
        <v>17374.441652707988</v>
      </c>
      <c r="E134" s="12">
        <f>$C$22</f>
        <v>1</v>
      </c>
      <c r="F134" s="12">
        <f>(C134+D134)*E134</f>
        <v>17374.441652707988</v>
      </c>
    </row>
    <row r="135" spans="2:17" ht="18">
      <c r="B135" s="199" t="s">
        <v>354</v>
      </c>
      <c r="C135" s="39"/>
      <c r="D135" s="39">
        <f>D12*$D$19</f>
        <v>0</v>
      </c>
      <c r="E135" s="18">
        <f>$C$23</f>
        <v>28</v>
      </c>
      <c r="F135" s="12">
        <f t="shared" ref="F135:F136" si="33">(C135+D135)*E135</f>
        <v>0</v>
      </c>
    </row>
    <row r="136" spans="2:17" ht="18">
      <c r="B136" s="199" t="s">
        <v>355</v>
      </c>
      <c r="C136" s="194"/>
      <c r="D136" s="194">
        <f>D12*$E$19</f>
        <v>0</v>
      </c>
      <c r="E136" s="18">
        <f>$C$24</f>
        <v>265</v>
      </c>
      <c r="F136" s="12">
        <f t="shared" si="33"/>
        <v>0</v>
      </c>
    </row>
    <row r="137" spans="2:17" ht="15.6" customHeight="1">
      <c r="B137" s="278" t="s">
        <v>10</v>
      </c>
      <c r="C137" s="278"/>
      <c r="D137" s="278"/>
      <c r="E137" s="278"/>
      <c r="F137" s="200">
        <f>SUM(F134:F136)</f>
        <v>17374.441652707988</v>
      </c>
    </row>
    <row r="138" spans="2:17" ht="15.6" customHeight="1"/>
    <row r="139" spans="2:17">
      <c r="B139" s="98" t="s">
        <v>302</v>
      </c>
      <c r="C139" s="179" t="str">
        <f>C132</f>
        <v>BRMAO</v>
      </c>
      <c r="K139" s="98" t="s">
        <v>302</v>
      </c>
      <c r="L139" s="179" t="str">
        <f>C139</f>
        <v>BRMAO</v>
      </c>
    </row>
    <row r="140" spans="2:17" ht="15.6" customHeight="1">
      <c r="B140" s="5" t="s">
        <v>365</v>
      </c>
      <c r="C140" s="4" t="s">
        <v>4</v>
      </c>
      <c r="D140" s="4" t="s">
        <v>5</v>
      </c>
      <c r="E140" s="4" t="s">
        <v>6</v>
      </c>
      <c r="F140" s="4" t="s">
        <v>7</v>
      </c>
      <c r="G140" s="4" t="s">
        <v>8</v>
      </c>
      <c r="H140" s="4" t="s">
        <v>9</v>
      </c>
      <c r="I140" s="5" t="s">
        <v>47</v>
      </c>
      <c r="K140" s="5" t="s">
        <v>308</v>
      </c>
      <c r="L140" s="4" t="s">
        <v>4</v>
      </c>
      <c r="M140" s="4" t="s">
        <v>5</v>
      </c>
      <c r="N140" s="4" t="s">
        <v>6</v>
      </c>
      <c r="O140" s="4" t="s">
        <v>7</v>
      </c>
      <c r="P140" s="4" t="s">
        <v>8</v>
      </c>
      <c r="Q140" s="4" t="s">
        <v>9</v>
      </c>
    </row>
    <row r="141" spans="2:17">
      <c r="B141" s="10" t="s">
        <v>4</v>
      </c>
      <c r="C141" s="11">
        <f>C28</f>
        <v>0</v>
      </c>
      <c r="D141" s="12">
        <f t="shared" ref="D141:H141" si="34">D28</f>
        <v>175</v>
      </c>
      <c r="E141" s="12">
        <f t="shared" si="34"/>
        <v>156</v>
      </c>
      <c r="F141" s="12">
        <f t="shared" si="34"/>
        <v>0</v>
      </c>
      <c r="G141" s="12">
        <f t="shared" si="34"/>
        <v>226</v>
      </c>
      <c r="H141" s="12">
        <f t="shared" si="34"/>
        <v>648</v>
      </c>
      <c r="I141" s="13">
        <f t="shared" ref="I141:I146" si="35">SUM(C141:H141)</f>
        <v>1205</v>
      </c>
      <c r="K141" s="10" t="s">
        <v>4</v>
      </c>
      <c r="L141" s="171">
        <f>IF(C141=0,0,$F$137/$I$147)</f>
        <v>0</v>
      </c>
      <c r="M141" s="60">
        <f t="shared" ref="M141:Q146" si="36">IF(D141=0,0,$F$137/$I$147)</f>
        <v>7.9992825288710812</v>
      </c>
      <c r="N141" s="60">
        <f t="shared" si="36"/>
        <v>7.9992825288710812</v>
      </c>
      <c r="O141" s="60">
        <f t="shared" si="36"/>
        <v>0</v>
      </c>
      <c r="P141" s="60">
        <f t="shared" si="36"/>
        <v>7.9992825288710812</v>
      </c>
      <c r="Q141" s="60">
        <f t="shared" si="36"/>
        <v>7.9992825288710812</v>
      </c>
    </row>
    <row r="142" spans="2:17">
      <c r="B142" s="10" t="s">
        <v>5</v>
      </c>
      <c r="C142" s="12">
        <f t="shared" ref="C142:C146" si="37">C29</f>
        <v>260</v>
      </c>
      <c r="D142" s="11"/>
      <c r="E142" s="12"/>
      <c r="F142" s="12"/>
      <c r="G142" s="12"/>
      <c r="H142" s="12"/>
      <c r="I142" s="13">
        <f t="shared" si="35"/>
        <v>260</v>
      </c>
      <c r="K142" s="10" t="s">
        <v>5</v>
      </c>
      <c r="L142" s="60">
        <f t="shared" ref="L142:L146" si="38">IF(C142=0,0,$F$137/$I$147)</f>
        <v>7.9992825288710812</v>
      </c>
      <c r="M142" s="171">
        <f t="shared" si="36"/>
        <v>0</v>
      </c>
      <c r="N142" s="60">
        <f t="shared" si="36"/>
        <v>0</v>
      </c>
      <c r="O142" s="60">
        <f t="shared" si="36"/>
        <v>0</v>
      </c>
      <c r="P142" s="60">
        <f t="shared" si="36"/>
        <v>0</v>
      </c>
      <c r="Q142" s="60">
        <f t="shared" si="36"/>
        <v>0</v>
      </c>
    </row>
    <row r="143" spans="2:17">
      <c r="B143" s="10" t="s">
        <v>6</v>
      </c>
      <c r="C143" s="12">
        <f t="shared" si="37"/>
        <v>331</v>
      </c>
      <c r="D143" s="12"/>
      <c r="E143" s="11"/>
      <c r="F143" s="12"/>
      <c r="G143" s="12"/>
      <c r="H143" s="12"/>
      <c r="I143" s="13">
        <f t="shared" si="35"/>
        <v>331</v>
      </c>
      <c r="K143" s="10" t="s">
        <v>6</v>
      </c>
      <c r="L143" s="60">
        <f t="shared" si="38"/>
        <v>7.9992825288710812</v>
      </c>
      <c r="M143" s="60">
        <f t="shared" si="36"/>
        <v>0</v>
      </c>
      <c r="N143" s="171">
        <f t="shared" si="36"/>
        <v>0</v>
      </c>
      <c r="O143" s="60">
        <f t="shared" si="36"/>
        <v>0</v>
      </c>
      <c r="P143" s="60">
        <f t="shared" si="36"/>
        <v>0</v>
      </c>
      <c r="Q143" s="60">
        <f t="shared" si="36"/>
        <v>0</v>
      </c>
    </row>
    <row r="144" spans="2:17">
      <c r="B144" s="10" t="s">
        <v>7</v>
      </c>
      <c r="C144" s="12">
        <f t="shared" si="37"/>
        <v>86</v>
      </c>
      <c r="D144" s="12"/>
      <c r="E144" s="12"/>
      <c r="F144" s="11"/>
      <c r="G144" s="12"/>
      <c r="H144" s="12"/>
      <c r="I144" s="13">
        <f t="shared" si="35"/>
        <v>86</v>
      </c>
      <c r="K144" s="10" t="s">
        <v>7</v>
      </c>
      <c r="L144" s="60">
        <f t="shared" si="38"/>
        <v>7.9992825288710812</v>
      </c>
      <c r="M144" s="60">
        <f t="shared" si="36"/>
        <v>0</v>
      </c>
      <c r="N144" s="60">
        <f t="shared" si="36"/>
        <v>0</v>
      </c>
      <c r="O144" s="171">
        <f t="shared" si="36"/>
        <v>0</v>
      </c>
      <c r="P144" s="60">
        <f t="shared" si="36"/>
        <v>0</v>
      </c>
      <c r="Q144" s="60">
        <f t="shared" si="36"/>
        <v>0</v>
      </c>
    </row>
    <row r="145" spans="2:17">
      <c r="B145" s="10" t="s">
        <v>8</v>
      </c>
      <c r="C145" s="12">
        <f t="shared" si="37"/>
        <v>61</v>
      </c>
      <c r="D145" s="12"/>
      <c r="E145" s="12"/>
      <c r="F145" s="12"/>
      <c r="G145" s="11"/>
      <c r="H145" s="12"/>
      <c r="I145" s="13">
        <f t="shared" si="35"/>
        <v>61</v>
      </c>
      <c r="K145" s="10" t="s">
        <v>8</v>
      </c>
      <c r="L145" s="60">
        <f t="shared" si="38"/>
        <v>7.9992825288710812</v>
      </c>
      <c r="M145" s="60">
        <f t="shared" si="36"/>
        <v>0</v>
      </c>
      <c r="N145" s="60">
        <f t="shared" si="36"/>
        <v>0</v>
      </c>
      <c r="O145" s="60">
        <f t="shared" si="36"/>
        <v>0</v>
      </c>
      <c r="P145" s="171">
        <f t="shared" si="36"/>
        <v>0</v>
      </c>
      <c r="Q145" s="60">
        <f t="shared" si="36"/>
        <v>0</v>
      </c>
    </row>
    <row r="146" spans="2:17">
      <c r="B146" s="10" t="s">
        <v>9</v>
      </c>
      <c r="C146" s="12">
        <f t="shared" si="37"/>
        <v>229</v>
      </c>
      <c r="D146" s="12"/>
      <c r="E146" s="12"/>
      <c r="F146" s="12"/>
      <c r="G146" s="12"/>
      <c r="H146" s="11"/>
      <c r="I146" s="13">
        <f t="shared" si="35"/>
        <v>229</v>
      </c>
      <c r="K146" s="10" t="s">
        <v>9</v>
      </c>
      <c r="L146" s="60">
        <f t="shared" si="38"/>
        <v>7.9992825288710812</v>
      </c>
      <c r="M146" s="60">
        <f t="shared" si="36"/>
        <v>0</v>
      </c>
      <c r="N146" s="60">
        <f t="shared" si="36"/>
        <v>0</v>
      </c>
      <c r="O146" s="60">
        <f t="shared" si="36"/>
        <v>0</v>
      </c>
      <c r="P146" s="60">
        <f t="shared" si="36"/>
        <v>0</v>
      </c>
      <c r="Q146" s="171">
        <f t="shared" si="36"/>
        <v>0</v>
      </c>
    </row>
    <row r="147" spans="2:17">
      <c r="B147" s="16" t="s">
        <v>48</v>
      </c>
      <c r="C147" s="13">
        <f t="shared" ref="C147:I147" si="39">SUM(C141:C146)</f>
        <v>967</v>
      </c>
      <c r="D147" s="13">
        <f t="shared" si="39"/>
        <v>175</v>
      </c>
      <c r="E147" s="13">
        <f t="shared" si="39"/>
        <v>156</v>
      </c>
      <c r="F147" s="13">
        <f t="shared" si="39"/>
        <v>0</v>
      </c>
      <c r="G147" s="13">
        <f t="shared" si="39"/>
        <v>226</v>
      </c>
      <c r="H147" s="13">
        <f t="shared" si="39"/>
        <v>648</v>
      </c>
      <c r="I147" s="13">
        <f t="shared" si="39"/>
        <v>2172</v>
      </c>
    </row>
    <row r="151" spans="2:17">
      <c r="B151" s="98" t="s">
        <v>302</v>
      </c>
      <c r="C151" s="179" t="s">
        <v>5</v>
      </c>
    </row>
    <row r="152" spans="2:17">
      <c r="B152" s="98" t="s">
        <v>307</v>
      </c>
      <c r="C152" s="98"/>
      <c r="D152" s="98" t="s">
        <v>513</v>
      </c>
      <c r="E152" s="98" t="s">
        <v>235</v>
      </c>
      <c r="F152" s="178" t="s">
        <v>309</v>
      </c>
    </row>
    <row r="153" spans="2:17" ht="18">
      <c r="B153" s="199" t="s">
        <v>356</v>
      </c>
      <c r="C153" s="12"/>
      <c r="D153" s="12">
        <f>D13*$C$19</f>
        <v>1466.9929508654384</v>
      </c>
      <c r="E153" s="12">
        <f>$C$22</f>
        <v>1</v>
      </c>
      <c r="F153" s="12">
        <f>(C153+D153)*E153</f>
        <v>1466.9929508654384</v>
      </c>
    </row>
    <row r="154" spans="2:17" ht="18">
      <c r="B154" s="199" t="s">
        <v>354</v>
      </c>
      <c r="C154" s="39"/>
      <c r="D154" s="39">
        <f>D13*$D$19</f>
        <v>0</v>
      </c>
      <c r="E154" s="18">
        <f>$C$23</f>
        <v>28</v>
      </c>
      <c r="F154" s="12">
        <f t="shared" ref="F154:F155" si="40">(C154+D154)*E154</f>
        <v>0</v>
      </c>
    </row>
    <row r="155" spans="2:17" ht="18">
      <c r="B155" s="199" t="s">
        <v>355</v>
      </c>
      <c r="C155" s="194"/>
      <c r="D155" s="194">
        <f>D13*$E$19</f>
        <v>0</v>
      </c>
      <c r="E155" s="18">
        <f>$C$24</f>
        <v>265</v>
      </c>
      <c r="F155" s="12">
        <f t="shared" si="40"/>
        <v>0</v>
      </c>
    </row>
    <row r="156" spans="2:17" ht="15.6" customHeight="1">
      <c r="B156" s="278" t="s">
        <v>10</v>
      </c>
      <c r="C156" s="278"/>
      <c r="D156" s="278"/>
      <c r="E156" s="278"/>
      <c r="F156" s="200">
        <f>SUM(F153:F155)</f>
        <v>1466.9929508654384</v>
      </c>
    </row>
    <row r="157" spans="2:17" ht="15.6" customHeight="1"/>
    <row r="158" spans="2:17">
      <c r="B158" s="98" t="s">
        <v>302</v>
      </c>
      <c r="C158" s="179" t="str">
        <f>C151</f>
        <v>BRPEC</v>
      </c>
      <c r="K158" s="98" t="s">
        <v>302</v>
      </c>
      <c r="L158" s="179" t="str">
        <f>C158</f>
        <v>BRPEC</v>
      </c>
    </row>
    <row r="159" spans="2:17" ht="15.6" customHeight="1">
      <c r="B159" s="5" t="s">
        <v>365</v>
      </c>
      <c r="C159" s="4" t="s">
        <v>4</v>
      </c>
      <c r="D159" s="4" t="s">
        <v>5</v>
      </c>
      <c r="E159" s="4" t="s">
        <v>6</v>
      </c>
      <c r="F159" s="4" t="s">
        <v>7</v>
      </c>
      <c r="G159" s="4" t="s">
        <v>8</v>
      </c>
      <c r="H159" s="4" t="s">
        <v>9</v>
      </c>
      <c r="I159" s="5" t="s">
        <v>47</v>
      </c>
      <c r="K159" s="5" t="s">
        <v>308</v>
      </c>
      <c r="L159" s="4" t="s">
        <v>4</v>
      </c>
      <c r="M159" s="4" t="s">
        <v>5</v>
      </c>
      <c r="N159" s="4" t="s">
        <v>6</v>
      </c>
      <c r="O159" s="4" t="s">
        <v>7</v>
      </c>
      <c r="P159" s="4" t="s">
        <v>8</v>
      </c>
      <c r="Q159" s="4" t="s">
        <v>9</v>
      </c>
    </row>
    <row r="160" spans="2:17">
      <c r="B160" s="10" t="s">
        <v>4</v>
      </c>
      <c r="C160" s="11"/>
      <c r="D160" s="12">
        <f t="shared" ref="D160:H161" si="41">D28</f>
        <v>175</v>
      </c>
      <c r="E160" s="12">
        <f t="shared" si="41"/>
        <v>156</v>
      </c>
      <c r="F160" s="12">
        <f t="shared" si="41"/>
        <v>0</v>
      </c>
      <c r="G160" s="12">
        <f t="shared" si="41"/>
        <v>226</v>
      </c>
      <c r="H160" s="12">
        <f t="shared" si="41"/>
        <v>648</v>
      </c>
      <c r="I160" s="13">
        <f t="shared" ref="I160:I165" si="42">SUM(C160:H160)</f>
        <v>1205</v>
      </c>
      <c r="K160" s="10" t="s">
        <v>4</v>
      </c>
      <c r="L160" s="171">
        <f>IF(C160=0,0,$F$156/$I$166)</f>
        <v>0</v>
      </c>
      <c r="M160" s="60">
        <f t="shared" ref="M160:Q165" si="43">IF(D160=0,0,$F$156/$I$166)</f>
        <v>1.0778787295117107</v>
      </c>
      <c r="N160" s="60">
        <f t="shared" si="43"/>
        <v>1.0778787295117107</v>
      </c>
      <c r="O160" s="60">
        <f t="shared" si="43"/>
        <v>0</v>
      </c>
      <c r="P160" s="60">
        <f t="shared" si="43"/>
        <v>1.0778787295117107</v>
      </c>
      <c r="Q160" s="60">
        <f t="shared" si="43"/>
        <v>1.0778787295117107</v>
      </c>
    </row>
    <row r="161" spans="2:17">
      <c r="B161" s="10" t="s">
        <v>5</v>
      </c>
      <c r="C161" s="12"/>
      <c r="D161" s="11">
        <f t="shared" si="41"/>
        <v>0</v>
      </c>
      <c r="E161" s="12">
        <f t="shared" si="41"/>
        <v>0</v>
      </c>
      <c r="F161" s="12">
        <f t="shared" si="41"/>
        <v>0</v>
      </c>
      <c r="G161" s="12">
        <f t="shared" si="41"/>
        <v>20</v>
      </c>
      <c r="H161" s="12">
        <f t="shared" si="41"/>
        <v>136</v>
      </c>
      <c r="I161" s="13">
        <f t="shared" si="42"/>
        <v>156</v>
      </c>
      <c r="K161" s="10" t="s">
        <v>5</v>
      </c>
      <c r="L161" s="60">
        <f t="shared" ref="L161:L165" si="44">IF(C161=0,0,$F$156/$I$166)</f>
        <v>0</v>
      </c>
      <c r="M161" s="171">
        <f t="shared" si="43"/>
        <v>0</v>
      </c>
      <c r="N161" s="60">
        <f t="shared" si="43"/>
        <v>0</v>
      </c>
      <c r="O161" s="60">
        <f t="shared" si="43"/>
        <v>0</v>
      </c>
      <c r="P161" s="60">
        <f t="shared" si="43"/>
        <v>1.0778787295117107</v>
      </c>
      <c r="Q161" s="60">
        <f t="shared" si="43"/>
        <v>1.0778787295117107</v>
      </c>
    </row>
    <row r="162" spans="2:17">
      <c r="B162" s="10" t="s">
        <v>6</v>
      </c>
      <c r="C162" s="12"/>
      <c r="D162" s="12"/>
      <c r="E162" s="11"/>
      <c r="F162" s="12"/>
      <c r="G162" s="12"/>
      <c r="H162" s="12"/>
      <c r="I162" s="13">
        <f t="shared" si="42"/>
        <v>0</v>
      </c>
      <c r="K162" s="10" t="s">
        <v>6</v>
      </c>
      <c r="L162" s="60">
        <f t="shared" si="44"/>
        <v>0</v>
      </c>
      <c r="M162" s="60">
        <f t="shared" si="43"/>
        <v>0</v>
      </c>
      <c r="N162" s="171">
        <f t="shared" si="43"/>
        <v>0</v>
      </c>
      <c r="O162" s="60">
        <f t="shared" si="43"/>
        <v>0</v>
      </c>
      <c r="P162" s="60">
        <f t="shared" si="43"/>
        <v>0</v>
      </c>
      <c r="Q162" s="60">
        <f t="shared" si="43"/>
        <v>0</v>
      </c>
    </row>
    <row r="163" spans="2:17">
      <c r="B163" s="10" t="s">
        <v>7</v>
      </c>
      <c r="C163" s="12"/>
      <c r="D163" s="12"/>
      <c r="E163" s="12"/>
      <c r="F163" s="11"/>
      <c r="G163" s="12"/>
      <c r="H163" s="12"/>
      <c r="I163" s="13">
        <f t="shared" si="42"/>
        <v>0</v>
      </c>
      <c r="K163" s="10" t="s">
        <v>7</v>
      </c>
      <c r="L163" s="60">
        <f t="shared" si="44"/>
        <v>0</v>
      </c>
      <c r="M163" s="60">
        <f t="shared" si="43"/>
        <v>0</v>
      </c>
      <c r="N163" s="60">
        <f t="shared" si="43"/>
        <v>0</v>
      </c>
      <c r="O163" s="171">
        <f t="shared" si="43"/>
        <v>0</v>
      </c>
      <c r="P163" s="60">
        <f t="shared" si="43"/>
        <v>0</v>
      </c>
      <c r="Q163" s="60">
        <f t="shared" si="43"/>
        <v>0</v>
      </c>
    </row>
    <row r="164" spans="2:17">
      <c r="B164" s="10" t="s">
        <v>8</v>
      </c>
      <c r="C164" s="12"/>
      <c r="D164" s="12"/>
      <c r="E164" s="12"/>
      <c r="F164" s="12"/>
      <c r="G164" s="11"/>
      <c r="H164" s="12"/>
      <c r="I164" s="13">
        <f t="shared" si="42"/>
        <v>0</v>
      </c>
      <c r="K164" s="10" t="s">
        <v>8</v>
      </c>
      <c r="L164" s="60">
        <f t="shared" si="44"/>
        <v>0</v>
      </c>
      <c r="M164" s="60">
        <f t="shared" si="43"/>
        <v>0</v>
      </c>
      <c r="N164" s="60">
        <f t="shared" si="43"/>
        <v>0</v>
      </c>
      <c r="O164" s="60">
        <f t="shared" si="43"/>
        <v>0</v>
      </c>
      <c r="P164" s="171">
        <f t="shared" si="43"/>
        <v>0</v>
      </c>
      <c r="Q164" s="60">
        <f t="shared" si="43"/>
        <v>0</v>
      </c>
    </row>
    <row r="165" spans="2:17">
      <c r="B165" s="10" t="s">
        <v>9</v>
      </c>
      <c r="C165" s="12"/>
      <c r="D165" s="12"/>
      <c r="E165" s="12"/>
      <c r="F165" s="12"/>
      <c r="G165" s="12"/>
      <c r="H165" s="11"/>
      <c r="I165" s="13">
        <f t="shared" si="42"/>
        <v>0</v>
      </c>
      <c r="K165" s="10" t="s">
        <v>9</v>
      </c>
      <c r="L165" s="60">
        <f t="shared" si="44"/>
        <v>0</v>
      </c>
      <c r="M165" s="60">
        <f t="shared" si="43"/>
        <v>0</v>
      </c>
      <c r="N165" s="60">
        <f t="shared" si="43"/>
        <v>0</v>
      </c>
      <c r="O165" s="60">
        <f t="shared" si="43"/>
        <v>0</v>
      </c>
      <c r="P165" s="60">
        <f t="shared" si="43"/>
        <v>0</v>
      </c>
      <c r="Q165" s="171">
        <f t="shared" si="43"/>
        <v>0</v>
      </c>
    </row>
    <row r="166" spans="2:17">
      <c r="B166" s="16" t="s">
        <v>48</v>
      </c>
      <c r="C166" s="13">
        <f t="shared" ref="C166:I166" si="45">SUM(C160:C165)</f>
        <v>0</v>
      </c>
      <c r="D166" s="13">
        <f t="shared" si="45"/>
        <v>175</v>
      </c>
      <c r="E166" s="13">
        <f t="shared" si="45"/>
        <v>156</v>
      </c>
      <c r="F166" s="13">
        <f t="shared" si="45"/>
        <v>0</v>
      </c>
      <c r="G166" s="13">
        <f t="shared" si="45"/>
        <v>246</v>
      </c>
      <c r="H166" s="13">
        <f t="shared" si="45"/>
        <v>784</v>
      </c>
      <c r="I166" s="13">
        <f t="shared" si="45"/>
        <v>1361</v>
      </c>
    </row>
    <row r="170" spans="2:17">
      <c r="B170" s="98" t="s">
        <v>302</v>
      </c>
      <c r="C170" s="179" t="s">
        <v>6</v>
      </c>
    </row>
    <row r="171" spans="2:17">
      <c r="B171" s="98" t="s">
        <v>307</v>
      </c>
      <c r="C171" s="98"/>
      <c r="D171" s="98" t="s">
        <v>513</v>
      </c>
      <c r="E171" s="98" t="s">
        <v>235</v>
      </c>
      <c r="F171" s="178" t="s">
        <v>309</v>
      </c>
    </row>
    <row r="172" spans="2:17" ht="18">
      <c r="B172" s="199" t="s">
        <v>356</v>
      </c>
      <c r="C172" s="12"/>
      <c r="D172" s="12">
        <f>D14*$C$19</f>
        <v>3687.9711055276384</v>
      </c>
      <c r="E172" s="12">
        <f>$C$22</f>
        <v>1</v>
      </c>
      <c r="F172" s="12">
        <f>(C172+D172)*E172</f>
        <v>3687.9711055276384</v>
      </c>
    </row>
    <row r="173" spans="2:17" ht="18">
      <c r="B173" s="199" t="s">
        <v>354</v>
      </c>
      <c r="C173" s="39"/>
      <c r="D173" s="39">
        <f>D14*$D$19</f>
        <v>0</v>
      </c>
      <c r="E173" s="18">
        <f>$C$23</f>
        <v>28</v>
      </c>
      <c r="F173" s="12">
        <f t="shared" ref="F173:F174" si="46">(C173+D173)*E173</f>
        <v>0</v>
      </c>
    </row>
    <row r="174" spans="2:17" ht="18">
      <c r="B174" s="199" t="s">
        <v>355</v>
      </c>
      <c r="C174" s="194"/>
      <c r="D174" s="194">
        <f>D14*$E$19</f>
        <v>0</v>
      </c>
      <c r="E174" s="18">
        <f>$C$24</f>
        <v>265</v>
      </c>
      <c r="F174" s="12">
        <f t="shared" si="46"/>
        <v>0</v>
      </c>
    </row>
    <row r="175" spans="2:17" ht="15.6" customHeight="1">
      <c r="B175" s="278" t="s">
        <v>10</v>
      </c>
      <c r="C175" s="278"/>
      <c r="D175" s="278"/>
      <c r="E175" s="278"/>
      <c r="F175" s="200">
        <f>SUM(F172:F174)</f>
        <v>3687.9711055276384</v>
      </c>
    </row>
    <row r="176" spans="2:17" ht="15.6" customHeight="1"/>
    <row r="177" spans="2:17">
      <c r="B177" s="98" t="s">
        <v>302</v>
      </c>
      <c r="C177" s="179" t="str">
        <f>C170</f>
        <v>BRSUA</v>
      </c>
      <c r="K177" s="98" t="s">
        <v>302</v>
      </c>
      <c r="L177" s="179" t="str">
        <f>C177</f>
        <v>BRSUA</v>
      </c>
    </row>
    <row r="178" spans="2:17" ht="15.6" customHeight="1">
      <c r="B178" s="5" t="s">
        <v>365</v>
      </c>
      <c r="C178" s="4" t="s">
        <v>4</v>
      </c>
      <c r="D178" s="4" t="s">
        <v>5</v>
      </c>
      <c r="E178" s="4" t="s">
        <v>6</v>
      </c>
      <c r="F178" s="4" t="s">
        <v>7</v>
      </c>
      <c r="G178" s="4" t="s">
        <v>8</v>
      </c>
      <c r="H178" s="4" t="s">
        <v>9</v>
      </c>
      <c r="I178" s="5" t="s">
        <v>47</v>
      </c>
      <c r="K178" s="5" t="s">
        <v>308</v>
      </c>
      <c r="L178" s="4" t="s">
        <v>4</v>
      </c>
      <c r="M178" s="4" t="s">
        <v>5</v>
      </c>
      <c r="N178" s="4" t="s">
        <v>6</v>
      </c>
      <c r="O178" s="4" t="s">
        <v>7</v>
      </c>
      <c r="P178" s="4" t="s">
        <v>8</v>
      </c>
      <c r="Q178" s="4" t="s">
        <v>9</v>
      </c>
    </row>
    <row r="179" spans="2:17">
      <c r="B179" s="10" t="s">
        <v>4</v>
      </c>
      <c r="C179" s="11"/>
      <c r="D179" s="12"/>
      <c r="E179" s="12">
        <f t="shared" ref="E179:H181" si="47">E28</f>
        <v>156</v>
      </c>
      <c r="F179" s="12">
        <f t="shared" si="47"/>
        <v>0</v>
      </c>
      <c r="G179" s="12">
        <f t="shared" si="47"/>
        <v>226</v>
      </c>
      <c r="H179" s="12">
        <f t="shared" si="47"/>
        <v>648</v>
      </c>
      <c r="I179" s="13">
        <f t="shared" ref="I179:I184" si="48">SUM(C179:H179)</f>
        <v>1030</v>
      </c>
      <c r="K179" s="10" t="s">
        <v>4</v>
      </c>
      <c r="L179" s="171">
        <f>IF(C179=0,0,$F$175/$I$185)</f>
        <v>0</v>
      </c>
      <c r="M179" s="60">
        <f t="shared" ref="M179:Q184" si="49">IF(D179=0,0,$F$175/$I$185)</f>
        <v>0</v>
      </c>
      <c r="N179" s="60">
        <f>IF(E179=0,0,$F$175/$I$185)</f>
        <v>2.8947967861284445</v>
      </c>
      <c r="O179" s="60">
        <f t="shared" si="49"/>
        <v>0</v>
      </c>
      <c r="P179" s="60">
        <f t="shared" si="49"/>
        <v>2.8947967861284445</v>
      </c>
      <c r="Q179" s="60">
        <f t="shared" si="49"/>
        <v>2.8947967861284445</v>
      </c>
    </row>
    <row r="180" spans="2:17">
      <c r="B180" s="10" t="s">
        <v>5</v>
      </c>
      <c r="C180" s="12"/>
      <c r="D180" s="11"/>
      <c r="E180" s="12">
        <f t="shared" si="47"/>
        <v>0</v>
      </c>
      <c r="F180" s="12">
        <f t="shared" si="47"/>
        <v>0</v>
      </c>
      <c r="G180" s="12">
        <f t="shared" si="47"/>
        <v>20</v>
      </c>
      <c r="H180" s="12">
        <f t="shared" si="47"/>
        <v>136</v>
      </c>
      <c r="I180" s="13">
        <f t="shared" si="48"/>
        <v>156</v>
      </c>
      <c r="K180" s="10" t="s">
        <v>5</v>
      </c>
      <c r="L180" s="60">
        <f t="shared" ref="L180:L184" si="50">IF(C180=0,0,$F$175/$I$185)</f>
        <v>0</v>
      </c>
      <c r="M180" s="171">
        <f t="shared" si="49"/>
        <v>0</v>
      </c>
      <c r="N180" s="60">
        <f t="shared" si="49"/>
        <v>0</v>
      </c>
      <c r="O180" s="60">
        <f t="shared" si="49"/>
        <v>0</v>
      </c>
      <c r="P180" s="60">
        <f t="shared" si="49"/>
        <v>2.8947967861284445</v>
      </c>
      <c r="Q180" s="60">
        <f t="shared" si="49"/>
        <v>2.8947967861284445</v>
      </c>
    </row>
    <row r="181" spans="2:17">
      <c r="B181" s="10" t="s">
        <v>6</v>
      </c>
      <c r="C181" s="12"/>
      <c r="D181" s="12"/>
      <c r="E181" s="11">
        <f t="shared" si="47"/>
        <v>0</v>
      </c>
      <c r="F181" s="12">
        <f t="shared" si="47"/>
        <v>0</v>
      </c>
      <c r="G181" s="12">
        <f t="shared" si="47"/>
        <v>30</v>
      </c>
      <c r="H181" s="12">
        <f t="shared" si="47"/>
        <v>58</v>
      </c>
      <c r="I181" s="13">
        <f t="shared" si="48"/>
        <v>88</v>
      </c>
      <c r="K181" s="10" t="s">
        <v>6</v>
      </c>
      <c r="L181" s="60">
        <f t="shared" si="50"/>
        <v>0</v>
      </c>
      <c r="M181" s="60">
        <f t="shared" si="49"/>
        <v>0</v>
      </c>
      <c r="N181" s="171">
        <f t="shared" si="49"/>
        <v>0</v>
      </c>
      <c r="O181" s="60">
        <f t="shared" si="49"/>
        <v>0</v>
      </c>
      <c r="P181" s="60">
        <f t="shared" si="49"/>
        <v>2.8947967861284445</v>
      </c>
      <c r="Q181" s="60">
        <f t="shared" si="49"/>
        <v>2.8947967861284445</v>
      </c>
    </row>
    <row r="182" spans="2:17">
      <c r="B182" s="10" t="s">
        <v>7</v>
      </c>
      <c r="C182" s="12"/>
      <c r="D182" s="12"/>
      <c r="E182" s="12"/>
      <c r="F182" s="11"/>
      <c r="G182" s="12"/>
      <c r="H182" s="12"/>
      <c r="I182" s="13">
        <f t="shared" si="48"/>
        <v>0</v>
      </c>
      <c r="K182" s="10" t="s">
        <v>7</v>
      </c>
      <c r="L182" s="60">
        <f t="shared" si="50"/>
        <v>0</v>
      </c>
      <c r="M182" s="60">
        <f t="shared" si="49"/>
        <v>0</v>
      </c>
      <c r="N182" s="60">
        <f t="shared" si="49"/>
        <v>0</v>
      </c>
      <c r="O182" s="171">
        <f t="shared" si="49"/>
        <v>0</v>
      </c>
      <c r="P182" s="60">
        <f t="shared" si="49"/>
        <v>0</v>
      </c>
      <c r="Q182" s="60">
        <f t="shared" si="49"/>
        <v>0</v>
      </c>
    </row>
    <row r="183" spans="2:17">
      <c r="B183" s="10" t="s">
        <v>8</v>
      </c>
      <c r="C183" s="12"/>
      <c r="D183" s="12"/>
      <c r="E183" s="12"/>
      <c r="F183" s="12"/>
      <c r="G183" s="11"/>
      <c r="H183" s="12"/>
      <c r="I183" s="13">
        <f t="shared" si="48"/>
        <v>0</v>
      </c>
      <c r="K183" s="10" t="s">
        <v>8</v>
      </c>
      <c r="L183" s="60">
        <f t="shared" si="50"/>
        <v>0</v>
      </c>
      <c r="M183" s="60">
        <f t="shared" si="49"/>
        <v>0</v>
      </c>
      <c r="N183" s="60">
        <f t="shared" si="49"/>
        <v>0</v>
      </c>
      <c r="O183" s="60">
        <f t="shared" si="49"/>
        <v>0</v>
      </c>
      <c r="P183" s="171">
        <f t="shared" si="49"/>
        <v>0</v>
      </c>
      <c r="Q183" s="60">
        <f t="shared" si="49"/>
        <v>0</v>
      </c>
    </row>
    <row r="184" spans="2:17">
      <c r="B184" s="10" t="s">
        <v>9</v>
      </c>
      <c r="C184" s="12"/>
      <c r="D184" s="12"/>
      <c r="E184" s="12"/>
      <c r="F184" s="12"/>
      <c r="G184" s="12"/>
      <c r="H184" s="11"/>
      <c r="I184" s="13">
        <f t="shared" si="48"/>
        <v>0</v>
      </c>
      <c r="K184" s="10" t="s">
        <v>9</v>
      </c>
      <c r="L184" s="60">
        <f t="shared" si="50"/>
        <v>0</v>
      </c>
      <c r="M184" s="60">
        <f t="shared" si="49"/>
        <v>0</v>
      </c>
      <c r="N184" s="60">
        <f t="shared" si="49"/>
        <v>0</v>
      </c>
      <c r="O184" s="60">
        <f t="shared" si="49"/>
        <v>0</v>
      </c>
      <c r="P184" s="60">
        <f t="shared" si="49"/>
        <v>0</v>
      </c>
      <c r="Q184" s="171">
        <f t="shared" si="49"/>
        <v>0</v>
      </c>
    </row>
    <row r="185" spans="2:17">
      <c r="B185" s="16" t="s">
        <v>48</v>
      </c>
      <c r="C185" s="13">
        <f t="shared" ref="C185:I185" si="51">SUM(C179:C184)</f>
        <v>0</v>
      </c>
      <c r="D185" s="13">
        <f t="shared" si="51"/>
        <v>0</v>
      </c>
      <c r="E185" s="13">
        <f t="shared" si="51"/>
        <v>156</v>
      </c>
      <c r="F185" s="13">
        <f t="shared" si="51"/>
        <v>0</v>
      </c>
      <c r="G185" s="13">
        <f t="shared" si="51"/>
        <v>276</v>
      </c>
      <c r="H185" s="13">
        <f t="shared" si="51"/>
        <v>842</v>
      </c>
      <c r="I185" s="13">
        <f t="shared" si="51"/>
        <v>1274</v>
      </c>
    </row>
    <row r="188" spans="2:17" ht="18">
      <c r="K188" s="260" t="s">
        <v>474</v>
      </c>
      <c r="L188" s="260"/>
      <c r="M188" s="260"/>
      <c r="N188" s="260"/>
      <c r="O188" s="260"/>
      <c r="P188" s="260"/>
      <c r="Q188" s="260"/>
    </row>
    <row r="189" spans="2:17">
      <c r="K189" s="5" t="s">
        <v>308</v>
      </c>
      <c r="L189" s="4" t="s">
        <v>4</v>
      </c>
      <c r="M189" s="4" t="s">
        <v>5</v>
      </c>
      <c r="N189" s="4" t="s">
        <v>6</v>
      </c>
      <c r="O189" s="4" t="s">
        <v>7</v>
      </c>
      <c r="P189" s="4" t="s">
        <v>8</v>
      </c>
      <c r="Q189" s="4" t="s">
        <v>9</v>
      </c>
    </row>
    <row r="190" spans="2:17">
      <c r="K190" s="10" t="s">
        <v>4</v>
      </c>
      <c r="L190" s="171">
        <f>L46+L65+L84+L103+L122+L141+L160+L179</f>
        <v>0</v>
      </c>
      <c r="M190" s="60">
        <f t="shared" ref="M190:Q190" si="52">M46+M65+M84+M103+M122+M141+M160+M179</f>
        <v>9.077161258382791</v>
      </c>
      <c r="N190" s="60">
        <f t="shared" si="52"/>
        <v>11.971958044511236</v>
      </c>
      <c r="O190" s="60">
        <f t="shared" si="52"/>
        <v>0</v>
      </c>
      <c r="P190" s="60">
        <f t="shared" si="52"/>
        <v>20.87112121736272</v>
      </c>
      <c r="Q190" s="60">
        <f t="shared" si="52"/>
        <v>16.940457088918919</v>
      </c>
    </row>
    <row r="191" spans="2:17">
      <c r="B191" s="5" t="s">
        <v>381</v>
      </c>
      <c r="C191" s="98" t="s">
        <v>380</v>
      </c>
      <c r="D191" s="5" t="s">
        <v>308</v>
      </c>
      <c r="K191" s="10" t="s">
        <v>5</v>
      </c>
      <c r="L191" s="60">
        <f t="shared" ref="L191:Q195" si="53">L47+L66+L85+L104+L123+L142+L161+L180</f>
        <v>10.320404982868904</v>
      </c>
      <c r="M191" s="171">
        <f t="shared" si="53"/>
        <v>0</v>
      </c>
      <c r="N191" s="60">
        <f t="shared" si="53"/>
        <v>0</v>
      </c>
      <c r="O191" s="60">
        <f t="shared" si="53"/>
        <v>0</v>
      </c>
      <c r="P191" s="60">
        <f t="shared" si="53"/>
        <v>12.871838688491639</v>
      </c>
      <c r="Q191" s="60">
        <f t="shared" si="53"/>
        <v>8.9411745600478376</v>
      </c>
    </row>
    <row r="192" spans="2:17">
      <c r="B192" s="10" t="s">
        <v>9</v>
      </c>
      <c r="C192" s="78">
        <f>C7</f>
        <v>1.6351851851851853</v>
      </c>
      <c r="D192" s="82">
        <f>L51</f>
        <v>4.9684990444076815</v>
      </c>
      <c r="K192" s="10" t="s">
        <v>6</v>
      </c>
      <c r="L192" s="60">
        <f t="shared" si="53"/>
        <v>18.346217418638734</v>
      </c>
      <c r="M192" s="60">
        <f t="shared" si="53"/>
        <v>0</v>
      </c>
      <c r="N192" s="171">
        <f t="shared" si="53"/>
        <v>0</v>
      </c>
      <c r="O192" s="60">
        <f t="shared" si="53"/>
        <v>0</v>
      </c>
      <c r="P192" s="60">
        <f t="shared" si="53"/>
        <v>11.793959958979926</v>
      </c>
      <c r="Q192" s="60">
        <f t="shared" si="53"/>
        <v>7.863295830536126</v>
      </c>
    </row>
    <row r="193" spans="2:17">
      <c r="B193" s="10" t="s">
        <v>8</v>
      </c>
      <c r="C193" s="78">
        <f t="shared" ref="C193:C199" si="54">C8</f>
        <v>0.96388888888888891</v>
      </c>
      <c r="D193" s="82">
        <f>L69</f>
        <v>3.9306641284438006</v>
      </c>
      <c r="K193" s="10" t="s">
        <v>7</v>
      </c>
      <c r="L193" s="60">
        <f t="shared" si="53"/>
        <v>20.273807332603894</v>
      </c>
      <c r="M193" s="60">
        <f t="shared" si="53"/>
        <v>12.274524803732813</v>
      </c>
      <c r="N193" s="60">
        <f t="shared" si="53"/>
        <v>9.9534023497349917</v>
      </c>
      <c r="O193" s="171">
        <f t="shared" si="53"/>
        <v>0</v>
      </c>
      <c r="P193" s="60">
        <f t="shared" si="53"/>
        <v>0</v>
      </c>
      <c r="Q193" s="60">
        <f t="shared" si="53"/>
        <v>0</v>
      </c>
    </row>
    <row r="194" spans="2:17">
      <c r="B194" s="10" t="s">
        <v>7</v>
      </c>
      <c r="C194" s="78">
        <f t="shared" si="54"/>
        <v>0.41388888888888892</v>
      </c>
      <c r="D194" s="82">
        <f>L87</f>
        <v>1.9275899139651607</v>
      </c>
      <c r="K194" s="10" t="s">
        <v>8</v>
      </c>
      <c r="L194" s="60">
        <f t="shared" si="53"/>
        <v>24.204471461047696</v>
      </c>
      <c r="M194" s="60">
        <f t="shared" si="53"/>
        <v>16.205188932176615</v>
      </c>
      <c r="N194" s="60">
        <f t="shared" si="53"/>
        <v>13.884066478178791</v>
      </c>
      <c r="O194" s="60">
        <f t="shared" si="53"/>
        <v>5.8582540424089613</v>
      </c>
      <c r="P194" s="171">
        <f t="shared" si="53"/>
        <v>0</v>
      </c>
      <c r="Q194" s="60">
        <f t="shared" si="53"/>
        <v>0</v>
      </c>
    </row>
    <row r="195" spans="2:17">
      <c r="B195" s="10" t="s">
        <v>22</v>
      </c>
      <c r="C195" s="78">
        <f t="shared" si="54"/>
        <v>1.9708333333333332</v>
      </c>
      <c r="D195" s="82">
        <f>L105</f>
        <v>8.0258124357698311</v>
      </c>
      <c r="K195" s="10" t="s">
        <v>9</v>
      </c>
      <c r="L195" s="60">
        <f t="shared" si="53"/>
        <v>29.172970505455378</v>
      </c>
      <c r="M195" s="60">
        <f t="shared" si="53"/>
        <v>21.173687976584297</v>
      </c>
      <c r="N195" s="60">
        <f t="shared" si="53"/>
        <v>18.852565522586474</v>
      </c>
      <c r="O195" s="60">
        <f t="shared" si="53"/>
        <v>10.826753086816643</v>
      </c>
      <c r="P195" s="60">
        <f t="shared" si="53"/>
        <v>0</v>
      </c>
      <c r="Q195" s="171">
        <f t="shared" si="53"/>
        <v>0</v>
      </c>
    </row>
    <row r="196" spans="2:17">
      <c r="B196" s="10" t="s">
        <v>23</v>
      </c>
      <c r="C196" s="78">
        <f t="shared" si="54"/>
        <v>0.5180555555555556</v>
      </c>
      <c r="D196" s="82">
        <f>L123</f>
        <v>2.3211224539978224</v>
      </c>
    </row>
    <row r="197" spans="2:17">
      <c r="B197" s="10" t="s">
        <v>4</v>
      </c>
      <c r="C197" s="78">
        <f t="shared" si="54"/>
        <v>2.9444444444444446</v>
      </c>
      <c r="D197" s="82">
        <f>L142</f>
        <v>7.9992825288710812</v>
      </c>
    </row>
    <row r="198" spans="2:17">
      <c r="B198" s="10" t="s">
        <v>24</v>
      </c>
      <c r="C198" s="78">
        <f t="shared" si="54"/>
        <v>0.24861111111111112</v>
      </c>
      <c r="D198" s="82">
        <f>Q160</f>
        <v>1.0778787295117107</v>
      </c>
    </row>
    <row r="199" spans="2:17">
      <c r="B199" s="10" t="s">
        <v>382</v>
      </c>
      <c r="C199" s="78">
        <f t="shared" si="54"/>
        <v>0.625</v>
      </c>
      <c r="D199" s="82">
        <f>Q179</f>
        <v>2.8947967861284445</v>
      </c>
    </row>
    <row r="202" spans="2:17" ht="18">
      <c r="B202" s="176" t="s">
        <v>256</v>
      </c>
      <c r="C202" s="12">
        <f>F42+F61+F80+F99+F118+F137+F156+F175</f>
        <v>54994.47875953844</v>
      </c>
    </row>
  </sheetData>
  <mergeCells count="10">
    <mergeCell ref="B137:E137"/>
    <mergeCell ref="B156:E156"/>
    <mergeCell ref="B175:E175"/>
    <mergeCell ref="K188:Q188"/>
    <mergeCell ref="C17:E17"/>
    <mergeCell ref="B42:E42"/>
    <mergeCell ref="B61:E61"/>
    <mergeCell ref="B80:E80"/>
    <mergeCell ref="B99:E99"/>
    <mergeCell ref="B118:E118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F22B-925F-46D5-9E35-E05DB98FBC10}">
  <dimension ref="B1:Q130"/>
  <sheetViews>
    <sheetView showGridLines="0" topLeftCell="E107" zoomScale="85" zoomScaleNormal="85" workbookViewId="0">
      <selection activeCell="K121" sqref="K121:Q121"/>
    </sheetView>
  </sheetViews>
  <sheetFormatPr defaultRowHeight="14.4"/>
  <cols>
    <col min="2" max="2" width="27.15625" customWidth="1"/>
    <col min="3" max="3" width="20.83984375" customWidth="1"/>
    <col min="4" max="4" width="21.5234375" customWidth="1"/>
    <col min="5" max="5" width="18.1015625" customWidth="1"/>
    <col min="6" max="6" width="14.7890625" customWidth="1"/>
    <col min="7" max="7" width="14.05078125" customWidth="1"/>
    <col min="8" max="8" width="19.1015625" customWidth="1"/>
    <col min="9" max="9" width="16.68359375" customWidth="1"/>
    <col min="10" max="10" width="13.62890625" customWidth="1"/>
    <col min="11" max="11" width="23.47265625" customWidth="1"/>
    <col min="12" max="17" width="14.578125" customWidth="1"/>
    <col min="21" max="21" width="12.20703125" bestFit="1" customWidth="1"/>
    <col min="26" max="26" width="16.47265625" customWidth="1"/>
  </cols>
  <sheetData>
    <row r="1" spans="2:7" s="169" customFormat="1" ht="15.6"/>
    <row r="2" spans="2:7" s="169" customFormat="1" ht="15.6">
      <c r="B2" s="191" t="s">
        <v>373</v>
      </c>
    </row>
    <row r="3" spans="2:7" s="169" customFormat="1" ht="15.6">
      <c r="B3" s="191" t="s">
        <v>374</v>
      </c>
    </row>
    <row r="4" spans="2:7" s="169" customFormat="1" ht="15.6"/>
    <row r="5" spans="2:7" s="169" customFormat="1" ht="15.6">
      <c r="E5" s="98" t="s">
        <v>371</v>
      </c>
      <c r="F5" s="98" t="s">
        <v>372</v>
      </c>
      <c r="G5" s="98" t="s">
        <v>10</v>
      </c>
    </row>
    <row r="6" spans="2:7" s="169" customFormat="1" ht="15.6">
      <c r="D6" s="199" t="s">
        <v>313</v>
      </c>
      <c r="E6" s="6">
        <v>1</v>
      </c>
      <c r="F6" s="6">
        <v>2</v>
      </c>
      <c r="G6" s="202"/>
    </row>
    <row r="7" spans="2:7" s="169" customFormat="1" ht="15.6">
      <c r="D7" s="199" t="s">
        <v>314</v>
      </c>
      <c r="E7" s="6">
        <v>2</v>
      </c>
      <c r="F7" s="6">
        <v>2</v>
      </c>
      <c r="G7" s="203"/>
    </row>
    <row r="8" spans="2:7" s="169" customFormat="1" ht="15.6">
      <c r="D8" s="199" t="s">
        <v>330</v>
      </c>
      <c r="E8" s="6" t="s">
        <v>215</v>
      </c>
      <c r="F8" s="6" t="s">
        <v>215</v>
      </c>
      <c r="G8" s="203"/>
    </row>
    <row r="9" spans="2:7" s="169" customFormat="1" ht="15.6">
      <c r="D9" s="199" t="s">
        <v>315</v>
      </c>
      <c r="E9" s="6">
        <v>30</v>
      </c>
      <c r="F9" s="6">
        <v>757</v>
      </c>
      <c r="G9" s="203"/>
    </row>
    <row r="10" spans="2:7" s="169" customFormat="1" ht="15.6">
      <c r="D10" s="199" t="s">
        <v>316</v>
      </c>
      <c r="E10" s="6">
        <v>1</v>
      </c>
      <c r="F10" s="6">
        <v>1</v>
      </c>
      <c r="G10" s="203"/>
    </row>
    <row r="11" spans="2:7" s="169" customFormat="1" ht="15.6">
      <c r="D11" s="199" t="s">
        <v>515</v>
      </c>
      <c r="E11" s="192">
        <f>E6*E7*E9*E10</f>
        <v>60</v>
      </c>
      <c r="F11" s="192">
        <f>F6*F7*F9*F10</f>
        <v>3028</v>
      </c>
      <c r="G11" s="203"/>
    </row>
    <row r="12" spans="2:7" s="169" customFormat="1" ht="15.6">
      <c r="D12" s="199" t="s">
        <v>516</v>
      </c>
      <c r="E12" s="6">
        <v>0.85</v>
      </c>
      <c r="F12" s="6">
        <v>0.85</v>
      </c>
      <c r="G12" s="204"/>
    </row>
    <row r="13" spans="2:7" s="169" customFormat="1" ht="15.6">
      <c r="D13" s="199" t="s">
        <v>317</v>
      </c>
      <c r="E13" s="78">
        <f>E11*E12/1000</f>
        <v>5.0999999999999997E-2</v>
      </c>
      <c r="F13" s="78">
        <f>F11*F12/1000</f>
        <v>2.5737999999999999</v>
      </c>
      <c r="G13" s="78">
        <f>SUM(E13:F13)</f>
        <v>2.6248</v>
      </c>
    </row>
    <row r="14" spans="2:7" s="169" customFormat="1" ht="15.6"/>
    <row r="15" spans="2:7" s="169" customFormat="1" ht="15.6">
      <c r="D15" s="198"/>
    </row>
    <row r="16" spans="2:7" s="169" customFormat="1" ht="15.6">
      <c r="D16" s="198"/>
    </row>
    <row r="17" spans="2:9" s="169" customFormat="1" ht="15.6">
      <c r="C17" s="263" t="s">
        <v>234</v>
      </c>
      <c r="D17" s="264"/>
      <c r="E17" s="265"/>
    </row>
    <row r="18" spans="2:9" s="169" customFormat="1" ht="18">
      <c r="B18" s="34" t="s">
        <v>221</v>
      </c>
      <c r="C18" s="180" t="s">
        <v>310</v>
      </c>
      <c r="D18" s="180" t="s">
        <v>311</v>
      </c>
      <c r="E18" s="180" t="s">
        <v>312</v>
      </c>
    </row>
    <row r="19" spans="2:9" s="169" customFormat="1" ht="15.6">
      <c r="B19" s="84" t="s">
        <v>215</v>
      </c>
      <c r="C19" s="113">
        <f>'Fatores Emissao'!C63</f>
        <v>3206</v>
      </c>
      <c r="D19" s="181">
        <f>'Fatores Emissao'!D63</f>
        <v>0.05</v>
      </c>
      <c r="E19" s="181">
        <f>'Fatores Emissao'!E63</f>
        <v>0.18</v>
      </c>
    </row>
    <row r="20" spans="2:9" s="169" customFormat="1" ht="15.6"/>
    <row r="21" spans="2:9" s="169" customFormat="1" ht="15.6">
      <c r="B21" s="98" t="s">
        <v>307</v>
      </c>
      <c r="C21" s="98" t="s">
        <v>215</v>
      </c>
      <c r="D21" s="98" t="s">
        <v>235</v>
      </c>
      <c r="E21" s="178" t="s">
        <v>309</v>
      </c>
    </row>
    <row r="22" spans="2:9" s="169" customFormat="1" ht="18">
      <c r="B22" s="199" t="s">
        <v>356</v>
      </c>
      <c r="C22" s="12">
        <f>$G$13*C19</f>
        <v>8415.1088</v>
      </c>
      <c r="D22" s="12">
        <f>'Fatores Emissao'!O6</f>
        <v>1</v>
      </c>
      <c r="E22" s="12">
        <f>C22*D22</f>
        <v>8415.1088</v>
      </c>
    </row>
    <row r="23" spans="2:9" s="169" customFormat="1" ht="18">
      <c r="B23" s="199" t="s">
        <v>354</v>
      </c>
      <c r="C23" s="39">
        <f>$G$13*D19</f>
        <v>0.13124</v>
      </c>
      <c r="D23" s="12">
        <f>'Fatores Emissao'!O7</f>
        <v>28</v>
      </c>
      <c r="E23" s="12">
        <f t="shared" ref="E23:E24" si="0">C23*D23</f>
        <v>3.6747199999999998</v>
      </c>
    </row>
    <row r="24" spans="2:9" s="169" customFormat="1" ht="18">
      <c r="B24" s="199" t="s">
        <v>355</v>
      </c>
      <c r="C24" s="39">
        <f>$G$13*E19</f>
        <v>0.472464</v>
      </c>
      <c r="D24" s="12">
        <f>'Fatores Emissao'!O8</f>
        <v>265</v>
      </c>
      <c r="E24" s="12">
        <f t="shared" si="0"/>
        <v>125.20296</v>
      </c>
    </row>
    <row r="25" spans="2:9" s="169" customFormat="1" ht="15.6">
      <c r="B25" s="205" t="s">
        <v>10</v>
      </c>
      <c r="C25" s="205"/>
      <c r="D25" s="205"/>
      <c r="E25" s="200">
        <f>SUM(E22:E24)</f>
        <v>8543.9864800000014</v>
      </c>
    </row>
    <row r="26" spans="2:9" s="169" customFormat="1" ht="15.6">
      <c r="D26" s="198"/>
    </row>
    <row r="27" spans="2:9" s="169" customFormat="1" ht="15.6"/>
    <row r="28" spans="2:9" s="169" customFormat="1" ht="15.6">
      <c r="B28" s="5" t="s">
        <v>188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5" t="s">
        <v>47</v>
      </c>
    </row>
    <row r="29" spans="2:9" s="169" customFormat="1" ht="15.6">
      <c r="B29" s="10" t="s">
        <v>4</v>
      </c>
      <c r="C29" s="11">
        <f>'Movimentacao de Conteineres'!K30</f>
        <v>0</v>
      </c>
      <c r="D29" s="12">
        <f>'Movimentacao de Conteineres'!L30</f>
        <v>175</v>
      </c>
      <c r="E29" s="12">
        <f>'Movimentacao de Conteineres'!M30</f>
        <v>156</v>
      </c>
      <c r="F29" s="12">
        <f>'Movimentacao de Conteineres'!N30</f>
        <v>0</v>
      </c>
      <c r="G29" s="12">
        <f>'Movimentacao de Conteineres'!O30</f>
        <v>226</v>
      </c>
      <c r="H29" s="12">
        <f>'Movimentacao de Conteineres'!P30</f>
        <v>648</v>
      </c>
      <c r="I29" s="13">
        <f t="shared" ref="I29:I34" si="1">SUM(C29:H29)</f>
        <v>1205</v>
      </c>
    </row>
    <row r="30" spans="2:9" s="169" customFormat="1" ht="15.6">
      <c r="B30" s="10" t="s">
        <v>5</v>
      </c>
      <c r="C30" s="12">
        <f>'Movimentacao de Conteineres'!K31</f>
        <v>260</v>
      </c>
      <c r="D30" s="11">
        <f>'Movimentacao de Conteineres'!L31</f>
        <v>0</v>
      </c>
      <c r="E30" s="12">
        <f>'Movimentacao de Conteineres'!M31</f>
        <v>0</v>
      </c>
      <c r="F30" s="12">
        <f>'Movimentacao de Conteineres'!N31</f>
        <v>0</v>
      </c>
      <c r="G30" s="12">
        <f>'Movimentacao de Conteineres'!O31</f>
        <v>20</v>
      </c>
      <c r="H30" s="12">
        <f>'Movimentacao de Conteineres'!P31</f>
        <v>136</v>
      </c>
      <c r="I30" s="13">
        <f t="shared" si="1"/>
        <v>416</v>
      </c>
    </row>
    <row r="31" spans="2:9" s="169" customFormat="1" ht="15.6">
      <c r="B31" s="10" t="s">
        <v>6</v>
      </c>
      <c r="C31" s="12">
        <f>'Movimentacao de Conteineres'!K32</f>
        <v>331</v>
      </c>
      <c r="D31" s="12">
        <f>'Movimentacao de Conteineres'!L32</f>
        <v>0</v>
      </c>
      <c r="E31" s="11">
        <f>'Movimentacao de Conteineres'!M32</f>
        <v>0</v>
      </c>
      <c r="F31" s="12">
        <f>'Movimentacao de Conteineres'!N32</f>
        <v>0</v>
      </c>
      <c r="G31" s="12">
        <f>'Movimentacao de Conteineres'!O32</f>
        <v>30</v>
      </c>
      <c r="H31" s="12">
        <f>'Movimentacao de Conteineres'!P32</f>
        <v>58</v>
      </c>
      <c r="I31" s="13">
        <f t="shared" si="1"/>
        <v>419</v>
      </c>
    </row>
    <row r="32" spans="2:9" s="169" customFormat="1" ht="15.6">
      <c r="B32" s="10" t="s">
        <v>7</v>
      </c>
      <c r="C32" s="12">
        <f>'Movimentacao de Conteineres'!K33</f>
        <v>86</v>
      </c>
      <c r="D32" s="12">
        <f>'Movimentacao de Conteineres'!L33</f>
        <v>9</v>
      </c>
      <c r="E32" s="12">
        <f>'Movimentacao de Conteineres'!M33</f>
        <v>1</v>
      </c>
      <c r="F32" s="11">
        <f>'Movimentacao de Conteineres'!N33</f>
        <v>0</v>
      </c>
      <c r="G32" s="12">
        <f>'Movimentacao de Conteineres'!O33</f>
        <v>0</v>
      </c>
      <c r="H32" s="12">
        <f>'Movimentacao de Conteineres'!P33</f>
        <v>0</v>
      </c>
      <c r="I32" s="13">
        <f t="shared" si="1"/>
        <v>96</v>
      </c>
    </row>
    <row r="33" spans="2:17" s="169" customFormat="1" ht="15.6">
      <c r="B33" s="10" t="s">
        <v>8</v>
      </c>
      <c r="C33" s="12">
        <f>'Movimentacao de Conteineres'!K34</f>
        <v>61</v>
      </c>
      <c r="D33" s="12">
        <f>'Movimentacao de Conteineres'!L34</f>
        <v>120</v>
      </c>
      <c r="E33" s="12">
        <f>'Movimentacao de Conteineres'!M34</f>
        <v>119</v>
      </c>
      <c r="F33" s="12">
        <f>'Movimentacao de Conteineres'!N34</f>
        <v>47</v>
      </c>
      <c r="G33" s="11">
        <f>'Movimentacao de Conteineres'!O34</f>
        <v>0</v>
      </c>
      <c r="H33" s="12">
        <f>'Movimentacao de Conteineres'!P34</f>
        <v>0</v>
      </c>
      <c r="I33" s="13">
        <f t="shared" si="1"/>
        <v>347</v>
      </c>
    </row>
    <row r="34" spans="2:17" s="169" customFormat="1" ht="15.6">
      <c r="B34" s="10" t="s">
        <v>9</v>
      </c>
      <c r="C34" s="12">
        <f>'Movimentacao de Conteineres'!K35</f>
        <v>229</v>
      </c>
      <c r="D34" s="12">
        <f>'Movimentacao de Conteineres'!L35</f>
        <v>221</v>
      </c>
      <c r="E34" s="12">
        <f>'Movimentacao de Conteineres'!M35</f>
        <v>272</v>
      </c>
      <c r="F34" s="12">
        <f>'Movimentacao de Conteineres'!N35</f>
        <v>102</v>
      </c>
      <c r="G34" s="12">
        <f>'Movimentacao de Conteineres'!O35</f>
        <v>0</v>
      </c>
      <c r="H34" s="11">
        <f>'Movimentacao de Conteineres'!P35</f>
        <v>0</v>
      </c>
      <c r="I34" s="13">
        <f t="shared" si="1"/>
        <v>824</v>
      </c>
    </row>
    <row r="35" spans="2:17" s="169" customFormat="1" ht="15.6">
      <c r="B35" s="16" t="s">
        <v>48</v>
      </c>
      <c r="C35" s="13">
        <f t="shared" ref="C35:I35" si="2">SUM(C29:C34)</f>
        <v>967</v>
      </c>
      <c r="D35" s="13">
        <f t="shared" si="2"/>
        <v>525</v>
      </c>
      <c r="E35" s="13">
        <f t="shared" si="2"/>
        <v>548</v>
      </c>
      <c r="F35" s="13">
        <f t="shared" si="2"/>
        <v>149</v>
      </c>
      <c r="G35" s="13">
        <f t="shared" si="2"/>
        <v>276</v>
      </c>
      <c r="H35" s="13">
        <f t="shared" si="2"/>
        <v>842</v>
      </c>
      <c r="I35" s="13">
        <f t="shared" si="2"/>
        <v>3307</v>
      </c>
    </row>
    <row r="38" spans="2:17" ht="23.1">
      <c r="B38" s="273" t="s">
        <v>321</v>
      </c>
      <c r="C38" s="273"/>
      <c r="D38" s="273"/>
      <c r="E38" s="273"/>
      <c r="F38" s="273"/>
      <c r="G38" s="273"/>
      <c r="H38" s="273"/>
      <c r="I38" s="273"/>
    </row>
    <row r="40" spans="2:17" ht="15.6">
      <c r="B40" s="98" t="s">
        <v>375</v>
      </c>
      <c r="C40" s="179" t="s">
        <v>9</v>
      </c>
      <c r="K40" s="98" t="s">
        <v>302</v>
      </c>
      <c r="L40" s="179" t="str">
        <f>C40</f>
        <v>BRSSZ</v>
      </c>
      <c r="N40" s="169"/>
      <c r="O40" s="169"/>
      <c r="P40" s="169"/>
      <c r="Q40" s="169"/>
    </row>
    <row r="41" spans="2:17" ht="15.6">
      <c r="B41" s="5" t="s">
        <v>188</v>
      </c>
      <c r="C41" s="4" t="s">
        <v>4</v>
      </c>
      <c r="D41" s="4" t="s">
        <v>5</v>
      </c>
      <c r="E41" s="4" t="s">
        <v>6</v>
      </c>
      <c r="F41" s="4" t="s">
        <v>7</v>
      </c>
      <c r="G41" s="4" t="s">
        <v>8</v>
      </c>
      <c r="H41" s="4" t="s">
        <v>9</v>
      </c>
      <c r="I41" s="5" t="s">
        <v>47</v>
      </c>
      <c r="K41" s="5" t="s">
        <v>308</v>
      </c>
      <c r="L41" s="4" t="s">
        <v>4</v>
      </c>
      <c r="M41" s="4" t="s">
        <v>5</v>
      </c>
      <c r="N41" s="4" t="s">
        <v>6</v>
      </c>
      <c r="O41" s="4" t="s">
        <v>7</v>
      </c>
      <c r="P41" s="4" t="s">
        <v>8</v>
      </c>
      <c r="Q41" s="4" t="s">
        <v>9</v>
      </c>
    </row>
    <row r="42" spans="2:17" ht="15.6">
      <c r="B42" s="10" t="s">
        <v>4</v>
      </c>
      <c r="C42" s="11"/>
      <c r="D42" s="12"/>
      <c r="E42" s="12"/>
      <c r="F42" s="12"/>
      <c r="G42" s="12">
        <f t="shared" ref="G42:H42" si="3">G29</f>
        <v>226</v>
      </c>
      <c r="H42" s="12">
        <f t="shared" si="3"/>
        <v>648</v>
      </c>
      <c r="I42" s="13">
        <f t="shared" ref="I42:I47" si="4">SUM(C42:H42)</f>
        <v>874</v>
      </c>
      <c r="K42" s="10" t="s">
        <v>4</v>
      </c>
      <c r="L42" s="171">
        <f>IF(C42=0,0,$E$25/$I$48)</f>
        <v>0</v>
      </c>
      <c r="M42" s="60">
        <f t="shared" ref="M42:M47" si="5">IF(D42=0,0,$E$25/$I$48)</f>
        <v>0</v>
      </c>
      <c r="N42" s="60">
        <f t="shared" ref="N42:N47" si="6">IF(E42=0,0,$E$25/$I$48)</f>
        <v>0</v>
      </c>
      <c r="O42" s="60">
        <f t="shared" ref="O42:O47" si="7">IF(F42=0,0,$E$25/$I$48)</f>
        <v>0</v>
      </c>
      <c r="P42" s="60">
        <f t="shared" ref="P42:P47" si="8">IF(G42=0,0,$E$25/$I$48)</f>
        <v>4.3995810916580851</v>
      </c>
      <c r="Q42" s="60">
        <f t="shared" ref="Q42:Q47" si="9">IF(H42=0,0,$E$25/$I$48)</f>
        <v>4.3995810916580851</v>
      </c>
    </row>
    <row r="43" spans="2:17" ht="15.6">
      <c r="B43" s="10" t="s">
        <v>5</v>
      </c>
      <c r="C43" s="12"/>
      <c r="D43" s="11"/>
      <c r="E43" s="12"/>
      <c r="F43" s="12"/>
      <c r="G43" s="12">
        <f t="shared" ref="G43:H43" si="10">G30</f>
        <v>20</v>
      </c>
      <c r="H43" s="12">
        <f t="shared" si="10"/>
        <v>136</v>
      </c>
      <c r="I43" s="13">
        <f t="shared" si="4"/>
        <v>156</v>
      </c>
      <c r="K43" s="10" t="s">
        <v>5</v>
      </c>
      <c r="L43" s="60">
        <f t="shared" ref="L43:L46" si="11">IF(C43=0,0,$E$25/$I$48)</f>
        <v>0</v>
      </c>
      <c r="M43" s="171">
        <f t="shared" si="5"/>
        <v>0</v>
      </c>
      <c r="N43" s="60">
        <f t="shared" si="6"/>
        <v>0</v>
      </c>
      <c r="O43" s="60">
        <f t="shared" si="7"/>
        <v>0</v>
      </c>
      <c r="P43" s="60">
        <f t="shared" si="8"/>
        <v>4.3995810916580851</v>
      </c>
      <c r="Q43" s="60">
        <f t="shared" si="9"/>
        <v>4.3995810916580851</v>
      </c>
    </row>
    <row r="44" spans="2:17" ht="15.6">
      <c r="B44" s="10" t="s">
        <v>6</v>
      </c>
      <c r="C44" s="12"/>
      <c r="D44" s="12"/>
      <c r="E44" s="11"/>
      <c r="F44" s="12"/>
      <c r="G44" s="12">
        <f t="shared" ref="G44:H44" si="12">G31</f>
        <v>30</v>
      </c>
      <c r="H44" s="12">
        <f t="shared" si="12"/>
        <v>58</v>
      </c>
      <c r="I44" s="13">
        <f t="shared" si="4"/>
        <v>88</v>
      </c>
      <c r="K44" s="10" t="s">
        <v>6</v>
      </c>
      <c r="L44" s="60">
        <f t="shared" si="11"/>
        <v>0</v>
      </c>
      <c r="M44" s="60">
        <f t="shared" si="5"/>
        <v>0</v>
      </c>
      <c r="N44" s="171">
        <f t="shared" si="6"/>
        <v>0</v>
      </c>
      <c r="O44" s="60">
        <f t="shared" si="7"/>
        <v>0</v>
      </c>
      <c r="P44" s="60">
        <f t="shared" si="8"/>
        <v>4.3995810916580851</v>
      </c>
      <c r="Q44" s="60">
        <f t="shared" si="9"/>
        <v>4.3995810916580851</v>
      </c>
    </row>
    <row r="45" spans="2:17" ht="15.6">
      <c r="B45" s="10" t="s">
        <v>7</v>
      </c>
      <c r="C45" s="12"/>
      <c r="D45" s="12"/>
      <c r="E45" s="12"/>
      <c r="F45" s="11"/>
      <c r="G45" s="12"/>
      <c r="H45" s="12"/>
      <c r="I45" s="13">
        <f t="shared" si="4"/>
        <v>0</v>
      </c>
      <c r="K45" s="10" t="s">
        <v>7</v>
      </c>
      <c r="L45" s="60">
        <f t="shared" si="11"/>
        <v>0</v>
      </c>
      <c r="M45" s="60">
        <f t="shared" si="5"/>
        <v>0</v>
      </c>
      <c r="N45" s="60">
        <f t="shared" si="6"/>
        <v>0</v>
      </c>
      <c r="O45" s="171">
        <f t="shared" si="7"/>
        <v>0</v>
      </c>
      <c r="P45" s="60">
        <f t="shared" si="8"/>
        <v>0</v>
      </c>
      <c r="Q45" s="60">
        <f t="shared" si="9"/>
        <v>0</v>
      </c>
    </row>
    <row r="46" spans="2:17" ht="15.6">
      <c r="B46" s="10" t="s">
        <v>8</v>
      </c>
      <c r="C46" s="12"/>
      <c r="D46" s="12"/>
      <c r="E46" s="12"/>
      <c r="F46" s="12"/>
      <c r="G46" s="11"/>
      <c r="H46" s="12"/>
      <c r="I46" s="13">
        <f t="shared" si="4"/>
        <v>0</v>
      </c>
      <c r="K46" s="10" t="s">
        <v>8</v>
      </c>
      <c r="L46" s="60">
        <f t="shared" si="11"/>
        <v>0</v>
      </c>
      <c r="M46" s="60">
        <f t="shared" si="5"/>
        <v>0</v>
      </c>
      <c r="N46" s="60">
        <f t="shared" si="6"/>
        <v>0</v>
      </c>
      <c r="O46" s="60">
        <f t="shared" si="7"/>
        <v>0</v>
      </c>
      <c r="P46" s="171">
        <f t="shared" si="8"/>
        <v>0</v>
      </c>
      <c r="Q46" s="60">
        <f t="shared" si="9"/>
        <v>0</v>
      </c>
    </row>
    <row r="47" spans="2:17" ht="15.6">
      <c r="B47" s="10" t="s">
        <v>9</v>
      </c>
      <c r="C47" s="12">
        <f t="shared" ref="C47:H47" si="13">C34</f>
        <v>229</v>
      </c>
      <c r="D47" s="12">
        <f t="shared" si="13"/>
        <v>221</v>
      </c>
      <c r="E47" s="12">
        <f t="shared" si="13"/>
        <v>272</v>
      </c>
      <c r="F47" s="12">
        <f t="shared" si="13"/>
        <v>102</v>
      </c>
      <c r="G47" s="12">
        <f t="shared" si="13"/>
        <v>0</v>
      </c>
      <c r="H47" s="11">
        <f t="shared" si="13"/>
        <v>0</v>
      </c>
      <c r="I47" s="13">
        <f t="shared" si="4"/>
        <v>824</v>
      </c>
      <c r="K47" s="10" t="s">
        <v>9</v>
      </c>
      <c r="L47" s="60">
        <f>IF(C47=0,0,$E$25/$I$48)</f>
        <v>4.3995810916580851</v>
      </c>
      <c r="M47" s="60">
        <f t="shared" si="5"/>
        <v>4.3995810916580851</v>
      </c>
      <c r="N47" s="60">
        <f t="shared" si="6"/>
        <v>4.3995810916580851</v>
      </c>
      <c r="O47" s="60">
        <f t="shared" si="7"/>
        <v>4.3995810916580851</v>
      </c>
      <c r="P47" s="60">
        <f t="shared" si="8"/>
        <v>0</v>
      </c>
      <c r="Q47" s="171">
        <f t="shared" si="9"/>
        <v>0</v>
      </c>
    </row>
    <row r="48" spans="2:17" ht="15.6">
      <c r="B48" s="16" t="s">
        <v>48</v>
      </c>
      <c r="C48" s="13">
        <f t="shared" ref="C48:I48" si="14">SUM(C42:C47)</f>
        <v>229</v>
      </c>
      <c r="D48" s="13">
        <f t="shared" si="14"/>
        <v>221</v>
      </c>
      <c r="E48" s="13">
        <f t="shared" si="14"/>
        <v>272</v>
      </c>
      <c r="F48" s="13">
        <f t="shared" si="14"/>
        <v>102</v>
      </c>
      <c r="G48" s="13">
        <f t="shared" si="14"/>
        <v>276</v>
      </c>
      <c r="H48" s="13">
        <f t="shared" si="14"/>
        <v>842</v>
      </c>
      <c r="I48" s="13">
        <f t="shared" si="14"/>
        <v>1942</v>
      </c>
    </row>
    <row r="50" spans="2:17" ht="15.6">
      <c r="B50" s="98" t="s">
        <v>375</v>
      </c>
      <c r="C50" s="179" t="s">
        <v>8</v>
      </c>
      <c r="K50" s="98" t="s">
        <v>302</v>
      </c>
      <c r="L50" s="179" t="str">
        <f>C50</f>
        <v>BRIGI</v>
      </c>
      <c r="N50" s="169"/>
      <c r="O50" s="169"/>
      <c r="P50" s="169"/>
      <c r="Q50" s="169"/>
    </row>
    <row r="51" spans="2:17" ht="15.6">
      <c r="B51" s="5" t="s">
        <v>188</v>
      </c>
      <c r="C51" s="4" t="s">
        <v>4</v>
      </c>
      <c r="D51" s="4" t="s">
        <v>5</v>
      </c>
      <c r="E51" s="4" t="s">
        <v>6</v>
      </c>
      <c r="F51" s="4" t="s">
        <v>7</v>
      </c>
      <c r="G51" s="4" t="s">
        <v>8</v>
      </c>
      <c r="H51" s="4" t="s">
        <v>9</v>
      </c>
      <c r="I51" s="5" t="s">
        <v>47</v>
      </c>
      <c r="K51" s="5" t="s">
        <v>308</v>
      </c>
      <c r="L51" s="4" t="s">
        <v>4</v>
      </c>
      <c r="M51" s="4" t="s">
        <v>5</v>
      </c>
      <c r="N51" s="4" t="s">
        <v>6</v>
      </c>
      <c r="O51" s="4" t="s">
        <v>7</v>
      </c>
      <c r="P51" s="4" t="s">
        <v>8</v>
      </c>
      <c r="Q51" s="4" t="s">
        <v>9</v>
      </c>
    </row>
    <row r="52" spans="2:17" ht="15.6">
      <c r="B52" s="10" t="s">
        <v>4</v>
      </c>
      <c r="C52" s="11"/>
      <c r="D52" s="12"/>
      <c r="E52" s="12"/>
      <c r="F52" s="12"/>
      <c r="G52" s="12">
        <f t="shared" ref="G52" si="15">G29</f>
        <v>226</v>
      </c>
      <c r="H52" s="12"/>
      <c r="I52" s="13">
        <f t="shared" ref="I52:I57" si="16">SUM(C52:H52)</f>
        <v>226</v>
      </c>
      <c r="K52" s="10" t="s">
        <v>4</v>
      </c>
      <c r="L52" s="171">
        <f>IF(C52=0,0,$E$25/$I$58)</f>
        <v>0</v>
      </c>
      <c r="M52" s="60">
        <f t="shared" ref="M52:M57" si="17">IF(D52=0,0,$E$25/$I$58)</f>
        <v>0</v>
      </c>
      <c r="N52" s="60">
        <f t="shared" ref="N52:N57" si="18">IF(E52=0,0,$E$25/$I$58)</f>
        <v>0</v>
      </c>
      <c r="O52" s="60">
        <f t="shared" ref="O52:O57" si="19">IF(F52=0,0,$E$25/$I$58)</f>
        <v>0</v>
      </c>
      <c r="P52" s="60">
        <f t="shared" ref="P52:P57" si="20">IF(G52=0,0,$E$25/$I$58)</f>
        <v>5.904620926053906</v>
      </c>
      <c r="Q52" s="60">
        <f t="shared" ref="Q52:Q57" si="21">IF(H52=0,0,$E$25/$I$58)</f>
        <v>0</v>
      </c>
    </row>
    <row r="53" spans="2:17" ht="15.6">
      <c r="B53" s="10" t="s">
        <v>5</v>
      </c>
      <c r="C53" s="12"/>
      <c r="D53" s="11"/>
      <c r="E53" s="12"/>
      <c r="F53" s="12"/>
      <c r="G53" s="12">
        <f t="shared" ref="G53" si="22">G30</f>
        <v>20</v>
      </c>
      <c r="H53" s="12"/>
      <c r="I53" s="13">
        <f t="shared" si="16"/>
        <v>20</v>
      </c>
      <c r="K53" s="10" t="s">
        <v>5</v>
      </c>
      <c r="L53" s="60">
        <f t="shared" ref="L53:L56" si="23">IF(C53=0,0,$E$25/$I$58)</f>
        <v>0</v>
      </c>
      <c r="M53" s="171">
        <f t="shared" si="17"/>
        <v>0</v>
      </c>
      <c r="N53" s="60">
        <f t="shared" si="18"/>
        <v>0</v>
      </c>
      <c r="O53" s="60">
        <f t="shared" si="19"/>
        <v>0</v>
      </c>
      <c r="P53" s="60">
        <f t="shared" si="20"/>
        <v>5.904620926053906</v>
      </c>
      <c r="Q53" s="60">
        <f t="shared" si="21"/>
        <v>0</v>
      </c>
    </row>
    <row r="54" spans="2:17" ht="15.6">
      <c r="B54" s="10" t="s">
        <v>6</v>
      </c>
      <c r="C54" s="12"/>
      <c r="D54" s="12"/>
      <c r="E54" s="11"/>
      <c r="F54" s="12"/>
      <c r="G54" s="12">
        <f t="shared" ref="G54" si="24">G31</f>
        <v>30</v>
      </c>
      <c r="H54" s="12"/>
      <c r="I54" s="13">
        <f t="shared" si="16"/>
        <v>30</v>
      </c>
      <c r="K54" s="10" t="s">
        <v>6</v>
      </c>
      <c r="L54" s="60">
        <f t="shared" si="23"/>
        <v>0</v>
      </c>
      <c r="M54" s="60">
        <f t="shared" si="17"/>
        <v>0</v>
      </c>
      <c r="N54" s="171">
        <f t="shared" si="18"/>
        <v>0</v>
      </c>
      <c r="O54" s="60">
        <f t="shared" si="19"/>
        <v>0</v>
      </c>
      <c r="P54" s="60">
        <f t="shared" si="20"/>
        <v>5.904620926053906</v>
      </c>
      <c r="Q54" s="60">
        <f t="shared" si="21"/>
        <v>0</v>
      </c>
    </row>
    <row r="55" spans="2:17" ht="15.6">
      <c r="B55" s="10" t="s">
        <v>7</v>
      </c>
      <c r="C55" s="12"/>
      <c r="D55" s="12"/>
      <c r="E55" s="12"/>
      <c r="F55" s="11"/>
      <c r="G55" s="12"/>
      <c r="H55" s="12"/>
      <c r="I55" s="13">
        <f t="shared" si="16"/>
        <v>0</v>
      </c>
      <c r="K55" s="10" t="s">
        <v>7</v>
      </c>
      <c r="L55" s="60">
        <f t="shared" si="23"/>
        <v>0</v>
      </c>
      <c r="M55" s="60">
        <f t="shared" si="17"/>
        <v>0</v>
      </c>
      <c r="N55" s="60">
        <f t="shared" si="18"/>
        <v>0</v>
      </c>
      <c r="O55" s="171">
        <f t="shared" si="19"/>
        <v>0</v>
      </c>
      <c r="P55" s="60">
        <f t="shared" si="20"/>
        <v>0</v>
      </c>
      <c r="Q55" s="60">
        <f t="shared" si="21"/>
        <v>0</v>
      </c>
    </row>
    <row r="56" spans="2:17" ht="15.6">
      <c r="B56" s="10" t="s">
        <v>8</v>
      </c>
      <c r="C56" s="12">
        <f t="shared" ref="C56:F56" si="25">C33</f>
        <v>61</v>
      </c>
      <c r="D56" s="12">
        <f t="shared" si="25"/>
        <v>120</v>
      </c>
      <c r="E56" s="12">
        <f t="shared" si="25"/>
        <v>119</v>
      </c>
      <c r="F56" s="12">
        <f t="shared" si="25"/>
        <v>47</v>
      </c>
      <c r="G56" s="11"/>
      <c r="H56" s="12"/>
      <c r="I56" s="13">
        <f t="shared" si="16"/>
        <v>347</v>
      </c>
      <c r="K56" s="10" t="s">
        <v>8</v>
      </c>
      <c r="L56" s="60">
        <f t="shared" si="23"/>
        <v>5.904620926053906</v>
      </c>
      <c r="M56" s="60">
        <f t="shared" si="17"/>
        <v>5.904620926053906</v>
      </c>
      <c r="N56" s="60">
        <f t="shared" si="18"/>
        <v>5.904620926053906</v>
      </c>
      <c r="O56" s="60">
        <f t="shared" si="19"/>
        <v>5.904620926053906</v>
      </c>
      <c r="P56" s="171">
        <f t="shared" si="20"/>
        <v>0</v>
      </c>
      <c r="Q56" s="60">
        <f t="shared" si="21"/>
        <v>0</v>
      </c>
    </row>
    <row r="57" spans="2:17" ht="15.6">
      <c r="B57" s="10" t="s">
        <v>9</v>
      </c>
      <c r="C57" s="12">
        <f>C34</f>
        <v>229</v>
      </c>
      <c r="D57" s="12">
        <f t="shared" ref="D57:F57" si="26">D34</f>
        <v>221</v>
      </c>
      <c r="E57" s="12">
        <f t="shared" si="26"/>
        <v>272</v>
      </c>
      <c r="F57" s="12">
        <f t="shared" si="26"/>
        <v>102</v>
      </c>
      <c r="G57" s="12"/>
      <c r="H57" s="11"/>
      <c r="I57" s="13">
        <f t="shared" si="16"/>
        <v>824</v>
      </c>
      <c r="K57" s="10" t="s">
        <v>9</v>
      </c>
      <c r="L57" s="60">
        <f>IF(C57=0,0,$E$25/$I$58)</f>
        <v>5.904620926053906</v>
      </c>
      <c r="M57" s="60">
        <f t="shared" si="17"/>
        <v>5.904620926053906</v>
      </c>
      <c r="N57" s="60">
        <f t="shared" si="18"/>
        <v>5.904620926053906</v>
      </c>
      <c r="O57" s="60">
        <f t="shared" si="19"/>
        <v>5.904620926053906</v>
      </c>
      <c r="P57" s="60">
        <f t="shared" si="20"/>
        <v>0</v>
      </c>
      <c r="Q57" s="171">
        <f t="shared" si="21"/>
        <v>0</v>
      </c>
    </row>
    <row r="58" spans="2:17" ht="15.6">
      <c r="B58" s="16" t="s">
        <v>48</v>
      </c>
      <c r="C58" s="13">
        <f t="shared" ref="C58:I58" si="27">SUM(C52:C57)</f>
        <v>290</v>
      </c>
      <c r="D58" s="13">
        <f t="shared" si="27"/>
        <v>341</v>
      </c>
      <c r="E58" s="13">
        <f t="shared" si="27"/>
        <v>391</v>
      </c>
      <c r="F58" s="13">
        <f t="shared" si="27"/>
        <v>149</v>
      </c>
      <c r="G58" s="13">
        <f t="shared" si="27"/>
        <v>276</v>
      </c>
      <c r="H58" s="13">
        <f t="shared" si="27"/>
        <v>0</v>
      </c>
      <c r="I58" s="13">
        <f t="shared" si="27"/>
        <v>1447</v>
      </c>
    </row>
    <row r="60" spans="2:17" ht="15.6">
      <c r="B60" s="98" t="s">
        <v>375</v>
      </c>
      <c r="C60" s="179" t="s">
        <v>7</v>
      </c>
      <c r="K60" s="98" t="s">
        <v>302</v>
      </c>
      <c r="L60" s="179" t="str">
        <f>C60</f>
        <v>BRSSA</v>
      </c>
      <c r="N60" s="169"/>
      <c r="O60" s="169"/>
      <c r="P60" s="169"/>
      <c r="Q60" s="169"/>
    </row>
    <row r="61" spans="2:17" ht="15.6">
      <c r="B61" s="5" t="s">
        <v>188</v>
      </c>
      <c r="C61" s="4" t="s">
        <v>4</v>
      </c>
      <c r="D61" s="4" t="s">
        <v>5</v>
      </c>
      <c r="E61" s="4" t="s">
        <v>6</v>
      </c>
      <c r="F61" s="4" t="s">
        <v>7</v>
      </c>
      <c r="G61" s="4" t="s">
        <v>8</v>
      </c>
      <c r="H61" s="4" t="s">
        <v>9</v>
      </c>
      <c r="I61" s="5" t="s">
        <v>47</v>
      </c>
      <c r="K61" s="5" t="s">
        <v>308</v>
      </c>
      <c r="L61" s="4" t="s">
        <v>4</v>
      </c>
      <c r="M61" s="4" t="s">
        <v>5</v>
      </c>
      <c r="N61" s="4" t="s">
        <v>6</v>
      </c>
      <c r="O61" s="4" t="s">
        <v>7</v>
      </c>
      <c r="P61" s="4" t="s">
        <v>8</v>
      </c>
      <c r="Q61" s="4" t="s">
        <v>9</v>
      </c>
    </row>
    <row r="62" spans="2:17" ht="15.6">
      <c r="B62" s="10" t="s">
        <v>4</v>
      </c>
      <c r="C62" s="11"/>
      <c r="D62" s="12"/>
      <c r="E62" s="12"/>
      <c r="F62" s="12"/>
      <c r="G62" s="12"/>
      <c r="H62" s="12"/>
      <c r="I62" s="13">
        <f t="shared" ref="I62:I67" si="28">SUM(C62:H62)</f>
        <v>0</v>
      </c>
      <c r="K62" s="10" t="s">
        <v>4</v>
      </c>
      <c r="L62" s="171">
        <f>IF(C62=0,0,$E$25/$I$68)</f>
        <v>0</v>
      </c>
      <c r="M62" s="60">
        <f t="shared" ref="M62:M67" si="29">IF(D62=0,0,$E$25/$I$68)</f>
        <v>0</v>
      </c>
      <c r="N62" s="60">
        <f t="shared" ref="N62:N67" si="30">IF(E62=0,0,$E$25/$I$68)</f>
        <v>0</v>
      </c>
      <c r="O62" s="60">
        <f t="shared" ref="O62:O67" si="31">IF(F62=0,0,$E$25/$I$68)</f>
        <v>0</v>
      </c>
      <c r="P62" s="60">
        <f t="shared" ref="P62:P67" si="32">IF(G62=0,0,$E$25/$I$68)</f>
        <v>0</v>
      </c>
      <c r="Q62" s="60">
        <f t="shared" ref="Q62:Q67" si="33">IF(H62=0,0,$E$25/$I$68)</f>
        <v>0</v>
      </c>
    </row>
    <row r="63" spans="2:17" ht="15.6">
      <c r="B63" s="10" t="s">
        <v>5</v>
      </c>
      <c r="C63" s="12"/>
      <c r="D63" s="11"/>
      <c r="E63" s="12"/>
      <c r="F63" s="12"/>
      <c r="G63" s="12"/>
      <c r="H63" s="12"/>
      <c r="I63" s="13">
        <f t="shared" si="28"/>
        <v>0</v>
      </c>
      <c r="K63" s="10" t="s">
        <v>5</v>
      </c>
      <c r="L63" s="60">
        <f t="shared" ref="L63:L67" si="34">IF(C63=0,0,$E$25/$I$68)</f>
        <v>0</v>
      </c>
      <c r="M63" s="171">
        <f t="shared" si="29"/>
        <v>0</v>
      </c>
      <c r="N63" s="60">
        <f t="shared" si="30"/>
        <v>0</v>
      </c>
      <c r="O63" s="60">
        <f t="shared" si="31"/>
        <v>0</v>
      </c>
      <c r="P63" s="60">
        <f t="shared" si="32"/>
        <v>0</v>
      </c>
      <c r="Q63" s="60">
        <f t="shared" si="33"/>
        <v>0</v>
      </c>
    </row>
    <row r="64" spans="2:17" ht="15.6">
      <c r="B64" s="10" t="s">
        <v>6</v>
      </c>
      <c r="C64" s="12"/>
      <c r="D64" s="12"/>
      <c r="E64" s="11"/>
      <c r="F64" s="12"/>
      <c r="G64" s="12"/>
      <c r="H64" s="12"/>
      <c r="I64" s="13">
        <f t="shared" si="28"/>
        <v>0</v>
      </c>
      <c r="K64" s="10" t="s">
        <v>6</v>
      </c>
      <c r="L64" s="60">
        <f t="shared" si="34"/>
        <v>0</v>
      </c>
      <c r="M64" s="60">
        <f t="shared" si="29"/>
        <v>0</v>
      </c>
      <c r="N64" s="171">
        <f t="shared" si="30"/>
        <v>0</v>
      </c>
      <c r="O64" s="60">
        <f t="shared" si="31"/>
        <v>0</v>
      </c>
      <c r="P64" s="60">
        <f t="shared" si="32"/>
        <v>0</v>
      </c>
      <c r="Q64" s="60">
        <f t="shared" si="33"/>
        <v>0</v>
      </c>
    </row>
    <row r="65" spans="2:17" ht="15.6">
      <c r="B65" s="10" t="s">
        <v>7</v>
      </c>
      <c r="C65" s="12">
        <f t="shared" ref="C65:F65" si="35">C32</f>
        <v>86</v>
      </c>
      <c r="D65" s="12">
        <f t="shared" si="35"/>
        <v>9</v>
      </c>
      <c r="E65" s="12">
        <f t="shared" si="35"/>
        <v>1</v>
      </c>
      <c r="F65" s="11">
        <f t="shared" si="35"/>
        <v>0</v>
      </c>
      <c r="G65" s="12"/>
      <c r="H65" s="12"/>
      <c r="I65" s="13">
        <f t="shared" si="28"/>
        <v>96</v>
      </c>
      <c r="K65" s="10" t="s">
        <v>7</v>
      </c>
      <c r="L65" s="60">
        <f t="shared" si="34"/>
        <v>6.7434778847671675</v>
      </c>
      <c r="M65" s="60">
        <f t="shared" si="29"/>
        <v>6.7434778847671675</v>
      </c>
      <c r="N65" s="60">
        <f t="shared" si="30"/>
        <v>6.7434778847671675</v>
      </c>
      <c r="O65" s="171">
        <f t="shared" si="31"/>
        <v>0</v>
      </c>
      <c r="P65" s="60">
        <f t="shared" si="32"/>
        <v>0</v>
      </c>
      <c r="Q65" s="60">
        <f t="shared" si="33"/>
        <v>0</v>
      </c>
    </row>
    <row r="66" spans="2:17" ht="15.6">
      <c r="B66" s="10" t="s">
        <v>8</v>
      </c>
      <c r="C66" s="12">
        <f>C33</f>
        <v>61</v>
      </c>
      <c r="D66" s="12">
        <f t="shared" ref="D66:F66" si="36">D33</f>
        <v>120</v>
      </c>
      <c r="E66" s="12">
        <f t="shared" si="36"/>
        <v>119</v>
      </c>
      <c r="F66" s="12">
        <f t="shared" si="36"/>
        <v>47</v>
      </c>
      <c r="G66" s="11"/>
      <c r="H66" s="12"/>
      <c r="I66" s="13">
        <f t="shared" si="28"/>
        <v>347</v>
      </c>
      <c r="K66" s="10" t="s">
        <v>8</v>
      </c>
      <c r="L66" s="60">
        <f t="shared" si="34"/>
        <v>6.7434778847671675</v>
      </c>
      <c r="M66" s="60">
        <f t="shared" si="29"/>
        <v>6.7434778847671675</v>
      </c>
      <c r="N66" s="60">
        <f t="shared" si="30"/>
        <v>6.7434778847671675</v>
      </c>
      <c r="O66" s="60">
        <f t="shared" si="31"/>
        <v>6.7434778847671675</v>
      </c>
      <c r="P66" s="171">
        <f t="shared" si="32"/>
        <v>0</v>
      </c>
      <c r="Q66" s="60">
        <f t="shared" si="33"/>
        <v>0</v>
      </c>
    </row>
    <row r="67" spans="2:17" ht="15.6">
      <c r="B67" s="10" t="s">
        <v>9</v>
      </c>
      <c r="C67" s="12">
        <f t="shared" ref="C67:F67" si="37">C34</f>
        <v>229</v>
      </c>
      <c r="D67" s="12">
        <f t="shared" si="37"/>
        <v>221</v>
      </c>
      <c r="E67" s="12">
        <f t="shared" si="37"/>
        <v>272</v>
      </c>
      <c r="F67" s="12">
        <f t="shared" si="37"/>
        <v>102</v>
      </c>
      <c r="G67" s="12"/>
      <c r="H67" s="11"/>
      <c r="I67" s="13">
        <f t="shared" si="28"/>
        <v>824</v>
      </c>
      <c r="K67" s="10" t="s">
        <v>9</v>
      </c>
      <c r="L67" s="60">
        <f t="shared" si="34"/>
        <v>6.7434778847671675</v>
      </c>
      <c r="M67" s="60">
        <f t="shared" si="29"/>
        <v>6.7434778847671675</v>
      </c>
      <c r="N67" s="60">
        <f t="shared" si="30"/>
        <v>6.7434778847671675</v>
      </c>
      <c r="O67" s="60">
        <f t="shared" si="31"/>
        <v>6.7434778847671675</v>
      </c>
      <c r="P67" s="60">
        <f t="shared" si="32"/>
        <v>0</v>
      </c>
      <c r="Q67" s="171">
        <f t="shared" si="33"/>
        <v>0</v>
      </c>
    </row>
    <row r="68" spans="2:17" ht="15.6">
      <c r="B68" s="16" t="s">
        <v>48</v>
      </c>
      <c r="C68" s="13">
        <f t="shared" ref="C68:I68" si="38">SUM(C62:C67)</f>
        <v>376</v>
      </c>
      <c r="D68" s="13">
        <f t="shared" si="38"/>
        <v>350</v>
      </c>
      <c r="E68" s="13">
        <f t="shared" si="38"/>
        <v>392</v>
      </c>
      <c r="F68" s="13">
        <f t="shared" si="38"/>
        <v>149</v>
      </c>
      <c r="G68" s="13">
        <f t="shared" si="38"/>
        <v>0</v>
      </c>
      <c r="H68" s="13">
        <f t="shared" si="38"/>
        <v>0</v>
      </c>
      <c r="I68" s="13">
        <f t="shared" si="38"/>
        <v>1267</v>
      </c>
    </row>
    <row r="70" spans="2:17" ht="15.6">
      <c r="B70" s="98" t="s">
        <v>375</v>
      </c>
      <c r="C70" s="179" t="s">
        <v>6</v>
      </c>
      <c r="K70" s="98" t="s">
        <v>302</v>
      </c>
      <c r="L70" s="179" t="str">
        <f>C70</f>
        <v>BRSUA</v>
      </c>
      <c r="N70" s="169"/>
      <c r="O70" s="169"/>
      <c r="P70" s="169"/>
      <c r="Q70" s="169"/>
    </row>
    <row r="71" spans="2:17" ht="15.6">
      <c r="B71" s="5" t="s">
        <v>188</v>
      </c>
      <c r="C71" s="4" t="s">
        <v>4</v>
      </c>
      <c r="D71" s="4" t="s">
        <v>5</v>
      </c>
      <c r="E71" s="4" t="s">
        <v>6</v>
      </c>
      <c r="F71" s="4" t="s">
        <v>7</v>
      </c>
      <c r="G71" s="4" t="s">
        <v>8</v>
      </c>
      <c r="H71" s="4" t="s">
        <v>9</v>
      </c>
      <c r="I71" s="5" t="s">
        <v>47</v>
      </c>
      <c r="K71" s="5" t="s">
        <v>308</v>
      </c>
      <c r="L71" s="4" t="s">
        <v>4</v>
      </c>
      <c r="M71" s="4" t="s">
        <v>5</v>
      </c>
      <c r="N71" s="4" t="s">
        <v>6</v>
      </c>
      <c r="O71" s="4" t="s">
        <v>7</v>
      </c>
      <c r="P71" s="4" t="s">
        <v>8</v>
      </c>
      <c r="Q71" s="4" t="s">
        <v>9</v>
      </c>
    </row>
    <row r="72" spans="2:17" ht="15.6">
      <c r="B72" s="10" t="s">
        <v>4</v>
      </c>
      <c r="C72" s="11"/>
      <c r="D72" s="12"/>
      <c r="E72" s="12"/>
      <c r="F72" s="12"/>
      <c r="G72" s="12"/>
      <c r="H72" s="12"/>
      <c r="I72" s="13">
        <f t="shared" ref="I72:I77" si="39">SUM(C72:H72)</f>
        <v>0</v>
      </c>
      <c r="K72" s="10" t="s">
        <v>4</v>
      </c>
      <c r="L72" s="171">
        <f>IF(C72=0,0,$E$25/$I$78)</f>
        <v>0</v>
      </c>
      <c r="M72" s="60">
        <f t="shared" ref="M72:M77" si="40">IF(D72=0,0,$E$25/$I$78)</f>
        <v>0</v>
      </c>
      <c r="N72" s="60">
        <f t="shared" ref="N72:N77" si="41">IF(E72=0,0,$E$25/$I$78)</f>
        <v>0</v>
      </c>
      <c r="O72" s="60">
        <f t="shared" ref="O72:O77" si="42">IF(F72=0,0,$E$25/$I$78)</f>
        <v>0</v>
      </c>
      <c r="P72" s="60">
        <f t="shared" ref="P72:P77" si="43">IF(G72=0,0,$E$25/$I$78)</f>
        <v>0</v>
      </c>
      <c r="Q72" s="60">
        <f t="shared" ref="Q72:Q77" si="44">IF(H72=0,0,$E$25/$I$78)</f>
        <v>0</v>
      </c>
    </row>
    <row r="73" spans="2:17" ht="15.6">
      <c r="B73" s="10" t="s">
        <v>5</v>
      </c>
      <c r="C73" s="12"/>
      <c r="D73" s="11"/>
      <c r="E73" s="12"/>
      <c r="F73" s="12"/>
      <c r="G73" s="12"/>
      <c r="H73" s="12"/>
      <c r="I73" s="13">
        <f t="shared" si="39"/>
        <v>0</v>
      </c>
      <c r="K73" s="10" t="s">
        <v>5</v>
      </c>
      <c r="L73" s="60">
        <f t="shared" ref="L73:L77" si="45">IF(C73=0,0,$E$25/$I$78)</f>
        <v>0</v>
      </c>
      <c r="M73" s="171">
        <f t="shared" si="40"/>
        <v>0</v>
      </c>
      <c r="N73" s="60">
        <f t="shared" si="41"/>
        <v>0</v>
      </c>
      <c r="O73" s="60">
        <f t="shared" si="42"/>
        <v>0</v>
      </c>
      <c r="P73" s="60">
        <f t="shared" si="43"/>
        <v>0</v>
      </c>
      <c r="Q73" s="60">
        <f t="shared" si="44"/>
        <v>0</v>
      </c>
    </row>
    <row r="74" spans="2:17" ht="15.6">
      <c r="B74" s="10" t="s">
        <v>6</v>
      </c>
      <c r="C74" s="12">
        <f t="shared" ref="C74" si="46">C31</f>
        <v>331</v>
      </c>
      <c r="D74" s="12"/>
      <c r="E74" s="11"/>
      <c r="F74" s="12"/>
      <c r="G74" s="12"/>
      <c r="H74" s="12"/>
      <c r="I74" s="13">
        <f t="shared" si="39"/>
        <v>331</v>
      </c>
      <c r="K74" s="10" t="s">
        <v>6</v>
      </c>
      <c r="L74" s="60">
        <f t="shared" si="45"/>
        <v>5.8964710006901324</v>
      </c>
      <c r="M74" s="60">
        <f t="shared" si="40"/>
        <v>0</v>
      </c>
      <c r="N74" s="171">
        <f t="shared" si="41"/>
        <v>0</v>
      </c>
      <c r="O74" s="60">
        <f t="shared" si="42"/>
        <v>0</v>
      </c>
      <c r="P74" s="60">
        <f t="shared" si="43"/>
        <v>0</v>
      </c>
      <c r="Q74" s="60">
        <f t="shared" si="44"/>
        <v>0</v>
      </c>
    </row>
    <row r="75" spans="2:17" ht="15.6">
      <c r="B75" s="10" t="s">
        <v>7</v>
      </c>
      <c r="C75" s="12">
        <f t="shared" ref="C75:E75" si="47">C32</f>
        <v>86</v>
      </c>
      <c r="D75" s="12">
        <f t="shared" si="47"/>
        <v>9</v>
      </c>
      <c r="E75" s="12">
        <f t="shared" si="47"/>
        <v>1</v>
      </c>
      <c r="F75" s="11"/>
      <c r="G75" s="12"/>
      <c r="H75" s="12"/>
      <c r="I75" s="13">
        <f t="shared" si="39"/>
        <v>96</v>
      </c>
      <c r="K75" s="10" t="s">
        <v>7</v>
      </c>
      <c r="L75" s="60">
        <f t="shared" si="45"/>
        <v>5.8964710006901324</v>
      </c>
      <c r="M75" s="60">
        <f t="shared" si="40"/>
        <v>5.8964710006901324</v>
      </c>
      <c r="N75" s="60">
        <f t="shared" si="41"/>
        <v>5.8964710006901324</v>
      </c>
      <c r="O75" s="171">
        <f t="shared" si="42"/>
        <v>0</v>
      </c>
      <c r="P75" s="60">
        <f t="shared" si="43"/>
        <v>0</v>
      </c>
      <c r="Q75" s="60">
        <f t="shared" si="44"/>
        <v>0</v>
      </c>
    </row>
    <row r="76" spans="2:17" ht="15.6">
      <c r="B76" s="10" t="s">
        <v>8</v>
      </c>
      <c r="C76" s="12">
        <f>C33</f>
        <v>61</v>
      </c>
      <c r="D76" s="12">
        <f t="shared" ref="D76:E76" si="48">D33</f>
        <v>120</v>
      </c>
      <c r="E76" s="12">
        <f t="shared" si="48"/>
        <v>119</v>
      </c>
      <c r="F76" s="12"/>
      <c r="G76" s="11"/>
      <c r="H76" s="12"/>
      <c r="I76" s="13">
        <f t="shared" si="39"/>
        <v>300</v>
      </c>
      <c r="K76" s="10" t="s">
        <v>8</v>
      </c>
      <c r="L76" s="60">
        <f t="shared" si="45"/>
        <v>5.8964710006901324</v>
      </c>
      <c r="M76" s="60">
        <f t="shared" si="40"/>
        <v>5.8964710006901324</v>
      </c>
      <c r="N76" s="60">
        <f t="shared" si="41"/>
        <v>5.8964710006901324</v>
      </c>
      <c r="O76" s="60">
        <f t="shared" si="42"/>
        <v>0</v>
      </c>
      <c r="P76" s="171">
        <f t="shared" si="43"/>
        <v>0</v>
      </c>
      <c r="Q76" s="60">
        <f t="shared" si="44"/>
        <v>0</v>
      </c>
    </row>
    <row r="77" spans="2:17" ht="15.6">
      <c r="B77" s="10" t="s">
        <v>9</v>
      </c>
      <c r="C77" s="12">
        <f t="shared" ref="C77:E77" si="49">C34</f>
        <v>229</v>
      </c>
      <c r="D77" s="12">
        <f t="shared" si="49"/>
        <v>221</v>
      </c>
      <c r="E77" s="12">
        <f t="shared" si="49"/>
        <v>272</v>
      </c>
      <c r="F77" s="12"/>
      <c r="G77" s="12"/>
      <c r="H77" s="11"/>
      <c r="I77" s="13">
        <f t="shared" si="39"/>
        <v>722</v>
      </c>
      <c r="K77" s="10" t="s">
        <v>9</v>
      </c>
      <c r="L77" s="60">
        <f t="shared" si="45"/>
        <v>5.8964710006901324</v>
      </c>
      <c r="M77" s="60">
        <f t="shared" si="40"/>
        <v>5.8964710006901324</v>
      </c>
      <c r="N77" s="60">
        <f t="shared" si="41"/>
        <v>5.8964710006901324</v>
      </c>
      <c r="O77" s="60">
        <f t="shared" si="42"/>
        <v>0</v>
      </c>
      <c r="P77" s="60">
        <f t="shared" si="43"/>
        <v>0</v>
      </c>
      <c r="Q77" s="171">
        <f t="shared" si="44"/>
        <v>0</v>
      </c>
    </row>
    <row r="78" spans="2:17" ht="15.6">
      <c r="B78" s="16" t="s">
        <v>48</v>
      </c>
      <c r="C78" s="13">
        <f t="shared" ref="C78:I78" si="50">SUM(C72:C77)</f>
        <v>707</v>
      </c>
      <c r="D78" s="13">
        <f t="shared" si="50"/>
        <v>350</v>
      </c>
      <c r="E78" s="13">
        <f t="shared" si="50"/>
        <v>392</v>
      </c>
      <c r="F78" s="13">
        <f t="shared" si="50"/>
        <v>0</v>
      </c>
      <c r="G78" s="13">
        <f t="shared" si="50"/>
        <v>0</v>
      </c>
      <c r="H78" s="13">
        <f t="shared" si="50"/>
        <v>0</v>
      </c>
      <c r="I78" s="13">
        <f t="shared" si="50"/>
        <v>1449</v>
      </c>
    </row>
    <row r="80" spans="2:17" ht="15.6">
      <c r="B80" s="98" t="s">
        <v>375</v>
      </c>
      <c r="C80" s="179" t="s">
        <v>5</v>
      </c>
      <c r="K80" s="98" t="s">
        <v>302</v>
      </c>
      <c r="L80" s="179" t="str">
        <f>C80</f>
        <v>BRPEC</v>
      </c>
      <c r="N80" s="169"/>
      <c r="O80" s="169"/>
      <c r="P80" s="169"/>
      <c r="Q80" s="169"/>
    </row>
    <row r="81" spans="2:17" ht="15.6">
      <c r="B81" s="5" t="s">
        <v>188</v>
      </c>
      <c r="C81" s="4" t="s">
        <v>4</v>
      </c>
      <c r="D81" s="4" t="s">
        <v>5</v>
      </c>
      <c r="E81" s="4" t="s">
        <v>6</v>
      </c>
      <c r="F81" s="4" t="s">
        <v>7</v>
      </c>
      <c r="G81" s="4" t="s">
        <v>8</v>
      </c>
      <c r="H81" s="4" t="s">
        <v>9</v>
      </c>
      <c r="I81" s="5" t="s">
        <v>47</v>
      </c>
      <c r="K81" s="5" t="s">
        <v>308</v>
      </c>
      <c r="L81" s="4" t="s">
        <v>4</v>
      </c>
      <c r="M81" s="4" t="s">
        <v>5</v>
      </c>
      <c r="N81" s="4" t="s">
        <v>6</v>
      </c>
      <c r="O81" s="4" t="s">
        <v>7</v>
      </c>
      <c r="P81" s="4" t="s">
        <v>8</v>
      </c>
      <c r="Q81" s="4" t="s">
        <v>9</v>
      </c>
    </row>
    <row r="82" spans="2:17" ht="15.6">
      <c r="B82" s="10" t="s">
        <v>4</v>
      </c>
      <c r="C82" s="11"/>
      <c r="D82" s="12"/>
      <c r="E82" s="12"/>
      <c r="F82" s="12"/>
      <c r="G82" s="12"/>
      <c r="H82" s="12"/>
      <c r="I82" s="13">
        <f t="shared" ref="I82:I87" si="51">SUM(C82:H82)</f>
        <v>0</v>
      </c>
      <c r="K82" s="10" t="s">
        <v>4</v>
      </c>
      <c r="L82" s="171">
        <f>IF(C82=0,0,$E$25/$I$88)</f>
        <v>0</v>
      </c>
      <c r="M82" s="60">
        <f t="shared" ref="M82:M87" si="52">IF(D82=0,0,$E$25/$I$88)</f>
        <v>0</v>
      </c>
      <c r="N82" s="60">
        <f t="shared" ref="N82:N87" si="53">IF(E82=0,0,$E$25/$I$88)</f>
        <v>0</v>
      </c>
      <c r="O82" s="60">
        <f t="shared" ref="O82:O87" si="54">IF(F82=0,0,$E$25/$I$88)</f>
        <v>0</v>
      </c>
      <c r="P82" s="60">
        <f t="shared" ref="P82:P87" si="55">IF(G82=0,0,$E$25/$I$88)</f>
        <v>0</v>
      </c>
      <c r="Q82" s="60">
        <f t="shared" ref="Q82:Q87" si="56">IF(H82=0,0,$E$25/$I$88)</f>
        <v>0</v>
      </c>
    </row>
    <row r="83" spans="2:17" ht="15.6">
      <c r="B83" s="10" t="s">
        <v>5</v>
      </c>
      <c r="C83" s="12">
        <f t="shared" ref="C83:C84" si="57">C30</f>
        <v>260</v>
      </c>
      <c r="D83" s="11"/>
      <c r="E83" s="12"/>
      <c r="F83" s="12"/>
      <c r="G83" s="12"/>
      <c r="H83" s="12"/>
      <c r="I83" s="13">
        <f t="shared" si="51"/>
        <v>260</v>
      </c>
      <c r="K83" s="10" t="s">
        <v>5</v>
      </c>
      <c r="L83" s="60">
        <f t="shared" ref="L83:L87" si="58">IF(C83=0,0,$E$25/$I$88)</f>
        <v>6.4874612604403961</v>
      </c>
      <c r="M83" s="171">
        <f t="shared" si="52"/>
        <v>0</v>
      </c>
      <c r="N83" s="60">
        <f t="shared" si="53"/>
        <v>0</v>
      </c>
      <c r="O83" s="60">
        <f t="shared" si="54"/>
        <v>0</v>
      </c>
      <c r="P83" s="60">
        <f t="shared" si="55"/>
        <v>0</v>
      </c>
      <c r="Q83" s="60">
        <f t="shared" si="56"/>
        <v>0</v>
      </c>
    </row>
    <row r="84" spans="2:17" ht="15.6">
      <c r="B84" s="10" t="s">
        <v>6</v>
      </c>
      <c r="C84" s="12">
        <f t="shared" si="57"/>
        <v>331</v>
      </c>
      <c r="D84" s="12"/>
      <c r="E84" s="11"/>
      <c r="F84" s="12"/>
      <c r="G84" s="12"/>
      <c r="H84" s="12"/>
      <c r="I84" s="13">
        <f t="shared" si="51"/>
        <v>331</v>
      </c>
      <c r="K84" s="10" t="s">
        <v>6</v>
      </c>
      <c r="L84" s="60">
        <f>IF(C84=0,0,$E$25/$I$88)</f>
        <v>6.4874612604403961</v>
      </c>
      <c r="M84" s="60">
        <f t="shared" si="52"/>
        <v>0</v>
      </c>
      <c r="N84" s="171">
        <f t="shared" si="53"/>
        <v>0</v>
      </c>
      <c r="O84" s="60">
        <f t="shared" si="54"/>
        <v>0</v>
      </c>
      <c r="P84" s="60">
        <f t="shared" si="55"/>
        <v>0</v>
      </c>
      <c r="Q84" s="60">
        <f t="shared" si="56"/>
        <v>0</v>
      </c>
    </row>
    <row r="85" spans="2:17" ht="15.6">
      <c r="B85" s="10" t="s">
        <v>7</v>
      </c>
      <c r="C85" s="12">
        <f>C32</f>
        <v>86</v>
      </c>
      <c r="D85" s="12">
        <f t="shared" ref="D85" si="59">D32</f>
        <v>9</v>
      </c>
      <c r="E85" s="12"/>
      <c r="F85" s="11"/>
      <c r="G85" s="12"/>
      <c r="H85" s="12"/>
      <c r="I85" s="13">
        <f t="shared" si="51"/>
        <v>95</v>
      </c>
      <c r="K85" s="10" t="s">
        <v>7</v>
      </c>
      <c r="L85" s="60">
        <f t="shared" si="58"/>
        <v>6.4874612604403961</v>
      </c>
      <c r="M85" s="60">
        <f t="shared" si="52"/>
        <v>6.4874612604403961</v>
      </c>
      <c r="N85" s="60">
        <f t="shared" si="53"/>
        <v>0</v>
      </c>
      <c r="O85" s="171">
        <f t="shared" si="54"/>
        <v>0</v>
      </c>
      <c r="P85" s="60">
        <f t="shared" si="55"/>
        <v>0</v>
      </c>
      <c r="Q85" s="60">
        <f t="shared" si="56"/>
        <v>0</v>
      </c>
    </row>
    <row r="86" spans="2:17" ht="15.6">
      <c r="B86" s="10" t="s">
        <v>8</v>
      </c>
      <c r="C86" s="12">
        <f t="shared" ref="C86:D86" si="60">C33</f>
        <v>61</v>
      </c>
      <c r="D86" s="12">
        <f t="shared" si="60"/>
        <v>120</v>
      </c>
      <c r="E86" s="12"/>
      <c r="F86" s="12"/>
      <c r="G86" s="11"/>
      <c r="H86" s="12"/>
      <c r="I86" s="13">
        <f t="shared" si="51"/>
        <v>181</v>
      </c>
      <c r="K86" s="10" t="s">
        <v>8</v>
      </c>
      <c r="L86" s="60">
        <f t="shared" si="58"/>
        <v>6.4874612604403961</v>
      </c>
      <c r="M86" s="60">
        <f t="shared" si="52"/>
        <v>6.4874612604403961</v>
      </c>
      <c r="N86" s="60">
        <f t="shared" si="53"/>
        <v>0</v>
      </c>
      <c r="O86" s="60">
        <f t="shared" si="54"/>
        <v>0</v>
      </c>
      <c r="P86" s="171">
        <f t="shared" si="55"/>
        <v>0</v>
      </c>
      <c r="Q86" s="60">
        <f t="shared" si="56"/>
        <v>0</v>
      </c>
    </row>
    <row r="87" spans="2:17" ht="15.6">
      <c r="B87" s="10" t="s">
        <v>9</v>
      </c>
      <c r="C87" s="12">
        <f t="shared" ref="C87:D87" si="61">C34</f>
        <v>229</v>
      </c>
      <c r="D87" s="12">
        <f t="shared" si="61"/>
        <v>221</v>
      </c>
      <c r="E87" s="12"/>
      <c r="F87" s="12"/>
      <c r="G87" s="12"/>
      <c r="H87" s="11"/>
      <c r="I87" s="13">
        <f t="shared" si="51"/>
        <v>450</v>
      </c>
      <c r="K87" s="10" t="s">
        <v>9</v>
      </c>
      <c r="L87" s="60">
        <f t="shared" si="58"/>
        <v>6.4874612604403961</v>
      </c>
      <c r="M87" s="60">
        <f t="shared" si="52"/>
        <v>6.4874612604403961</v>
      </c>
      <c r="N87" s="60">
        <f t="shared" si="53"/>
        <v>0</v>
      </c>
      <c r="O87" s="60">
        <f t="shared" si="54"/>
        <v>0</v>
      </c>
      <c r="P87" s="60">
        <f t="shared" si="55"/>
        <v>0</v>
      </c>
      <c r="Q87" s="171">
        <f t="shared" si="56"/>
        <v>0</v>
      </c>
    </row>
    <row r="88" spans="2:17" ht="15.6">
      <c r="B88" s="16" t="s">
        <v>48</v>
      </c>
      <c r="C88" s="13">
        <f t="shared" ref="C88:I88" si="62">SUM(C82:C87)</f>
        <v>967</v>
      </c>
      <c r="D88" s="13">
        <f t="shared" si="62"/>
        <v>350</v>
      </c>
      <c r="E88" s="13">
        <f t="shared" si="62"/>
        <v>0</v>
      </c>
      <c r="F88" s="13">
        <f t="shared" si="62"/>
        <v>0</v>
      </c>
      <c r="G88" s="13">
        <f t="shared" si="62"/>
        <v>0</v>
      </c>
      <c r="H88" s="13">
        <f t="shared" si="62"/>
        <v>0</v>
      </c>
      <c r="I88" s="13">
        <f t="shared" si="62"/>
        <v>1317</v>
      </c>
    </row>
    <row r="90" spans="2:17" ht="15.6">
      <c r="B90" s="98" t="s">
        <v>375</v>
      </c>
      <c r="C90" s="179" t="s">
        <v>4</v>
      </c>
      <c r="K90" s="98" t="s">
        <v>302</v>
      </c>
      <c r="L90" s="179" t="str">
        <f>C90</f>
        <v>BRMAO</v>
      </c>
      <c r="N90" s="169"/>
      <c r="O90" s="169"/>
      <c r="P90" s="169"/>
      <c r="Q90" s="169"/>
    </row>
    <row r="91" spans="2:17" ht="15.6">
      <c r="B91" s="5" t="s">
        <v>188</v>
      </c>
      <c r="C91" s="4" t="s">
        <v>4</v>
      </c>
      <c r="D91" s="4" t="s">
        <v>5</v>
      </c>
      <c r="E91" s="4" t="s">
        <v>6</v>
      </c>
      <c r="F91" s="4" t="s">
        <v>7</v>
      </c>
      <c r="G91" s="4" t="s">
        <v>8</v>
      </c>
      <c r="H91" s="4" t="s">
        <v>9</v>
      </c>
      <c r="I91" s="5" t="s">
        <v>47</v>
      </c>
      <c r="K91" s="5" t="s">
        <v>308</v>
      </c>
      <c r="L91" s="4" t="s">
        <v>4</v>
      </c>
      <c r="M91" s="4" t="s">
        <v>5</v>
      </c>
      <c r="N91" s="4" t="s">
        <v>6</v>
      </c>
      <c r="O91" s="4" t="s">
        <v>7</v>
      </c>
      <c r="P91" s="4" t="s">
        <v>8</v>
      </c>
      <c r="Q91" s="4" t="s">
        <v>9</v>
      </c>
    </row>
    <row r="92" spans="2:17" ht="15.6">
      <c r="B92" s="10" t="s">
        <v>4</v>
      </c>
      <c r="C92" s="11"/>
      <c r="D92" s="12">
        <f t="shared" ref="D92:H92" si="63">D29</f>
        <v>175</v>
      </c>
      <c r="E92" s="12">
        <f t="shared" si="63"/>
        <v>156</v>
      </c>
      <c r="F92" s="12"/>
      <c r="G92" s="12">
        <f t="shared" si="63"/>
        <v>226</v>
      </c>
      <c r="H92" s="12">
        <f t="shared" si="63"/>
        <v>648</v>
      </c>
      <c r="I92" s="13">
        <f t="shared" ref="I92:I97" si="64">SUM(C92:H92)</f>
        <v>1205</v>
      </c>
      <c r="K92" s="10" t="s">
        <v>4</v>
      </c>
      <c r="L92" s="171">
        <f>IF(C92=0,0,$E$25/$I$98)</f>
        <v>0</v>
      </c>
      <c r="M92" s="60">
        <f t="shared" ref="M92:M97" si="65">IF(D92=0,0,$E$25/$I$98)</f>
        <v>3.9336954327808478</v>
      </c>
      <c r="N92" s="60">
        <f t="shared" ref="N92:N97" si="66">IF(E92=0,0,$E$25/$I$98)</f>
        <v>3.9336954327808478</v>
      </c>
      <c r="O92" s="60">
        <f t="shared" ref="O92:O97" si="67">IF(F92=0,0,$E$25/$I$98)</f>
        <v>0</v>
      </c>
      <c r="P92" s="60">
        <f t="shared" ref="P92:P97" si="68">IF(G92=0,0,$E$25/$I$98)</f>
        <v>3.9336954327808478</v>
      </c>
      <c r="Q92" s="60">
        <f t="shared" ref="Q92:Q97" si="69">IF(H92=0,0,$E$25/$I$98)</f>
        <v>3.9336954327808478</v>
      </c>
    </row>
    <row r="93" spans="2:17" ht="15.6">
      <c r="B93" s="10" t="s">
        <v>5</v>
      </c>
      <c r="C93" s="12">
        <f t="shared" ref="C93" si="70">C30</f>
        <v>260</v>
      </c>
      <c r="D93" s="11"/>
      <c r="E93" s="12"/>
      <c r="F93" s="12"/>
      <c r="G93" s="12"/>
      <c r="H93" s="12"/>
      <c r="I93" s="13">
        <f t="shared" si="64"/>
        <v>260</v>
      </c>
      <c r="K93" s="10" t="s">
        <v>5</v>
      </c>
      <c r="L93" s="60">
        <f t="shared" ref="L93:L97" si="71">IF(C93=0,0,$E$25/$I$98)</f>
        <v>3.9336954327808478</v>
      </c>
      <c r="M93" s="171">
        <f t="shared" si="65"/>
        <v>0</v>
      </c>
      <c r="N93" s="60">
        <f t="shared" si="66"/>
        <v>0</v>
      </c>
      <c r="O93" s="60">
        <f t="shared" si="67"/>
        <v>0</v>
      </c>
      <c r="P93" s="60">
        <f t="shared" si="68"/>
        <v>0</v>
      </c>
      <c r="Q93" s="60">
        <f t="shared" si="69"/>
        <v>0</v>
      </c>
    </row>
    <row r="94" spans="2:17" ht="15.6">
      <c r="B94" s="10" t="s">
        <v>6</v>
      </c>
      <c r="C94" s="12">
        <f t="shared" ref="C94" si="72">C31</f>
        <v>331</v>
      </c>
      <c r="D94" s="12"/>
      <c r="E94" s="11"/>
      <c r="F94" s="12"/>
      <c r="G94" s="12"/>
      <c r="H94" s="12"/>
      <c r="I94" s="13">
        <f t="shared" si="64"/>
        <v>331</v>
      </c>
      <c r="K94" s="10" t="s">
        <v>6</v>
      </c>
      <c r="L94" s="60">
        <f t="shared" si="71"/>
        <v>3.9336954327808478</v>
      </c>
      <c r="M94" s="60">
        <f t="shared" si="65"/>
        <v>0</v>
      </c>
      <c r="N94" s="171">
        <f t="shared" si="66"/>
        <v>0</v>
      </c>
      <c r="O94" s="60">
        <f t="shared" si="67"/>
        <v>0</v>
      </c>
      <c r="P94" s="60">
        <f t="shared" si="68"/>
        <v>0</v>
      </c>
      <c r="Q94" s="60">
        <f t="shared" si="69"/>
        <v>0</v>
      </c>
    </row>
    <row r="95" spans="2:17" ht="15.6">
      <c r="B95" s="10" t="s">
        <v>7</v>
      </c>
      <c r="C95" s="12">
        <f>C32</f>
        <v>86</v>
      </c>
      <c r="D95" s="12"/>
      <c r="E95" s="12"/>
      <c r="F95" s="11"/>
      <c r="G95" s="12"/>
      <c r="H95" s="12"/>
      <c r="I95" s="13">
        <f t="shared" si="64"/>
        <v>86</v>
      </c>
      <c r="K95" s="10" t="s">
        <v>7</v>
      </c>
      <c r="L95" s="60">
        <f t="shared" si="71"/>
        <v>3.9336954327808478</v>
      </c>
      <c r="M95" s="60">
        <f t="shared" si="65"/>
        <v>0</v>
      </c>
      <c r="N95" s="60">
        <f t="shared" si="66"/>
        <v>0</v>
      </c>
      <c r="O95" s="171">
        <f t="shared" si="67"/>
        <v>0</v>
      </c>
      <c r="P95" s="60">
        <f t="shared" si="68"/>
        <v>0</v>
      </c>
      <c r="Q95" s="60">
        <f t="shared" si="69"/>
        <v>0</v>
      </c>
    </row>
    <row r="96" spans="2:17" ht="15.6">
      <c r="B96" s="10" t="s">
        <v>8</v>
      </c>
      <c r="C96" s="12">
        <f t="shared" ref="C96" si="73">C33</f>
        <v>61</v>
      </c>
      <c r="D96" s="12"/>
      <c r="E96" s="12"/>
      <c r="F96" s="12"/>
      <c r="G96" s="11"/>
      <c r="H96" s="12"/>
      <c r="I96" s="13">
        <f t="shared" si="64"/>
        <v>61</v>
      </c>
      <c r="K96" s="10" t="s">
        <v>8</v>
      </c>
      <c r="L96" s="60">
        <f t="shared" si="71"/>
        <v>3.9336954327808478</v>
      </c>
      <c r="M96" s="60">
        <f t="shared" si="65"/>
        <v>0</v>
      </c>
      <c r="N96" s="60">
        <f t="shared" si="66"/>
        <v>0</v>
      </c>
      <c r="O96" s="60">
        <f t="shared" si="67"/>
        <v>0</v>
      </c>
      <c r="P96" s="171">
        <f t="shared" si="68"/>
        <v>0</v>
      </c>
      <c r="Q96" s="60">
        <f t="shared" si="69"/>
        <v>0</v>
      </c>
    </row>
    <row r="97" spans="2:17" ht="15.6">
      <c r="B97" s="10" t="s">
        <v>9</v>
      </c>
      <c r="C97" s="12">
        <f t="shared" ref="C97" si="74">C34</f>
        <v>229</v>
      </c>
      <c r="D97" s="12"/>
      <c r="E97" s="12"/>
      <c r="F97" s="12"/>
      <c r="G97" s="12"/>
      <c r="H97" s="11"/>
      <c r="I97" s="13">
        <f t="shared" si="64"/>
        <v>229</v>
      </c>
      <c r="K97" s="10" t="s">
        <v>9</v>
      </c>
      <c r="L97" s="60">
        <f t="shared" si="71"/>
        <v>3.9336954327808478</v>
      </c>
      <c r="M97" s="60">
        <f t="shared" si="65"/>
        <v>0</v>
      </c>
      <c r="N97" s="60">
        <f t="shared" si="66"/>
        <v>0</v>
      </c>
      <c r="O97" s="60">
        <f t="shared" si="67"/>
        <v>0</v>
      </c>
      <c r="P97" s="60">
        <f t="shared" si="68"/>
        <v>0</v>
      </c>
      <c r="Q97" s="171">
        <f t="shared" si="69"/>
        <v>0</v>
      </c>
    </row>
    <row r="98" spans="2:17" ht="15.6">
      <c r="B98" s="16" t="s">
        <v>48</v>
      </c>
      <c r="C98" s="13">
        <f t="shared" ref="C98:I98" si="75">SUM(C92:C97)</f>
        <v>967</v>
      </c>
      <c r="D98" s="13">
        <f t="shared" si="75"/>
        <v>175</v>
      </c>
      <c r="E98" s="13">
        <f t="shared" si="75"/>
        <v>156</v>
      </c>
      <c r="F98" s="13">
        <f t="shared" si="75"/>
        <v>0</v>
      </c>
      <c r="G98" s="13">
        <f t="shared" si="75"/>
        <v>226</v>
      </c>
      <c r="H98" s="13">
        <f t="shared" si="75"/>
        <v>648</v>
      </c>
      <c r="I98" s="13">
        <f t="shared" si="75"/>
        <v>2172</v>
      </c>
    </row>
    <row r="100" spans="2:17" ht="15.6">
      <c r="B100" s="98" t="s">
        <v>375</v>
      </c>
      <c r="C100" s="179" t="s">
        <v>5</v>
      </c>
      <c r="K100" s="98" t="s">
        <v>302</v>
      </c>
      <c r="L100" s="179" t="str">
        <f>C100</f>
        <v>BRPEC</v>
      </c>
      <c r="N100" s="169"/>
      <c r="O100" s="169"/>
      <c r="P100" s="169"/>
      <c r="Q100" s="169"/>
    </row>
    <row r="101" spans="2:17" ht="15.6">
      <c r="B101" s="5" t="s">
        <v>188</v>
      </c>
      <c r="C101" s="4" t="s">
        <v>4</v>
      </c>
      <c r="D101" s="4" t="s">
        <v>5</v>
      </c>
      <c r="E101" s="4" t="s">
        <v>6</v>
      </c>
      <c r="F101" s="4" t="s">
        <v>7</v>
      </c>
      <c r="G101" s="4" t="s">
        <v>8</v>
      </c>
      <c r="H101" s="4" t="s">
        <v>9</v>
      </c>
      <c r="I101" s="5" t="s">
        <v>47</v>
      </c>
      <c r="K101" s="5" t="s">
        <v>308</v>
      </c>
      <c r="L101" s="4" t="s">
        <v>4</v>
      </c>
      <c r="M101" s="4" t="s">
        <v>5</v>
      </c>
      <c r="N101" s="4" t="s">
        <v>6</v>
      </c>
      <c r="O101" s="4" t="s">
        <v>7</v>
      </c>
      <c r="P101" s="4" t="s">
        <v>8</v>
      </c>
      <c r="Q101" s="4" t="s">
        <v>9</v>
      </c>
    </row>
    <row r="102" spans="2:17" ht="15.6">
      <c r="B102" s="10" t="s">
        <v>4</v>
      </c>
      <c r="C102" s="11">
        <f t="shared" ref="C102:H102" si="76">C29</f>
        <v>0</v>
      </c>
      <c r="D102" s="12">
        <f t="shared" si="76"/>
        <v>175</v>
      </c>
      <c r="E102" s="12">
        <f t="shared" si="76"/>
        <v>156</v>
      </c>
      <c r="F102" s="12"/>
      <c r="G102" s="12">
        <f t="shared" si="76"/>
        <v>226</v>
      </c>
      <c r="H102" s="12">
        <f t="shared" si="76"/>
        <v>648</v>
      </c>
      <c r="I102" s="13">
        <f t="shared" ref="I102:I107" si="77">SUM(C102:H102)</f>
        <v>1205</v>
      </c>
      <c r="K102" s="10" t="s">
        <v>4</v>
      </c>
      <c r="L102" s="171">
        <f>IF(C102=0,0,$E$25/$I$108)</f>
        <v>0</v>
      </c>
      <c r="M102" s="60">
        <f t="shared" ref="M102:M107" si="78">IF(D102=0,0,$E$25/$I$108)</f>
        <v>6.2777270242468779</v>
      </c>
      <c r="N102" s="60">
        <f t="shared" ref="N102:N107" si="79">IF(E102=0,0,$E$25/$I$108)</f>
        <v>6.2777270242468779</v>
      </c>
      <c r="O102" s="60">
        <f t="shared" ref="O102:O107" si="80">IF(F102=0,0,$E$25/$I$108)</f>
        <v>0</v>
      </c>
      <c r="P102" s="60">
        <f t="shared" ref="P102:P107" si="81">IF(G102=0,0,$E$25/$I$108)</f>
        <v>6.2777270242468779</v>
      </c>
      <c r="Q102" s="60">
        <f t="shared" ref="Q102:Q107" si="82">IF(H102=0,0,$E$25/$I$108)</f>
        <v>6.2777270242468779</v>
      </c>
    </row>
    <row r="103" spans="2:17" ht="15.6">
      <c r="B103" s="10" t="s">
        <v>5</v>
      </c>
      <c r="C103" s="12"/>
      <c r="D103" s="11"/>
      <c r="E103" s="12">
        <f t="shared" ref="E103:H103" si="83">E30</f>
        <v>0</v>
      </c>
      <c r="F103" s="12"/>
      <c r="G103" s="12">
        <f t="shared" si="83"/>
        <v>20</v>
      </c>
      <c r="H103" s="12">
        <f t="shared" si="83"/>
        <v>136</v>
      </c>
      <c r="I103" s="13">
        <f t="shared" si="77"/>
        <v>156</v>
      </c>
      <c r="K103" s="10" t="s">
        <v>5</v>
      </c>
      <c r="L103" s="60">
        <f t="shared" ref="L103:L107" si="84">IF(C103=0,0,$E$25/$I$108)</f>
        <v>0</v>
      </c>
      <c r="M103" s="171">
        <f t="shared" si="78"/>
        <v>0</v>
      </c>
      <c r="N103" s="60">
        <f t="shared" si="79"/>
        <v>0</v>
      </c>
      <c r="O103" s="60">
        <f t="shared" si="80"/>
        <v>0</v>
      </c>
      <c r="P103" s="60">
        <f t="shared" si="81"/>
        <v>6.2777270242468779</v>
      </c>
      <c r="Q103" s="60">
        <f t="shared" si="82"/>
        <v>6.2777270242468779</v>
      </c>
    </row>
    <row r="104" spans="2:17" ht="15.6">
      <c r="B104" s="10" t="s">
        <v>6</v>
      </c>
      <c r="C104" s="12"/>
      <c r="D104" s="12"/>
      <c r="E104" s="11"/>
      <c r="F104" s="12"/>
      <c r="G104" s="12"/>
      <c r="H104" s="12"/>
      <c r="I104" s="13">
        <f t="shared" si="77"/>
        <v>0</v>
      </c>
      <c r="K104" s="10" t="s">
        <v>6</v>
      </c>
      <c r="L104" s="60">
        <f t="shared" si="84"/>
        <v>0</v>
      </c>
      <c r="M104" s="60">
        <f t="shared" si="78"/>
        <v>0</v>
      </c>
      <c r="N104" s="171">
        <f t="shared" si="79"/>
        <v>0</v>
      </c>
      <c r="O104" s="60">
        <f t="shared" si="80"/>
        <v>0</v>
      </c>
      <c r="P104" s="60">
        <f t="shared" si="81"/>
        <v>0</v>
      </c>
      <c r="Q104" s="60">
        <f t="shared" si="82"/>
        <v>0</v>
      </c>
    </row>
    <row r="105" spans="2:17" ht="15.6">
      <c r="B105" s="10" t="s">
        <v>7</v>
      </c>
      <c r="C105" s="12"/>
      <c r="D105" s="12"/>
      <c r="E105" s="12"/>
      <c r="F105" s="11"/>
      <c r="G105" s="12"/>
      <c r="H105" s="12"/>
      <c r="I105" s="13">
        <f t="shared" si="77"/>
        <v>0</v>
      </c>
      <c r="K105" s="10" t="s">
        <v>7</v>
      </c>
      <c r="L105" s="60">
        <f t="shared" si="84"/>
        <v>0</v>
      </c>
      <c r="M105" s="60">
        <f t="shared" si="78"/>
        <v>0</v>
      </c>
      <c r="N105" s="60">
        <f t="shared" si="79"/>
        <v>0</v>
      </c>
      <c r="O105" s="171">
        <f t="shared" si="80"/>
        <v>0</v>
      </c>
      <c r="P105" s="60">
        <f t="shared" si="81"/>
        <v>0</v>
      </c>
      <c r="Q105" s="60">
        <f t="shared" si="82"/>
        <v>0</v>
      </c>
    </row>
    <row r="106" spans="2:17" ht="15.6">
      <c r="B106" s="10" t="s">
        <v>8</v>
      </c>
      <c r="C106" s="12"/>
      <c r="D106" s="12"/>
      <c r="E106" s="12"/>
      <c r="F106" s="12"/>
      <c r="G106" s="11"/>
      <c r="H106" s="12"/>
      <c r="I106" s="13">
        <f t="shared" si="77"/>
        <v>0</v>
      </c>
      <c r="K106" s="10" t="s">
        <v>8</v>
      </c>
      <c r="L106" s="60">
        <f t="shared" si="84"/>
        <v>0</v>
      </c>
      <c r="M106" s="60">
        <f t="shared" si="78"/>
        <v>0</v>
      </c>
      <c r="N106" s="60">
        <f t="shared" si="79"/>
        <v>0</v>
      </c>
      <c r="O106" s="60">
        <f t="shared" si="80"/>
        <v>0</v>
      </c>
      <c r="P106" s="171">
        <f t="shared" si="81"/>
        <v>0</v>
      </c>
      <c r="Q106" s="60">
        <f t="shared" si="82"/>
        <v>0</v>
      </c>
    </row>
    <row r="107" spans="2:17" ht="15.6">
      <c r="B107" s="10" t="s">
        <v>9</v>
      </c>
      <c r="C107" s="12"/>
      <c r="D107" s="12"/>
      <c r="E107" s="12"/>
      <c r="F107" s="12"/>
      <c r="G107" s="12"/>
      <c r="H107" s="11"/>
      <c r="I107" s="13">
        <f t="shared" si="77"/>
        <v>0</v>
      </c>
      <c r="K107" s="10" t="s">
        <v>9</v>
      </c>
      <c r="L107" s="60">
        <f t="shared" si="84"/>
        <v>0</v>
      </c>
      <c r="M107" s="60">
        <f t="shared" si="78"/>
        <v>0</v>
      </c>
      <c r="N107" s="60">
        <f t="shared" si="79"/>
        <v>0</v>
      </c>
      <c r="O107" s="60">
        <f t="shared" si="80"/>
        <v>0</v>
      </c>
      <c r="P107" s="60">
        <f t="shared" si="81"/>
        <v>0</v>
      </c>
      <c r="Q107" s="171">
        <f t="shared" si="82"/>
        <v>0</v>
      </c>
    </row>
    <row r="108" spans="2:17" ht="15.6">
      <c r="B108" s="16" t="s">
        <v>48</v>
      </c>
      <c r="C108" s="13">
        <f t="shared" ref="C108:I108" si="85">SUM(C102:C107)</f>
        <v>0</v>
      </c>
      <c r="D108" s="13">
        <f t="shared" si="85"/>
        <v>175</v>
      </c>
      <c r="E108" s="13">
        <f t="shared" si="85"/>
        <v>156</v>
      </c>
      <c r="F108" s="13">
        <f t="shared" si="85"/>
        <v>0</v>
      </c>
      <c r="G108" s="13">
        <f t="shared" si="85"/>
        <v>246</v>
      </c>
      <c r="H108" s="13">
        <f t="shared" si="85"/>
        <v>784</v>
      </c>
      <c r="I108" s="13">
        <f t="shared" si="85"/>
        <v>1361</v>
      </c>
    </row>
    <row r="110" spans="2:17" ht="15.6">
      <c r="B110" s="98" t="s">
        <v>375</v>
      </c>
      <c r="C110" s="179" t="s">
        <v>6</v>
      </c>
      <c r="K110" s="98" t="s">
        <v>302</v>
      </c>
      <c r="L110" s="179" t="str">
        <f>C110</f>
        <v>BRSUA</v>
      </c>
      <c r="N110" s="169"/>
      <c r="O110" s="169"/>
      <c r="P110" s="169"/>
      <c r="Q110" s="169"/>
    </row>
    <row r="111" spans="2:17" ht="15.6">
      <c r="B111" s="5" t="s">
        <v>188</v>
      </c>
      <c r="C111" s="4" t="s">
        <v>4</v>
      </c>
      <c r="D111" s="4" t="s">
        <v>5</v>
      </c>
      <c r="E111" s="4" t="s">
        <v>6</v>
      </c>
      <c r="F111" s="4" t="s">
        <v>7</v>
      </c>
      <c r="G111" s="4" t="s">
        <v>8</v>
      </c>
      <c r="H111" s="4" t="s">
        <v>9</v>
      </c>
      <c r="I111" s="5" t="s">
        <v>47</v>
      </c>
      <c r="K111" s="5" t="s">
        <v>308</v>
      </c>
      <c r="L111" s="4" t="s">
        <v>4</v>
      </c>
      <c r="M111" s="4" t="s">
        <v>5</v>
      </c>
      <c r="N111" s="4" t="s">
        <v>6</v>
      </c>
      <c r="O111" s="4" t="s">
        <v>7</v>
      </c>
      <c r="P111" s="4" t="s">
        <v>8</v>
      </c>
      <c r="Q111" s="4" t="s">
        <v>9</v>
      </c>
    </row>
    <row r="112" spans="2:17" ht="15.6">
      <c r="B112" s="10" t="s">
        <v>4</v>
      </c>
      <c r="C112" s="11"/>
      <c r="D112" s="12"/>
      <c r="E112" s="12">
        <f t="shared" ref="E112:H112" si="86">E29</f>
        <v>156</v>
      </c>
      <c r="F112" s="12"/>
      <c r="G112" s="12">
        <f t="shared" si="86"/>
        <v>226</v>
      </c>
      <c r="H112" s="12">
        <f t="shared" si="86"/>
        <v>648</v>
      </c>
      <c r="I112" s="13">
        <f t="shared" ref="I112:I117" si="87">SUM(C112:H112)</f>
        <v>1030</v>
      </c>
      <c r="K112" s="10" t="s">
        <v>4</v>
      </c>
      <c r="L112" s="171">
        <f>IF(C112=0,0,$E$25/$I$118)</f>
        <v>0</v>
      </c>
      <c r="M112" s="60">
        <f t="shared" ref="M112:M117" si="88">IF(D112=0,0,$E$25/$I$118)</f>
        <v>0</v>
      </c>
      <c r="N112" s="60">
        <f t="shared" ref="N112:N117" si="89">IF(E112=0,0,$E$25/$I$118)</f>
        <v>6.7064258084772383</v>
      </c>
      <c r="O112" s="60">
        <f t="shared" ref="O112:O117" si="90">IF(F112=0,0,$E$25/$I$118)</f>
        <v>0</v>
      </c>
      <c r="P112" s="60">
        <f t="shared" ref="P112:P117" si="91">IF(G112=0,0,$E$25/$I$118)</f>
        <v>6.7064258084772383</v>
      </c>
      <c r="Q112" s="60">
        <f t="shared" ref="Q112:Q117" si="92">IF(H112=0,0,$E$25/$I$118)</f>
        <v>6.7064258084772383</v>
      </c>
    </row>
    <row r="113" spans="2:17" ht="15.6">
      <c r="B113" s="10" t="s">
        <v>5</v>
      </c>
      <c r="C113" s="12"/>
      <c r="D113" s="11"/>
      <c r="E113" s="12"/>
      <c r="F113" s="12"/>
      <c r="G113" s="12">
        <f t="shared" ref="G113:H113" si="93">G30</f>
        <v>20</v>
      </c>
      <c r="H113" s="12">
        <f t="shared" si="93"/>
        <v>136</v>
      </c>
      <c r="I113" s="13">
        <f t="shared" si="87"/>
        <v>156</v>
      </c>
      <c r="K113" s="10" t="s">
        <v>5</v>
      </c>
      <c r="L113" s="60">
        <f t="shared" ref="L113:L117" si="94">IF(C113=0,0,$E$25/$I$118)</f>
        <v>0</v>
      </c>
      <c r="M113" s="171">
        <f t="shared" si="88"/>
        <v>0</v>
      </c>
      <c r="N113" s="60">
        <f t="shared" si="89"/>
        <v>0</v>
      </c>
      <c r="O113" s="60">
        <f t="shared" si="90"/>
        <v>0</v>
      </c>
      <c r="P113" s="60">
        <f t="shared" si="91"/>
        <v>6.7064258084772383</v>
      </c>
      <c r="Q113" s="60">
        <f t="shared" si="92"/>
        <v>6.7064258084772383</v>
      </c>
    </row>
    <row r="114" spans="2:17" ht="15.6">
      <c r="B114" s="10" t="s">
        <v>6</v>
      </c>
      <c r="C114" s="12"/>
      <c r="D114" s="12"/>
      <c r="E114" s="11"/>
      <c r="F114" s="12"/>
      <c r="G114" s="12">
        <f t="shared" ref="G114:H114" si="95">G31</f>
        <v>30</v>
      </c>
      <c r="H114" s="12">
        <f t="shared" si="95"/>
        <v>58</v>
      </c>
      <c r="I114" s="13">
        <f t="shared" si="87"/>
        <v>88</v>
      </c>
      <c r="K114" s="10" t="s">
        <v>6</v>
      </c>
      <c r="L114" s="60">
        <f t="shared" si="94"/>
        <v>0</v>
      </c>
      <c r="M114" s="60">
        <f t="shared" si="88"/>
        <v>0</v>
      </c>
      <c r="N114" s="171">
        <f t="shared" si="89"/>
        <v>0</v>
      </c>
      <c r="O114" s="60">
        <f t="shared" si="90"/>
        <v>0</v>
      </c>
      <c r="P114" s="60">
        <f t="shared" si="91"/>
        <v>6.7064258084772383</v>
      </c>
      <c r="Q114" s="60">
        <f t="shared" si="92"/>
        <v>6.7064258084772383</v>
      </c>
    </row>
    <row r="115" spans="2:17" ht="15.6">
      <c r="B115" s="10" t="s">
        <v>7</v>
      </c>
      <c r="C115" s="12"/>
      <c r="D115" s="12"/>
      <c r="E115" s="12"/>
      <c r="F115" s="11"/>
      <c r="G115" s="12"/>
      <c r="H115" s="12"/>
      <c r="I115" s="13">
        <f t="shared" si="87"/>
        <v>0</v>
      </c>
      <c r="K115" s="10" t="s">
        <v>7</v>
      </c>
      <c r="L115" s="60">
        <f t="shared" si="94"/>
        <v>0</v>
      </c>
      <c r="M115" s="60">
        <f t="shared" si="88"/>
        <v>0</v>
      </c>
      <c r="N115" s="60">
        <f t="shared" si="89"/>
        <v>0</v>
      </c>
      <c r="O115" s="171">
        <f t="shared" si="90"/>
        <v>0</v>
      </c>
      <c r="P115" s="60">
        <f t="shared" si="91"/>
        <v>0</v>
      </c>
      <c r="Q115" s="60">
        <f t="shared" si="92"/>
        <v>0</v>
      </c>
    </row>
    <row r="116" spans="2:17" ht="15.6">
      <c r="B116" s="10" t="s">
        <v>8</v>
      </c>
      <c r="C116" s="12"/>
      <c r="D116" s="12"/>
      <c r="E116" s="12"/>
      <c r="F116" s="12"/>
      <c r="G116" s="11"/>
      <c r="H116" s="12"/>
      <c r="I116" s="13">
        <f t="shared" si="87"/>
        <v>0</v>
      </c>
      <c r="K116" s="10" t="s">
        <v>8</v>
      </c>
      <c r="L116" s="60">
        <f t="shared" si="94"/>
        <v>0</v>
      </c>
      <c r="M116" s="60">
        <f t="shared" si="88"/>
        <v>0</v>
      </c>
      <c r="N116" s="60">
        <f t="shared" si="89"/>
        <v>0</v>
      </c>
      <c r="O116" s="60">
        <f t="shared" si="90"/>
        <v>0</v>
      </c>
      <c r="P116" s="171">
        <f t="shared" si="91"/>
        <v>0</v>
      </c>
      <c r="Q116" s="60">
        <f t="shared" si="92"/>
        <v>0</v>
      </c>
    </row>
    <row r="117" spans="2:17" ht="15.6">
      <c r="B117" s="10" t="s">
        <v>9</v>
      </c>
      <c r="C117" s="12"/>
      <c r="D117" s="12"/>
      <c r="E117" s="12"/>
      <c r="F117" s="12"/>
      <c r="G117" s="12"/>
      <c r="H117" s="11"/>
      <c r="I117" s="13">
        <f t="shared" si="87"/>
        <v>0</v>
      </c>
      <c r="K117" s="10" t="s">
        <v>9</v>
      </c>
      <c r="L117" s="60">
        <f t="shared" si="94"/>
        <v>0</v>
      </c>
      <c r="M117" s="60">
        <f t="shared" si="88"/>
        <v>0</v>
      </c>
      <c r="N117" s="60">
        <f t="shared" si="89"/>
        <v>0</v>
      </c>
      <c r="O117" s="60">
        <f t="shared" si="90"/>
        <v>0</v>
      </c>
      <c r="P117" s="60">
        <f t="shared" si="91"/>
        <v>0</v>
      </c>
      <c r="Q117" s="171">
        <f t="shared" si="92"/>
        <v>0</v>
      </c>
    </row>
    <row r="118" spans="2:17" ht="15.6">
      <c r="B118" s="16" t="s">
        <v>48</v>
      </c>
      <c r="C118" s="13">
        <f t="shared" ref="C118:I118" si="96">SUM(C112:C117)</f>
        <v>0</v>
      </c>
      <c r="D118" s="13">
        <f t="shared" si="96"/>
        <v>0</v>
      </c>
      <c r="E118" s="13">
        <f t="shared" si="96"/>
        <v>156</v>
      </c>
      <c r="F118" s="13">
        <f t="shared" si="96"/>
        <v>0</v>
      </c>
      <c r="G118" s="13">
        <f t="shared" si="96"/>
        <v>276</v>
      </c>
      <c r="H118" s="13">
        <f t="shared" si="96"/>
        <v>842</v>
      </c>
      <c r="I118" s="13">
        <f t="shared" si="96"/>
        <v>1274</v>
      </c>
    </row>
    <row r="120" spans="2:17" ht="18">
      <c r="B120" s="279" t="s">
        <v>552</v>
      </c>
      <c r="C120" s="279"/>
      <c r="D120" s="279"/>
    </row>
    <row r="121" spans="2:17" ht="18">
      <c r="B121" s="5" t="s">
        <v>381</v>
      </c>
      <c r="C121" s="5" t="s">
        <v>553</v>
      </c>
      <c r="D121" s="5" t="s">
        <v>284</v>
      </c>
      <c r="K121" s="260" t="s">
        <v>554</v>
      </c>
      <c r="L121" s="260"/>
      <c r="M121" s="260"/>
      <c r="N121" s="260"/>
      <c r="O121" s="260"/>
      <c r="P121" s="260"/>
      <c r="Q121" s="260"/>
    </row>
    <row r="122" spans="2:17" ht="15.6">
      <c r="B122" s="10" t="s">
        <v>9</v>
      </c>
      <c r="C122" s="192">
        <f>$E$25</f>
        <v>8543.9864800000014</v>
      </c>
      <c r="D122" s="82">
        <f>L47</f>
        <v>4.3995810916580851</v>
      </c>
      <c r="K122" s="5" t="s">
        <v>302</v>
      </c>
      <c r="L122" s="4" t="s">
        <v>4</v>
      </c>
      <c r="M122" s="4" t="s">
        <v>5</v>
      </c>
      <c r="N122" s="4" t="s">
        <v>6</v>
      </c>
      <c r="O122" s="4" t="s">
        <v>7</v>
      </c>
      <c r="P122" s="4" t="s">
        <v>8</v>
      </c>
      <c r="Q122" s="4" t="s">
        <v>9</v>
      </c>
    </row>
    <row r="123" spans="2:17" ht="15.6">
      <c r="B123" s="10" t="s">
        <v>8</v>
      </c>
      <c r="C123" s="192">
        <f t="shared" ref="C123:C129" si="97">$E$25</f>
        <v>8543.9864800000014</v>
      </c>
      <c r="D123" s="82">
        <f>L57</f>
        <v>5.904620926053906</v>
      </c>
      <c r="K123" s="10" t="s">
        <v>4</v>
      </c>
      <c r="L123" s="171">
        <f>L42+L52+L62+L72+L82+L92+L102+L112</f>
        <v>0</v>
      </c>
      <c r="M123" s="60">
        <f t="shared" ref="M123:Q123" si="98">M42+M52+M62+M72+M82+M92+M102+M112</f>
        <v>10.211422457027727</v>
      </c>
      <c r="N123" s="60">
        <f t="shared" si="98"/>
        <v>16.917848265504965</v>
      </c>
      <c r="O123" s="60">
        <f t="shared" si="98"/>
        <v>0</v>
      </c>
      <c r="P123" s="60">
        <f t="shared" si="98"/>
        <v>27.222050283216955</v>
      </c>
      <c r="Q123" s="60">
        <f t="shared" si="98"/>
        <v>21.31742935716305</v>
      </c>
    </row>
    <row r="124" spans="2:17" ht="15.6">
      <c r="B124" s="10" t="s">
        <v>7</v>
      </c>
      <c r="C124" s="192">
        <f t="shared" si="97"/>
        <v>8543.9864800000014</v>
      </c>
      <c r="D124" s="82">
        <f>L67</f>
        <v>6.7434778847671675</v>
      </c>
      <c r="K124" s="10" t="s">
        <v>5</v>
      </c>
      <c r="L124" s="60">
        <f t="shared" ref="L124:Q124" si="99">L43+L53+L63+L73+L83+L93+L103+L113</f>
        <v>10.421156693221244</v>
      </c>
      <c r="M124" s="171">
        <f t="shared" si="99"/>
        <v>0</v>
      </c>
      <c r="N124" s="60">
        <f t="shared" si="99"/>
        <v>0</v>
      </c>
      <c r="O124" s="60">
        <f t="shared" si="99"/>
        <v>0</v>
      </c>
      <c r="P124" s="60">
        <f t="shared" si="99"/>
        <v>23.288354850436107</v>
      </c>
      <c r="Q124" s="60">
        <f t="shared" si="99"/>
        <v>17.383733924382202</v>
      </c>
    </row>
    <row r="125" spans="2:17" ht="15.6">
      <c r="B125" s="10" t="s">
        <v>22</v>
      </c>
      <c r="C125" s="192">
        <f t="shared" si="97"/>
        <v>8543.9864800000014</v>
      </c>
      <c r="D125" s="82">
        <f>L77</f>
        <v>5.8964710006901324</v>
      </c>
      <c r="K125" s="10" t="s">
        <v>6</v>
      </c>
      <c r="L125" s="60">
        <f t="shared" ref="L125:Q125" si="100">L44+L54+L64+L74+L84+L94+L104+L114</f>
        <v>16.317627693911376</v>
      </c>
      <c r="M125" s="60">
        <f t="shared" si="100"/>
        <v>0</v>
      </c>
      <c r="N125" s="171">
        <f t="shared" si="100"/>
        <v>0</v>
      </c>
      <c r="O125" s="60">
        <f t="shared" si="100"/>
        <v>0</v>
      </c>
      <c r="P125" s="60">
        <f t="shared" si="100"/>
        <v>17.010627826189229</v>
      </c>
      <c r="Q125" s="60">
        <f t="shared" si="100"/>
        <v>11.106006900135323</v>
      </c>
    </row>
    <row r="126" spans="2:17" ht="15.6">
      <c r="B126" s="10" t="s">
        <v>23</v>
      </c>
      <c r="C126" s="192">
        <f t="shared" si="97"/>
        <v>8543.9864800000014</v>
      </c>
      <c r="D126" s="82">
        <f>L87</f>
        <v>6.4874612604403961</v>
      </c>
      <c r="K126" s="10" t="s">
        <v>7</v>
      </c>
      <c r="L126" s="60">
        <f t="shared" ref="L126:Q126" si="101">L45+L55+L65+L75+L85+L95+L105+L115</f>
        <v>23.061105578678546</v>
      </c>
      <c r="M126" s="60">
        <f t="shared" si="101"/>
        <v>19.127410145897699</v>
      </c>
      <c r="N126" s="60">
        <f t="shared" si="101"/>
        <v>12.639948885457301</v>
      </c>
      <c r="O126" s="171">
        <f t="shared" si="101"/>
        <v>0</v>
      </c>
      <c r="P126" s="60">
        <f t="shared" si="101"/>
        <v>0</v>
      </c>
      <c r="Q126" s="60">
        <f t="shared" si="101"/>
        <v>0</v>
      </c>
    </row>
    <row r="127" spans="2:17" ht="15.6">
      <c r="B127" s="10" t="s">
        <v>4</v>
      </c>
      <c r="C127" s="192">
        <f t="shared" si="97"/>
        <v>8543.9864800000014</v>
      </c>
      <c r="D127" s="82">
        <f>L97</f>
        <v>3.9336954327808478</v>
      </c>
      <c r="K127" s="10" t="s">
        <v>8</v>
      </c>
      <c r="L127" s="60">
        <f t="shared" ref="L127:Q127" si="102">L46+L56+L66+L76+L86+L96+L106+L116</f>
        <v>28.965726504732448</v>
      </c>
      <c r="M127" s="60">
        <f t="shared" si="102"/>
        <v>25.0320310719516</v>
      </c>
      <c r="N127" s="60">
        <f t="shared" si="102"/>
        <v>18.544569811511206</v>
      </c>
      <c r="O127" s="60">
        <f t="shared" si="102"/>
        <v>12.648098810821073</v>
      </c>
      <c r="P127" s="171">
        <f t="shared" si="102"/>
        <v>0</v>
      </c>
      <c r="Q127" s="60">
        <f t="shared" si="102"/>
        <v>0</v>
      </c>
    </row>
    <row r="128" spans="2:17" ht="15.6">
      <c r="B128" s="10" t="s">
        <v>24</v>
      </c>
      <c r="C128" s="192">
        <f t="shared" si="97"/>
        <v>8543.9864800000014</v>
      </c>
      <c r="D128" s="82">
        <f>M102</f>
        <v>6.2777270242468779</v>
      </c>
      <c r="K128" s="10" t="s">
        <v>9</v>
      </c>
      <c r="L128" s="60">
        <f t="shared" ref="L128:Q128" si="103">L47+L57+L67+L77+L87+L97+L107+L117</f>
        <v>33.365307596390537</v>
      </c>
      <c r="M128" s="60">
        <f t="shared" si="103"/>
        <v>29.431612163609685</v>
      </c>
      <c r="N128" s="60">
        <f t="shared" si="103"/>
        <v>22.944150903169287</v>
      </c>
      <c r="O128" s="60">
        <f t="shared" si="103"/>
        <v>17.047679902479157</v>
      </c>
      <c r="P128" s="60">
        <f t="shared" si="103"/>
        <v>0</v>
      </c>
      <c r="Q128" s="171">
        <f t="shared" si="103"/>
        <v>0</v>
      </c>
    </row>
    <row r="129" spans="2:4" ht="15.6">
      <c r="B129" s="10" t="s">
        <v>382</v>
      </c>
      <c r="C129" s="192">
        <f t="shared" si="97"/>
        <v>8543.9864800000014</v>
      </c>
      <c r="D129" s="82">
        <f>N112</f>
        <v>6.7064258084772383</v>
      </c>
    </row>
    <row r="130" spans="2:4" ht="15.6">
      <c r="B130" s="10" t="s">
        <v>10</v>
      </c>
      <c r="C130" s="192">
        <f>SUM(C122:C129)</f>
        <v>68351.891840000011</v>
      </c>
    </row>
  </sheetData>
  <mergeCells count="4">
    <mergeCell ref="C17:E17"/>
    <mergeCell ref="B38:I38"/>
    <mergeCell ref="K121:Q121"/>
    <mergeCell ref="B120:D120"/>
  </mergeCells>
  <pageMargins left="0.511811024" right="0.511811024" top="0.78740157499999996" bottom="0.78740157499999996" header="0.31496062000000002" footer="0.31496062000000002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D0BA-E0A6-428B-8611-2AE26D721587}">
  <dimension ref="B1:Q130"/>
  <sheetViews>
    <sheetView showGridLines="0" topLeftCell="A100" zoomScale="70" zoomScaleNormal="70" workbookViewId="0">
      <selection activeCell="L131" sqref="L131"/>
    </sheetView>
  </sheetViews>
  <sheetFormatPr defaultRowHeight="14.4"/>
  <cols>
    <col min="2" max="2" width="27.15625" customWidth="1"/>
    <col min="3" max="3" width="20.83984375" customWidth="1"/>
    <col min="4" max="4" width="19.41796875" customWidth="1"/>
    <col min="5" max="5" width="18.1015625" customWidth="1"/>
    <col min="6" max="6" width="14.7890625" customWidth="1"/>
    <col min="7" max="7" width="14.05078125" customWidth="1"/>
    <col min="8" max="8" width="19.1015625" customWidth="1"/>
    <col min="9" max="9" width="16.68359375" customWidth="1"/>
    <col min="10" max="10" width="13.62890625" customWidth="1"/>
    <col min="11" max="11" width="23.47265625" customWidth="1"/>
    <col min="12" max="17" width="14.578125" customWidth="1"/>
    <col min="21" max="21" width="12.20703125" bestFit="1" customWidth="1"/>
    <col min="26" max="26" width="16.47265625" customWidth="1"/>
  </cols>
  <sheetData>
    <row r="1" spans="2:7" s="169" customFormat="1" ht="15.6"/>
    <row r="2" spans="2:7" s="169" customFormat="1" ht="15.6">
      <c r="B2" s="191" t="s">
        <v>373</v>
      </c>
    </row>
    <row r="3" spans="2:7" s="169" customFormat="1" ht="15.6">
      <c r="B3" s="191" t="s">
        <v>374</v>
      </c>
    </row>
    <row r="4" spans="2:7" s="169" customFormat="1" ht="15.6"/>
    <row r="5" spans="2:7" s="169" customFormat="1" ht="15.6">
      <c r="E5" s="98" t="s">
        <v>371</v>
      </c>
      <c r="F5" s="98" t="s">
        <v>372</v>
      </c>
      <c r="G5" s="98" t="s">
        <v>10</v>
      </c>
    </row>
    <row r="6" spans="2:7" s="169" customFormat="1" ht="15.6">
      <c r="D6" s="199" t="s">
        <v>313</v>
      </c>
      <c r="E6" s="6">
        <v>1</v>
      </c>
      <c r="F6" s="6">
        <v>2</v>
      </c>
      <c r="G6" s="202"/>
    </row>
    <row r="7" spans="2:7" s="169" customFormat="1" ht="15.6">
      <c r="D7" s="199" t="s">
        <v>314</v>
      </c>
      <c r="E7" s="6">
        <v>2</v>
      </c>
      <c r="F7" s="6">
        <v>2</v>
      </c>
      <c r="G7" s="203"/>
    </row>
    <row r="8" spans="2:7" s="169" customFormat="1" ht="15.6">
      <c r="D8" s="199" t="s">
        <v>330</v>
      </c>
      <c r="E8" s="6" t="s">
        <v>403</v>
      </c>
      <c r="F8" s="6" t="s">
        <v>403</v>
      </c>
      <c r="G8" s="203"/>
    </row>
    <row r="9" spans="2:7" s="169" customFormat="1" ht="15.6">
      <c r="D9" s="199" t="s">
        <v>315</v>
      </c>
      <c r="E9" s="81">
        <f>'Praticagem e Rebocador Base C1'!E9*'Fatores Emissao'!C96/'Fatores Emissao'!C98*'Fatores Emissao'!F63/'Fatores Emissao'!L83</f>
        <v>31.915823863636362</v>
      </c>
      <c r="F9" s="81">
        <f>'Praticagem e Rebocador Base C1'!F9*'Fatores Emissao'!C96/'Fatores Emissao'!C98*'Fatores Emissao'!F63/'Fatores Emissao'!L83</f>
        <v>805.34262215909098</v>
      </c>
      <c r="G9" s="203"/>
    </row>
    <row r="10" spans="2:7" s="169" customFormat="1" ht="15.6">
      <c r="D10" s="199" t="s">
        <v>316</v>
      </c>
      <c r="E10" s="6">
        <v>1</v>
      </c>
      <c r="F10" s="6">
        <v>1</v>
      </c>
      <c r="G10" s="203"/>
    </row>
    <row r="11" spans="2:7" s="169" customFormat="1" ht="15.6">
      <c r="D11" s="199" t="s">
        <v>515</v>
      </c>
      <c r="E11" s="192">
        <f>E6*E7*E9*E10</f>
        <v>63.831647727272724</v>
      </c>
      <c r="F11" s="192">
        <f>F6*F7*F9*F10</f>
        <v>3221.3704886363639</v>
      </c>
      <c r="G11" s="203"/>
    </row>
    <row r="12" spans="2:7" s="169" customFormat="1" ht="15.6">
      <c r="D12" s="199" t="s">
        <v>516</v>
      </c>
      <c r="E12" s="6">
        <f>'Fatores Emissao'!L83</f>
        <v>0.88</v>
      </c>
      <c r="F12" s="6">
        <f>E12</f>
        <v>0.88</v>
      </c>
      <c r="G12" s="204"/>
    </row>
    <row r="13" spans="2:7" s="169" customFormat="1" ht="15.6">
      <c r="D13" s="199" t="s">
        <v>317</v>
      </c>
      <c r="E13" s="78">
        <f>E11*E12/1000</f>
        <v>5.6171850000000002E-2</v>
      </c>
      <c r="F13" s="78">
        <f>F11*F12/1000</f>
        <v>2.8348060300000002</v>
      </c>
      <c r="G13" s="78">
        <f>SUM(E13:F13)</f>
        <v>2.8909778800000003</v>
      </c>
    </row>
    <row r="14" spans="2:7" s="169" customFormat="1" ht="15.6"/>
    <row r="15" spans="2:7" s="169" customFormat="1" ht="15.6">
      <c r="D15" s="198"/>
    </row>
    <row r="16" spans="2:7" s="169" customFormat="1" ht="15.6">
      <c r="D16" s="198"/>
    </row>
    <row r="17" spans="2:9" s="169" customFormat="1" ht="15.6">
      <c r="C17" s="263" t="s">
        <v>234</v>
      </c>
      <c r="D17" s="264"/>
      <c r="E17" s="265"/>
    </row>
    <row r="18" spans="2:9" s="169" customFormat="1" ht="18">
      <c r="B18" s="34" t="s">
        <v>221</v>
      </c>
      <c r="C18" s="180" t="s">
        <v>310</v>
      </c>
      <c r="D18" s="180" t="s">
        <v>311</v>
      </c>
      <c r="E18" s="180" t="s">
        <v>312</v>
      </c>
    </row>
    <row r="19" spans="2:9" s="169" customFormat="1" ht="15.6">
      <c r="B19" s="84" t="s">
        <v>403</v>
      </c>
      <c r="C19" s="113">
        <f>'Fatores Emissao'!C84</f>
        <v>2836.8489446681765</v>
      </c>
      <c r="D19" s="181">
        <f>'Fatores Emissao'!D84</f>
        <v>0.17111152364665191</v>
      </c>
      <c r="E19" s="181">
        <f>'Fatores Emissao'!E84</f>
        <v>7.8050870435314917E-2</v>
      </c>
    </row>
    <row r="20" spans="2:9" s="169" customFormat="1" ht="15.6"/>
    <row r="21" spans="2:9" s="169" customFormat="1" ht="15.6">
      <c r="B21" s="98" t="s">
        <v>307</v>
      </c>
      <c r="C21" s="98" t="s">
        <v>403</v>
      </c>
      <c r="D21" s="98" t="s">
        <v>235</v>
      </c>
      <c r="E21" s="178" t="s">
        <v>309</v>
      </c>
    </row>
    <row r="22" spans="2:9" s="169" customFormat="1" ht="18">
      <c r="B22" s="199" t="s">
        <v>356</v>
      </c>
      <c r="C22" s="12">
        <f>$G$13*C19</f>
        <v>8201.2675479370428</v>
      </c>
      <c r="D22" s="12">
        <f>'Fatores Emissao'!O6</f>
        <v>1</v>
      </c>
      <c r="E22" s="12">
        <f>C22*D22</f>
        <v>8201.2675479370428</v>
      </c>
    </row>
    <row r="23" spans="2:9" s="169" customFormat="1" ht="18">
      <c r="B23" s="199" t="s">
        <v>354</v>
      </c>
      <c r="C23" s="39">
        <f>$G$13*D19</f>
        <v>0.49467962987556768</v>
      </c>
      <c r="D23" s="12">
        <f>'Fatores Emissao'!O7</f>
        <v>28</v>
      </c>
      <c r="E23" s="12">
        <f t="shared" ref="E23:E24" si="0">C23*D23</f>
        <v>13.851029636515895</v>
      </c>
    </row>
    <row r="24" spans="2:9" s="169" customFormat="1" ht="18">
      <c r="B24" s="199" t="s">
        <v>355</v>
      </c>
      <c r="C24" s="39">
        <f>$G$13*E19</f>
        <v>0.22564333994324143</v>
      </c>
      <c r="D24" s="12">
        <f>'Fatores Emissao'!O8</f>
        <v>265</v>
      </c>
      <c r="E24" s="12">
        <f t="shared" si="0"/>
        <v>59.795485084958976</v>
      </c>
    </row>
    <row r="25" spans="2:9" s="169" customFormat="1" ht="15.6">
      <c r="B25" s="205" t="s">
        <v>10</v>
      </c>
      <c r="C25" s="205"/>
      <c r="D25" s="205"/>
      <c r="E25" s="200">
        <f>SUM(E22:E24)</f>
        <v>8274.9140626585177</v>
      </c>
    </row>
    <row r="26" spans="2:9" s="169" customFormat="1" ht="15.6">
      <c r="D26" s="198"/>
    </row>
    <row r="27" spans="2:9" s="169" customFormat="1" ht="15.6"/>
    <row r="28" spans="2:9" s="169" customFormat="1" ht="15.6">
      <c r="B28" s="5" t="s">
        <v>188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5" t="s">
        <v>47</v>
      </c>
    </row>
    <row r="29" spans="2:9" s="169" customFormat="1" ht="15.6">
      <c r="B29" s="10" t="s">
        <v>4</v>
      </c>
      <c r="C29" s="11">
        <f>'Movimentacao de Conteineres'!K30</f>
        <v>0</v>
      </c>
      <c r="D29" s="12">
        <f>'Movimentacao de Conteineres'!L30</f>
        <v>175</v>
      </c>
      <c r="E29" s="12">
        <f>'Movimentacao de Conteineres'!M30</f>
        <v>156</v>
      </c>
      <c r="F29" s="12">
        <f>'Movimentacao de Conteineres'!N30</f>
        <v>0</v>
      </c>
      <c r="G29" s="12">
        <f>'Movimentacao de Conteineres'!O30</f>
        <v>226</v>
      </c>
      <c r="H29" s="12">
        <f>'Movimentacao de Conteineres'!P30</f>
        <v>648</v>
      </c>
      <c r="I29" s="13">
        <f t="shared" ref="I29:I34" si="1">SUM(C29:H29)</f>
        <v>1205</v>
      </c>
    </row>
    <row r="30" spans="2:9" s="169" customFormat="1" ht="15.6">
      <c r="B30" s="10" t="s">
        <v>5</v>
      </c>
      <c r="C30" s="12">
        <f>'Movimentacao de Conteineres'!K31</f>
        <v>260</v>
      </c>
      <c r="D30" s="11">
        <f>'Movimentacao de Conteineres'!L31</f>
        <v>0</v>
      </c>
      <c r="E30" s="12">
        <f>'Movimentacao de Conteineres'!M31</f>
        <v>0</v>
      </c>
      <c r="F30" s="12">
        <f>'Movimentacao de Conteineres'!N31</f>
        <v>0</v>
      </c>
      <c r="G30" s="12">
        <f>'Movimentacao de Conteineres'!O31</f>
        <v>20</v>
      </c>
      <c r="H30" s="12">
        <f>'Movimentacao de Conteineres'!P31</f>
        <v>136</v>
      </c>
      <c r="I30" s="13">
        <f t="shared" si="1"/>
        <v>416</v>
      </c>
    </row>
    <row r="31" spans="2:9" s="169" customFormat="1" ht="15.6">
      <c r="B31" s="10" t="s">
        <v>6</v>
      </c>
      <c r="C31" s="12">
        <f>'Movimentacao de Conteineres'!K32</f>
        <v>331</v>
      </c>
      <c r="D31" s="12">
        <f>'Movimentacao de Conteineres'!L32</f>
        <v>0</v>
      </c>
      <c r="E31" s="11">
        <f>'Movimentacao de Conteineres'!M32</f>
        <v>0</v>
      </c>
      <c r="F31" s="12">
        <f>'Movimentacao de Conteineres'!N32</f>
        <v>0</v>
      </c>
      <c r="G31" s="12">
        <f>'Movimentacao de Conteineres'!O32</f>
        <v>30</v>
      </c>
      <c r="H31" s="12">
        <f>'Movimentacao de Conteineres'!P32</f>
        <v>58</v>
      </c>
      <c r="I31" s="13">
        <f t="shared" si="1"/>
        <v>419</v>
      </c>
    </row>
    <row r="32" spans="2:9" s="169" customFormat="1" ht="15.6">
      <c r="B32" s="10" t="s">
        <v>7</v>
      </c>
      <c r="C32" s="12">
        <f>'Movimentacao de Conteineres'!K33</f>
        <v>86</v>
      </c>
      <c r="D32" s="12">
        <f>'Movimentacao de Conteineres'!L33</f>
        <v>9</v>
      </c>
      <c r="E32" s="12">
        <f>'Movimentacao de Conteineres'!M33</f>
        <v>1</v>
      </c>
      <c r="F32" s="11">
        <f>'Movimentacao de Conteineres'!N33</f>
        <v>0</v>
      </c>
      <c r="G32" s="12">
        <f>'Movimentacao de Conteineres'!O33</f>
        <v>0</v>
      </c>
      <c r="H32" s="12">
        <f>'Movimentacao de Conteineres'!P33</f>
        <v>0</v>
      </c>
      <c r="I32" s="13">
        <f t="shared" si="1"/>
        <v>96</v>
      </c>
    </row>
    <row r="33" spans="2:17" s="169" customFormat="1" ht="15.6">
      <c r="B33" s="10" t="s">
        <v>8</v>
      </c>
      <c r="C33" s="12">
        <f>'Movimentacao de Conteineres'!K34</f>
        <v>61</v>
      </c>
      <c r="D33" s="12">
        <f>'Movimentacao de Conteineres'!L34</f>
        <v>120</v>
      </c>
      <c r="E33" s="12">
        <f>'Movimentacao de Conteineres'!M34</f>
        <v>119</v>
      </c>
      <c r="F33" s="12">
        <f>'Movimentacao de Conteineres'!N34</f>
        <v>47</v>
      </c>
      <c r="G33" s="11">
        <f>'Movimentacao de Conteineres'!O34</f>
        <v>0</v>
      </c>
      <c r="H33" s="12">
        <f>'Movimentacao de Conteineres'!P34</f>
        <v>0</v>
      </c>
      <c r="I33" s="13">
        <f t="shared" si="1"/>
        <v>347</v>
      </c>
    </row>
    <row r="34" spans="2:17" s="169" customFormat="1" ht="15.6">
      <c r="B34" s="10" t="s">
        <v>9</v>
      </c>
      <c r="C34" s="12">
        <f>'Movimentacao de Conteineres'!K35</f>
        <v>229</v>
      </c>
      <c r="D34" s="12">
        <f>'Movimentacao de Conteineres'!L35</f>
        <v>221</v>
      </c>
      <c r="E34" s="12">
        <f>'Movimentacao de Conteineres'!M35</f>
        <v>272</v>
      </c>
      <c r="F34" s="12">
        <f>'Movimentacao de Conteineres'!N35</f>
        <v>102</v>
      </c>
      <c r="G34" s="12">
        <f>'Movimentacao de Conteineres'!O35</f>
        <v>0</v>
      </c>
      <c r="H34" s="11">
        <f>'Movimentacao de Conteineres'!P35</f>
        <v>0</v>
      </c>
      <c r="I34" s="13">
        <f t="shared" si="1"/>
        <v>824</v>
      </c>
    </row>
    <row r="35" spans="2:17" s="169" customFormat="1" ht="15.6">
      <c r="B35" s="16" t="s">
        <v>48</v>
      </c>
      <c r="C35" s="13">
        <f t="shared" ref="C35:I35" si="2">SUM(C29:C34)</f>
        <v>967</v>
      </c>
      <c r="D35" s="13">
        <f t="shared" si="2"/>
        <v>525</v>
      </c>
      <c r="E35" s="13">
        <f t="shared" si="2"/>
        <v>548</v>
      </c>
      <c r="F35" s="13">
        <f t="shared" si="2"/>
        <v>149</v>
      </c>
      <c r="G35" s="13">
        <f t="shared" si="2"/>
        <v>276</v>
      </c>
      <c r="H35" s="13">
        <f t="shared" si="2"/>
        <v>842</v>
      </c>
      <c r="I35" s="13">
        <f t="shared" si="2"/>
        <v>3307</v>
      </c>
    </row>
    <row r="38" spans="2:17" ht="23.1">
      <c r="B38" s="273" t="s">
        <v>321</v>
      </c>
      <c r="C38" s="273"/>
      <c r="D38" s="273"/>
      <c r="E38" s="273"/>
      <c r="F38" s="273"/>
      <c r="G38" s="273"/>
      <c r="H38" s="273"/>
      <c r="I38" s="273"/>
    </row>
    <row r="40" spans="2:17" ht="15.6">
      <c r="B40" s="98" t="s">
        <v>375</v>
      </c>
      <c r="C40" s="179" t="s">
        <v>9</v>
      </c>
      <c r="K40" s="98" t="s">
        <v>302</v>
      </c>
      <c r="L40" s="179" t="str">
        <f>C40</f>
        <v>BRSSZ</v>
      </c>
      <c r="N40" s="169"/>
      <c r="O40" s="169"/>
      <c r="P40" s="169"/>
      <c r="Q40" s="169"/>
    </row>
    <row r="41" spans="2:17" ht="15.6">
      <c r="B41" s="5" t="s">
        <v>188</v>
      </c>
      <c r="C41" s="4" t="s">
        <v>4</v>
      </c>
      <c r="D41" s="4" t="s">
        <v>5</v>
      </c>
      <c r="E41" s="4" t="s">
        <v>6</v>
      </c>
      <c r="F41" s="4" t="s">
        <v>7</v>
      </c>
      <c r="G41" s="4" t="s">
        <v>8</v>
      </c>
      <c r="H41" s="4" t="s">
        <v>9</v>
      </c>
      <c r="I41" s="5" t="s">
        <v>47</v>
      </c>
      <c r="K41" s="5" t="s">
        <v>308</v>
      </c>
      <c r="L41" s="4" t="s">
        <v>4</v>
      </c>
      <c r="M41" s="4" t="s">
        <v>5</v>
      </c>
      <c r="N41" s="4" t="s">
        <v>6</v>
      </c>
      <c r="O41" s="4" t="s">
        <v>7</v>
      </c>
      <c r="P41" s="4" t="s">
        <v>8</v>
      </c>
      <c r="Q41" s="4" t="s">
        <v>9</v>
      </c>
    </row>
    <row r="42" spans="2:17" ht="15.6">
      <c r="B42" s="10" t="s">
        <v>4</v>
      </c>
      <c r="C42" s="11"/>
      <c r="D42" s="12"/>
      <c r="E42" s="12"/>
      <c r="F42" s="12"/>
      <c r="G42" s="12">
        <f t="shared" ref="G42:H44" si="3">G29</f>
        <v>226</v>
      </c>
      <c r="H42" s="12">
        <f t="shared" si="3"/>
        <v>648</v>
      </c>
      <c r="I42" s="13">
        <f t="shared" ref="I42:I47" si="4">SUM(C42:H42)</f>
        <v>874</v>
      </c>
      <c r="K42" s="10" t="s">
        <v>4</v>
      </c>
      <c r="L42" s="171">
        <f>IF(C42=0,0,$E$25/$I$48)</f>
        <v>0</v>
      </c>
      <c r="M42" s="60">
        <f t="shared" ref="M42:Q47" si="5">IF(D42=0,0,$E$25/$I$48)</f>
        <v>0</v>
      </c>
      <c r="N42" s="60">
        <f t="shared" si="5"/>
        <v>0</v>
      </c>
      <c r="O42" s="60">
        <f t="shared" si="5"/>
        <v>0</v>
      </c>
      <c r="P42" s="60">
        <f t="shared" si="5"/>
        <v>4.2610268087839946</v>
      </c>
      <c r="Q42" s="60">
        <f t="shared" si="5"/>
        <v>4.2610268087839946</v>
      </c>
    </row>
    <row r="43" spans="2:17" ht="15.6">
      <c r="B43" s="10" t="s">
        <v>5</v>
      </c>
      <c r="C43" s="12"/>
      <c r="D43" s="11"/>
      <c r="E43" s="12"/>
      <c r="F43" s="12"/>
      <c r="G43" s="12">
        <f t="shared" si="3"/>
        <v>20</v>
      </c>
      <c r="H43" s="12">
        <f t="shared" si="3"/>
        <v>136</v>
      </c>
      <c r="I43" s="13">
        <f t="shared" si="4"/>
        <v>156</v>
      </c>
      <c r="K43" s="10" t="s">
        <v>5</v>
      </c>
      <c r="L43" s="60">
        <f t="shared" ref="L43:L46" si="6">IF(C43=0,0,$E$25/$I$48)</f>
        <v>0</v>
      </c>
      <c r="M43" s="171">
        <f t="shared" si="5"/>
        <v>0</v>
      </c>
      <c r="N43" s="60">
        <f t="shared" si="5"/>
        <v>0</v>
      </c>
      <c r="O43" s="60">
        <f t="shared" si="5"/>
        <v>0</v>
      </c>
      <c r="P43" s="60">
        <f t="shared" si="5"/>
        <v>4.2610268087839946</v>
      </c>
      <c r="Q43" s="60">
        <f t="shared" si="5"/>
        <v>4.2610268087839946</v>
      </c>
    </row>
    <row r="44" spans="2:17" ht="15.6">
      <c r="B44" s="10" t="s">
        <v>6</v>
      </c>
      <c r="C44" s="12"/>
      <c r="D44" s="12"/>
      <c r="E44" s="11"/>
      <c r="F44" s="12"/>
      <c r="G44" s="12">
        <f t="shared" si="3"/>
        <v>30</v>
      </c>
      <c r="H44" s="12">
        <f t="shared" si="3"/>
        <v>58</v>
      </c>
      <c r="I44" s="13">
        <f t="shared" si="4"/>
        <v>88</v>
      </c>
      <c r="K44" s="10" t="s">
        <v>6</v>
      </c>
      <c r="L44" s="60">
        <f t="shared" si="6"/>
        <v>0</v>
      </c>
      <c r="M44" s="60">
        <f t="shared" si="5"/>
        <v>0</v>
      </c>
      <c r="N44" s="171">
        <f t="shared" si="5"/>
        <v>0</v>
      </c>
      <c r="O44" s="60">
        <f t="shared" si="5"/>
        <v>0</v>
      </c>
      <c r="P44" s="60">
        <f t="shared" si="5"/>
        <v>4.2610268087839946</v>
      </c>
      <c r="Q44" s="60">
        <f t="shared" si="5"/>
        <v>4.2610268087839946</v>
      </c>
    </row>
    <row r="45" spans="2:17" ht="15.6">
      <c r="B45" s="10" t="s">
        <v>7</v>
      </c>
      <c r="C45" s="12"/>
      <c r="D45" s="12"/>
      <c r="E45" s="12"/>
      <c r="F45" s="11"/>
      <c r="G45" s="12"/>
      <c r="H45" s="12"/>
      <c r="I45" s="13">
        <f t="shared" si="4"/>
        <v>0</v>
      </c>
      <c r="K45" s="10" t="s">
        <v>7</v>
      </c>
      <c r="L45" s="60">
        <f t="shared" si="6"/>
        <v>0</v>
      </c>
      <c r="M45" s="60">
        <f t="shared" si="5"/>
        <v>0</v>
      </c>
      <c r="N45" s="60">
        <f t="shared" si="5"/>
        <v>0</v>
      </c>
      <c r="O45" s="171">
        <f t="shared" si="5"/>
        <v>0</v>
      </c>
      <c r="P45" s="60">
        <f t="shared" si="5"/>
        <v>0</v>
      </c>
      <c r="Q45" s="60">
        <f t="shared" si="5"/>
        <v>0</v>
      </c>
    </row>
    <row r="46" spans="2:17" ht="15.6">
      <c r="B46" s="10" t="s">
        <v>8</v>
      </c>
      <c r="C46" s="12"/>
      <c r="D46" s="12"/>
      <c r="E46" s="12"/>
      <c r="F46" s="12"/>
      <c r="G46" s="11"/>
      <c r="H46" s="12"/>
      <c r="I46" s="13">
        <f t="shared" si="4"/>
        <v>0</v>
      </c>
      <c r="K46" s="10" t="s">
        <v>8</v>
      </c>
      <c r="L46" s="60">
        <f t="shared" si="6"/>
        <v>0</v>
      </c>
      <c r="M46" s="60">
        <f t="shared" si="5"/>
        <v>0</v>
      </c>
      <c r="N46" s="60">
        <f t="shared" si="5"/>
        <v>0</v>
      </c>
      <c r="O46" s="60">
        <f t="shared" si="5"/>
        <v>0</v>
      </c>
      <c r="P46" s="171">
        <f t="shared" si="5"/>
        <v>0</v>
      </c>
      <c r="Q46" s="60">
        <f t="shared" si="5"/>
        <v>0</v>
      </c>
    </row>
    <row r="47" spans="2:17" ht="15.6">
      <c r="B47" s="10" t="s">
        <v>9</v>
      </c>
      <c r="C47" s="12">
        <f t="shared" ref="C47:H47" si="7">C34</f>
        <v>229</v>
      </c>
      <c r="D47" s="12">
        <f t="shared" si="7"/>
        <v>221</v>
      </c>
      <c r="E47" s="12">
        <f t="shared" si="7"/>
        <v>272</v>
      </c>
      <c r="F47" s="12">
        <f t="shared" si="7"/>
        <v>102</v>
      </c>
      <c r="G47" s="12">
        <f t="shared" si="7"/>
        <v>0</v>
      </c>
      <c r="H47" s="11">
        <f t="shared" si="7"/>
        <v>0</v>
      </c>
      <c r="I47" s="13">
        <f t="shared" si="4"/>
        <v>824</v>
      </c>
      <c r="K47" s="10" t="s">
        <v>9</v>
      </c>
      <c r="L47" s="60">
        <f>IF(C47=0,0,$E$25/$I$48)</f>
        <v>4.2610268087839946</v>
      </c>
      <c r="M47" s="60">
        <f t="shared" si="5"/>
        <v>4.2610268087839946</v>
      </c>
      <c r="N47" s="60">
        <f t="shared" si="5"/>
        <v>4.2610268087839946</v>
      </c>
      <c r="O47" s="60">
        <f t="shared" si="5"/>
        <v>4.2610268087839946</v>
      </c>
      <c r="P47" s="60">
        <f t="shared" si="5"/>
        <v>0</v>
      </c>
      <c r="Q47" s="171">
        <f t="shared" si="5"/>
        <v>0</v>
      </c>
    </row>
    <row r="48" spans="2:17" ht="15.6">
      <c r="B48" s="16" t="s">
        <v>48</v>
      </c>
      <c r="C48" s="13">
        <f t="shared" ref="C48:I48" si="8">SUM(C42:C47)</f>
        <v>229</v>
      </c>
      <c r="D48" s="13">
        <f t="shared" si="8"/>
        <v>221</v>
      </c>
      <c r="E48" s="13">
        <f t="shared" si="8"/>
        <v>272</v>
      </c>
      <c r="F48" s="13">
        <f t="shared" si="8"/>
        <v>102</v>
      </c>
      <c r="G48" s="13">
        <f t="shared" si="8"/>
        <v>276</v>
      </c>
      <c r="H48" s="13">
        <f t="shared" si="8"/>
        <v>842</v>
      </c>
      <c r="I48" s="13">
        <f t="shared" si="8"/>
        <v>1942</v>
      </c>
    </row>
    <row r="50" spans="2:17" ht="15.6">
      <c r="B50" s="98" t="s">
        <v>375</v>
      </c>
      <c r="C50" s="179" t="s">
        <v>8</v>
      </c>
      <c r="K50" s="98" t="s">
        <v>302</v>
      </c>
      <c r="L50" s="179" t="str">
        <f>C50</f>
        <v>BRIGI</v>
      </c>
      <c r="N50" s="169"/>
      <c r="O50" s="169"/>
      <c r="P50" s="169"/>
      <c r="Q50" s="169"/>
    </row>
    <row r="51" spans="2:17" ht="15.6">
      <c r="B51" s="5" t="s">
        <v>188</v>
      </c>
      <c r="C51" s="4" t="s">
        <v>4</v>
      </c>
      <c r="D51" s="4" t="s">
        <v>5</v>
      </c>
      <c r="E51" s="4" t="s">
        <v>6</v>
      </c>
      <c r="F51" s="4" t="s">
        <v>7</v>
      </c>
      <c r="G51" s="4" t="s">
        <v>8</v>
      </c>
      <c r="H51" s="4" t="s">
        <v>9</v>
      </c>
      <c r="I51" s="5" t="s">
        <v>47</v>
      </c>
      <c r="K51" s="5" t="s">
        <v>308</v>
      </c>
      <c r="L51" s="4" t="s">
        <v>4</v>
      </c>
      <c r="M51" s="4" t="s">
        <v>5</v>
      </c>
      <c r="N51" s="4" t="s">
        <v>6</v>
      </c>
      <c r="O51" s="4" t="s">
        <v>7</v>
      </c>
      <c r="P51" s="4" t="s">
        <v>8</v>
      </c>
      <c r="Q51" s="4" t="s">
        <v>9</v>
      </c>
    </row>
    <row r="52" spans="2:17" ht="15.6">
      <c r="B52" s="10" t="s">
        <v>4</v>
      </c>
      <c r="C52" s="11"/>
      <c r="D52" s="12"/>
      <c r="E52" s="12"/>
      <c r="F52" s="12"/>
      <c r="G52" s="12">
        <f t="shared" ref="G52:G54" si="9">G29</f>
        <v>226</v>
      </c>
      <c r="H52" s="12"/>
      <c r="I52" s="13">
        <f t="shared" ref="I52:I57" si="10">SUM(C52:H52)</f>
        <v>226</v>
      </c>
      <c r="K52" s="10" t="s">
        <v>4</v>
      </c>
      <c r="L52" s="171">
        <f>IF(C52=0,0,$E$25/$I$58)</f>
        <v>0</v>
      </c>
      <c r="M52" s="60">
        <f t="shared" ref="M52:Q57" si="11">IF(D52=0,0,$E$25/$I$58)</f>
        <v>0</v>
      </c>
      <c r="N52" s="60">
        <f t="shared" si="11"/>
        <v>0</v>
      </c>
      <c r="O52" s="60">
        <f t="shared" si="11"/>
        <v>0</v>
      </c>
      <c r="P52" s="60">
        <f t="shared" si="11"/>
        <v>5.718669013585707</v>
      </c>
      <c r="Q52" s="60">
        <f t="shared" si="11"/>
        <v>0</v>
      </c>
    </row>
    <row r="53" spans="2:17" ht="15.6">
      <c r="B53" s="10" t="s">
        <v>5</v>
      </c>
      <c r="C53" s="12"/>
      <c r="D53" s="11"/>
      <c r="E53" s="12"/>
      <c r="F53" s="12"/>
      <c r="G53" s="12">
        <f t="shared" si="9"/>
        <v>20</v>
      </c>
      <c r="H53" s="12"/>
      <c r="I53" s="13">
        <f t="shared" si="10"/>
        <v>20</v>
      </c>
      <c r="K53" s="10" t="s">
        <v>5</v>
      </c>
      <c r="L53" s="60">
        <f t="shared" ref="L53:L56" si="12">IF(C53=0,0,$E$25/$I$58)</f>
        <v>0</v>
      </c>
      <c r="M53" s="171">
        <f t="shared" si="11"/>
        <v>0</v>
      </c>
      <c r="N53" s="60">
        <f t="shared" si="11"/>
        <v>0</v>
      </c>
      <c r="O53" s="60">
        <f t="shared" si="11"/>
        <v>0</v>
      </c>
      <c r="P53" s="60">
        <f t="shared" si="11"/>
        <v>5.718669013585707</v>
      </c>
      <c r="Q53" s="60">
        <f t="shared" si="11"/>
        <v>0</v>
      </c>
    </row>
    <row r="54" spans="2:17" ht="15.6">
      <c r="B54" s="10" t="s">
        <v>6</v>
      </c>
      <c r="C54" s="12"/>
      <c r="D54" s="12"/>
      <c r="E54" s="11"/>
      <c r="F54" s="12"/>
      <c r="G54" s="12">
        <f t="shared" si="9"/>
        <v>30</v>
      </c>
      <c r="H54" s="12"/>
      <c r="I54" s="13">
        <f t="shared" si="10"/>
        <v>30</v>
      </c>
      <c r="K54" s="10" t="s">
        <v>6</v>
      </c>
      <c r="L54" s="60">
        <f t="shared" si="12"/>
        <v>0</v>
      </c>
      <c r="M54" s="60">
        <f t="shared" si="11"/>
        <v>0</v>
      </c>
      <c r="N54" s="171">
        <f t="shared" si="11"/>
        <v>0</v>
      </c>
      <c r="O54" s="60">
        <f t="shared" si="11"/>
        <v>0</v>
      </c>
      <c r="P54" s="60">
        <f t="shared" si="11"/>
        <v>5.718669013585707</v>
      </c>
      <c r="Q54" s="60">
        <f t="shared" si="11"/>
        <v>0</v>
      </c>
    </row>
    <row r="55" spans="2:17" ht="15.6">
      <c r="B55" s="10" t="s">
        <v>7</v>
      </c>
      <c r="C55" s="12"/>
      <c r="D55" s="12"/>
      <c r="E55" s="12"/>
      <c r="F55" s="11"/>
      <c r="G55" s="12"/>
      <c r="H55" s="12"/>
      <c r="I55" s="13">
        <f t="shared" si="10"/>
        <v>0</v>
      </c>
      <c r="K55" s="10" t="s">
        <v>7</v>
      </c>
      <c r="L55" s="60">
        <f t="shared" si="12"/>
        <v>0</v>
      </c>
      <c r="M55" s="60">
        <f t="shared" si="11"/>
        <v>0</v>
      </c>
      <c r="N55" s="60">
        <f t="shared" si="11"/>
        <v>0</v>
      </c>
      <c r="O55" s="171">
        <f t="shared" si="11"/>
        <v>0</v>
      </c>
      <c r="P55" s="60">
        <f t="shared" si="11"/>
        <v>0</v>
      </c>
      <c r="Q55" s="60">
        <f t="shared" si="11"/>
        <v>0</v>
      </c>
    </row>
    <row r="56" spans="2:17" ht="15.6">
      <c r="B56" s="10" t="s">
        <v>8</v>
      </c>
      <c r="C56" s="12">
        <f t="shared" ref="C56:F57" si="13">C33</f>
        <v>61</v>
      </c>
      <c r="D56" s="12">
        <f t="shared" si="13"/>
        <v>120</v>
      </c>
      <c r="E56" s="12">
        <f t="shared" si="13"/>
        <v>119</v>
      </c>
      <c r="F56" s="12">
        <f t="shared" si="13"/>
        <v>47</v>
      </c>
      <c r="G56" s="11"/>
      <c r="H56" s="12"/>
      <c r="I56" s="13">
        <f t="shared" si="10"/>
        <v>347</v>
      </c>
      <c r="K56" s="10" t="s">
        <v>8</v>
      </c>
      <c r="L56" s="60">
        <f t="shared" si="12"/>
        <v>5.718669013585707</v>
      </c>
      <c r="M56" s="60">
        <f t="shared" si="11"/>
        <v>5.718669013585707</v>
      </c>
      <c r="N56" s="60">
        <f t="shared" si="11"/>
        <v>5.718669013585707</v>
      </c>
      <c r="O56" s="60">
        <f t="shared" si="11"/>
        <v>5.718669013585707</v>
      </c>
      <c r="P56" s="171">
        <f t="shared" si="11"/>
        <v>0</v>
      </c>
      <c r="Q56" s="60">
        <f t="shared" si="11"/>
        <v>0</v>
      </c>
    </row>
    <row r="57" spans="2:17" ht="15.6">
      <c r="B57" s="10" t="s">
        <v>9</v>
      </c>
      <c r="C57" s="12">
        <f>C34</f>
        <v>229</v>
      </c>
      <c r="D57" s="12">
        <f t="shared" si="13"/>
        <v>221</v>
      </c>
      <c r="E57" s="12">
        <f t="shared" si="13"/>
        <v>272</v>
      </c>
      <c r="F57" s="12">
        <f t="shared" si="13"/>
        <v>102</v>
      </c>
      <c r="G57" s="12"/>
      <c r="H57" s="11"/>
      <c r="I57" s="13">
        <f t="shared" si="10"/>
        <v>824</v>
      </c>
      <c r="K57" s="10" t="s">
        <v>9</v>
      </c>
      <c r="L57" s="60">
        <f>IF(C57=0,0,$E$25/$I$58)</f>
        <v>5.718669013585707</v>
      </c>
      <c r="M57" s="60">
        <f t="shared" si="11"/>
        <v>5.718669013585707</v>
      </c>
      <c r="N57" s="60">
        <f t="shared" si="11"/>
        <v>5.718669013585707</v>
      </c>
      <c r="O57" s="60">
        <f t="shared" si="11"/>
        <v>5.718669013585707</v>
      </c>
      <c r="P57" s="60">
        <f t="shared" si="11"/>
        <v>0</v>
      </c>
      <c r="Q57" s="171">
        <f t="shared" si="11"/>
        <v>0</v>
      </c>
    </row>
    <row r="58" spans="2:17" ht="15.6">
      <c r="B58" s="16" t="s">
        <v>48</v>
      </c>
      <c r="C58" s="13">
        <f t="shared" ref="C58:I58" si="14">SUM(C52:C57)</f>
        <v>290</v>
      </c>
      <c r="D58" s="13">
        <f t="shared" si="14"/>
        <v>341</v>
      </c>
      <c r="E58" s="13">
        <f t="shared" si="14"/>
        <v>391</v>
      </c>
      <c r="F58" s="13">
        <f t="shared" si="14"/>
        <v>149</v>
      </c>
      <c r="G58" s="13">
        <f t="shared" si="14"/>
        <v>276</v>
      </c>
      <c r="H58" s="13">
        <f t="shared" si="14"/>
        <v>0</v>
      </c>
      <c r="I58" s="13">
        <f t="shared" si="14"/>
        <v>1447</v>
      </c>
    </row>
    <row r="60" spans="2:17" ht="15.6">
      <c r="B60" s="98" t="s">
        <v>375</v>
      </c>
      <c r="C60" s="179" t="s">
        <v>7</v>
      </c>
      <c r="K60" s="98" t="s">
        <v>302</v>
      </c>
      <c r="L60" s="179" t="str">
        <f>C60</f>
        <v>BRSSA</v>
      </c>
      <c r="N60" s="169"/>
      <c r="O60" s="169"/>
      <c r="P60" s="169"/>
      <c r="Q60" s="169"/>
    </row>
    <row r="61" spans="2:17" ht="15.6">
      <c r="B61" s="5" t="s">
        <v>188</v>
      </c>
      <c r="C61" s="4" t="s">
        <v>4</v>
      </c>
      <c r="D61" s="4" t="s">
        <v>5</v>
      </c>
      <c r="E61" s="4" t="s">
        <v>6</v>
      </c>
      <c r="F61" s="4" t="s">
        <v>7</v>
      </c>
      <c r="G61" s="4" t="s">
        <v>8</v>
      </c>
      <c r="H61" s="4" t="s">
        <v>9</v>
      </c>
      <c r="I61" s="5" t="s">
        <v>47</v>
      </c>
      <c r="K61" s="5" t="s">
        <v>308</v>
      </c>
      <c r="L61" s="4" t="s">
        <v>4</v>
      </c>
      <c r="M61" s="4" t="s">
        <v>5</v>
      </c>
      <c r="N61" s="4" t="s">
        <v>6</v>
      </c>
      <c r="O61" s="4" t="s">
        <v>7</v>
      </c>
      <c r="P61" s="4" t="s">
        <v>8</v>
      </c>
      <c r="Q61" s="4" t="s">
        <v>9</v>
      </c>
    </row>
    <row r="62" spans="2:17" ht="15.6">
      <c r="B62" s="10" t="s">
        <v>4</v>
      </c>
      <c r="C62" s="11"/>
      <c r="D62" s="12"/>
      <c r="E62" s="12"/>
      <c r="F62" s="12"/>
      <c r="G62" s="12"/>
      <c r="H62" s="12"/>
      <c r="I62" s="13">
        <f t="shared" ref="I62:I67" si="15">SUM(C62:H62)</f>
        <v>0</v>
      </c>
      <c r="K62" s="10" t="s">
        <v>4</v>
      </c>
      <c r="L62" s="171">
        <f>IF(C62=0,0,$E$25/$I$68)</f>
        <v>0</v>
      </c>
      <c r="M62" s="60">
        <f t="shared" ref="M62:Q67" si="16">IF(D62=0,0,$E$25/$I$68)</f>
        <v>0</v>
      </c>
      <c r="N62" s="60">
        <f t="shared" si="16"/>
        <v>0</v>
      </c>
      <c r="O62" s="60">
        <f t="shared" si="16"/>
        <v>0</v>
      </c>
      <c r="P62" s="60">
        <f t="shared" si="16"/>
        <v>0</v>
      </c>
      <c r="Q62" s="60">
        <f t="shared" si="16"/>
        <v>0</v>
      </c>
    </row>
    <row r="63" spans="2:17" ht="15.6">
      <c r="B63" s="10" t="s">
        <v>5</v>
      </c>
      <c r="C63" s="12"/>
      <c r="D63" s="11"/>
      <c r="E63" s="12"/>
      <c r="F63" s="12"/>
      <c r="G63" s="12"/>
      <c r="H63" s="12"/>
      <c r="I63" s="13">
        <f t="shared" si="15"/>
        <v>0</v>
      </c>
      <c r="K63" s="10" t="s">
        <v>5</v>
      </c>
      <c r="L63" s="60">
        <f t="shared" ref="L63:L67" si="17">IF(C63=0,0,$E$25/$I$68)</f>
        <v>0</v>
      </c>
      <c r="M63" s="171">
        <f t="shared" si="16"/>
        <v>0</v>
      </c>
      <c r="N63" s="60">
        <f t="shared" si="16"/>
        <v>0</v>
      </c>
      <c r="O63" s="60">
        <f t="shared" si="16"/>
        <v>0</v>
      </c>
      <c r="P63" s="60">
        <f t="shared" si="16"/>
        <v>0</v>
      </c>
      <c r="Q63" s="60">
        <f t="shared" si="16"/>
        <v>0</v>
      </c>
    </row>
    <row r="64" spans="2:17" ht="15.6">
      <c r="B64" s="10" t="s">
        <v>6</v>
      </c>
      <c r="C64" s="12"/>
      <c r="D64" s="12"/>
      <c r="E64" s="11"/>
      <c r="F64" s="12"/>
      <c r="G64" s="12"/>
      <c r="H64" s="12"/>
      <c r="I64" s="13">
        <f t="shared" si="15"/>
        <v>0</v>
      </c>
      <c r="K64" s="10" t="s">
        <v>6</v>
      </c>
      <c r="L64" s="60">
        <f t="shared" si="17"/>
        <v>0</v>
      </c>
      <c r="M64" s="60">
        <f t="shared" si="16"/>
        <v>0</v>
      </c>
      <c r="N64" s="171">
        <f t="shared" si="16"/>
        <v>0</v>
      </c>
      <c r="O64" s="60">
        <f t="shared" si="16"/>
        <v>0</v>
      </c>
      <c r="P64" s="60">
        <f t="shared" si="16"/>
        <v>0</v>
      </c>
      <c r="Q64" s="60">
        <f t="shared" si="16"/>
        <v>0</v>
      </c>
    </row>
    <row r="65" spans="2:17" ht="15.6">
      <c r="B65" s="10" t="s">
        <v>7</v>
      </c>
      <c r="C65" s="12">
        <f t="shared" ref="C65:F66" si="18">C32</f>
        <v>86</v>
      </c>
      <c r="D65" s="12">
        <f t="shared" si="18"/>
        <v>9</v>
      </c>
      <c r="E65" s="12">
        <f t="shared" si="18"/>
        <v>1</v>
      </c>
      <c r="F65" s="11">
        <f t="shared" si="18"/>
        <v>0</v>
      </c>
      <c r="G65" s="12"/>
      <c r="H65" s="12"/>
      <c r="I65" s="13">
        <f t="shared" si="15"/>
        <v>96</v>
      </c>
      <c r="K65" s="10" t="s">
        <v>7</v>
      </c>
      <c r="L65" s="60">
        <f t="shared" si="17"/>
        <v>6.5311081788938576</v>
      </c>
      <c r="M65" s="60">
        <f t="shared" si="16"/>
        <v>6.5311081788938576</v>
      </c>
      <c r="N65" s="60">
        <f t="shared" si="16"/>
        <v>6.5311081788938576</v>
      </c>
      <c r="O65" s="171">
        <f t="shared" si="16"/>
        <v>0</v>
      </c>
      <c r="P65" s="60">
        <f t="shared" si="16"/>
        <v>0</v>
      </c>
      <c r="Q65" s="60">
        <f t="shared" si="16"/>
        <v>0</v>
      </c>
    </row>
    <row r="66" spans="2:17" ht="15.6">
      <c r="B66" s="10" t="s">
        <v>8</v>
      </c>
      <c r="C66" s="12">
        <f>C33</f>
        <v>61</v>
      </c>
      <c r="D66" s="12">
        <f t="shared" si="18"/>
        <v>120</v>
      </c>
      <c r="E66" s="12">
        <f t="shared" si="18"/>
        <v>119</v>
      </c>
      <c r="F66" s="12">
        <f t="shared" si="18"/>
        <v>47</v>
      </c>
      <c r="G66" s="11"/>
      <c r="H66" s="12"/>
      <c r="I66" s="13">
        <f t="shared" si="15"/>
        <v>347</v>
      </c>
      <c r="K66" s="10" t="s">
        <v>8</v>
      </c>
      <c r="L66" s="60">
        <f t="shared" si="17"/>
        <v>6.5311081788938576</v>
      </c>
      <c r="M66" s="60">
        <f t="shared" si="16"/>
        <v>6.5311081788938576</v>
      </c>
      <c r="N66" s="60">
        <f t="shared" si="16"/>
        <v>6.5311081788938576</v>
      </c>
      <c r="O66" s="60">
        <f t="shared" si="16"/>
        <v>6.5311081788938576</v>
      </c>
      <c r="P66" s="171">
        <f t="shared" si="16"/>
        <v>0</v>
      </c>
      <c r="Q66" s="60">
        <f t="shared" si="16"/>
        <v>0</v>
      </c>
    </row>
    <row r="67" spans="2:17" ht="15.6">
      <c r="B67" s="10" t="s">
        <v>9</v>
      </c>
      <c r="C67" s="12">
        <f t="shared" ref="C67:F67" si="19">C34</f>
        <v>229</v>
      </c>
      <c r="D67" s="12">
        <f t="shared" si="19"/>
        <v>221</v>
      </c>
      <c r="E67" s="12">
        <f t="shared" si="19"/>
        <v>272</v>
      </c>
      <c r="F67" s="12">
        <f t="shared" si="19"/>
        <v>102</v>
      </c>
      <c r="G67" s="12"/>
      <c r="H67" s="11"/>
      <c r="I67" s="13">
        <f t="shared" si="15"/>
        <v>824</v>
      </c>
      <c r="K67" s="10" t="s">
        <v>9</v>
      </c>
      <c r="L67" s="60">
        <f t="shared" si="17"/>
        <v>6.5311081788938576</v>
      </c>
      <c r="M67" s="60">
        <f t="shared" si="16"/>
        <v>6.5311081788938576</v>
      </c>
      <c r="N67" s="60">
        <f t="shared" si="16"/>
        <v>6.5311081788938576</v>
      </c>
      <c r="O67" s="60">
        <f t="shared" si="16"/>
        <v>6.5311081788938576</v>
      </c>
      <c r="P67" s="60">
        <f t="shared" si="16"/>
        <v>0</v>
      </c>
      <c r="Q67" s="171">
        <f t="shared" si="16"/>
        <v>0</v>
      </c>
    </row>
    <row r="68" spans="2:17" ht="15.6">
      <c r="B68" s="16" t="s">
        <v>48</v>
      </c>
      <c r="C68" s="13">
        <f t="shared" ref="C68:I68" si="20">SUM(C62:C67)</f>
        <v>376</v>
      </c>
      <c r="D68" s="13">
        <f t="shared" si="20"/>
        <v>350</v>
      </c>
      <c r="E68" s="13">
        <f t="shared" si="20"/>
        <v>392</v>
      </c>
      <c r="F68" s="13">
        <f t="shared" si="20"/>
        <v>149</v>
      </c>
      <c r="G68" s="13">
        <f t="shared" si="20"/>
        <v>0</v>
      </c>
      <c r="H68" s="13">
        <f t="shared" si="20"/>
        <v>0</v>
      </c>
      <c r="I68" s="13">
        <f t="shared" si="20"/>
        <v>1267</v>
      </c>
    </row>
    <row r="70" spans="2:17" ht="15.6">
      <c r="B70" s="98" t="s">
        <v>375</v>
      </c>
      <c r="C70" s="179" t="s">
        <v>6</v>
      </c>
      <c r="K70" s="98" t="s">
        <v>302</v>
      </c>
      <c r="L70" s="179" t="str">
        <f>C70</f>
        <v>BRSUA</v>
      </c>
      <c r="N70" s="169"/>
      <c r="O70" s="169"/>
      <c r="P70" s="169"/>
      <c r="Q70" s="169"/>
    </row>
    <row r="71" spans="2:17" ht="15.6">
      <c r="B71" s="5" t="s">
        <v>188</v>
      </c>
      <c r="C71" s="4" t="s">
        <v>4</v>
      </c>
      <c r="D71" s="4" t="s">
        <v>5</v>
      </c>
      <c r="E71" s="4" t="s">
        <v>6</v>
      </c>
      <c r="F71" s="4" t="s">
        <v>7</v>
      </c>
      <c r="G71" s="4" t="s">
        <v>8</v>
      </c>
      <c r="H71" s="4" t="s">
        <v>9</v>
      </c>
      <c r="I71" s="5" t="s">
        <v>47</v>
      </c>
      <c r="K71" s="5" t="s">
        <v>308</v>
      </c>
      <c r="L71" s="4" t="s">
        <v>4</v>
      </c>
      <c r="M71" s="4" t="s">
        <v>5</v>
      </c>
      <c r="N71" s="4" t="s">
        <v>6</v>
      </c>
      <c r="O71" s="4" t="s">
        <v>7</v>
      </c>
      <c r="P71" s="4" t="s">
        <v>8</v>
      </c>
      <c r="Q71" s="4" t="s">
        <v>9</v>
      </c>
    </row>
    <row r="72" spans="2:17" ht="15.6">
      <c r="B72" s="10" t="s">
        <v>4</v>
      </c>
      <c r="C72" s="11"/>
      <c r="D72" s="12"/>
      <c r="E72" s="12"/>
      <c r="F72" s="12"/>
      <c r="G72" s="12"/>
      <c r="H72" s="12"/>
      <c r="I72" s="13">
        <f t="shared" ref="I72:I77" si="21">SUM(C72:H72)</f>
        <v>0</v>
      </c>
      <c r="K72" s="10" t="s">
        <v>4</v>
      </c>
      <c r="L72" s="171">
        <f>IF(C72=0,0,$E$25/$I$78)</f>
        <v>0</v>
      </c>
      <c r="M72" s="60">
        <f t="shared" ref="M72:Q77" si="22">IF(D72=0,0,$E$25/$I$78)</f>
        <v>0</v>
      </c>
      <c r="N72" s="60">
        <f t="shared" si="22"/>
        <v>0</v>
      </c>
      <c r="O72" s="60">
        <f t="shared" si="22"/>
        <v>0</v>
      </c>
      <c r="P72" s="60">
        <f t="shared" si="22"/>
        <v>0</v>
      </c>
      <c r="Q72" s="60">
        <f t="shared" si="22"/>
        <v>0</v>
      </c>
    </row>
    <row r="73" spans="2:17" ht="15.6">
      <c r="B73" s="10" t="s">
        <v>5</v>
      </c>
      <c r="C73" s="12"/>
      <c r="D73" s="11"/>
      <c r="E73" s="12"/>
      <c r="F73" s="12"/>
      <c r="G73" s="12"/>
      <c r="H73" s="12"/>
      <c r="I73" s="13">
        <f t="shared" si="21"/>
        <v>0</v>
      </c>
      <c r="K73" s="10" t="s">
        <v>5</v>
      </c>
      <c r="L73" s="60">
        <f t="shared" ref="L73:L77" si="23">IF(C73=0,0,$E$25/$I$78)</f>
        <v>0</v>
      </c>
      <c r="M73" s="171">
        <f t="shared" si="22"/>
        <v>0</v>
      </c>
      <c r="N73" s="60">
        <f t="shared" si="22"/>
        <v>0</v>
      </c>
      <c r="O73" s="60">
        <f t="shared" si="22"/>
        <v>0</v>
      </c>
      <c r="P73" s="60">
        <f t="shared" si="22"/>
        <v>0</v>
      </c>
      <c r="Q73" s="60">
        <f t="shared" si="22"/>
        <v>0</v>
      </c>
    </row>
    <row r="74" spans="2:17" ht="15.6">
      <c r="B74" s="10" t="s">
        <v>6</v>
      </c>
      <c r="C74" s="12">
        <f t="shared" ref="C74:E76" si="24">C31</f>
        <v>331</v>
      </c>
      <c r="D74" s="12"/>
      <c r="E74" s="11"/>
      <c r="F74" s="12"/>
      <c r="G74" s="12"/>
      <c r="H74" s="12"/>
      <c r="I74" s="13">
        <f t="shared" si="21"/>
        <v>331</v>
      </c>
      <c r="K74" s="10" t="s">
        <v>6</v>
      </c>
      <c r="L74" s="60">
        <f t="shared" si="23"/>
        <v>5.7107757506269961</v>
      </c>
      <c r="M74" s="60">
        <f t="shared" si="22"/>
        <v>0</v>
      </c>
      <c r="N74" s="171">
        <f t="shared" si="22"/>
        <v>0</v>
      </c>
      <c r="O74" s="60">
        <f t="shared" si="22"/>
        <v>0</v>
      </c>
      <c r="P74" s="60">
        <f t="shared" si="22"/>
        <v>0</v>
      </c>
      <c r="Q74" s="60">
        <f t="shared" si="22"/>
        <v>0</v>
      </c>
    </row>
    <row r="75" spans="2:17" ht="15.6">
      <c r="B75" s="10" t="s">
        <v>7</v>
      </c>
      <c r="C75" s="12">
        <f t="shared" si="24"/>
        <v>86</v>
      </c>
      <c r="D75" s="12">
        <f t="shared" si="24"/>
        <v>9</v>
      </c>
      <c r="E75" s="12">
        <f t="shared" si="24"/>
        <v>1</v>
      </c>
      <c r="F75" s="11"/>
      <c r="G75" s="12"/>
      <c r="H75" s="12"/>
      <c r="I75" s="13">
        <f t="shared" si="21"/>
        <v>96</v>
      </c>
      <c r="K75" s="10" t="s">
        <v>7</v>
      </c>
      <c r="L75" s="60">
        <f t="shared" si="23"/>
        <v>5.7107757506269961</v>
      </c>
      <c r="M75" s="60">
        <f t="shared" si="22"/>
        <v>5.7107757506269961</v>
      </c>
      <c r="N75" s="60">
        <f t="shared" si="22"/>
        <v>5.7107757506269961</v>
      </c>
      <c r="O75" s="171">
        <f t="shared" si="22"/>
        <v>0</v>
      </c>
      <c r="P75" s="60">
        <f t="shared" si="22"/>
        <v>0</v>
      </c>
      <c r="Q75" s="60">
        <f t="shared" si="22"/>
        <v>0</v>
      </c>
    </row>
    <row r="76" spans="2:17" ht="15.6">
      <c r="B76" s="10" t="s">
        <v>8</v>
      </c>
      <c r="C76" s="12">
        <f>C33</f>
        <v>61</v>
      </c>
      <c r="D76" s="12">
        <f t="shared" si="24"/>
        <v>120</v>
      </c>
      <c r="E76" s="12">
        <f t="shared" si="24"/>
        <v>119</v>
      </c>
      <c r="F76" s="12"/>
      <c r="G76" s="11"/>
      <c r="H76" s="12"/>
      <c r="I76" s="13">
        <f t="shared" si="21"/>
        <v>300</v>
      </c>
      <c r="K76" s="10" t="s">
        <v>8</v>
      </c>
      <c r="L76" s="60">
        <f t="shared" si="23"/>
        <v>5.7107757506269961</v>
      </c>
      <c r="M76" s="60">
        <f t="shared" si="22"/>
        <v>5.7107757506269961</v>
      </c>
      <c r="N76" s="60">
        <f t="shared" si="22"/>
        <v>5.7107757506269961</v>
      </c>
      <c r="O76" s="60">
        <f t="shared" si="22"/>
        <v>0</v>
      </c>
      <c r="P76" s="171">
        <f t="shared" si="22"/>
        <v>0</v>
      </c>
      <c r="Q76" s="60">
        <f t="shared" si="22"/>
        <v>0</v>
      </c>
    </row>
    <row r="77" spans="2:17" ht="15.6">
      <c r="B77" s="10" t="s">
        <v>9</v>
      </c>
      <c r="C77" s="12">
        <f t="shared" ref="C77:E77" si="25">C34</f>
        <v>229</v>
      </c>
      <c r="D77" s="12">
        <f t="shared" si="25"/>
        <v>221</v>
      </c>
      <c r="E77" s="12">
        <f t="shared" si="25"/>
        <v>272</v>
      </c>
      <c r="F77" s="12"/>
      <c r="G77" s="12"/>
      <c r="H77" s="11"/>
      <c r="I77" s="13">
        <f t="shared" si="21"/>
        <v>722</v>
      </c>
      <c r="K77" s="10" t="s">
        <v>9</v>
      </c>
      <c r="L77" s="60">
        <f t="shared" si="23"/>
        <v>5.7107757506269961</v>
      </c>
      <c r="M77" s="60">
        <f t="shared" si="22"/>
        <v>5.7107757506269961</v>
      </c>
      <c r="N77" s="60">
        <f t="shared" si="22"/>
        <v>5.7107757506269961</v>
      </c>
      <c r="O77" s="60">
        <f t="shared" si="22"/>
        <v>0</v>
      </c>
      <c r="P77" s="60">
        <f t="shared" si="22"/>
        <v>0</v>
      </c>
      <c r="Q77" s="171">
        <f t="shared" si="22"/>
        <v>0</v>
      </c>
    </row>
    <row r="78" spans="2:17" ht="15.6">
      <c r="B78" s="16" t="s">
        <v>48</v>
      </c>
      <c r="C78" s="13">
        <f t="shared" ref="C78:I78" si="26">SUM(C72:C77)</f>
        <v>707</v>
      </c>
      <c r="D78" s="13">
        <f t="shared" si="26"/>
        <v>350</v>
      </c>
      <c r="E78" s="13">
        <f t="shared" si="26"/>
        <v>392</v>
      </c>
      <c r="F78" s="13">
        <f t="shared" si="26"/>
        <v>0</v>
      </c>
      <c r="G78" s="13">
        <f t="shared" si="26"/>
        <v>0</v>
      </c>
      <c r="H78" s="13">
        <f t="shared" si="26"/>
        <v>0</v>
      </c>
      <c r="I78" s="13">
        <f t="shared" si="26"/>
        <v>1449</v>
      </c>
    </row>
    <row r="80" spans="2:17" ht="15.6">
      <c r="B80" s="98" t="s">
        <v>375</v>
      </c>
      <c r="C80" s="179" t="s">
        <v>5</v>
      </c>
      <c r="K80" s="98" t="s">
        <v>302</v>
      </c>
      <c r="L80" s="179" t="str">
        <f>C80</f>
        <v>BRPEC</v>
      </c>
      <c r="N80" s="169"/>
      <c r="O80" s="169"/>
      <c r="P80" s="169"/>
      <c r="Q80" s="169"/>
    </row>
    <row r="81" spans="2:17" ht="15.6">
      <c r="B81" s="5" t="s">
        <v>188</v>
      </c>
      <c r="C81" s="4" t="s">
        <v>4</v>
      </c>
      <c r="D81" s="4" t="s">
        <v>5</v>
      </c>
      <c r="E81" s="4" t="s">
        <v>6</v>
      </c>
      <c r="F81" s="4" t="s">
        <v>7</v>
      </c>
      <c r="G81" s="4" t="s">
        <v>8</v>
      </c>
      <c r="H81" s="4" t="s">
        <v>9</v>
      </c>
      <c r="I81" s="5" t="s">
        <v>47</v>
      </c>
      <c r="K81" s="5" t="s">
        <v>308</v>
      </c>
      <c r="L81" s="4" t="s">
        <v>4</v>
      </c>
      <c r="M81" s="4" t="s">
        <v>5</v>
      </c>
      <c r="N81" s="4" t="s">
        <v>6</v>
      </c>
      <c r="O81" s="4" t="s">
        <v>7</v>
      </c>
      <c r="P81" s="4" t="s">
        <v>8</v>
      </c>
      <c r="Q81" s="4" t="s">
        <v>9</v>
      </c>
    </row>
    <row r="82" spans="2:17" ht="15.6">
      <c r="B82" s="10" t="s">
        <v>4</v>
      </c>
      <c r="C82" s="11"/>
      <c r="D82" s="12"/>
      <c r="E82" s="12"/>
      <c r="F82" s="12"/>
      <c r="G82" s="12"/>
      <c r="H82" s="12"/>
      <c r="I82" s="13">
        <f t="shared" ref="I82:I87" si="27">SUM(C82:H82)</f>
        <v>0</v>
      </c>
      <c r="K82" s="10" t="s">
        <v>4</v>
      </c>
      <c r="L82" s="171">
        <f>IF(C82=0,0,$E$25/$I$88)</f>
        <v>0</v>
      </c>
      <c r="M82" s="60">
        <f t="shared" ref="M82:Q87" si="28">IF(D82=0,0,$E$25/$I$88)</f>
        <v>0</v>
      </c>
      <c r="N82" s="60">
        <f t="shared" si="28"/>
        <v>0</v>
      </c>
      <c r="O82" s="60">
        <f t="shared" si="28"/>
        <v>0</v>
      </c>
      <c r="P82" s="60">
        <f t="shared" si="28"/>
        <v>0</v>
      </c>
      <c r="Q82" s="60">
        <f t="shared" si="28"/>
        <v>0</v>
      </c>
    </row>
    <row r="83" spans="2:17" ht="15.6">
      <c r="B83" s="10" t="s">
        <v>5</v>
      </c>
      <c r="C83" s="12">
        <f t="shared" ref="C83:C84" si="29">C30</f>
        <v>260</v>
      </c>
      <c r="D83" s="11"/>
      <c r="E83" s="12"/>
      <c r="F83" s="12"/>
      <c r="G83" s="12"/>
      <c r="H83" s="12"/>
      <c r="I83" s="13">
        <f t="shared" si="27"/>
        <v>260</v>
      </c>
      <c r="K83" s="10" t="s">
        <v>5</v>
      </c>
      <c r="L83" s="60">
        <f t="shared" ref="L83:L87" si="30">IF(C83=0,0,$E$25/$I$88)</f>
        <v>6.2831541857695656</v>
      </c>
      <c r="M83" s="171">
        <f t="shared" si="28"/>
        <v>0</v>
      </c>
      <c r="N83" s="60">
        <f t="shared" si="28"/>
        <v>0</v>
      </c>
      <c r="O83" s="60">
        <f t="shared" si="28"/>
        <v>0</v>
      </c>
      <c r="P83" s="60">
        <f t="shared" si="28"/>
        <v>0</v>
      </c>
      <c r="Q83" s="60">
        <f t="shared" si="28"/>
        <v>0</v>
      </c>
    </row>
    <row r="84" spans="2:17" ht="15.6">
      <c r="B84" s="10" t="s">
        <v>6</v>
      </c>
      <c r="C84" s="12">
        <f t="shared" si="29"/>
        <v>331</v>
      </c>
      <c r="D84" s="12"/>
      <c r="E84" s="11"/>
      <c r="F84" s="12"/>
      <c r="G84" s="12"/>
      <c r="H84" s="12"/>
      <c r="I84" s="13">
        <f t="shared" si="27"/>
        <v>331</v>
      </c>
      <c r="K84" s="10" t="s">
        <v>6</v>
      </c>
      <c r="L84" s="60">
        <f>IF(C84=0,0,$E$25/$I$88)</f>
        <v>6.2831541857695656</v>
      </c>
      <c r="M84" s="60">
        <f t="shared" si="28"/>
        <v>0</v>
      </c>
      <c r="N84" s="171">
        <f t="shared" si="28"/>
        <v>0</v>
      </c>
      <c r="O84" s="60">
        <f t="shared" si="28"/>
        <v>0</v>
      </c>
      <c r="P84" s="60">
        <f t="shared" si="28"/>
        <v>0</v>
      </c>
      <c r="Q84" s="60">
        <f t="shared" si="28"/>
        <v>0</v>
      </c>
    </row>
    <row r="85" spans="2:17" ht="15.6">
      <c r="B85" s="10" t="s">
        <v>7</v>
      </c>
      <c r="C85" s="12">
        <f>C32</f>
        <v>86</v>
      </c>
      <c r="D85" s="12">
        <f t="shared" ref="D85" si="31">D32</f>
        <v>9</v>
      </c>
      <c r="E85" s="12"/>
      <c r="F85" s="11"/>
      <c r="G85" s="12"/>
      <c r="H85" s="12"/>
      <c r="I85" s="13">
        <f t="shared" si="27"/>
        <v>95</v>
      </c>
      <c r="K85" s="10" t="s">
        <v>7</v>
      </c>
      <c r="L85" s="60">
        <f t="shared" si="30"/>
        <v>6.2831541857695656</v>
      </c>
      <c r="M85" s="60">
        <f t="shared" si="28"/>
        <v>6.2831541857695656</v>
      </c>
      <c r="N85" s="60">
        <f t="shared" si="28"/>
        <v>0</v>
      </c>
      <c r="O85" s="171">
        <f t="shared" si="28"/>
        <v>0</v>
      </c>
      <c r="P85" s="60">
        <f t="shared" si="28"/>
        <v>0</v>
      </c>
      <c r="Q85" s="60">
        <f t="shared" si="28"/>
        <v>0</v>
      </c>
    </row>
    <row r="86" spans="2:17" ht="15.6">
      <c r="B86" s="10" t="s">
        <v>8</v>
      </c>
      <c r="C86" s="12">
        <f t="shared" ref="C86:D87" si="32">C33</f>
        <v>61</v>
      </c>
      <c r="D86" s="12">
        <f t="shared" si="32"/>
        <v>120</v>
      </c>
      <c r="E86" s="12"/>
      <c r="F86" s="12"/>
      <c r="G86" s="11"/>
      <c r="H86" s="12"/>
      <c r="I86" s="13">
        <f t="shared" si="27"/>
        <v>181</v>
      </c>
      <c r="K86" s="10" t="s">
        <v>8</v>
      </c>
      <c r="L86" s="60">
        <f t="shared" si="30"/>
        <v>6.2831541857695656</v>
      </c>
      <c r="M86" s="60">
        <f t="shared" si="28"/>
        <v>6.2831541857695656</v>
      </c>
      <c r="N86" s="60">
        <f t="shared" si="28"/>
        <v>0</v>
      </c>
      <c r="O86" s="60">
        <f t="shared" si="28"/>
        <v>0</v>
      </c>
      <c r="P86" s="171">
        <f t="shared" si="28"/>
        <v>0</v>
      </c>
      <c r="Q86" s="60">
        <f t="shared" si="28"/>
        <v>0</v>
      </c>
    </row>
    <row r="87" spans="2:17" ht="15.6">
      <c r="B87" s="10" t="s">
        <v>9</v>
      </c>
      <c r="C87" s="12">
        <f t="shared" si="32"/>
        <v>229</v>
      </c>
      <c r="D87" s="12">
        <f t="shared" si="32"/>
        <v>221</v>
      </c>
      <c r="E87" s="12"/>
      <c r="F87" s="12"/>
      <c r="G87" s="12"/>
      <c r="H87" s="11"/>
      <c r="I87" s="13">
        <f t="shared" si="27"/>
        <v>450</v>
      </c>
      <c r="K87" s="10" t="s">
        <v>9</v>
      </c>
      <c r="L87" s="60">
        <f t="shared" si="30"/>
        <v>6.2831541857695656</v>
      </c>
      <c r="M87" s="60">
        <f t="shared" si="28"/>
        <v>6.2831541857695656</v>
      </c>
      <c r="N87" s="60">
        <f t="shared" si="28"/>
        <v>0</v>
      </c>
      <c r="O87" s="60">
        <f t="shared" si="28"/>
        <v>0</v>
      </c>
      <c r="P87" s="60">
        <f t="shared" si="28"/>
        <v>0</v>
      </c>
      <c r="Q87" s="171">
        <f t="shared" si="28"/>
        <v>0</v>
      </c>
    </row>
    <row r="88" spans="2:17" ht="15.6">
      <c r="B88" s="16" t="s">
        <v>48</v>
      </c>
      <c r="C88" s="13">
        <f t="shared" ref="C88:I88" si="33">SUM(C82:C87)</f>
        <v>967</v>
      </c>
      <c r="D88" s="13">
        <f t="shared" si="33"/>
        <v>350</v>
      </c>
      <c r="E88" s="13">
        <f t="shared" si="33"/>
        <v>0</v>
      </c>
      <c r="F88" s="13">
        <f t="shared" si="33"/>
        <v>0</v>
      </c>
      <c r="G88" s="13">
        <f t="shared" si="33"/>
        <v>0</v>
      </c>
      <c r="H88" s="13">
        <f t="shared" si="33"/>
        <v>0</v>
      </c>
      <c r="I88" s="13">
        <f t="shared" si="33"/>
        <v>1317</v>
      </c>
    </row>
    <row r="90" spans="2:17" ht="15.6">
      <c r="B90" s="98" t="s">
        <v>375</v>
      </c>
      <c r="C90" s="179" t="s">
        <v>4</v>
      </c>
      <c r="K90" s="98" t="s">
        <v>302</v>
      </c>
      <c r="L90" s="179" t="str">
        <f>C90</f>
        <v>BRMAO</v>
      </c>
      <c r="N90" s="169"/>
      <c r="O90" s="169"/>
      <c r="P90" s="169"/>
      <c r="Q90" s="169"/>
    </row>
    <row r="91" spans="2:17" ht="15.6">
      <c r="B91" s="5" t="s">
        <v>188</v>
      </c>
      <c r="C91" s="4" t="s">
        <v>4</v>
      </c>
      <c r="D91" s="4" t="s">
        <v>5</v>
      </c>
      <c r="E91" s="4" t="s">
        <v>6</v>
      </c>
      <c r="F91" s="4" t="s">
        <v>7</v>
      </c>
      <c r="G91" s="4" t="s">
        <v>8</v>
      </c>
      <c r="H91" s="4" t="s">
        <v>9</v>
      </c>
      <c r="I91" s="5" t="s">
        <v>47</v>
      </c>
      <c r="K91" s="5" t="s">
        <v>308</v>
      </c>
      <c r="L91" s="4" t="s">
        <v>4</v>
      </c>
      <c r="M91" s="4" t="s">
        <v>5</v>
      </c>
      <c r="N91" s="4" t="s">
        <v>6</v>
      </c>
      <c r="O91" s="4" t="s">
        <v>7</v>
      </c>
      <c r="P91" s="4" t="s">
        <v>8</v>
      </c>
      <c r="Q91" s="4" t="s">
        <v>9</v>
      </c>
    </row>
    <row r="92" spans="2:17" ht="15.6">
      <c r="B92" s="10" t="s">
        <v>4</v>
      </c>
      <c r="C92" s="11"/>
      <c r="D92" s="12">
        <f t="shared" ref="D92:H92" si="34">D29</f>
        <v>175</v>
      </c>
      <c r="E92" s="12">
        <f t="shared" si="34"/>
        <v>156</v>
      </c>
      <c r="F92" s="12"/>
      <c r="G92" s="12">
        <f t="shared" si="34"/>
        <v>226</v>
      </c>
      <c r="H92" s="12">
        <f t="shared" si="34"/>
        <v>648</v>
      </c>
      <c r="I92" s="13">
        <f t="shared" ref="I92:I97" si="35">SUM(C92:H92)</f>
        <v>1205</v>
      </c>
      <c r="K92" s="10" t="s">
        <v>4</v>
      </c>
      <c r="L92" s="171">
        <f>IF(C92=0,0,$E$25/$I$98)</f>
        <v>0</v>
      </c>
      <c r="M92" s="60">
        <f t="shared" ref="M92:Q97" si="36">IF(D92=0,0,$E$25/$I$98)</f>
        <v>3.8098131043547503</v>
      </c>
      <c r="N92" s="60">
        <f t="shared" si="36"/>
        <v>3.8098131043547503</v>
      </c>
      <c r="O92" s="60">
        <f t="shared" si="36"/>
        <v>0</v>
      </c>
      <c r="P92" s="60">
        <f t="shared" si="36"/>
        <v>3.8098131043547503</v>
      </c>
      <c r="Q92" s="60">
        <f t="shared" si="36"/>
        <v>3.8098131043547503</v>
      </c>
    </row>
    <row r="93" spans="2:17" ht="15.6">
      <c r="B93" s="10" t="s">
        <v>5</v>
      </c>
      <c r="C93" s="12">
        <f t="shared" ref="C93:C94" si="37">C30</f>
        <v>260</v>
      </c>
      <c r="D93" s="11"/>
      <c r="E93" s="12"/>
      <c r="F93" s="12"/>
      <c r="G93" s="12"/>
      <c r="H93" s="12"/>
      <c r="I93" s="13">
        <f t="shared" si="35"/>
        <v>260</v>
      </c>
      <c r="K93" s="10" t="s">
        <v>5</v>
      </c>
      <c r="L93" s="60">
        <f t="shared" ref="L93:L97" si="38">IF(C93=0,0,$E$25/$I$98)</f>
        <v>3.8098131043547503</v>
      </c>
      <c r="M93" s="171">
        <f t="shared" si="36"/>
        <v>0</v>
      </c>
      <c r="N93" s="60">
        <f t="shared" si="36"/>
        <v>0</v>
      </c>
      <c r="O93" s="60">
        <f t="shared" si="36"/>
        <v>0</v>
      </c>
      <c r="P93" s="60">
        <f t="shared" si="36"/>
        <v>0</v>
      </c>
      <c r="Q93" s="60">
        <f t="shared" si="36"/>
        <v>0</v>
      </c>
    </row>
    <row r="94" spans="2:17" ht="15.6">
      <c r="B94" s="10" t="s">
        <v>6</v>
      </c>
      <c r="C94" s="12">
        <f t="shared" si="37"/>
        <v>331</v>
      </c>
      <c r="D94" s="12"/>
      <c r="E94" s="11"/>
      <c r="F94" s="12"/>
      <c r="G94" s="12"/>
      <c r="H94" s="12"/>
      <c r="I94" s="13">
        <f t="shared" si="35"/>
        <v>331</v>
      </c>
      <c r="K94" s="10" t="s">
        <v>6</v>
      </c>
      <c r="L94" s="60">
        <f t="shared" si="38"/>
        <v>3.8098131043547503</v>
      </c>
      <c r="M94" s="60">
        <f t="shared" si="36"/>
        <v>0</v>
      </c>
      <c r="N94" s="171">
        <f t="shared" si="36"/>
        <v>0</v>
      </c>
      <c r="O94" s="60">
        <f t="shared" si="36"/>
        <v>0</v>
      </c>
      <c r="P94" s="60">
        <f t="shared" si="36"/>
        <v>0</v>
      </c>
      <c r="Q94" s="60">
        <f t="shared" si="36"/>
        <v>0</v>
      </c>
    </row>
    <row r="95" spans="2:17" ht="15.6">
      <c r="B95" s="10" t="s">
        <v>7</v>
      </c>
      <c r="C95" s="12">
        <f>C32</f>
        <v>86</v>
      </c>
      <c r="D95" s="12"/>
      <c r="E95" s="12"/>
      <c r="F95" s="11"/>
      <c r="G95" s="12"/>
      <c r="H95" s="12"/>
      <c r="I95" s="13">
        <f t="shared" si="35"/>
        <v>86</v>
      </c>
      <c r="K95" s="10" t="s">
        <v>7</v>
      </c>
      <c r="L95" s="60">
        <f t="shared" si="38"/>
        <v>3.8098131043547503</v>
      </c>
      <c r="M95" s="60">
        <f t="shared" si="36"/>
        <v>0</v>
      </c>
      <c r="N95" s="60">
        <f t="shared" si="36"/>
        <v>0</v>
      </c>
      <c r="O95" s="171">
        <f t="shared" si="36"/>
        <v>0</v>
      </c>
      <c r="P95" s="60">
        <f t="shared" si="36"/>
        <v>0</v>
      </c>
      <c r="Q95" s="60">
        <f t="shared" si="36"/>
        <v>0</v>
      </c>
    </row>
    <row r="96" spans="2:17" ht="15.6">
      <c r="B96" s="10" t="s">
        <v>8</v>
      </c>
      <c r="C96" s="12">
        <f t="shared" ref="C96:C97" si="39">C33</f>
        <v>61</v>
      </c>
      <c r="D96" s="12"/>
      <c r="E96" s="12"/>
      <c r="F96" s="12"/>
      <c r="G96" s="11"/>
      <c r="H96" s="12"/>
      <c r="I96" s="13">
        <f t="shared" si="35"/>
        <v>61</v>
      </c>
      <c r="K96" s="10" t="s">
        <v>8</v>
      </c>
      <c r="L96" s="60">
        <f t="shared" si="38"/>
        <v>3.8098131043547503</v>
      </c>
      <c r="M96" s="60">
        <f t="shared" si="36"/>
        <v>0</v>
      </c>
      <c r="N96" s="60">
        <f t="shared" si="36"/>
        <v>0</v>
      </c>
      <c r="O96" s="60">
        <f t="shared" si="36"/>
        <v>0</v>
      </c>
      <c r="P96" s="171">
        <f t="shared" si="36"/>
        <v>0</v>
      </c>
      <c r="Q96" s="60">
        <f t="shared" si="36"/>
        <v>0</v>
      </c>
    </row>
    <row r="97" spans="2:17" ht="15.6">
      <c r="B97" s="10" t="s">
        <v>9</v>
      </c>
      <c r="C97" s="12">
        <f t="shared" si="39"/>
        <v>229</v>
      </c>
      <c r="D97" s="12"/>
      <c r="E97" s="12"/>
      <c r="F97" s="12"/>
      <c r="G97" s="12"/>
      <c r="H97" s="11"/>
      <c r="I97" s="13">
        <f t="shared" si="35"/>
        <v>229</v>
      </c>
      <c r="K97" s="10" t="s">
        <v>9</v>
      </c>
      <c r="L97" s="60">
        <f t="shared" si="38"/>
        <v>3.8098131043547503</v>
      </c>
      <c r="M97" s="60">
        <f t="shared" si="36"/>
        <v>0</v>
      </c>
      <c r="N97" s="60">
        <f t="shared" si="36"/>
        <v>0</v>
      </c>
      <c r="O97" s="60">
        <f t="shared" si="36"/>
        <v>0</v>
      </c>
      <c r="P97" s="60">
        <f t="shared" si="36"/>
        <v>0</v>
      </c>
      <c r="Q97" s="171">
        <f t="shared" si="36"/>
        <v>0</v>
      </c>
    </row>
    <row r="98" spans="2:17" ht="15.6">
      <c r="B98" s="16" t="s">
        <v>48</v>
      </c>
      <c r="C98" s="13">
        <f t="shared" ref="C98:I98" si="40">SUM(C92:C97)</f>
        <v>967</v>
      </c>
      <c r="D98" s="13">
        <f t="shared" si="40"/>
        <v>175</v>
      </c>
      <c r="E98" s="13">
        <f t="shared" si="40"/>
        <v>156</v>
      </c>
      <c r="F98" s="13">
        <f t="shared" si="40"/>
        <v>0</v>
      </c>
      <c r="G98" s="13">
        <f t="shared" si="40"/>
        <v>226</v>
      </c>
      <c r="H98" s="13">
        <f t="shared" si="40"/>
        <v>648</v>
      </c>
      <c r="I98" s="13">
        <f t="shared" si="40"/>
        <v>2172</v>
      </c>
    </row>
    <row r="100" spans="2:17" ht="15.6">
      <c r="B100" s="98" t="s">
        <v>375</v>
      </c>
      <c r="C100" s="179" t="s">
        <v>5</v>
      </c>
      <c r="K100" s="98" t="s">
        <v>302</v>
      </c>
      <c r="L100" s="179" t="str">
        <f>C100</f>
        <v>BRPEC</v>
      </c>
      <c r="N100" s="169"/>
      <c r="O100" s="169"/>
      <c r="P100" s="169"/>
      <c r="Q100" s="169"/>
    </row>
    <row r="101" spans="2:17" ht="15.6">
      <c r="B101" s="5" t="s">
        <v>188</v>
      </c>
      <c r="C101" s="4" t="s">
        <v>4</v>
      </c>
      <c r="D101" s="4" t="s">
        <v>5</v>
      </c>
      <c r="E101" s="4" t="s">
        <v>6</v>
      </c>
      <c r="F101" s="4" t="s">
        <v>7</v>
      </c>
      <c r="G101" s="4" t="s">
        <v>8</v>
      </c>
      <c r="H101" s="4" t="s">
        <v>9</v>
      </c>
      <c r="I101" s="5" t="s">
        <v>47</v>
      </c>
      <c r="K101" s="5" t="s">
        <v>308</v>
      </c>
      <c r="L101" s="4" t="s">
        <v>4</v>
      </c>
      <c r="M101" s="4" t="s">
        <v>5</v>
      </c>
      <c r="N101" s="4" t="s">
        <v>6</v>
      </c>
      <c r="O101" s="4" t="s">
        <v>7</v>
      </c>
      <c r="P101" s="4" t="s">
        <v>8</v>
      </c>
      <c r="Q101" s="4" t="s">
        <v>9</v>
      </c>
    </row>
    <row r="102" spans="2:17" ht="15.6">
      <c r="B102" s="10" t="s">
        <v>4</v>
      </c>
      <c r="C102" s="11">
        <f t="shared" ref="C102:H103" si="41">C29</f>
        <v>0</v>
      </c>
      <c r="D102" s="12">
        <f t="shared" si="41"/>
        <v>175</v>
      </c>
      <c r="E102" s="12">
        <f t="shared" si="41"/>
        <v>156</v>
      </c>
      <c r="F102" s="12"/>
      <c r="G102" s="12">
        <f t="shared" si="41"/>
        <v>226</v>
      </c>
      <c r="H102" s="12">
        <f t="shared" si="41"/>
        <v>648</v>
      </c>
      <c r="I102" s="13">
        <f t="shared" ref="I102:I107" si="42">SUM(C102:H102)</f>
        <v>1205</v>
      </c>
      <c r="K102" s="10" t="s">
        <v>4</v>
      </c>
      <c r="L102" s="171">
        <f>IF(C102=0,0,$E$25/$I$108)</f>
        <v>0</v>
      </c>
      <c r="M102" s="60">
        <f t="shared" ref="M102:Q107" si="43">IF(D102=0,0,$E$25/$I$108)</f>
        <v>6.0800250276697412</v>
      </c>
      <c r="N102" s="60">
        <f t="shared" si="43"/>
        <v>6.0800250276697412</v>
      </c>
      <c r="O102" s="60">
        <f t="shared" si="43"/>
        <v>0</v>
      </c>
      <c r="P102" s="60">
        <f t="shared" si="43"/>
        <v>6.0800250276697412</v>
      </c>
      <c r="Q102" s="60">
        <f t="shared" si="43"/>
        <v>6.0800250276697412</v>
      </c>
    </row>
    <row r="103" spans="2:17" ht="15.6">
      <c r="B103" s="10" t="s">
        <v>5</v>
      </c>
      <c r="C103" s="12"/>
      <c r="D103" s="11"/>
      <c r="E103" s="12">
        <f t="shared" si="41"/>
        <v>0</v>
      </c>
      <c r="F103" s="12"/>
      <c r="G103" s="12">
        <f t="shared" si="41"/>
        <v>20</v>
      </c>
      <c r="H103" s="12">
        <f t="shared" si="41"/>
        <v>136</v>
      </c>
      <c r="I103" s="13">
        <f t="shared" si="42"/>
        <v>156</v>
      </c>
      <c r="K103" s="10" t="s">
        <v>5</v>
      </c>
      <c r="L103" s="60">
        <f t="shared" ref="L103:L107" si="44">IF(C103=0,0,$E$25/$I$108)</f>
        <v>0</v>
      </c>
      <c r="M103" s="171">
        <f t="shared" si="43"/>
        <v>0</v>
      </c>
      <c r="N103" s="60">
        <f t="shared" si="43"/>
        <v>0</v>
      </c>
      <c r="O103" s="60">
        <f t="shared" si="43"/>
        <v>0</v>
      </c>
      <c r="P103" s="60">
        <f t="shared" si="43"/>
        <v>6.0800250276697412</v>
      </c>
      <c r="Q103" s="60">
        <f t="shared" si="43"/>
        <v>6.0800250276697412</v>
      </c>
    </row>
    <row r="104" spans="2:17" ht="15.6">
      <c r="B104" s="10" t="s">
        <v>6</v>
      </c>
      <c r="C104" s="12"/>
      <c r="D104" s="12"/>
      <c r="E104" s="11"/>
      <c r="F104" s="12"/>
      <c r="G104" s="12"/>
      <c r="H104" s="12"/>
      <c r="I104" s="13">
        <f t="shared" si="42"/>
        <v>0</v>
      </c>
      <c r="K104" s="10" t="s">
        <v>6</v>
      </c>
      <c r="L104" s="60">
        <f t="shared" si="44"/>
        <v>0</v>
      </c>
      <c r="M104" s="60">
        <f t="shared" si="43"/>
        <v>0</v>
      </c>
      <c r="N104" s="171">
        <f t="shared" si="43"/>
        <v>0</v>
      </c>
      <c r="O104" s="60">
        <f t="shared" si="43"/>
        <v>0</v>
      </c>
      <c r="P104" s="60">
        <f t="shared" si="43"/>
        <v>0</v>
      </c>
      <c r="Q104" s="60">
        <f t="shared" si="43"/>
        <v>0</v>
      </c>
    </row>
    <row r="105" spans="2:17" ht="15.6">
      <c r="B105" s="10" t="s">
        <v>7</v>
      </c>
      <c r="C105" s="12"/>
      <c r="D105" s="12"/>
      <c r="E105" s="12"/>
      <c r="F105" s="11"/>
      <c r="G105" s="12"/>
      <c r="H105" s="12"/>
      <c r="I105" s="13">
        <f t="shared" si="42"/>
        <v>0</v>
      </c>
      <c r="K105" s="10" t="s">
        <v>7</v>
      </c>
      <c r="L105" s="60">
        <f t="shared" si="44"/>
        <v>0</v>
      </c>
      <c r="M105" s="60">
        <f t="shared" si="43"/>
        <v>0</v>
      </c>
      <c r="N105" s="60">
        <f t="shared" si="43"/>
        <v>0</v>
      </c>
      <c r="O105" s="171">
        <f t="shared" si="43"/>
        <v>0</v>
      </c>
      <c r="P105" s="60">
        <f t="shared" si="43"/>
        <v>0</v>
      </c>
      <c r="Q105" s="60">
        <f t="shared" si="43"/>
        <v>0</v>
      </c>
    </row>
    <row r="106" spans="2:17" ht="15.6">
      <c r="B106" s="10" t="s">
        <v>8</v>
      </c>
      <c r="C106" s="12"/>
      <c r="D106" s="12"/>
      <c r="E106" s="12"/>
      <c r="F106" s="12"/>
      <c r="G106" s="11"/>
      <c r="H106" s="12"/>
      <c r="I106" s="13">
        <f t="shared" si="42"/>
        <v>0</v>
      </c>
      <c r="K106" s="10" t="s">
        <v>8</v>
      </c>
      <c r="L106" s="60">
        <f t="shared" si="44"/>
        <v>0</v>
      </c>
      <c r="M106" s="60">
        <f t="shared" si="43"/>
        <v>0</v>
      </c>
      <c r="N106" s="60">
        <f t="shared" si="43"/>
        <v>0</v>
      </c>
      <c r="O106" s="60">
        <f t="shared" si="43"/>
        <v>0</v>
      </c>
      <c r="P106" s="171">
        <f t="shared" si="43"/>
        <v>0</v>
      </c>
      <c r="Q106" s="60">
        <f t="shared" si="43"/>
        <v>0</v>
      </c>
    </row>
    <row r="107" spans="2:17" ht="15.6">
      <c r="B107" s="10" t="s">
        <v>9</v>
      </c>
      <c r="C107" s="12"/>
      <c r="D107" s="12"/>
      <c r="E107" s="12"/>
      <c r="F107" s="12"/>
      <c r="G107" s="12"/>
      <c r="H107" s="11"/>
      <c r="I107" s="13">
        <f t="shared" si="42"/>
        <v>0</v>
      </c>
      <c r="K107" s="10" t="s">
        <v>9</v>
      </c>
      <c r="L107" s="60">
        <f t="shared" si="44"/>
        <v>0</v>
      </c>
      <c r="M107" s="60">
        <f t="shared" si="43"/>
        <v>0</v>
      </c>
      <c r="N107" s="60">
        <f t="shared" si="43"/>
        <v>0</v>
      </c>
      <c r="O107" s="60">
        <f t="shared" si="43"/>
        <v>0</v>
      </c>
      <c r="P107" s="60">
        <f t="shared" si="43"/>
        <v>0</v>
      </c>
      <c r="Q107" s="171">
        <f t="shared" si="43"/>
        <v>0</v>
      </c>
    </row>
    <row r="108" spans="2:17" ht="15.6">
      <c r="B108" s="16" t="s">
        <v>48</v>
      </c>
      <c r="C108" s="13">
        <f t="shared" ref="C108:I108" si="45">SUM(C102:C107)</f>
        <v>0</v>
      </c>
      <c r="D108" s="13">
        <f t="shared" si="45"/>
        <v>175</v>
      </c>
      <c r="E108" s="13">
        <f t="shared" si="45"/>
        <v>156</v>
      </c>
      <c r="F108" s="13">
        <f t="shared" si="45"/>
        <v>0</v>
      </c>
      <c r="G108" s="13">
        <f t="shared" si="45"/>
        <v>246</v>
      </c>
      <c r="H108" s="13">
        <f t="shared" si="45"/>
        <v>784</v>
      </c>
      <c r="I108" s="13">
        <f t="shared" si="45"/>
        <v>1361</v>
      </c>
    </row>
    <row r="110" spans="2:17" ht="15.6">
      <c r="B110" s="98" t="s">
        <v>375</v>
      </c>
      <c r="C110" s="179" t="s">
        <v>6</v>
      </c>
      <c r="K110" s="98" t="s">
        <v>302</v>
      </c>
      <c r="L110" s="179" t="str">
        <f>C110</f>
        <v>BRSUA</v>
      </c>
      <c r="N110" s="169"/>
      <c r="O110" s="169"/>
      <c r="P110" s="169"/>
      <c r="Q110" s="169"/>
    </row>
    <row r="111" spans="2:17" ht="15.6">
      <c r="B111" s="5" t="s">
        <v>188</v>
      </c>
      <c r="C111" s="4" t="s">
        <v>4</v>
      </c>
      <c r="D111" s="4" t="s">
        <v>5</v>
      </c>
      <c r="E111" s="4" t="s">
        <v>6</v>
      </c>
      <c r="F111" s="4" t="s">
        <v>7</v>
      </c>
      <c r="G111" s="4" t="s">
        <v>8</v>
      </c>
      <c r="H111" s="4" t="s">
        <v>9</v>
      </c>
      <c r="I111" s="5" t="s">
        <v>47</v>
      </c>
      <c r="K111" s="5" t="s">
        <v>308</v>
      </c>
      <c r="L111" s="4" t="s">
        <v>4</v>
      </c>
      <c r="M111" s="4" t="s">
        <v>5</v>
      </c>
      <c r="N111" s="4" t="s">
        <v>6</v>
      </c>
      <c r="O111" s="4" t="s">
        <v>7</v>
      </c>
      <c r="P111" s="4" t="s">
        <v>8</v>
      </c>
      <c r="Q111" s="4" t="s">
        <v>9</v>
      </c>
    </row>
    <row r="112" spans="2:17" ht="15.6">
      <c r="B112" s="10" t="s">
        <v>4</v>
      </c>
      <c r="C112" s="11"/>
      <c r="D112" s="12"/>
      <c r="E112" s="12">
        <f t="shared" ref="E112:H114" si="46">E29</f>
        <v>156</v>
      </c>
      <c r="F112" s="12"/>
      <c r="G112" s="12">
        <f t="shared" si="46"/>
        <v>226</v>
      </c>
      <c r="H112" s="12">
        <f t="shared" si="46"/>
        <v>648</v>
      </c>
      <c r="I112" s="13">
        <f t="shared" ref="I112:I117" si="47">SUM(C112:H112)</f>
        <v>1030</v>
      </c>
      <c r="K112" s="10" t="s">
        <v>4</v>
      </c>
      <c r="L112" s="171">
        <f>IF(C112=0,0,$E$25/$I$118)</f>
        <v>0</v>
      </c>
      <c r="M112" s="60">
        <f t="shared" ref="M112:Q117" si="48">IF(D112=0,0,$E$25/$I$118)</f>
        <v>0</v>
      </c>
      <c r="N112" s="60">
        <f t="shared" si="48"/>
        <v>6.4952229691197152</v>
      </c>
      <c r="O112" s="60">
        <f t="shared" si="48"/>
        <v>0</v>
      </c>
      <c r="P112" s="60">
        <f t="shared" si="48"/>
        <v>6.4952229691197152</v>
      </c>
      <c r="Q112" s="60">
        <f t="shared" si="48"/>
        <v>6.4952229691197152</v>
      </c>
    </row>
    <row r="113" spans="2:17" ht="15.6">
      <c r="B113" s="10" t="s">
        <v>5</v>
      </c>
      <c r="C113" s="12"/>
      <c r="D113" s="11"/>
      <c r="E113" s="12"/>
      <c r="F113" s="12"/>
      <c r="G113" s="12">
        <f t="shared" si="46"/>
        <v>20</v>
      </c>
      <c r="H113" s="12">
        <f t="shared" si="46"/>
        <v>136</v>
      </c>
      <c r="I113" s="13">
        <f t="shared" si="47"/>
        <v>156</v>
      </c>
      <c r="K113" s="10" t="s">
        <v>5</v>
      </c>
      <c r="L113" s="60">
        <f t="shared" ref="L113:L117" si="49">IF(C113=0,0,$E$25/$I$118)</f>
        <v>0</v>
      </c>
      <c r="M113" s="171">
        <f t="shared" si="48"/>
        <v>0</v>
      </c>
      <c r="N113" s="60">
        <f t="shared" si="48"/>
        <v>0</v>
      </c>
      <c r="O113" s="60">
        <f t="shared" si="48"/>
        <v>0</v>
      </c>
      <c r="P113" s="60">
        <f t="shared" si="48"/>
        <v>6.4952229691197152</v>
      </c>
      <c r="Q113" s="60">
        <f t="shared" si="48"/>
        <v>6.4952229691197152</v>
      </c>
    </row>
    <row r="114" spans="2:17" ht="15.6">
      <c r="B114" s="10" t="s">
        <v>6</v>
      </c>
      <c r="C114" s="12"/>
      <c r="D114" s="12"/>
      <c r="E114" s="11"/>
      <c r="F114" s="12"/>
      <c r="G114" s="12">
        <f t="shared" si="46"/>
        <v>30</v>
      </c>
      <c r="H114" s="12">
        <f t="shared" si="46"/>
        <v>58</v>
      </c>
      <c r="I114" s="13">
        <f t="shared" si="47"/>
        <v>88</v>
      </c>
      <c r="K114" s="10" t="s">
        <v>6</v>
      </c>
      <c r="L114" s="60">
        <f t="shared" si="49"/>
        <v>0</v>
      </c>
      <c r="M114" s="60">
        <f t="shared" si="48"/>
        <v>0</v>
      </c>
      <c r="N114" s="171">
        <f t="shared" si="48"/>
        <v>0</v>
      </c>
      <c r="O114" s="60">
        <f t="shared" si="48"/>
        <v>0</v>
      </c>
      <c r="P114" s="60">
        <f t="shared" si="48"/>
        <v>6.4952229691197152</v>
      </c>
      <c r="Q114" s="60">
        <f t="shared" si="48"/>
        <v>6.4952229691197152</v>
      </c>
    </row>
    <row r="115" spans="2:17" ht="15.6">
      <c r="B115" s="10" t="s">
        <v>7</v>
      </c>
      <c r="C115" s="12"/>
      <c r="D115" s="12"/>
      <c r="E115" s="12"/>
      <c r="F115" s="11"/>
      <c r="G115" s="12"/>
      <c r="H115" s="12"/>
      <c r="I115" s="13">
        <f t="shared" si="47"/>
        <v>0</v>
      </c>
      <c r="K115" s="10" t="s">
        <v>7</v>
      </c>
      <c r="L115" s="60">
        <f t="shared" si="49"/>
        <v>0</v>
      </c>
      <c r="M115" s="60">
        <f t="shared" si="48"/>
        <v>0</v>
      </c>
      <c r="N115" s="60">
        <f t="shared" si="48"/>
        <v>0</v>
      </c>
      <c r="O115" s="171">
        <f t="shared" si="48"/>
        <v>0</v>
      </c>
      <c r="P115" s="60">
        <f t="shared" si="48"/>
        <v>0</v>
      </c>
      <c r="Q115" s="60">
        <f t="shared" si="48"/>
        <v>0</v>
      </c>
    </row>
    <row r="116" spans="2:17" ht="15.6">
      <c r="B116" s="10" t="s">
        <v>8</v>
      </c>
      <c r="C116" s="12"/>
      <c r="D116" s="12"/>
      <c r="E116" s="12"/>
      <c r="F116" s="12"/>
      <c r="G116" s="11"/>
      <c r="H116" s="12"/>
      <c r="I116" s="13">
        <f t="shared" si="47"/>
        <v>0</v>
      </c>
      <c r="K116" s="10" t="s">
        <v>8</v>
      </c>
      <c r="L116" s="60">
        <f t="shared" si="49"/>
        <v>0</v>
      </c>
      <c r="M116" s="60">
        <f t="shared" si="48"/>
        <v>0</v>
      </c>
      <c r="N116" s="60">
        <f t="shared" si="48"/>
        <v>0</v>
      </c>
      <c r="O116" s="60">
        <f t="shared" si="48"/>
        <v>0</v>
      </c>
      <c r="P116" s="171">
        <f t="shared" si="48"/>
        <v>0</v>
      </c>
      <c r="Q116" s="60">
        <f t="shared" si="48"/>
        <v>0</v>
      </c>
    </row>
    <row r="117" spans="2:17" ht="15.6">
      <c r="B117" s="10" t="s">
        <v>9</v>
      </c>
      <c r="C117" s="12"/>
      <c r="D117" s="12"/>
      <c r="E117" s="12"/>
      <c r="F117" s="12"/>
      <c r="G117" s="12"/>
      <c r="H117" s="11"/>
      <c r="I117" s="13">
        <f t="shared" si="47"/>
        <v>0</v>
      </c>
      <c r="K117" s="10" t="s">
        <v>9</v>
      </c>
      <c r="L117" s="60">
        <f t="shared" si="49"/>
        <v>0</v>
      </c>
      <c r="M117" s="60">
        <f t="shared" si="48"/>
        <v>0</v>
      </c>
      <c r="N117" s="60">
        <f t="shared" si="48"/>
        <v>0</v>
      </c>
      <c r="O117" s="60">
        <f t="shared" si="48"/>
        <v>0</v>
      </c>
      <c r="P117" s="60">
        <f t="shared" si="48"/>
        <v>0</v>
      </c>
      <c r="Q117" s="171">
        <f t="shared" si="48"/>
        <v>0</v>
      </c>
    </row>
    <row r="118" spans="2:17" ht="15.6">
      <c r="B118" s="16" t="s">
        <v>48</v>
      </c>
      <c r="C118" s="13">
        <f t="shared" ref="C118:I118" si="50">SUM(C112:C117)</f>
        <v>0</v>
      </c>
      <c r="D118" s="13">
        <f t="shared" si="50"/>
        <v>0</v>
      </c>
      <c r="E118" s="13">
        <f t="shared" si="50"/>
        <v>156</v>
      </c>
      <c r="F118" s="13">
        <f t="shared" si="50"/>
        <v>0</v>
      </c>
      <c r="G118" s="13">
        <f t="shared" si="50"/>
        <v>276</v>
      </c>
      <c r="H118" s="13">
        <f t="shared" si="50"/>
        <v>842</v>
      </c>
      <c r="I118" s="13">
        <f t="shared" si="50"/>
        <v>1274</v>
      </c>
    </row>
    <row r="121" spans="2:17" ht="18">
      <c r="B121" s="5" t="s">
        <v>381</v>
      </c>
      <c r="C121" s="5" t="s">
        <v>309</v>
      </c>
      <c r="D121" s="5" t="s">
        <v>308</v>
      </c>
      <c r="K121" s="260" t="s">
        <v>554</v>
      </c>
      <c r="L121" s="260"/>
      <c r="M121" s="260"/>
      <c r="N121" s="260"/>
      <c r="O121" s="260"/>
      <c r="P121" s="260"/>
      <c r="Q121" s="260"/>
    </row>
    <row r="122" spans="2:17" ht="15.6">
      <c r="B122" s="10" t="s">
        <v>9</v>
      </c>
      <c r="C122" s="192">
        <f>$E$25</f>
        <v>8274.9140626585177</v>
      </c>
      <c r="D122" s="82">
        <f>L47</f>
        <v>4.2610268087839946</v>
      </c>
      <c r="K122" s="5" t="s">
        <v>302</v>
      </c>
      <c r="L122" s="4" t="s">
        <v>4</v>
      </c>
      <c r="M122" s="4" t="s">
        <v>5</v>
      </c>
      <c r="N122" s="4" t="s">
        <v>6</v>
      </c>
      <c r="O122" s="4" t="s">
        <v>7</v>
      </c>
      <c r="P122" s="4" t="s">
        <v>8</v>
      </c>
      <c r="Q122" s="4" t="s">
        <v>9</v>
      </c>
    </row>
    <row r="123" spans="2:17" ht="15.6">
      <c r="B123" s="10" t="s">
        <v>8</v>
      </c>
      <c r="C123" s="192">
        <f t="shared" ref="C123:C129" si="51">$E$25</f>
        <v>8274.9140626585177</v>
      </c>
      <c r="D123" s="82">
        <f>L57</f>
        <v>5.718669013585707</v>
      </c>
      <c r="K123" s="10" t="s">
        <v>4</v>
      </c>
      <c r="L123" s="171">
        <f>L42+L52+L62+L72+L82+L92+L102+L112</f>
        <v>0</v>
      </c>
      <c r="M123" s="60">
        <f t="shared" ref="M123:Q123" si="52">M42+M52+M62+M72+M82+M92+M102+M112</f>
        <v>9.8898381320244919</v>
      </c>
      <c r="N123" s="60">
        <f t="shared" si="52"/>
        <v>16.385061101144206</v>
      </c>
      <c r="O123" s="60">
        <f t="shared" si="52"/>
        <v>0</v>
      </c>
      <c r="P123" s="60">
        <f t="shared" si="52"/>
        <v>26.364756923513909</v>
      </c>
      <c r="Q123" s="60">
        <f t="shared" si="52"/>
        <v>20.646087909928202</v>
      </c>
    </row>
    <row r="124" spans="2:17" ht="15.6">
      <c r="B124" s="10" t="s">
        <v>7</v>
      </c>
      <c r="C124" s="192">
        <f t="shared" si="51"/>
        <v>8274.9140626585177</v>
      </c>
      <c r="D124" s="82">
        <f>L67</f>
        <v>6.5311081788938576</v>
      </c>
      <c r="K124" s="10" t="s">
        <v>5</v>
      </c>
      <c r="L124" s="60">
        <f t="shared" ref="L124:Q128" si="53">L43+L53+L63+L73+L83+L93+L103+L113</f>
        <v>10.092967290124315</v>
      </c>
      <c r="M124" s="171">
        <f t="shared" si="53"/>
        <v>0</v>
      </c>
      <c r="N124" s="60">
        <f t="shared" si="53"/>
        <v>0</v>
      </c>
      <c r="O124" s="60">
        <f t="shared" si="53"/>
        <v>0</v>
      </c>
      <c r="P124" s="60">
        <f t="shared" si="53"/>
        <v>22.55494381915916</v>
      </c>
      <c r="Q124" s="60">
        <f t="shared" si="53"/>
        <v>16.836274805573453</v>
      </c>
    </row>
    <row r="125" spans="2:17" ht="15.6">
      <c r="B125" s="10" t="s">
        <v>22</v>
      </c>
      <c r="C125" s="192">
        <f t="shared" si="51"/>
        <v>8274.9140626585177</v>
      </c>
      <c r="D125" s="82">
        <f>L77</f>
        <v>5.7107757506269961</v>
      </c>
      <c r="K125" s="10" t="s">
        <v>6</v>
      </c>
      <c r="L125" s="60">
        <f t="shared" si="53"/>
        <v>15.803743040751312</v>
      </c>
      <c r="M125" s="60">
        <f t="shared" si="53"/>
        <v>0</v>
      </c>
      <c r="N125" s="171">
        <f t="shared" si="53"/>
        <v>0</v>
      </c>
      <c r="O125" s="60">
        <f t="shared" si="53"/>
        <v>0</v>
      </c>
      <c r="P125" s="60">
        <f t="shared" si="53"/>
        <v>16.474918791489419</v>
      </c>
      <c r="Q125" s="60">
        <f t="shared" si="53"/>
        <v>10.75624977790371</v>
      </c>
    </row>
    <row r="126" spans="2:17" ht="15.6">
      <c r="B126" s="10" t="s">
        <v>23</v>
      </c>
      <c r="C126" s="192">
        <f t="shared" si="51"/>
        <v>8274.9140626585177</v>
      </c>
      <c r="D126" s="82">
        <f>L87</f>
        <v>6.2831541857695656</v>
      </c>
      <c r="K126" s="10" t="s">
        <v>7</v>
      </c>
      <c r="L126" s="60">
        <f t="shared" si="53"/>
        <v>22.334851219645167</v>
      </c>
      <c r="M126" s="60">
        <f t="shared" si="53"/>
        <v>18.525038115290418</v>
      </c>
      <c r="N126" s="60">
        <f t="shared" si="53"/>
        <v>12.241883929520853</v>
      </c>
      <c r="O126" s="171">
        <f t="shared" si="53"/>
        <v>0</v>
      </c>
      <c r="P126" s="60">
        <f t="shared" si="53"/>
        <v>0</v>
      </c>
      <c r="Q126" s="60">
        <f t="shared" si="53"/>
        <v>0</v>
      </c>
    </row>
    <row r="127" spans="2:17" ht="15.6">
      <c r="B127" s="10" t="s">
        <v>4</v>
      </c>
      <c r="C127" s="192">
        <f t="shared" si="51"/>
        <v>8274.9140626585177</v>
      </c>
      <c r="D127" s="82">
        <f>L97</f>
        <v>3.8098131043547503</v>
      </c>
      <c r="K127" s="10" t="s">
        <v>8</v>
      </c>
      <c r="L127" s="60">
        <f t="shared" si="53"/>
        <v>28.053520233230874</v>
      </c>
      <c r="M127" s="60">
        <f t="shared" si="53"/>
        <v>24.243707128876125</v>
      </c>
      <c r="N127" s="60">
        <f t="shared" si="53"/>
        <v>17.96055294310656</v>
      </c>
      <c r="O127" s="60">
        <f t="shared" si="53"/>
        <v>12.249777192479565</v>
      </c>
      <c r="P127" s="171">
        <f t="shared" si="53"/>
        <v>0</v>
      </c>
      <c r="Q127" s="60">
        <f t="shared" si="53"/>
        <v>0</v>
      </c>
    </row>
    <row r="128" spans="2:17" ht="15.6">
      <c r="B128" s="10" t="s">
        <v>24</v>
      </c>
      <c r="C128" s="192">
        <f t="shared" si="51"/>
        <v>8274.9140626585177</v>
      </c>
      <c r="D128" s="82">
        <f>M102</f>
        <v>6.0800250276697412</v>
      </c>
      <c r="K128" s="10" t="s">
        <v>9</v>
      </c>
      <c r="L128" s="60">
        <f t="shared" si="53"/>
        <v>32.314547042014873</v>
      </c>
      <c r="M128" s="60">
        <f t="shared" si="53"/>
        <v>28.50473393766012</v>
      </c>
      <c r="N128" s="60">
        <f t="shared" si="53"/>
        <v>22.221579751890555</v>
      </c>
      <c r="O128" s="60">
        <f t="shared" si="53"/>
        <v>16.510804001263558</v>
      </c>
      <c r="P128" s="60">
        <f t="shared" si="53"/>
        <v>0</v>
      </c>
      <c r="Q128" s="171">
        <f t="shared" si="53"/>
        <v>0</v>
      </c>
    </row>
    <row r="129" spans="2:4" ht="15.6">
      <c r="B129" s="10" t="s">
        <v>382</v>
      </c>
      <c r="C129" s="192">
        <f t="shared" si="51"/>
        <v>8274.9140626585177</v>
      </c>
      <c r="D129" s="82">
        <f>N112</f>
        <v>6.4952229691197152</v>
      </c>
    </row>
    <row r="130" spans="2:4" ht="15.6">
      <c r="B130" s="10" t="s">
        <v>10</v>
      </c>
      <c r="C130" s="110">
        <f>SUM(C122:C129)</f>
        <v>66199.312501268127</v>
      </c>
    </row>
  </sheetData>
  <mergeCells count="3">
    <mergeCell ref="C17:E17"/>
    <mergeCell ref="B38:I38"/>
    <mergeCell ref="K121:Q121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7E59-307E-48E1-829D-971C20CDB795}">
  <dimension ref="B2:K64"/>
  <sheetViews>
    <sheetView showGridLines="0" topLeftCell="A55" zoomScale="70" zoomScaleNormal="70" workbookViewId="0">
      <selection activeCell="Q73" sqref="Q73"/>
    </sheetView>
  </sheetViews>
  <sheetFormatPr defaultRowHeight="15.6"/>
  <cols>
    <col min="1" max="1" width="8.83984375" style="169"/>
    <col min="2" max="2" width="32.47265625" style="169" customWidth="1"/>
    <col min="3" max="3" width="13.7890625" style="169" customWidth="1"/>
    <col min="4" max="4" width="11.68359375" style="169" customWidth="1"/>
    <col min="5" max="5" width="11" style="169" customWidth="1"/>
    <col min="6" max="6" width="12.3125" style="169" customWidth="1"/>
    <col min="7" max="7" width="14.3671875" style="169" customWidth="1"/>
    <col min="8" max="8" width="16.3125" style="169" customWidth="1"/>
    <col min="9" max="9" width="22.578125" style="169" customWidth="1"/>
    <col min="10" max="16384" width="8.83984375" style="169"/>
  </cols>
  <sheetData>
    <row r="2" spans="2:11">
      <c r="B2" s="191" t="s">
        <v>376</v>
      </c>
    </row>
    <row r="3" spans="2:11">
      <c r="B3" s="191"/>
    </row>
    <row r="4" spans="2:11" ht="18">
      <c r="B4" s="260" t="s">
        <v>555</v>
      </c>
      <c r="C4" s="260"/>
      <c r="D4" s="260"/>
      <c r="E4" s="260"/>
      <c r="F4" s="260"/>
      <c r="G4" s="260"/>
      <c r="H4" s="260"/>
    </row>
    <row r="5" spans="2:11">
      <c r="B5" s="176" t="s">
        <v>36</v>
      </c>
      <c r="C5" s="177" t="s">
        <v>35</v>
      </c>
      <c r="D5" s="177" t="s">
        <v>38</v>
      </c>
      <c r="E5" s="177" t="s">
        <v>40</v>
      </c>
      <c r="F5" s="177" t="s">
        <v>42</v>
      </c>
      <c r="G5" s="177" t="s">
        <v>43</v>
      </c>
      <c r="H5" s="177" t="s">
        <v>45</v>
      </c>
    </row>
    <row r="6" spans="2:11">
      <c r="B6" s="18" t="s">
        <v>35</v>
      </c>
      <c r="C6" s="171">
        <f>'Rodo Cabotagem Base'!C93+'Depot Base C1'!C102+'TC Total'!C7+'Navio Viagem Base C1'!L191+'Praticagem e Rebocador Base C1'!L123+'Navio Porto Base C1'!L191</f>
        <v>0</v>
      </c>
      <c r="D6" s="165">
        <f>'Rodo Cabotagem Base'!D93+'Depot Base C1'!D102+'TC Total'!D7+'Navio Viagem Base C1'!M191+'Praticagem e Rebocador Base C1'!M123+'Navio Porto Base C1'!M191</f>
        <v>751.57744612708359</v>
      </c>
      <c r="E6" s="165">
        <f>'Rodo Cabotagem Base'!E93+'Depot Base C1'!E102+'TC Total'!E7+'Navio Viagem Base C1'!N191+'Praticagem e Rebocador Base C1'!N123+'Navio Porto Base C1'!N191</f>
        <v>960.1509118045019</v>
      </c>
      <c r="F6" s="165">
        <f>'Rodo Cabotagem Base'!F93+'Depot Base C1'!F102+'TC Total'!F7+'Navio Viagem Base C1'!O191+'Praticagem e Rebocador Base C1'!O123+'Navio Porto Base C1'!O191</f>
        <v>0</v>
      </c>
      <c r="G6" s="165">
        <f>'Rodo Cabotagem Base'!G93+'Depot Base C1'!G102+'TC Total'!G7+'Navio Viagem Base C1'!P191+'Praticagem e Rebocador Base C1'!P123+'Navio Porto Base C1'!P191</f>
        <v>1705.8306504046473</v>
      </c>
      <c r="H6" s="165">
        <f>'Rodo Cabotagem Base'!H93+'Depot Base C1'!H102+'TC Total'!H7+'Navio Viagem Base C1'!Q191+'Praticagem e Rebocador Base C1'!Q123+'Navio Porto Base C1'!Q191</f>
        <v>1639.4122813993281</v>
      </c>
    </row>
    <row r="7" spans="2:11">
      <c r="B7" s="18" t="s">
        <v>38</v>
      </c>
      <c r="C7" s="165">
        <f>'Rodo Cabotagem Base'!C94+'Depot Base C1'!C103+'TC Total'!C8+'Navio Viagem Base C1'!L192+'Praticagem e Rebocador Base C1'!L124+'Navio Porto Base C1'!L192</f>
        <v>1019.4830524615143</v>
      </c>
      <c r="D7" s="171">
        <f>'Rodo Cabotagem Base'!D94+'Depot Base C1'!D103+'TC Total'!D8+'Navio Viagem Base C1'!M192+'Praticagem e Rebocador Base C1'!M124+'Navio Porto Base C1'!M192</f>
        <v>0</v>
      </c>
      <c r="E7" s="165">
        <f>'Rodo Cabotagem Base'!E94+'Depot Base C1'!E103+'TC Total'!E8+'Navio Viagem Base C1'!N192+'Praticagem e Rebocador Base C1'!N124+'Navio Porto Base C1'!N192</f>
        <v>0</v>
      </c>
      <c r="F7" s="165">
        <f>'Rodo Cabotagem Base'!F94+'Depot Base C1'!F103+'TC Total'!F8+'Navio Viagem Base C1'!O192+'Praticagem e Rebocador Base C1'!O124+'Navio Porto Base C1'!O192</f>
        <v>0</v>
      </c>
      <c r="G7" s="165">
        <f>'Rodo Cabotagem Base'!G94+'Depot Base C1'!G103+'TC Total'!G8+'Navio Viagem Base C1'!P192+'Praticagem e Rebocador Base C1'!P124+'Navio Porto Base C1'!P192</f>
        <v>1151.7538910805808</v>
      </c>
      <c r="H7" s="165">
        <f>'Rodo Cabotagem Base'!H94+'Depot Base C1'!H103+'TC Total'!H8+'Navio Viagem Base C1'!Q192+'Praticagem e Rebocador Base C1'!Q124+'Navio Porto Base C1'!Q192</f>
        <v>1085.3355220752619</v>
      </c>
    </row>
    <row r="8" spans="2:11">
      <c r="B8" s="18" t="s">
        <v>40</v>
      </c>
      <c r="C8" s="165">
        <f>'Rodo Cabotagem Base'!C95+'Depot Base C1'!C104+'TC Total'!C9+'Navio Viagem Base C1'!L193+'Praticagem e Rebocador Base C1'!L125+'Navio Porto Base C1'!L193</f>
        <v>1255.8618729820155</v>
      </c>
      <c r="D8" s="165">
        <f>'Rodo Cabotagem Base'!D95+'Depot Base C1'!D104+'TC Total'!D9+'Navio Viagem Base C1'!M193+'Praticagem e Rebocador Base C1'!M125+'Navio Porto Base C1'!M193</f>
        <v>0</v>
      </c>
      <c r="E8" s="171">
        <f>'Rodo Cabotagem Base'!E95+'Depot Base C1'!E104+'TC Total'!E9+'Navio Viagem Base C1'!N193+'Praticagem e Rebocador Base C1'!N125+'Navio Porto Base C1'!N193</f>
        <v>0</v>
      </c>
      <c r="F8" s="165">
        <f>'Rodo Cabotagem Base'!F95+'Depot Base C1'!F104+'TC Total'!F9+'Navio Viagem Base C1'!O193+'Praticagem e Rebocador Base C1'!O125+'Navio Porto Base C1'!O193</f>
        <v>0</v>
      </c>
      <c r="G8" s="165">
        <f>'Rodo Cabotagem Base'!G95+'Depot Base C1'!G104+'TC Total'!G9+'Navio Viagem Base C1'!P193+'Praticagem e Rebocador Base C1'!P125+'Navio Porto Base C1'!P193</f>
        <v>943.56778721667683</v>
      </c>
      <c r="H8" s="165">
        <f>'Rodo Cabotagem Base'!H95+'Depot Base C1'!H104+'TC Total'!H9+'Navio Viagem Base C1'!Q193+'Praticagem e Rebocador Base C1'!Q125+'Navio Porto Base C1'!Q193</f>
        <v>877.1494182113579</v>
      </c>
    </row>
    <row r="9" spans="2:11">
      <c r="B9" s="18" t="s">
        <v>42</v>
      </c>
      <c r="C9" s="165">
        <f>'Rodo Cabotagem Base'!C96+'Depot Base C1'!C105+'TC Total'!C10+'Navio Viagem Base C1'!L194+'Praticagem e Rebocador Base C1'!L126+'Navio Porto Base C1'!L194</f>
        <v>1387.6722931261136</v>
      </c>
      <c r="D9" s="165">
        <f>'Rodo Cabotagem Base'!D96+'Depot Base C1'!D105+'TC Total'!D10+'Navio Viagem Base C1'!M194+'Praticagem e Rebocador Base C1'!M126+'Navio Porto Base C1'!M194</f>
        <v>567.27131109170443</v>
      </c>
      <c r="E9" s="165">
        <f>'Rodo Cabotagem Base'!E96+'Depot Base C1'!E105+'TC Total'!E10+'Navio Viagem Base C1'!N194+'Praticagem e Rebocador Base C1'!N126+'Navio Porto Base C1'!N194</f>
        <v>334.54947514371059</v>
      </c>
      <c r="F9" s="171">
        <f>'Rodo Cabotagem Base'!F96+'Depot Base C1'!F105+'TC Total'!F10+'Navio Viagem Base C1'!O194+'Praticagem e Rebocador Base C1'!O126+'Navio Porto Base C1'!O194</f>
        <v>0</v>
      </c>
      <c r="G9" s="165">
        <f>'Rodo Cabotagem Base'!G96+'Depot Base C1'!G105+'TC Total'!G10+'Navio Viagem Base C1'!P194+'Praticagem e Rebocador Base C1'!P126+'Navio Porto Base C1'!P194</f>
        <v>0</v>
      </c>
      <c r="H9" s="165">
        <f>'Rodo Cabotagem Base'!H96+'Depot Base C1'!H105+'TC Total'!H10+'Navio Viagem Base C1'!Q194+'Praticagem e Rebocador Base C1'!Q126+'Navio Porto Base C1'!Q194</f>
        <v>0</v>
      </c>
    </row>
    <row r="10" spans="2:11">
      <c r="B10" s="18" t="s">
        <v>43</v>
      </c>
      <c r="C10" s="165">
        <f>'Rodo Cabotagem Base'!C97+'Depot Base C1'!C106+'TC Total'!C11+'Navio Viagem Base C1'!L195+'Praticagem e Rebocador Base C1'!L127+'Navio Porto Base C1'!L195</f>
        <v>1863.4900930454651</v>
      </c>
      <c r="D10" s="165">
        <f>'Rodo Cabotagem Base'!D97+'Depot Base C1'!D106+'TC Total'!D11+'Navio Viagem Base C1'!M195+'Praticagem e Rebocador Base C1'!M127+'Navio Porto Base C1'!M195</f>
        <v>1043.0891110110558</v>
      </c>
      <c r="E10" s="165">
        <f>'Rodo Cabotagem Base'!E97+'Depot Base C1'!E106+'TC Total'!E11+'Navio Viagem Base C1'!N195+'Praticagem e Rebocador Base C1'!N127+'Navio Porto Base C1'!N195</f>
        <v>810.36727506306192</v>
      </c>
      <c r="F10" s="165">
        <f>'Rodo Cabotagem Base'!F97+'Depot Base C1'!F106+'TC Total'!F11+'Navio Viagem Base C1'!O195+'Praticagem e Rebocador Base C1'!O127+'Navio Porto Base C1'!O195</f>
        <v>560.73521877115945</v>
      </c>
      <c r="G10" s="171">
        <f>'Rodo Cabotagem Base'!G97+'Depot Base C1'!G106+'TC Total'!G11+'Navio Viagem Base C1'!P195+'Praticagem e Rebocador Base C1'!P127+'Navio Porto Base C1'!P195</f>
        <v>0</v>
      </c>
      <c r="H10" s="165">
        <f>'Rodo Cabotagem Base'!H97+'Depot Base C1'!H106+'TC Total'!H11+'Navio Viagem Base C1'!Q195+'Praticagem e Rebocador Base C1'!Q127+'Navio Porto Base C1'!Q195</f>
        <v>0</v>
      </c>
    </row>
    <row r="11" spans="2:11">
      <c r="B11" s="18" t="s">
        <v>45</v>
      </c>
      <c r="C11" s="165">
        <f>'Rodo Cabotagem Base'!C98+'Depot Base C1'!C107+'TC Total'!C12+'Navio Viagem Base C1'!L196+'Praticagem e Rebocador Base C1'!L128+'Navio Porto Base C1'!L196</f>
        <v>1959.068025919541</v>
      </c>
      <c r="D11" s="165">
        <f>'Rodo Cabotagem Base'!D98+'Depot Base C1'!D107+'TC Total'!D12+'Navio Viagem Base C1'!M196+'Praticagem e Rebocador Base C1'!M128+'Navio Porto Base C1'!M196</f>
        <v>1138.667043885132</v>
      </c>
      <c r="E11" s="165">
        <f>'Rodo Cabotagem Base'!E98+'Depot Base C1'!E107+'TC Total'!E12+'Navio Viagem Base C1'!N196+'Praticagem e Rebocador Base C1'!N128+'Navio Porto Base C1'!N196</f>
        <v>905.94520793713809</v>
      </c>
      <c r="F11" s="165">
        <f>'Rodo Cabotagem Base'!F98+'Depot Base C1'!F107+'TC Total'!F12+'Navio Viagem Base C1'!O196+'Praticagem e Rebocador Base C1'!O128+'Navio Porto Base C1'!O196</f>
        <v>656.31315164523551</v>
      </c>
      <c r="G11" s="165">
        <f>'Rodo Cabotagem Base'!G98+'Depot Base C1'!G107+'TC Total'!G12+'Navio Viagem Base C1'!P196+'Praticagem e Rebocador Base C1'!P128+'Navio Porto Base C1'!P196</f>
        <v>0</v>
      </c>
      <c r="H11" s="171">
        <f>'Rodo Cabotagem Base'!H98+'Depot Base C1'!H107+'TC Total'!H12+'Navio Viagem Base C1'!Q196+'Praticagem e Rebocador Base C1'!Q128+'Navio Porto Base C1'!Q196</f>
        <v>0</v>
      </c>
    </row>
    <row r="13" spans="2:11" ht="18">
      <c r="B13" s="261" t="s">
        <v>556</v>
      </c>
      <c r="C13" s="262"/>
      <c r="D13" s="262"/>
      <c r="E13" s="262"/>
      <c r="F13" s="262"/>
      <c r="G13" s="262"/>
      <c r="H13" s="262"/>
      <c r="I13" s="262"/>
    </row>
    <row r="14" spans="2:11">
      <c r="B14" s="176" t="s">
        <v>36</v>
      </c>
      <c r="C14" s="98" t="s">
        <v>35</v>
      </c>
      <c r="D14" s="98" t="s">
        <v>38</v>
      </c>
      <c r="E14" s="98" t="s">
        <v>40</v>
      </c>
      <c r="F14" s="98" t="s">
        <v>42</v>
      </c>
      <c r="G14" s="98" t="s">
        <v>43</v>
      </c>
      <c r="H14" s="98" t="s">
        <v>45</v>
      </c>
      <c r="I14" s="5" t="s">
        <v>47</v>
      </c>
      <c r="J14"/>
      <c r="K14"/>
    </row>
    <row r="15" spans="2:11">
      <c r="B15" s="18" t="s">
        <v>35</v>
      </c>
      <c r="C15" s="11">
        <f>C6*'Praticagem e Rebocador Base C1'!C29</f>
        <v>0</v>
      </c>
      <c r="D15" s="12">
        <f>D6*'Praticagem e Rebocador Base C1'!D29</f>
        <v>131526.05307223962</v>
      </c>
      <c r="E15" s="12">
        <f>E6*'Praticagem e Rebocador Base C1'!E29</f>
        <v>149783.54224150229</v>
      </c>
      <c r="F15" s="12">
        <f>F6*'Praticagem e Rebocador Base C1'!F29</f>
        <v>0</v>
      </c>
      <c r="G15" s="12">
        <f>G6*'Praticagem e Rebocador Base C1'!G29</f>
        <v>385517.7269914503</v>
      </c>
      <c r="H15" s="12">
        <f>H6*'Praticagem e Rebocador Base C1'!H29</f>
        <v>1062339.1583467645</v>
      </c>
      <c r="I15" s="13">
        <f t="shared" ref="I15:I20" si="0">SUM(C15:H15)</f>
        <v>1729166.4806519568</v>
      </c>
      <c r="J15"/>
      <c r="K15"/>
    </row>
    <row r="16" spans="2:11">
      <c r="B16" s="18" t="s">
        <v>38</v>
      </c>
      <c r="C16" s="12">
        <f>C7*'Praticagem e Rebocador Base C1'!C30</f>
        <v>265065.59363999369</v>
      </c>
      <c r="D16" s="11">
        <f>D7*'Praticagem e Rebocador Base C1'!D30</f>
        <v>0</v>
      </c>
      <c r="E16" s="12">
        <f>E7*'Praticagem e Rebocador Base C1'!E30</f>
        <v>0</v>
      </c>
      <c r="F16" s="12">
        <f>F7*'Praticagem e Rebocador Base C1'!F30</f>
        <v>0</v>
      </c>
      <c r="G16" s="12">
        <f>G7*'Praticagem e Rebocador Base C1'!G30</f>
        <v>23035.077821611616</v>
      </c>
      <c r="H16" s="12">
        <f>H7*'Praticagem e Rebocador Base C1'!H30</f>
        <v>147605.63100223563</v>
      </c>
      <c r="I16" s="13">
        <f t="shared" si="0"/>
        <v>435706.30246384093</v>
      </c>
      <c r="J16"/>
      <c r="K16"/>
    </row>
    <row r="17" spans="2:11">
      <c r="B17" s="18" t="s">
        <v>40</v>
      </c>
      <c r="C17" s="12">
        <f>C8*'Praticagem e Rebocador Base C1'!C31</f>
        <v>415690.27995704714</v>
      </c>
      <c r="D17" s="12">
        <f>D8*'Praticagem e Rebocador Base C1'!D31</f>
        <v>0</v>
      </c>
      <c r="E17" s="11">
        <f>E8*'Praticagem e Rebocador Base C1'!E31</f>
        <v>0</v>
      </c>
      <c r="F17" s="12">
        <f>F8*'Praticagem e Rebocador Base C1'!F31</f>
        <v>0</v>
      </c>
      <c r="G17" s="12">
        <f>G8*'Praticagem e Rebocador Base C1'!G31</f>
        <v>28307.033616500306</v>
      </c>
      <c r="H17" s="12">
        <f>H8*'Praticagem e Rebocador Base C1'!H31</f>
        <v>50874.666256258759</v>
      </c>
      <c r="I17" s="13">
        <f t="shared" si="0"/>
        <v>494871.97982980625</v>
      </c>
      <c r="J17"/>
      <c r="K17"/>
    </row>
    <row r="18" spans="2:11">
      <c r="B18" s="18" t="s">
        <v>42</v>
      </c>
      <c r="C18" s="12">
        <f>C9*'Praticagem e Rebocador Base C1'!C32</f>
        <v>119339.81720884576</v>
      </c>
      <c r="D18" s="12">
        <f>D9*'Praticagem e Rebocador Base C1'!D32</f>
        <v>5105.4417998253402</v>
      </c>
      <c r="E18" s="12">
        <f>E9*'Praticagem e Rebocador Base C1'!E32</f>
        <v>334.54947514371059</v>
      </c>
      <c r="F18" s="11">
        <f>F9*'Praticagem e Rebocador Base C1'!F32</f>
        <v>0</v>
      </c>
      <c r="G18" s="12">
        <f>G9*'Praticagem e Rebocador Base C1'!G32</f>
        <v>0</v>
      </c>
      <c r="H18" s="12">
        <f>H9*'Praticagem e Rebocador Base C1'!H32</f>
        <v>0</v>
      </c>
      <c r="I18" s="13">
        <f t="shared" si="0"/>
        <v>124779.80848381481</v>
      </c>
      <c r="J18"/>
      <c r="K18"/>
    </row>
    <row r="19" spans="2:11">
      <c r="B19" s="18" t="s">
        <v>43</v>
      </c>
      <c r="C19" s="12">
        <f>C10*'Praticagem e Rebocador Base C1'!C33</f>
        <v>113672.89567577337</v>
      </c>
      <c r="D19" s="12">
        <f>D10*'Praticagem e Rebocador Base C1'!D33</f>
        <v>125170.6933213267</v>
      </c>
      <c r="E19" s="12">
        <f>E10*'Praticagem e Rebocador Base C1'!E33</f>
        <v>96433.705732504372</v>
      </c>
      <c r="F19" s="12">
        <f>F10*'Praticagem e Rebocador Base C1'!F33</f>
        <v>26354.555282244495</v>
      </c>
      <c r="G19" s="11">
        <f>G10*'Praticagem e Rebocador Base C1'!G33</f>
        <v>0</v>
      </c>
      <c r="H19" s="12">
        <f>H10*'Praticagem e Rebocador Base C1'!H33</f>
        <v>0</v>
      </c>
      <c r="I19" s="13">
        <f t="shared" si="0"/>
        <v>361631.85001184896</v>
      </c>
      <c r="J19"/>
      <c r="K19"/>
    </row>
    <row r="20" spans="2:11">
      <c r="B20" s="18" t="s">
        <v>45</v>
      </c>
      <c r="C20" s="12">
        <f>C11*'Praticagem e Rebocador Base C1'!C34</f>
        <v>448626.57793557487</v>
      </c>
      <c r="D20" s="12">
        <f>D11*'Praticagem e Rebocador Base C1'!D34</f>
        <v>251645.41669861416</v>
      </c>
      <c r="E20" s="12">
        <f>E11*'Praticagem e Rebocador Base C1'!E34</f>
        <v>246417.09655890157</v>
      </c>
      <c r="F20" s="12">
        <f>F11*'Praticagem e Rebocador Base C1'!F34</f>
        <v>66943.941467814017</v>
      </c>
      <c r="G20" s="12">
        <f>G11*'Praticagem e Rebocador Base C1'!G34</f>
        <v>0</v>
      </c>
      <c r="H20" s="11">
        <f>H11*'Praticagem e Rebocador Base C1'!H34</f>
        <v>0</v>
      </c>
      <c r="I20" s="13">
        <f t="shared" si="0"/>
        <v>1013633.0326609047</v>
      </c>
      <c r="J20"/>
      <c r="K20"/>
    </row>
    <row r="21" spans="2:11">
      <c r="B21" s="16" t="s">
        <v>48</v>
      </c>
      <c r="C21" s="13">
        <f t="shared" ref="C21:H21" si="1">SUM(C15:C20)</f>
        <v>1362395.1644172347</v>
      </c>
      <c r="D21" s="13">
        <f t="shared" si="1"/>
        <v>513447.60489200579</v>
      </c>
      <c r="E21" s="13">
        <f t="shared" si="1"/>
        <v>492968.89400805195</v>
      </c>
      <c r="F21" s="13">
        <f t="shared" si="1"/>
        <v>93298.496750058519</v>
      </c>
      <c r="G21" s="13">
        <f t="shared" si="1"/>
        <v>436859.83842956222</v>
      </c>
      <c r="H21" s="13">
        <f t="shared" si="1"/>
        <v>1260819.4556052589</v>
      </c>
      <c r="I21" s="13">
        <f>SUM(I15:I20)</f>
        <v>4159789.4541021725</v>
      </c>
      <c r="J21"/>
      <c r="K21" s="212">
        <f>I21*52/1000000</f>
        <v>216.30905161331296</v>
      </c>
    </row>
    <row r="23" spans="2:11">
      <c r="I23" s="201">
        <f>'Rodo Cabotagem Base'!I78+'Depot Base C1'!I88+'TC Total'!C14+'Navio Viagem Base C1'!C199+'Navio Porto Base C1'!C203+'Praticagem e Rebocador Base C1'!C130</f>
        <v>4159789.4541021721</v>
      </c>
    </row>
    <row r="57" spans="2:3" ht="18">
      <c r="B57" s="98" t="s">
        <v>477</v>
      </c>
      <c r="C57" s="98" t="s">
        <v>393</v>
      </c>
    </row>
    <row r="58" spans="2:3">
      <c r="B58" s="18" t="s">
        <v>389</v>
      </c>
      <c r="C58" s="12">
        <f>'Rodo Cabotagem Base'!I78</f>
        <v>537508.84926484223</v>
      </c>
    </row>
    <row r="59" spans="2:3">
      <c r="B59" s="18" t="s">
        <v>390</v>
      </c>
      <c r="C59" s="12">
        <f>'Depot Base C1'!I88</f>
        <v>19272.361525662251</v>
      </c>
    </row>
    <row r="60" spans="2:3">
      <c r="B60" s="18" t="s">
        <v>478</v>
      </c>
      <c r="C60" s="12">
        <f>'TC Total'!C14</f>
        <v>67902.953775416652</v>
      </c>
    </row>
    <row r="61" spans="2:3">
      <c r="B61" s="18" t="s">
        <v>398</v>
      </c>
      <c r="C61" s="12">
        <f>'Praticagem e Rebocador Base C1'!C130</f>
        <v>68351.891840000011</v>
      </c>
    </row>
    <row r="62" spans="2:3">
      <c r="B62" s="18" t="s">
        <v>479</v>
      </c>
      <c r="C62" s="12">
        <f>'Navio Porto Base C1'!C203</f>
        <v>60674.461203703708</v>
      </c>
    </row>
    <row r="63" spans="2:3">
      <c r="B63" s="18" t="s">
        <v>480</v>
      </c>
      <c r="C63" s="12">
        <f>'Navio Viagem Base C1'!C199</f>
        <v>3406078.9364925469</v>
      </c>
    </row>
    <row r="64" spans="2:3">
      <c r="B64" s="18" t="s">
        <v>10</v>
      </c>
      <c r="C64" s="12">
        <f>SUM(C58:C63)</f>
        <v>4159789.4541021716</v>
      </c>
    </row>
  </sheetData>
  <mergeCells count="2">
    <mergeCell ref="B4:H4"/>
    <mergeCell ref="B13:I13"/>
  </mergeCells>
  <pageMargins left="0.511811024" right="0.511811024" top="0.78740157499999996" bottom="0.78740157499999996" header="0.31496062000000002" footer="0.31496062000000002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2C0C-22D3-4984-B147-795E8B914E24}">
  <dimension ref="B2:K94"/>
  <sheetViews>
    <sheetView showGridLines="0" zoomScale="70" zoomScaleNormal="70" workbookViewId="0">
      <selection activeCell="M11" sqref="M11"/>
    </sheetView>
  </sheetViews>
  <sheetFormatPr defaultRowHeight="15.6"/>
  <cols>
    <col min="1" max="1" width="8.83984375" style="169"/>
    <col min="2" max="2" width="32.47265625" style="169" customWidth="1"/>
    <col min="3" max="3" width="13.7890625" style="169" customWidth="1"/>
    <col min="4" max="4" width="11.68359375" style="169" customWidth="1"/>
    <col min="5" max="5" width="11" style="169" customWidth="1"/>
    <col min="6" max="6" width="12.3125" style="169" customWidth="1"/>
    <col min="7" max="7" width="14.3671875" style="169" customWidth="1"/>
    <col min="8" max="8" width="16.3125" style="169" customWidth="1"/>
    <col min="9" max="9" width="22.578125" style="169" customWidth="1"/>
    <col min="10" max="16384" width="8.83984375" style="169"/>
  </cols>
  <sheetData>
    <row r="2" spans="2:11">
      <c r="B2" s="191" t="s">
        <v>376</v>
      </c>
    </row>
    <row r="3" spans="2:11">
      <c r="B3" s="191"/>
    </row>
    <row r="4" spans="2:11" ht="18">
      <c r="B4" s="260" t="s">
        <v>475</v>
      </c>
      <c r="C4" s="260"/>
      <c r="D4" s="260"/>
      <c r="E4" s="260"/>
      <c r="F4" s="260"/>
      <c r="G4" s="260"/>
      <c r="H4" s="260"/>
    </row>
    <row r="5" spans="2:11">
      <c r="B5" s="176" t="s">
        <v>348</v>
      </c>
      <c r="C5" s="177" t="s">
        <v>35</v>
      </c>
      <c r="D5" s="177" t="s">
        <v>38</v>
      </c>
      <c r="E5" s="177" t="s">
        <v>40</v>
      </c>
      <c r="F5" s="177" t="s">
        <v>42</v>
      </c>
      <c r="G5" s="177" t="s">
        <v>43</v>
      </c>
      <c r="H5" s="177" t="s">
        <v>45</v>
      </c>
    </row>
    <row r="6" spans="2:11">
      <c r="B6" s="18" t="s">
        <v>35</v>
      </c>
      <c r="C6" s="171">
        <f>'Rodo Cabotagem C1'!C93+'Depot Base C1'!C102+'TC Total'!C7+'Navio Viagem Base C1'!L191+'Navio Porto Base C1'!L191+'Praticagem e Rebocador Base C1'!L123</f>
        <v>0</v>
      </c>
      <c r="D6" s="165">
        <f>'Rodo Cabotagem C1'!D93+'Depot Base C1'!D102+'TC Total'!D7+'Navio Viagem Base C1'!M191+'Navio Porto Base C1'!M191+'Praticagem e Rebocador Base C1'!M123</f>
        <v>740.66934244287302</v>
      </c>
      <c r="E6" s="165">
        <f>'Rodo Cabotagem C1'!E93+'Depot Base C1'!E102+'TC Total'!E7+'Navio Viagem Base C1'!N191+'Navio Porto Base C1'!N191+'Praticagem e Rebocador Base C1'!N123</f>
        <v>949.35035280450188</v>
      </c>
      <c r="F6" s="165">
        <f>'Rodo Cabotagem C1'!F93+'Depot Base C1'!F102+'TC Total'!F7+'Navio Viagem Base C1'!O191+'Navio Porto Base C1'!O191+'Praticagem e Rebocador Base C1'!O123</f>
        <v>0</v>
      </c>
      <c r="G6" s="165">
        <f>'Rodo Cabotagem C1'!G93+'Depot Base C1'!G102+'TC Total'!G7+'Navio Viagem Base C1'!P191+'Navio Porto Base C1'!P191+'Praticagem e Rebocador Base C1'!P123</f>
        <v>1689.5606760362261</v>
      </c>
      <c r="H6" s="165">
        <f>'Rodo Cabotagem C1'!H93+'Depot Base C1'!H102+'TC Total'!H7+'Navio Viagem Base C1'!Q191+'Navio Porto Base C1'!Q191+'Praticagem e Rebocador Base C1'!Q123</f>
        <v>1621.5905908730124</v>
      </c>
    </row>
    <row r="7" spans="2:11">
      <c r="B7" s="18" t="s">
        <v>38</v>
      </c>
      <c r="C7" s="165">
        <f>'Rodo Cabotagem C1'!C94+'Depot Base C1'!C103+'TC Total'!C8+'Navio Viagem Base C1'!L192+'Navio Porto Base C1'!L192+'Praticagem e Rebocador Base C1'!L124</f>
        <v>1008.5749487773037</v>
      </c>
      <c r="D7" s="171">
        <f>'Rodo Cabotagem C1'!D94+'Depot Base C1'!D103+'TC Total'!D8+'Navio Viagem Base C1'!M192+'Navio Porto Base C1'!M192+'Praticagem e Rebocador Base C1'!M124</f>
        <v>0</v>
      </c>
      <c r="E7" s="165">
        <f>'Rodo Cabotagem C1'!E94+'Depot Base C1'!E103+'TC Total'!E8+'Navio Viagem Base C1'!N192+'Navio Porto Base C1'!N192+'Praticagem e Rebocador Base C1'!N124</f>
        <v>0</v>
      </c>
      <c r="F7" s="165">
        <f>'Rodo Cabotagem C1'!F94+'Depot Base C1'!F103+'TC Total'!F8+'Navio Viagem Base C1'!O192+'Navio Porto Base C1'!O192+'Praticagem e Rebocador Base C1'!O124</f>
        <v>0</v>
      </c>
      <c r="G7" s="165">
        <f>'Rodo Cabotagem C1'!G94+'Depot Base C1'!G103+'TC Total'!G8+'Navio Viagem Base C1'!P192+'Navio Porto Base C1'!P192+'Praticagem e Rebocador Base C1'!P124</f>
        <v>1129.1848709226861</v>
      </c>
      <c r="H7" s="165">
        <f>'Rodo Cabotagem C1'!H94+'Depot Base C1'!H103+'TC Total'!H8+'Navio Viagem Base C1'!Q192+'Navio Porto Base C1'!Q192+'Praticagem e Rebocador Base C1'!Q124</f>
        <v>1061.2147857594725</v>
      </c>
    </row>
    <row r="8" spans="2:11">
      <c r="B8" s="18" t="s">
        <v>40</v>
      </c>
      <c r="C8" s="165">
        <f>'Rodo Cabotagem C1'!C95+'Depot Base C1'!C104+'TC Total'!C9+'Navio Viagem Base C1'!L193+'Navio Porto Base C1'!L193+'Praticagem e Rebocador Base C1'!L125</f>
        <v>1245.0613139820155</v>
      </c>
      <c r="D8" s="165">
        <f>'Rodo Cabotagem C1'!D95+'Depot Base C1'!D104+'TC Total'!D9+'Navio Viagem Base C1'!M193+'Navio Porto Base C1'!M193+'Praticagem e Rebocador Base C1'!M125</f>
        <v>0</v>
      </c>
      <c r="E8" s="171">
        <f>'Rodo Cabotagem C1'!E95+'Depot Base C1'!E104+'TC Total'!E9+'Navio Viagem Base C1'!N193+'Navio Porto Base C1'!N193+'Praticagem e Rebocador Base C1'!N125</f>
        <v>0</v>
      </c>
      <c r="F8" s="165">
        <f>'Rodo Cabotagem C1'!F95+'Depot Base C1'!F104+'TC Total'!F9+'Navio Viagem Base C1'!O193+'Navio Porto Base C1'!O193+'Praticagem e Rebocador Base C1'!O125</f>
        <v>0</v>
      </c>
      <c r="G8" s="165">
        <f>'Rodo Cabotagem C1'!G95+'Depot Base C1'!G104+'TC Total'!G9+'Navio Viagem Base C1'!P193+'Navio Porto Base C1'!P193+'Praticagem e Rebocador Base C1'!P125</f>
        <v>921.1063117429926</v>
      </c>
      <c r="H8" s="165">
        <f>'Rodo Cabotagem C1'!H95+'Depot Base C1'!H104+'TC Total'!H9+'Navio Viagem Base C1'!Q193+'Navio Porto Base C1'!Q193+'Praticagem e Rebocador Base C1'!Q125</f>
        <v>853.13622657977896</v>
      </c>
    </row>
    <row r="9" spans="2:11">
      <c r="B9" s="18" t="s">
        <v>42</v>
      </c>
      <c r="C9" s="165">
        <f>'Rodo Cabotagem C1'!C96+'Depot Base C1'!C105+'TC Total'!C10+'Navio Viagem Base C1'!L194+'Navio Porto Base C1'!L194+'Praticagem e Rebocador Base C1'!L126</f>
        <v>1382.7559647050609</v>
      </c>
      <c r="D9" s="165">
        <f>'Rodo Cabotagem C1'!D96+'Depot Base C1'!D105+'TC Total'!D10+'Navio Viagem Base C1'!M194+'Navio Porto Base C1'!M194+'Praticagem e Rebocador Base C1'!M126</f>
        <v>556.05593688117813</v>
      </c>
      <c r="E9" s="165">
        <f>'Rodo Cabotagem C1'!E96+'Depot Base C1'!E105+'TC Total'!E10+'Navio Viagem Base C1'!N194+'Navio Porto Base C1'!N194+'Praticagem e Rebocador Base C1'!N126</f>
        <v>323.44164561739478</v>
      </c>
      <c r="F9" s="171">
        <f>'Rodo Cabotagem C1'!F96+'Depot Base C1'!F105+'TC Total'!F10+'Navio Viagem Base C1'!O194+'Navio Porto Base C1'!O194+'Praticagem e Rebocador Base C1'!O126</f>
        <v>0</v>
      </c>
      <c r="G9" s="165">
        <f>'Rodo Cabotagem C1'!G96+'Depot Base C1'!G105+'TC Total'!G10+'Navio Viagem Base C1'!P194+'Navio Porto Base C1'!P194+'Praticagem e Rebocador Base C1'!P126</f>
        <v>0</v>
      </c>
      <c r="H9" s="165">
        <f>'Rodo Cabotagem C1'!H96+'Depot Base C1'!H105+'TC Total'!H10+'Navio Viagem Base C1'!Q194+'Navio Porto Base C1'!Q194+'Praticagem e Rebocador Base C1'!Q126</f>
        <v>0</v>
      </c>
    </row>
    <row r="10" spans="2:11">
      <c r="B10" s="18" t="s">
        <v>43</v>
      </c>
      <c r="C10" s="165">
        <f>'Rodo Cabotagem C1'!C97+'Depot Base C1'!C106+'TC Total'!C11+'Navio Viagem Base C1'!L195+'Navio Porto Base C1'!L195+'Praticagem e Rebocador Base C1'!L127</f>
        <v>1847.2201186770437</v>
      </c>
      <c r="D10" s="165">
        <f>'Rodo Cabotagem C1'!D97+'Depot Base C1'!D106+'TC Total'!D11+'Navio Viagem Base C1'!M195+'Navio Porto Base C1'!M195+'Praticagem e Rebocador Base C1'!M127</f>
        <v>1020.5200908531612</v>
      </c>
      <c r="E10" s="165">
        <f>'Rodo Cabotagem C1'!E97+'Depot Base C1'!E106+'TC Total'!E11+'Navio Viagem Base C1'!N195+'Navio Porto Base C1'!N195+'Praticagem e Rebocador Base C1'!N127</f>
        <v>787.90579958937769</v>
      </c>
      <c r="F10" s="165">
        <f>'Rodo Cabotagem C1'!F97+'Depot Base C1'!F106+'TC Total'!F11+'Navio Viagem Base C1'!O195+'Navio Porto Base C1'!O195+'Praticagem e Rebocador Base C1'!O127</f>
        <v>544.1579738764226</v>
      </c>
      <c r="G10" s="171">
        <f>'Rodo Cabotagem C1'!G97+'Depot Base C1'!G106+'TC Total'!G11+'Navio Viagem Base C1'!P195+'Navio Porto Base C1'!P195+'Praticagem e Rebocador Base C1'!P127</f>
        <v>0</v>
      </c>
      <c r="H10" s="165">
        <f>'Rodo Cabotagem C1'!H97+'Depot Base C1'!H106+'TC Total'!H11+'Navio Viagem Base C1'!Q195+'Navio Porto Base C1'!Q195+'Praticagem e Rebocador Base C1'!Q127</f>
        <v>0</v>
      </c>
    </row>
    <row r="11" spans="2:11">
      <c r="B11" s="18" t="s">
        <v>45</v>
      </c>
      <c r="C11" s="165">
        <f>'Rodo Cabotagem C1'!C98+'Depot Base C1'!C107+'TC Total'!C12+'Navio Viagem Base C1'!L196+'Navio Porto Base C1'!L196+'Praticagem e Rebocador Base C1'!L128</f>
        <v>1941.2463353932253</v>
      </c>
      <c r="D11" s="165">
        <f>'Rodo Cabotagem C1'!D98+'Depot Base C1'!D107+'TC Total'!D12+'Navio Viagem Base C1'!M196+'Navio Porto Base C1'!M196+'Praticagem e Rebocador Base C1'!M128</f>
        <v>1114.5463075693426</v>
      </c>
      <c r="E11" s="165">
        <f>'Rodo Cabotagem C1'!E98+'Depot Base C1'!E107+'TC Total'!E12+'Navio Viagem Base C1'!N196+'Navio Porto Base C1'!N196+'Praticagem e Rebocador Base C1'!N128</f>
        <v>881.93201630555916</v>
      </c>
      <c r="F11" s="165">
        <f>'Rodo Cabotagem C1'!F98+'Depot Base C1'!F107+'TC Total'!F12+'Navio Viagem Base C1'!O196+'Navio Porto Base C1'!O196+'Praticagem e Rebocador Base C1'!O128</f>
        <v>638.18419059260384</v>
      </c>
      <c r="G11" s="165">
        <f>'Rodo Cabotagem C1'!G98+'Depot Base C1'!G107+'TC Total'!G12+'Navio Viagem Base C1'!P196+'Navio Porto Base C1'!P196+'Praticagem e Rebocador Base C1'!P128</f>
        <v>0</v>
      </c>
      <c r="H11" s="171">
        <f>'Rodo Cabotagem C1'!H98+'Depot Base C1'!H107+'TC Total'!H12+'Navio Viagem Base C1'!Q196+'Navio Porto Base C1'!Q196+'Praticagem e Rebocador Base C1'!Q128</f>
        <v>0</v>
      </c>
    </row>
    <row r="13" spans="2:11" ht="18">
      <c r="B13" s="261" t="s">
        <v>476</v>
      </c>
      <c r="C13" s="262"/>
      <c r="D13" s="262"/>
      <c r="E13" s="262"/>
      <c r="F13" s="262"/>
      <c r="G13" s="262"/>
      <c r="H13" s="262"/>
      <c r="I13" s="262"/>
    </row>
    <row r="14" spans="2:11" ht="18">
      <c r="B14" s="176" t="s">
        <v>348</v>
      </c>
      <c r="C14" s="98" t="s">
        <v>35</v>
      </c>
      <c r="D14" s="98" t="s">
        <v>38</v>
      </c>
      <c r="E14" s="98" t="s">
        <v>40</v>
      </c>
      <c r="F14" s="98" t="s">
        <v>42</v>
      </c>
      <c r="G14" s="98" t="s">
        <v>43</v>
      </c>
      <c r="H14" s="98" t="s">
        <v>45</v>
      </c>
      <c r="I14" s="5" t="s">
        <v>257</v>
      </c>
      <c r="J14"/>
      <c r="K14"/>
    </row>
    <row r="15" spans="2:11">
      <c r="B15" s="18" t="s">
        <v>35</v>
      </c>
      <c r="C15" s="11">
        <f>C6*'Movimentacao de Conteineres'!K30</f>
        <v>0</v>
      </c>
      <c r="D15" s="12">
        <f>D6*'Movimentacao de Conteineres'!L30</f>
        <v>129617.13492750278</v>
      </c>
      <c r="E15" s="12">
        <f>E6*'Movimentacao de Conteineres'!M30</f>
        <v>148098.65503750229</v>
      </c>
      <c r="F15" s="12">
        <f>F6*'Movimentacao de Conteineres'!N30</f>
        <v>0</v>
      </c>
      <c r="G15" s="12">
        <f>G6*'Movimentacao de Conteineres'!O30</f>
        <v>381840.71278418711</v>
      </c>
      <c r="H15" s="12">
        <f>H6*'Movimentacao de Conteineres'!P30</f>
        <v>1050790.702885712</v>
      </c>
      <c r="I15" s="13">
        <f t="shared" ref="I15:I20" si="0">SUM(C15:H15)</f>
        <v>1710347.2056349041</v>
      </c>
      <c r="J15"/>
      <c r="K15"/>
    </row>
    <row r="16" spans="2:11">
      <c r="B16" s="18" t="s">
        <v>38</v>
      </c>
      <c r="C16" s="12">
        <f>C7*'Movimentacao de Conteineres'!K31</f>
        <v>262229.48668209894</v>
      </c>
      <c r="D16" s="11">
        <f>D7*'Movimentacao de Conteineres'!L31</f>
        <v>0</v>
      </c>
      <c r="E16" s="12">
        <f>E7*'Movimentacao de Conteineres'!M31</f>
        <v>0</v>
      </c>
      <c r="F16" s="12">
        <f>F7*'Movimentacao de Conteineres'!N31</f>
        <v>0</v>
      </c>
      <c r="G16" s="12">
        <f>G7*'Movimentacao de Conteineres'!O31</f>
        <v>22583.697418453721</v>
      </c>
      <c r="H16" s="12">
        <f>H7*'Movimentacao de Conteineres'!P31</f>
        <v>144325.21086328826</v>
      </c>
      <c r="I16" s="13">
        <f t="shared" si="0"/>
        <v>429138.3949638409</v>
      </c>
      <c r="J16"/>
      <c r="K16"/>
    </row>
    <row r="17" spans="2:11">
      <c r="B17" s="18" t="s">
        <v>40</v>
      </c>
      <c r="C17" s="12">
        <f>C8*'Movimentacao de Conteineres'!K32</f>
        <v>412115.29492804711</v>
      </c>
      <c r="D17" s="12">
        <f>D8*'Movimentacao de Conteineres'!L32</f>
        <v>0</v>
      </c>
      <c r="E17" s="11">
        <f>E8*'Movimentacao de Conteineres'!M32</f>
        <v>0</v>
      </c>
      <c r="F17" s="12">
        <f>F8*'Movimentacao de Conteineres'!N32</f>
        <v>0</v>
      </c>
      <c r="G17" s="12">
        <f>G8*'Movimentacao de Conteineres'!O32</f>
        <v>27633.189352289777</v>
      </c>
      <c r="H17" s="12">
        <f>H8*'Movimentacao de Conteineres'!P32</f>
        <v>49481.901141627182</v>
      </c>
      <c r="I17" s="13">
        <f t="shared" si="0"/>
        <v>489230.38542196405</v>
      </c>
      <c r="J17"/>
      <c r="K17"/>
    </row>
    <row r="18" spans="2:11">
      <c r="B18" s="18" t="s">
        <v>42</v>
      </c>
      <c r="C18" s="12">
        <f>C9*'Movimentacao de Conteineres'!K33</f>
        <v>118917.01296463524</v>
      </c>
      <c r="D18" s="12">
        <f>D9*'Movimentacao de Conteineres'!L33</f>
        <v>5004.5034319306033</v>
      </c>
      <c r="E18" s="12">
        <f>E9*'Movimentacao de Conteineres'!M33</f>
        <v>323.44164561739478</v>
      </c>
      <c r="F18" s="11">
        <f>F9*'Movimentacao de Conteineres'!N33</f>
        <v>0</v>
      </c>
      <c r="G18" s="12">
        <f>G9*'Movimentacao de Conteineres'!O33</f>
        <v>0</v>
      </c>
      <c r="H18" s="12">
        <f>H9*'Movimentacao de Conteineres'!P33</f>
        <v>0</v>
      </c>
      <c r="I18" s="13">
        <f t="shared" si="0"/>
        <v>124244.95804218324</v>
      </c>
      <c r="J18"/>
      <c r="K18"/>
    </row>
    <row r="19" spans="2:11">
      <c r="B19" s="18" t="s">
        <v>43</v>
      </c>
      <c r="C19" s="12">
        <f>C10*'Movimentacao de Conteineres'!K34</f>
        <v>112680.42723929966</v>
      </c>
      <c r="D19" s="12">
        <f>D10*'Movimentacao de Conteineres'!L34</f>
        <v>122462.41090237934</v>
      </c>
      <c r="E19" s="12">
        <f>E10*'Movimentacao de Conteineres'!M34</f>
        <v>93760.790151135952</v>
      </c>
      <c r="F19" s="12">
        <f>F10*'Movimentacao de Conteineres'!N34</f>
        <v>25575.424772191862</v>
      </c>
      <c r="G19" s="11">
        <f>G10*'Movimentacao de Conteineres'!O34</f>
        <v>0</v>
      </c>
      <c r="H19" s="12">
        <f>H10*'Movimentacao de Conteineres'!P34</f>
        <v>0</v>
      </c>
      <c r="I19" s="13">
        <f t="shared" si="0"/>
        <v>354479.0530650068</v>
      </c>
      <c r="J19"/>
      <c r="K19"/>
    </row>
    <row r="20" spans="2:11">
      <c r="B20" s="18" t="s">
        <v>45</v>
      </c>
      <c r="C20" s="12">
        <f>C11*'Movimentacao de Conteineres'!K35</f>
        <v>444545.4108050486</v>
      </c>
      <c r="D20" s="12">
        <f>D11*'Movimentacao de Conteineres'!L35</f>
        <v>246314.73397282473</v>
      </c>
      <c r="E20" s="12">
        <f>E11*'Movimentacao de Conteineres'!M35</f>
        <v>239885.5084351121</v>
      </c>
      <c r="F20" s="12">
        <f>F11*'Movimentacao de Conteineres'!N35</f>
        <v>65094.787440445594</v>
      </c>
      <c r="G20" s="12">
        <f>G11*'Movimentacao de Conteineres'!O35</f>
        <v>0</v>
      </c>
      <c r="H20" s="11">
        <f>H11*'Movimentacao de Conteineres'!P35</f>
        <v>0</v>
      </c>
      <c r="I20" s="13">
        <f t="shared" si="0"/>
        <v>995840.440653431</v>
      </c>
      <c r="J20"/>
      <c r="K20"/>
    </row>
    <row r="21" spans="2:11" ht="18">
      <c r="B21" s="16" t="s">
        <v>258</v>
      </c>
      <c r="C21" s="13">
        <f t="shared" ref="C21:H21" si="1">SUM(C15:C20)</f>
        <v>1350487.6326191295</v>
      </c>
      <c r="D21" s="13">
        <f t="shared" si="1"/>
        <v>503398.78323463746</v>
      </c>
      <c r="E21" s="13">
        <f t="shared" si="1"/>
        <v>482068.39526936773</v>
      </c>
      <c r="F21" s="13">
        <f t="shared" si="1"/>
        <v>90670.21221263746</v>
      </c>
      <c r="G21" s="13">
        <f t="shared" si="1"/>
        <v>432057.59955493058</v>
      </c>
      <c r="H21" s="13">
        <f t="shared" si="1"/>
        <v>1244597.8148906275</v>
      </c>
      <c r="I21" s="13">
        <f>SUM(I15:I20)</f>
        <v>4103280.4377813302</v>
      </c>
      <c r="J21"/>
      <c r="K21" s="212">
        <f>I21*52/1000000</f>
        <v>213.37058276462918</v>
      </c>
    </row>
    <row r="23" spans="2:11">
      <c r="I23" s="201">
        <f>'Rodo Cabotagem Base'!I78+'Depot Base C1'!I88+'TC Total'!C14+'Navio Viagem Base C1'!C199+'Navio Porto Base C1'!C203+'Praticagem e Rebocador Base C1'!C130</f>
        <v>4159789.4541021721</v>
      </c>
    </row>
    <row r="87" spans="2:3" ht="18">
      <c r="B87" s="98" t="s">
        <v>477</v>
      </c>
      <c r="C87" s="98" t="s">
        <v>393</v>
      </c>
    </row>
    <row r="88" spans="2:3">
      <c r="B88" s="18" t="s">
        <v>389</v>
      </c>
      <c r="C88" s="12">
        <f>'Rodo Cabotagem Base'!I78</f>
        <v>537508.84926484223</v>
      </c>
    </row>
    <row r="89" spans="2:3">
      <c r="B89" s="18" t="s">
        <v>390</v>
      </c>
      <c r="C89" s="12">
        <f>'Depot Base C1'!I88</f>
        <v>19272.361525662251</v>
      </c>
    </row>
    <row r="90" spans="2:3">
      <c r="B90" s="18" t="s">
        <v>478</v>
      </c>
      <c r="C90" s="12">
        <f>'TC Total'!C14</f>
        <v>67902.953775416652</v>
      </c>
    </row>
    <row r="91" spans="2:3">
      <c r="B91" s="18" t="s">
        <v>398</v>
      </c>
      <c r="C91" s="12">
        <f>'Praticagem e Rebocador Base C1'!C130</f>
        <v>68351.891840000011</v>
      </c>
    </row>
    <row r="92" spans="2:3">
      <c r="B92" s="18" t="s">
        <v>479</v>
      </c>
      <c r="C92" s="12">
        <f>'Navio Porto Base C1'!C203</f>
        <v>60674.461203703708</v>
      </c>
    </row>
    <row r="93" spans="2:3">
      <c r="B93" s="18" t="s">
        <v>480</v>
      </c>
      <c r="C93" s="12">
        <f>'Navio Viagem Base C1'!C199</f>
        <v>3406078.9364925469</v>
      </c>
    </row>
    <row r="94" spans="2:3">
      <c r="B94" s="18" t="s">
        <v>10</v>
      </c>
      <c r="C94" s="12">
        <f>SUM(C88:C93)</f>
        <v>4159789.4541021716</v>
      </c>
    </row>
  </sheetData>
  <mergeCells count="2">
    <mergeCell ref="B4:H4"/>
    <mergeCell ref="B13:I13"/>
  </mergeCells>
  <pageMargins left="0.511811024" right="0.511811024" top="0.78740157499999996" bottom="0.78740157499999996" header="0.31496062000000002" footer="0.31496062000000002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FB48-677D-453B-A1BE-E242CF619C43}">
  <dimension ref="B1:AY559"/>
  <sheetViews>
    <sheetView showGridLines="0" zoomScale="70" zoomScaleNormal="70" workbookViewId="0">
      <pane xSplit="3" topLeftCell="D1" activePane="topRight" state="frozen"/>
      <selection pane="topRight" activeCell="M16" sqref="M16"/>
    </sheetView>
  </sheetViews>
  <sheetFormatPr defaultRowHeight="15.6"/>
  <cols>
    <col min="1" max="1" width="3.15625" style="1" customWidth="1"/>
    <col min="2" max="2" width="27.20703125" style="1" customWidth="1"/>
    <col min="3" max="3" width="9.89453125" style="1" customWidth="1"/>
    <col min="4" max="4" width="9.15625" style="1" customWidth="1"/>
    <col min="5" max="5" width="12.05078125" style="1" customWidth="1"/>
    <col min="6" max="6" width="10.3125" style="1" customWidth="1"/>
    <col min="7" max="7" width="12.89453125" style="1" customWidth="1"/>
    <col min="8" max="8" width="12.20703125" style="1" customWidth="1"/>
    <col min="9" max="9" width="8.47265625" style="1" customWidth="1"/>
    <col min="10" max="10" width="11.734375" style="1" customWidth="1"/>
    <col min="11" max="11" width="9.5234375" style="1" customWidth="1"/>
    <col min="12" max="12" width="11.3671875" style="1" customWidth="1"/>
    <col min="13" max="13" width="10.15625" style="1" customWidth="1"/>
    <col min="14" max="14" width="13.1015625" style="1" customWidth="1"/>
    <col min="15" max="15" width="12.62890625" style="1" customWidth="1"/>
    <col min="16" max="16" width="11.3125" style="1" customWidth="1"/>
    <col min="17" max="17" width="10.15625" style="1" customWidth="1"/>
    <col min="18" max="18" width="16.20703125" style="1" customWidth="1"/>
    <col min="19" max="19" width="14.9453125" style="1" customWidth="1"/>
    <col min="20" max="24" width="17.68359375" style="1" customWidth="1"/>
    <col min="25" max="25" width="13.3671875" style="1" customWidth="1"/>
    <col min="26" max="26" width="16.26171875" style="1" customWidth="1"/>
    <col min="27" max="27" width="10.47265625" style="1" customWidth="1"/>
    <col min="28" max="28" width="14.3125" style="1" customWidth="1"/>
    <col min="29" max="29" width="8.47265625" style="1" customWidth="1"/>
    <col min="30" max="30" width="11.20703125" style="1" customWidth="1"/>
    <col min="31" max="31" width="10.20703125" style="1" customWidth="1"/>
    <col min="32" max="32" width="9.26171875" style="1" customWidth="1"/>
    <col min="33" max="33" width="8.9453125" style="1" customWidth="1"/>
    <col min="34" max="34" width="10.83984375" style="1" customWidth="1"/>
    <col min="35" max="35" width="14.83984375" style="1" customWidth="1"/>
    <col min="36" max="36" width="10.7890625" style="1" customWidth="1"/>
    <col min="37" max="37" width="8.15625" style="1" customWidth="1"/>
    <col min="38" max="38" width="7.05078125" style="1" customWidth="1"/>
    <col min="39" max="39" width="9.26171875" style="1" customWidth="1"/>
    <col min="40" max="40" width="8.15625" style="1" customWidth="1"/>
    <col min="41" max="41" width="9.7890625" style="1" customWidth="1"/>
    <col min="42" max="42" width="12.47265625" style="1" customWidth="1"/>
    <col min="43" max="43" width="13.41796875" style="1" customWidth="1"/>
    <col min="44" max="44" width="13.5234375" style="1" customWidth="1"/>
    <col min="45" max="45" width="12.47265625" style="1" customWidth="1"/>
    <col min="46" max="46" width="13" style="1" customWidth="1"/>
    <col min="47" max="47" width="12" style="1" customWidth="1"/>
    <col min="48" max="48" width="12.734375" style="1" customWidth="1"/>
    <col min="49" max="49" width="12.89453125" style="1" customWidth="1"/>
    <col min="50" max="50" width="12.83984375" style="1" bestFit="1" customWidth="1"/>
    <col min="51" max="51" width="11.7890625" style="1" bestFit="1" customWidth="1"/>
    <col min="52" max="16384" width="8.83984375" style="1"/>
  </cols>
  <sheetData>
    <row r="1" spans="2:27">
      <c r="B1" s="32" t="s">
        <v>51</v>
      </c>
      <c r="C1" s="32" t="s">
        <v>52</v>
      </c>
      <c r="D1" s="32" t="s">
        <v>53</v>
      </c>
      <c r="E1" s="32" t="s">
        <v>54</v>
      </c>
      <c r="F1" s="33" t="s">
        <v>55</v>
      </c>
      <c r="H1" s="276" t="s">
        <v>56</v>
      </c>
      <c r="I1" s="276"/>
      <c r="J1" s="276"/>
      <c r="L1" s="276" t="s">
        <v>57</v>
      </c>
      <c r="M1" s="276"/>
      <c r="N1" s="276"/>
      <c r="O1" s="34" t="s">
        <v>58</v>
      </c>
    </row>
    <row r="2" spans="2:27">
      <c r="B2" s="35" t="s">
        <v>59</v>
      </c>
      <c r="C2" s="36">
        <f>SUM(C3:C9)</f>
        <v>276.67777777777781</v>
      </c>
      <c r="D2" s="36">
        <f>SUM(D3:D9)</f>
        <v>11.528240740740742</v>
      </c>
      <c r="E2" s="37">
        <f>SUM(E3:E9)</f>
        <v>0.99999999999999989</v>
      </c>
      <c r="F2" s="38">
        <f>IFERROR(C2/C11,"-")</f>
        <v>0.41172287982600553</v>
      </c>
      <c r="H2" s="283" t="s">
        <v>60</v>
      </c>
      <c r="I2" s="284"/>
      <c r="J2" s="6" t="s">
        <v>61</v>
      </c>
      <c r="L2" s="288" t="s">
        <v>62</v>
      </c>
      <c r="M2" s="288"/>
      <c r="N2" s="39">
        <f>SUM(AS21:AS30,AX21:AX30)</f>
        <v>1092000</v>
      </c>
      <c r="O2" s="40">
        <f t="shared" ref="O2:O8" si="0">N2/$N$8</f>
        <v>0.11432329245533469</v>
      </c>
    </row>
    <row r="3" spans="2:27">
      <c r="B3" s="41" t="s">
        <v>63</v>
      </c>
      <c r="C3" s="42">
        <f>SUM(L21:L40)</f>
        <v>8</v>
      </c>
      <c r="D3" s="43">
        <f t="shared" ref="D3:D9" si="1">C3/24</f>
        <v>0.33333333333333331</v>
      </c>
      <c r="E3" s="44">
        <f>IFERROR(C3/$C$2,"-")</f>
        <v>2.8914501425645552E-2</v>
      </c>
      <c r="F3" s="44">
        <f t="shared" ref="F3:F10" si="2">IFERROR(C3/$C$11,"-")</f>
        <v>1.1904761795699929E-2</v>
      </c>
      <c r="H3" s="283" t="s">
        <v>64</v>
      </c>
      <c r="I3" s="284"/>
      <c r="J3" s="12">
        <v>2800</v>
      </c>
      <c r="L3" s="288" t="s">
        <v>65</v>
      </c>
      <c r="M3" s="288"/>
      <c r="N3" s="39">
        <f>SUM(AT21:AT30,AY21:AY30)</f>
        <v>404000</v>
      </c>
      <c r="O3" s="40">
        <f t="shared" si="0"/>
        <v>4.2295430542083526E-2</v>
      </c>
    </row>
    <row r="4" spans="2:27">
      <c r="B4" s="41" t="s">
        <v>66</v>
      </c>
      <c r="C4" s="42">
        <f>SUM(M21:M40)</f>
        <v>10.5</v>
      </c>
      <c r="D4" s="43">
        <f t="shared" si="1"/>
        <v>0.4375</v>
      </c>
      <c r="E4" s="44">
        <f t="shared" ref="E4:E9" si="3">IFERROR(C4/$C$2,"-")</f>
        <v>3.7950283121159792E-2</v>
      </c>
      <c r="F4" s="44">
        <f t="shared" si="2"/>
        <v>1.5624999856856158E-2</v>
      </c>
      <c r="H4" s="283" t="s">
        <v>67</v>
      </c>
      <c r="I4" s="284"/>
      <c r="J4" s="12">
        <v>2240</v>
      </c>
      <c r="L4" s="288" t="s">
        <v>68</v>
      </c>
      <c r="M4" s="288"/>
      <c r="N4" s="39">
        <f>SUM(AU21:AV30)</f>
        <v>19835.733333326236</v>
      </c>
      <c r="O4" s="40">
        <f t="shared" si="0"/>
        <v>2.0766358451757196E-3</v>
      </c>
    </row>
    <row r="5" spans="2:27">
      <c r="B5" s="41" t="s">
        <v>69</v>
      </c>
      <c r="C5" s="42">
        <f>SUM(O21:O40)</f>
        <v>8</v>
      </c>
      <c r="D5" s="43">
        <f t="shared" si="1"/>
        <v>0.33333333333333331</v>
      </c>
      <c r="E5" s="44">
        <f t="shared" si="3"/>
        <v>2.8914501425645552E-2</v>
      </c>
      <c r="F5" s="44">
        <f t="shared" si="2"/>
        <v>1.1904761795699929E-2</v>
      </c>
      <c r="H5" s="283" t="s">
        <v>70</v>
      </c>
      <c r="I5" s="284"/>
      <c r="J5" s="45">
        <v>186</v>
      </c>
      <c r="L5" s="288" t="s">
        <v>71</v>
      </c>
      <c r="M5" s="288"/>
      <c r="N5" s="39">
        <f>SUM(AR21:AR30)</f>
        <v>4371065.4158321712</v>
      </c>
      <c r="O5" s="40">
        <f t="shared" si="0"/>
        <v>0.45761409329265607</v>
      </c>
    </row>
    <row r="6" spans="2:27">
      <c r="B6" s="41" t="s">
        <v>72</v>
      </c>
      <c r="C6" s="42">
        <f>SUM(Y21:Y40)</f>
        <v>223.67777777777778</v>
      </c>
      <c r="D6" s="43">
        <f t="shared" si="1"/>
        <v>9.319907407407408</v>
      </c>
      <c r="E6" s="44">
        <f t="shared" si="3"/>
        <v>0.80844142805509811</v>
      </c>
      <c r="F6" s="44">
        <f t="shared" si="2"/>
        <v>0.33285383292949344</v>
      </c>
      <c r="H6" s="283" t="s">
        <v>73</v>
      </c>
      <c r="I6" s="284"/>
      <c r="J6" s="45">
        <v>20</v>
      </c>
      <c r="L6" s="283" t="s">
        <v>74</v>
      </c>
      <c r="M6" s="284"/>
      <c r="N6" s="39">
        <f>J14*J7*D10+J14*J8*D2</f>
        <v>461758.11369326746</v>
      </c>
      <c r="O6" s="40">
        <f t="shared" si="0"/>
        <v>4.8342223329101743E-2</v>
      </c>
    </row>
    <row r="7" spans="2:27">
      <c r="B7" s="41" t="s">
        <v>75</v>
      </c>
      <c r="C7" s="42">
        <f>SUM(AB21:AB40)</f>
        <v>8</v>
      </c>
      <c r="D7" s="43">
        <f t="shared" si="1"/>
        <v>0.33333333333333331</v>
      </c>
      <c r="E7" s="44">
        <f t="shared" si="3"/>
        <v>2.8914501425645552E-2</v>
      </c>
      <c r="F7" s="44">
        <f t="shared" si="2"/>
        <v>1.1904761795699929E-2</v>
      </c>
      <c r="H7" s="283" t="s">
        <v>76</v>
      </c>
      <c r="I7" s="284"/>
      <c r="J7" s="45">
        <v>2</v>
      </c>
      <c r="L7" s="283" t="s">
        <v>77</v>
      </c>
      <c r="M7" s="284"/>
      <c r="N7" s="39">
        <f>J10*C13</f>
        <v>3203200</v>
      </c>
      <c r="O7" s="40">
        <f t="shared" si="0"/>
        <v>0.33534832453564839</v>
      </c>
    </row>
    <row r="8" spans="2:27">
      <c r="B8" s="41" t="s">
        <v>78</v>
      </c>
      <c r="C8" s="42">
        <f>SUM(AE21:AE40)</f>
        <v>10.5</v>
      </c>
      <c r="D8" s="43">
        <f t="shared" si="1"/>
        <v>0.4375</v>
      </c>
      <c r="E8" s="44">
        <f t="shared" si="3"/>
        <v>3.7950283121159792E-2</v>
      </c>
      <c r="F8" s="44">
        <f t="shared" si="2"/>
        <v>1.5624999856856158E-2</v>
      </c>
      <c r="H8" s="283" t="s">
        <v>79</v>
      </c>
      <c r="I8" s="284"/>
      <c r="J8" s="45">
        <v>3</v>
      </c>
      <c r="L8" s="263" t="s">
        <v>80</v>
      </c>
      <c r="M8" s="265"/>
      <c r="N8" s="47">
        <f>SUM(N2:N7)</f>
        <v>9551859.2628587633</v>
      </c>
      <c r="O8" s="48">
        <f t="shared" si="0"/>
        <v>1</v>
      </c>
    </row>
    <row r="9" spans="2:27">
      <c r="B9" s="41" t="s">
        <v>81</v>
      </c>
      <c r="C9" s="42">
        <f>SUM(AF21:AF40)</f>
        <v>8</v>
      </c>
      <c r="D9" s="43">
        <f t="shared" si="1"/>
        <v>0.33333333333333331</v>
      </c>
      <c r="E9" s="44">
        <f t="shared" si="3"/>
        <v>2.8914501425645552E-2</v>
      </c>
      <c r="F9" s="44">
        <f t="shared" si="2"/>
        <v>1.1904761795699929E-2</v>
      </c>
      <c r="H9" s="283" t="s">
        <v>82</v>
      </c>
      <c r="I9" s="284"/>
      <c r="J9" s="18">
        <v>4</v>
      </c>
      <c r="L9" s="18" t="s">
        <v>83</v>
      </c>
      <c r="M9" s="18"/>
      <c r="N9" s="39">
        <f>N8/J4</f>
        <v>4264.2228852048047</v>
      </c>
    </row>
    <row r="10" spans="2:27">
      <c r="B10" s="49" t="s">
        <v>84</v>
      </c>
      <c r="C10" s="50">
        <f>SUM(AM21:AM40)</f>
        <v>395.32222837855261</v>
      </c>
      <c r="D10" s="51">
        <f>C10/24</f>
        <v>16.471759515773027</v>
      </c>
      <c r="E10" s="52">
        <f>C10/C10</f>
        <v>1</v>
      </c>
      <c r="F10" s="53">
        <f t="shared" si="2"/>
        <v>0.58827712017399447</v>
      </c>
      <c r="H10" s="283" t="s">
        <v>85</v>
      </c>
      <c r="I10" s="284"/>
      <c r="J10" s="39">
        <v>114400</v>
      </c>
    </row>
    <row r="11" spans="2:27">
      <c r="B11" s="54" t="s">
        <v>86</v>
      </c>
      <c r="C11" s="55">
        <f>C10+C2</f>
        <v>672.00000615633041</v>
      </c>
      <c r="D11" s="55">
        <f>D2+D10</f>
        <v>28.000000256513768</v>
      </c>
      <c r="E11" s="56"/>
      <c r="F11" s="57">
        <f>IFERROR(F10+F2,"-")</f>
        <v>1</v>
      </c>
    </row>
    <row r="12" spans="2:27">
      <c r="H12" s="276" t="s">
        <v>87</v>
      </c>
      <c r="I12" s="276"/>
      <c r="J12" s="276"/>
    </row>
    <row r="13" spans="2:27">
      <c r="B13" s="18" t="s">
        <v>88</v>
      </c>
      <c r="C13" s="18">
        <f>J9*7</f>
        <v>28</v>
      </c>
      <c r="H13" s="283" t="s">
        <v>89</v>
      </c>
      <c r="I13" s="284"/>
      <c r="J13" s="58">
        <v>4191.2</v>
      </c>
    </row>
    <row r="14" spans="2:27">
      <c r="B14" s="59" t="s">
        <v>90</v>
      </c>
      <c r="C14" s="60">
        <f>SUM(AI21:AI40)</f>
        <v>6178</v>
      </c>
      <c r="H14" s="283" t="s">
        <v>91</v>
      </c>
      <c r="I14" s="284"/>
      <c r="J14" s="58">
        <v>6838</v>
      </c>
      <c r="S14" s="61"/>
      <c r="AA14" s="62"/>
    </row>
    <row r="15" spans="2:27">
      <c r="B15" s="59" t="s">
        <v>92</v>
      </c>
      <c r="C15" s="39">
        <f>SUMPRODUCT(AI21:AI30,AJ21:AJ30)/SUM(AI21:AI30)</f>
        <v>15.660009939491966</v>
      </c>
      <c r="I15" s="63"/>
    </row>
    <row r="16" spans="2:27">
      <c r="B16" s="59" t="s">
        <v>93</v>
      </c>
      <c r="C16" s="64">
        <f>SUM(AO21:AO40)</f>
        <v>86.422228378552617</v>
      </c>
      <c r="H16" s="65"/>
      <c r="M16" s="66"/>
      <c r="P16" s="67"/>
    </row>
    <row r="17" spans="2:51">
      <c r="B17" s="59" t="s">
        <v>94</v>
      </c>
      <c r="C17" s="40">
        <f>C16/C11</f>
        <v>0.12860450533753093</v>
      </c>
    </row>
    <row r="18" spans="2:51">
      <c r="M18" s="66"/>
      <c r="P18" s="68"/>
    </row>
    <row r="19" spans="2:51">
      <c r="J19" s="263" t="s">
        <v>18</v>
      </c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5"/>
      <c r="AH19" s="285" t="s">
        <v>95</v>
      </c>
      <c r="AI19" s="286"/>
      <c r="AJ19" s="286"/>
      <c r="AK19" s="286"/>
      <c r="AL19" s="286"/>
      <c r="AM19" s="286"/>
      <c r="AN19" s="287"/>
      <c r="AO19" s="280" t="s">
        <v>96</v>
      </c>
      <c r="AP19" s="281"/>
      <c r="AQ19" s="281"/>
      <c r="AR19" s="281"/>
      <c r="AS19" s="281"/>
      <c r="AT19" s="281"/>
      <c r="AU19" s="281"/>
      <c r="AV19" s="281"/>
      <c r="AW19" s="281"/>
      <c r="AX19" s="281"/>
      <c r="AY19" s="282"/>
    </row>
    <row r="20" spans="2:51" s="73" customFormat="1" ht="48.6" customHeight="1">
      <c r="B20" s="69" t="s">
        <v>97</v>
      </c>
      <c r="C20" s="70" t="s">
        <v>18</v>
      </c>
      <c r="D20" s="70" t="s">
        <v>98</v>
      </c>
      <c r="E20" s="70" t="s">
        <v>99</v>
      </c>
      <c r="F20" s="70" t="s">
        <v>62</v>
      </c>
      <c r="G20" s="70" t="s">
        <v>65</v>
      </c>
      <c r="H20" s="70" t="s">
        <v>100</v>
      </c>
      <c r="I20" s="71" t="s">
        <v>101</v>
      </c>
      <c r="J20" s="71" t="s">
        <v>102</v>
      </c>
      <c r="K20" s="71" t="s">
        <v>103</v>
      </c>
      <c r="L20" s="72" t="s">
        <v>63</v>
      </c>
      <c r="M20" s="71" t="s">
        <v>104</v>
      </c>
      <c r="N20" s="71" t="s">
        <v>105</v>
      </c>
      <c r="O20" s="71" t="s">
        <v>69</v>
      </c>
      <c r="P20" s="71" t="s">
        <v>106</v>
      </c>
      <c r="Q20" s="71" t="s">
        <v>27</v>
      </c>
      <c r="R20" s="71" t="s">
        <v>28</v>
      </c>
      <c r="S20" s="71" t="s">
        <v>29</v>
      </c>
      <c r="T20" s="71" t="s">
        <v>30</v>
      </c>
      <c r="U20" s="71" t="s">
        <v>31</v>
      </c>
      <c r="V20" s="71" t="s">
        <v>107</v>
      </c>
      <c r="W20" s="71" t="s">
        <v>108</v>
      </c>
      <c r="X20" s="71" t="s">
        <v>109</v>
      </c>
      <c r="Y20" s="71" t="s">
        <v>110</v>
      </c>
      <c r="Z20" s="71" t="s">
        <v>102</v>
      </c>
      <c r="AA20" s="71" t="s">
        <v>111</v>
      </c>
      <c r="AB20" s="71" t="s">
        <v>75</v>
      </c>
      <c r="AC20" s="71" t="s">
        <v>102</v>
      </c>
      <c r="AD20" s="71" t="s">
        <v>112</v>
      </c>
      <c r="AE20" s="71" t="s">
        <v>113</v>
      </c>
      <c r="AF20" s="72" t="s">
        <v>114</v>
      </c>
      <c r="AG20" s="71" t="s">
        <v>102</v>
      </c>
      <c r="AH20" s="71" t="s">
        <v>115</v>
      </c>
      <c r="AI20" s="71" t="s">
        <v>116</v>
      </c>
      <c r="AJ20" s="71" t="s">
        <v>117</v>
      </c>
      <c r="AK20" s="71" t="s">
        <v>118</v>
      </c>
      <c r="AL20" s="71" t="s">
        <v>119</v>
      </c>
      <c r="AM20" s="71" t="s">
        <v>120</v>
      </c>
      <c r="AN20" s="71" t="s">
        <v>53</v>
      </c>
      <c r="AO20" s="71" t="s">
        <v>121</v>
      </c>
      <c r="AP20" s="71" t="s">
        <v>122</v>
      </c>
      <c r="AQ20" s="71" t="s">
        <v>123</v>
      </c>
      <c r="AR20" s="71" t="s">
        <v>124</v>
      </c>
      <c r="AS20" s="71" t="s">
        <v>125</v>
      </c>
      <c r="AT20" s="71" t="s">
        <v>126</v>
      </c>
      <c r="AU20" s="71" t="s">
        <v>127</v>
      </c>
      <c r="AV20" s="71" t="s">
        <v>128</v>
      </c>
      <c r="AW20" s="71" t="s">
        <v>129</v>
      </c>
      <c r="AX20" s="71" t="s">
        <v>130</v>
      </c>
      <c r="AY20" s="71" t="s">
        <v>131</v>
      </c>
    </row>
    <row r="21" spans="2:51">
      <c r="B21" s="74" t="s">
        <v>132</v>
      </c>
      <c r="C21" s="74" t="s">
        <v>9</v>
      </c>
      <c r="D21" s="74" t="s">
        <v>133</v>
      </c>
      <c r="E21" s="74" t="s">
        <v>134</v>
      </c>
      <c r="F21" s="74" t="s">
        <v>135</v>
      </c>
      <c r="G21" s="74" t="s">
        <v>136</v>
      </c>
      <c r="H21" s="74" t="s">
        <v>137</v>
      </c>
      <c r="I21" s="6">
        <v>0</v>
      </c>
      <c r="J21" s="6" t="str">
        <f>IF(K21=0,"-",UPPER(TEXT(K21,"DDD")))</f>
        <v>TER</v>
      </c>
      <c r="K21" s="75">
        <f>DATE(2022,1,11)+19/24</f>
        <v>44572.791666666664</v>
      </c>
      <c r="L21" s="76">
        <v>0.5</v>
      </c>
      <c r="M21" s="76">
        <v>2</v>
      </c>
      <c r="N21" s="77">
        <f>IFERROR(K21+(M21+L21)/24,"-")</f>
        <v>44572.895833333328</v>
      </c>
      <c r="O21" s="78">
        <v>1</v>
      </c>
      <c r="P21" s="77">
        <f>IFERROR(N21+(O21)/24,0)</f>
        <v>44572.937499999993</v>
      </c>
      <c r="Q21" s="79">
        <v>824</v>
      </c>
      <c r="R21" s="79">
        <v>842</v>
      </c>
      <c r="S21" s="79">
        <v>59</v>
      </c>
      <c r="T21" s="79">
        <v>41</v>
      </c>
      <c r="U21" s="80">
        <v>1766</v>
      </c>
      <c r="V21" s="80">
        <v>13</v>
      </c>
      <c r="W21" s="80">
        <v>3</v>
      </c>
      <c r="X21" s="80">
        <v>45</v>
      </c>
      <c r="Y21" s="81">
        <f>IFERROR(U21/X21,0)</f>
        <v>39.244444444444447</v>
      </c>
      <c r="Z21" s="6" t="str">
        <f>UPPER(TEXT(AA21,"DDD"))</f>
        <v>QUI</v>
      </c>
      <c r="AA21" s="77">
        <f t="shared" ref="AA21:AA30" si="4">IFERROR(P21+(Y21)/24,0)</f>
        <v>44574.57268518518</v>
      </c>
      <c r="AB21" s="78">
        <v>1</v>
      </c>
      <c r="AC21" s="6" t="str">
        <f>UPPER(TEXT(AD21,"DDD"))</f>
        <v>QUI</v>
      </c>
      <c r="AD21" s="77">
        <f>AA21+AB21/24</f>
        <v>44574.614351851844</v>
      </c>
      <c r="AE21" s="76">
        <v>2</v>
      </c>
      <c r="AF21" s="76">
        <v>0.5</v>
      </c>
      <c r="AG21" s="6" t="str">
        <f>UPPER(TEXT(AH21,"DDD"))</f>
        <v>QUI</v>
      </c>
      <c r="AH21" s="77">
        <f t="shared" ref="AH21:AH30" si="5">IFERROR(AA21+(AB21+AE21+AF21)/24,"-")</f>
        <v>44574.718518518515</v>
      </c>
      <c r="AI21" s="82">
        <v>142</v>
      </c>
      <c r="AJ21" s="83">
        <v>15.74099116568298</v>
      </c>
      <c r="AK21" s="84">
        <v>0</v>
      </c>
      <c r="AL21" s="81">
        <f t="shared" ref="AL21:AL29" si="6">IFERROR(AJ21+AK21,"-")</f>
        <v>15.74099116568298</v>
      </c>
      <c r="AM21" s="81">
        <f>IFERROR(AI21/AL21,"-")</f>
        <v>9.0210329518242141</v>
      </c>
      <c r="AN21" s="81">
        <f>IFERROR(AM21/24,"-")</f>
        <v>0.37587637299267557</v>
      </c>
      <c r="AO21" s="81">
        <f>IFERROR((AI21/AL21)-(AI21/$J$6),"-")</f>
        <v>1.9210329518242144</v>
      </c>
      <c r="AP21" s="85">
        <f>IFERROR(IF(AJ21=0,"-",(0.006754*AJ21^3)+37.23)/24,"-")</f>
        <v>2.6488549074598509</v>
      </c>
      <c r="AQ21" s="81">
        <f>AP21*AM21</f>
        <v>23.895407404796593</v>
      </c>
      <c r="AR21" s="86">
        <f t="shared" ref="AR21:AR30" si="7">IFERROR(AQ21*$J$13,"-")</f>
        <v>100150.43151498347</v>
      </c>
      <c r="AS21" s="86">
        <v>20000</v>
      </c>
      <c r="AT21" s="86">
        <v>17000</v>
      </c>
      <c r="AU21" s="86">
        <v>3835.7333333262359</v>
      </c>
      <c r="AV21" s="86">
        <v>2000</v>
      </c>
      <c r="AW21" s="86">
        <v>2000</v>
      </c>
      <c r="AX21" s="86">
        <v>20000</v>
      </c>
      <c r="AY21" s="86">
        <v>17000</v>
      </c>
    </row>
    <row r="22" spans="2:51">
      <c r="B22" s="74" t="s">
        <v>138</v>
      </c>
      <c r="C22" s="74" t="s">
        <v>8</v>
      </c>
      <c r="D22" s="74" t="s">
        <v>133</v>
      </c>
      <c r="E22" s="74" t="s">
        <v>133</v>
      </c>
      <c r="F22" s="74" t="s">
        <v>139</v>
      </c>
      <c r="G22" s="74" t="s">
        <v>140</v>
      </c>
      <c r="H22" s="74" t="s">
        <v>141</v>
      </c>
      <c r="I22" s="87">
        <f t="shared" ref="I22:I31" si="8">IFERROR(I21+(L21+M21+Y21+AB21+AE21+AF21+AM21)/24,"-")</f>
        <v>2.261061558177861</v>
      </c>
      <c r="J22" s="6" t="str">
        <f t="shared" ref="J22:J31" si="9">UPPER(TEXT(K22,"DDD"))</f>
        <v>SEX</v>
      </c>
      <c r="K22" s="77">
        <f t="shared" ref="K22:K31" si="10">IFERROR(AH21+AM21/24,"-")</f>
        <v>44575.094394891508</v>
      </c>
      <c r="L22" s="76">
        <v>1</v>
      </c>
      <c r="M22" s="76">
        <v>2.5</v>
      </c>
      <c r="N22" s="77">
        <f t="shared" ref="N22:N30" si="11">IFERROR(K22+(M22+L22)/24,"-")</f>
        <v>44575.240228224844</v>
      </c>
      <c r="O22" s="78">
        <v>1</v>
      </c>
      <c r="P22" s="77">
        <f t="shared" ref="P22:P30" si="12">IFERROR(N22+(O22)/24,0)</f>
        <v>44575.281894891508</v>
      </c>
      <c r="Q22" s="79">
        <v>347</v>
      </c>
      <c r="R22" s="79">
        <v>276</v>
      </c>
      <c r="S22" s="79">
        <v>0</v>
      </c>
      <c r="T22" s="79">
        <v>71</v>
      </c>
      <c r="U22" s="80">
        <v>694</v>
      </c>
      <c r="V22" s="80">
        <v>6</v>
      </c>
      <c r="W22" s="80">
        <v>2</v>
      </c>
      <c r="X22" s="80">
        <v>30</v>
      </c>
      <c r="Y22" s="81">
        <f t="shared" ref="Y22:Y30" si="13">IFERROR(U22/X22,0)</f>
        <v>23.133333333333333</v>
      </c>
      <c r="Z22" s="6" t="str">
        <f t="shared" ref="Z22:Z30" si="14">UPPER(TEXT(AA22,"DDD"))</f>
        <v>SÁB</v>
      </c>
      <c r="AA22" s="77">
        <f t="shared" si="4"/>
        <v>44576.245783780396</v>
      </c>
      <c r="AB22" s="78">
        <v>1</v>
      </c>
      <c r="AC22" s="6" t="str">
        <f t="shared" ref="AC22:AC30" si="15">UPPER(TEXT(AD22,"DDD"))</f>
        <v>SÁB</v>
      </c>
      <c r="AD22" s="77">
        <f t="shared" ref="AD22:AD30" si="16">AA22+AB22/24</f>
        <v>44576.28745044706</v>
      </c>
      <c r="AE22" s="76">
        <v>2.5</v>
      </c>
      <c r="AF22" s="76">
        <v>1</v>
      </c>
      <c r="AG22" s="6" t="str">
        <f t="shared" ref="AG22:AG30" si="17">UPPER(TEXT(AH22,"DDD"))</f>
        <v>SÁB</v>
      </c>
      <c r="AH22" s="77">
        <f t="shared" si="5"/>
        <v>44576.433283780396</v>
      </c>
      <c r="AI22" s="82">
        <v>762</v>
      </c>
      <c r="AJ22" s="83">
        <v>15.741094908404563</v>
      </c>
      <c r="AK22" s="84">
        <v>0</v>
      </c>
      <c r="AL22" s="81">
        <f t="shared" si="6"/>
        <v>15.741094908404563</v>
      </c>
      <c r="AM22" s="81">
        <f t="shared" ref="AM22:AM28" si="18">IFERROR(AI22/AL22,"-")</f>
        <v>48.408322574381359</v>
      </c>
      <c r="AN22" s="81">
        <f t="shared" ref="AN22:AN29" si="19">IFERROR(AM22/24,"-")</f>
        <v>2.0170134405992233</v>
      </c>
      <c r="AO22" s="81">
        <f t="shared" ref="AO22:AO30" si="20">IFERROR((AI22/AL22)-(AI22/$J$6),"-")</f>
        <v>10.308322574381357</v>
      </c>
      <c r="AP22" s="85">
        <f t="shared" ref="AP22:AP30" si="21">IFERROR(IF(AJ22=0,"-",(0.006754*AJ22^3)+37.23)/24,"-")</f>
        <v>2.6488766092579632</v>
      </c>
      <c r="AQ22" s="81">
        <f t="shared" ref="AQ22:AQ29" si="22">AP22*AM22</f>
        <v>128.22767336069302</v>
      </c>
      <c r="AR22" s="86">
        <f t="shared" si="7"/>
        <v>537427.82458933652</v>
      </c>
      <c r="AS22" s="86">
        <v>15000</v>
      </c>
      <c r="AT22" s="86">
        <v>25000</v>
      </c>
      <c r="AU22" s="86">
        <v>0</v>
      </c>
      <c r="AV22" s="86">
        <v>2000</v>
      </c>
      <c r="AW22" s="86">
        <v>2000</v>
      </c>
      <c r="AX22" s="86">
        <v>15000</v>
      </c>
      <c r="AY22" s="86">
        <v>25000</v>
      </c>
    </row>
    <row r="23" spans="2:51">
      <c r="B23" s="74" t="s">
        <v>142</v>
      </c>
      <c r="C23" s="74" t="s">
        <v>7</v>
      </c>
      <c r="D23" s="74" t="s">
        <v>133</v>
      </c>
      <c r="E23" s="74" t="s">
        <v>133</v>
      </c>
      <c r="F23" s="74" t="s">
        <v>143</v>
      </c>
      <c r="G23" s="74" t="s">
        <v>144</v>
      </c>
      <c r="H23" s="74" t="s">
        <v>145</v>
      </c>
      <c r="I23" s="80">
        <f t="shared" si="8"/>
        <v>5.5752972209993068</v>
      </c>
      <c r="J23" s="84" t="str">
        <f t="shared" si="9"/>
        <v>SEG</v>
      </c>
      <c r="K23" s="88">
        <f t="shared" si="10"/>
        <v>44578.450297220996</v>
      </c>
      <c r="L23" s="76">
        <v>1</v>
      </c>
      <c r="M23" s="76">
        <v>1</v>
      </c>
      <c r="N23" s="77">
        <f t="shared" si="11"/>
        <v>44578.533630554331</v>
      </c>
      <c r="O23" s="78">
        <v>1</v>
      </c>
      <c r="P23" s="77">
        <f t="shared" si="12"/>
        <v>44578.575297220996</v>
      </c>
      <c r="Q23" s="79">
        <v>96</v>
      </c>
      <c r="R23" s="79">
        <v>149</v>
      </c>
      <c r="S23" s="79">
        <v>53</v>
      </c>
      <c r="T23" s="79">
        <v>0</v>
      </c>
      <c r="U23" s="80">
        <v>298</v>
      </c>
      <c r="V23" s="80">
        <v>5</v>
      </c>
      <c r="W23" s="80">
        <v>2</v>
      </c>
      <c r="X23" s="80">
        <v>30</v>
      </c>
      <c r="Y23" s="81">
        <f t="shared" si="13"/>
        <v>9.9333333333333336</v>
      </c>
      <c r="Z23" s="6" t="str">
        <f t="shared" si="14"/>
        <v>SEG</v>
      </c>
      <c r="AA23" s="77">
        <f t="shared" si="4"/>
        <v>44578.989186109888</v>
      </c>
      <c r="AB23" s="78">
        <v>1</v>
      </c>
      <c r="AC23" s="6" t="str">
        <f t="shared" si="15"/>
        <v>TER</v>
      </c>
      <c r="AD23" s="77">
        <f t="shared" si="16"/>
        <v>44579.030852776552</v>
      </c>
      <c r="AE23" s="76">
        <v>1</v>
      </c>
      <c r="AF23" s="76">
        <v>1</v>
      </c>
      <c r="AG23" s="6" t="str">
        <f t="shared" si="17"/>
        <v>TER</v>
      </c>
      <c r="AH23" s="77">
        <f t="shared" si="5"/>
        <v>44579.114186109888</v>
      </c>
      <c r="AI23" s="82">
        <v>364</v>
      </c>
      <c r="AJ23" s="83">
        <v>15.740958694008905</v>
      </c>
      <c r="AK23" s="84">
        <v>0</v>
      </c>
      <c r="AL23" s="81">
        <f t="shared" si="6"/>
        <v>15.740958694008905</v>
      </c>
      <c r="AM23" s="81">
        <f t="shared" si="18"/>
        <v>23.124385691866429</v>
      </c>
      <c r="AN23" s="81">
        <f t="shared" si="19"/>
        <v>0.96351607049443455</v>
      </c>
      <c r="AO23" s="81">
        <f t="shared" si="20"/>
        <v>4.9243856918664299</v>
      </c>
      <c r="AP23" s="85">
        <f t="shared" si="21"/>
        <v>2.6488481148135201</v>
      </c>
      <c r="AQ23" s="81">
        <f t="shared" si="22"/>
        <v>61.25298544612113</v>
      </c>
      <c r="AR23" s="86">
        <f t="shared" si="7"/>
        <v>256723.51260178286</v>
      </c>
      <c r="AS23" s="86">
        <v>13000</v>
      </c>
      <c r="AT23" s="86">
        <v>15000</v>
      </c>
      <c r="AU23" s="86">
        <v>0</v>
      </c>
      <c r="AV23" s="86">
        <v>2000</v>
      </c>
      <c r="AW23" s="86">
        <v>2000</v>
      </c>
      <c r="AX23" s="86">
        <v>13000</v>
      </c>
      <c r="AY23" s="86">
        <v>15000</v>
      </c>
    </row>
    <row r="24" spans="2:51">
      <c r="B24" s="74" t="s">
        <v>146</v>
      </c>
      <c r="C24" s="74" t="s">
        <v>6</v>
      </c>
      <c r="D24" s="74" t="s">
        <v>133</v>
      </c>
      <c r="E24" s="74" t="s">
        <v>133</v>
      </c>
      <c r="F24" s="74" t="s">
        <v>147</v>
      </c>
      <c r="G24" s="74" t="s">
        <v>148</v>
      </c>
      <c r="H24" s="74" t="s">
        <v>149</v>
      </c>
      <c r="I24" s="80">
        <f t="shared" si="8"/>
        <v>7.1610355137159631</v>
      </c>
      <c r="J24" s="84" t="str">
        <f t="shared" si="9"/>
        <v>QUA</v>
      </c>
      <c r="K24" s="88">
        <f t="shared" si="10"/>
        <v>44580.077702180381</v>
      </c>
      <c r="L24" s="76">
        <v>0.5</v>
      </c>
      <c r="M24" s="76">
        <v>1</v>
      </c>
      <c r="N24" s="77">
        <f t="shared" si="11"/>
        <v>44580.140202180381</v>
      </c>
      <c r="O24" s="78">
        <v>1</v>
      </c>
      <c r="P24" s="77">
        <f t="shared" si="12"/>
        <v>44580.181868847045</v>
      </c>
      <c r="Q24" s="79">
        <v>331</v>
      </c>
      <c r="R24" s="79">
        <v>392</v>
      </c>
      <c r="S24" s="79">
        <v>169</v>
      </c>
      <c r="T24" s="79">
        <v>54</v>
      </c>
      <c r="U24" s="80">
        <v>946</v>
      </c>
      <c r="V24" s="80">
        <v>6</v>
      </c>
      <c r="W24" s="80">
        <v>2</v>
      </c>
      <c r="X24" s="80">
        <v>20</v>
      </c>
      <c r="Y24" s="81">
        <f t="shared" si="13"/>
        <v>47.3</v>
      </c>
      <c r="Z24" s="6" t="str">
        <f t="shared" si="14"/>
        <v>SEX</v>
      </c>
      <c r="AA24" s="77">
        <f t="shared" si="4"/>
        <v>44582.152702180378</v>
      </c>
      <c r="AB24" s="78">
        <v>1</v>
      </c>
      <c r="AC24" s="6" t="str">
        <f t="shared" si="15"/>
        <v>SEX</v>
      </c>
      <c r="AD24" s="77">
        <f t="shared" si="16"/>
        <v>44582.194368847042</v>
      </c>
      <c r="AE24" s="76">
        <v>1</v>
      </c>
      <c r="AF24" s="76">
        <v>0.5</v>
      </c>
      <c r="AG24" s="6" t="str">
        <f t="shared" si="17"/>
        <v>SEX</v>
      </c>
      <c r="AH24" s="77">
        <f t="shared" si="5"/>
        <v>44582.256868847042</v>
      </c>
      <c r="AI24" s="82">
        <v>431</v>
      </c>
      <c r="AJ24" s="83">
        <v>15.137160931009257</v>
      </c>
      <c r="AK24" s="84">
        <v>0</v>
      </c>
      <c r="AL24" s="81">
        <f t="shared" si="6"/>
        <v>15.137160931009257</v>
      </c>
      <c r="AM24" s="81">
        <f t="shared" si="18"/>
        <v>28.472974685568296</v>
      </c>
      <c r="AN24" s="81">
        <f t="shared" si="19"/>
        <v>1.1863739452320123</v>
      </c>
      <c r="AO24" s="81">
        <f t="shared" si="20"/>
        <v>6.9229746855682954</v>
      </c>
      <c r="AP24" s="85">
        <f t="shared" si="21"/>
        <v>2.5273247969366874</v>
      </c>
      <c r="AQ24" s="81">
        <f t="shared" si="22"/>
        <v>71.960454965387342</v>
      </c>
      <c r="AR24" s="86">
        <f t="shared" si="7"/>
        <v>301600.65885093139</v>
      </c>
      <c r="AS24" s="86">
        <v>9000</v>
      </c>
      <c r="AT24" s="86">
        <v>15000</v>
      </c>
      <c r="AU24" s="86">
        <v>0</v>
      </c>
      <c r="AV24" s="86">
        <v>2000</v>
      </c>
      <c r="AW24" s="86">
        <v>2000</v>
      </c>
      <c r="AX24" s="86">
        <v>9000</v>
      </c>
      <c r="AY24" s="86">
        <v>15000</v>
      </c>
    </row>
    <row r="25" spans="2:51">
      <c r="B25" s="74" t="s">
        <v>150</v>
      </c>
      <c r="C25" s="74" t="s">
        <v>5</v>
      </c>
      <c r="D25" s="74" t="s">
        <v>133</v>
      </c>
      <c r="E25" s="74" t="s">
        <v>133</v>
      </c>
      <c r="F25" s="74" t="s">
        <v>151</v>
      </c>
      <c r="G25" s="74" t="s">
        <v>152</v>
      </c>
      <c r="H25" s="74" t="s">
        <v>153</v>
      </c>
      <c r="I25" s="80">
        <f t="shared" si="8"/>
        <v>10.484909458947975</v>
      </c>
      <c r="J25" s="84" t="str">
        <f t="shared" si="9"/>
        <v>SÁB</v>
      </c>
      <c r="K25" s="88">
        <f t="shared" si="10"/>
        <v>44583.443242792273</v>
      </c>
      <c r="L25" s="76">
        <v>1</v>
      </c>
      <c r="M25" s="76">
        <v>1</v>
      </c>
      <c r="N25" s="77">
        <f t="shared" si="11"/>
        <v>44583.526576125609</v>
      </c>
      <c r="O25" s="78">
        <v>1</v>
      </c>
      <c r="P25" s="77">
        <f t="shared" si="12"/>
        <v>44583.568242792273</v>
      </c>
      <c r="Q25" s="79">
        <v>260</v>
      </c>
      <c r="R25" s="79">
        <v>350</v>
      </c>
      <c r="S25" s="79">
        <v>136</v>
      </c>
      <c r="T25" s="79">
        <v>0</v>
      </c>
      <c r="U25" s="80">
        <v>746</v>
      </c>
      <c r="V25" s="80">
        <v>2</v>
      </c>
      <c r="W25" s="80">
        <v>2</v>
      </c>
      <c r="X25" s="80">
        <v>60</v>
      </c>
      <c r="Y25" s="81">
        <f t="shared" si="13"/>
        <v>12.433333333333334</v>
      </c>
      <c r="Z25" s="6" t="str">
        <f t="shared" si="14"/>
        <v>DOM</v>
      </c>
      <c r="AA25" s="77">
        <f t="shared" si="4"/>
        <v>44584.086298347829</v>
      </c>
      <c r="AB25" s="78">
        <v>1</v>
      </c>
      <c r="AC25" s="6" t="str">
        <f t="shared" si="15"/>
        <v>DOM</v>
      </c>
      <c r="AD25" s="77">
        <f t="shared" si="16"/>
        <v>44584.127965014493</v>
      </c>
      <c r="AE25" s="76">
        <v>1</v>
      </c>
      <c r="AF25" s="76">
        <v>1</v>
      </c>
      <c r="AG25" s="6" t="str">
        <f t="shared" si="17"/>
        <v>DOM</v>
      </c>
      <c r="AH25" s="77">
        <f t="shared" si="5"/>
        <v>44584.211298347829</v>
      </c>
      <c r="AI25" s="82">
        <v>811</v>
      </c>
      <c r="AJ25" s="83">
        <v>15.740985436988572</v>
      </c>
      <c r="AK25" s="84">
        <v>0</v>
      </c>
      <c r="AL25" s="81">
        <f t="shared" si="6"/>
        <v>15.740985436988572</v>
      </c>
      <c r="AM25" s="81">
        <f t="shared" si="18"/>
        <v>51.521552017594232</v>
      </c>
      <c r="AN25" s="81">
        <f t="shared" si="19"/>
        <v>2.1467313340664265</v>
      </c>
      <c r="AO25" s="81">
        <f t="shared" si="20"/>
        <v>10.971552017594234</v>
      </c>
      <c r="AP25" s="85">
        <f t="shared" si="21"/>
        <v>2.6488537090904329</v>
      </c>
      <c r="AQ25" s="81">
        <f t="shared" si="22"/>
        <v>136.47305415990016</v>
      </c>
      <c r="AR25" s="86">
        <f t="shared" si="7"/>
        <v>571985.86459497351</v>
      </c>
      <c r="AS25" s="86">
        <v>15000</v>
      </c>
      <c r="AT25" s="86">
        <v>42000</v>
      </c>
      <c r="AU25" s="86">
        <v>0</v>
      </c>
      <c r="AV25" s="86">
        <v>2000</v>
      </c>
      <c r="AW25" s="86">
        <v>2000</v>
      </c>
      <c r="AX25" s="86">
        <v>15000</v>
      </c>
      <c r="AY25" s="86">
        <v>42000</v>
      </c>
    </row>
    <row r="26" spans="2:51">
      <c r="B26" s="74" t="s">
        <v>154</v>
      </c>
      <c r="C26" s="74" t="s">
        <v>32</v>
      </c>
      <c r="D26" s="74"/>
      <c r="E26" s="74"/>
      <c r="F26" s="74" t="s">
        <v>155</v>
      </c>
      <c r="G26" s="74"/>
      <c r="H26" s="74"/>
      <c r="I26" s="80">
        <f t="shared" si="8"/>
        <v>13.35802968190329</v>
      </c>
      <c r="J26" s="84" t="str">
        <f t="shared" si="9"/>
        <v>TER</v>
      </c>
      <c r="K26" s="88">
        <f t="shared" si="10"/>
        <v>44586.358029681898</v>
      </c>
      <c r="L26" s="76">
        <v>1</v>
      </c>
      <c r="M26" s="76">
        <v>0</v>
      </c>
      <c r="N26" s="77">
        <f>IFERROR(K26+(M26+L26)/24,"-")</f>
        <v>44586.399696348562</v>
      </c>
      <c r="O26" s="78">
        <v>0</v>
      </c>
      <c r="P26" s="77">
        <f t="shared" si="12"/>
        <v>44586.399696348562</v>
      </c>
      <c r="Q26" s="80"/>
      <c r="R26" s="80"/>
      <c r="S26" s="80"/>
      <c r="T26" s="80"/>
      <c r="U26" s="80">
        <v>0</v>
      </c>
      <c r="V26" s="80" t="s">
        <v>259</v>
      </c>
      <c r="W26" s="80">
        <v>0</v>
      </c>
      <c r="X26" s="80" t="s">
        <v>259</v>
      </c>
      <c r="Y26" s="81">
        <f t="shared" si="13"/>
        <v>0</v>
      </c>
      <c r="Z26" s="6" t="str">
        <f t="shared" si="14"/>
        <v>TER</v>
      </c>
      <c r="AA26" s="77">
        <f t="shared" si="4"/>
        <v>44586.399696348562</v>
      </c>
      <c r="AB26" s="78">
        <v>0</v>
      </c>
      <c r="AC26" s="6" t="str">
        <f t="shared" si="15"/>
        <v>TER</v>
      </c>
      <c r="AD26" s="77">
        <f t="shared" si="16"/>
        <v>44586.399696348562</v>
      </c>
      <c r="AE26" s="76">
        <v>0</v>
      </c>
      <c r="AF26" s="76">
        <v>1</v>
      </c>
      <c r="AG26" s="6" t="str">
        <f t="shared" si="17"/>
        <v>TER</v>
      </c>
      <c r="AH26" s="77">
        <f t="shared" si="5"/>
        <v>44586.441363015227</v>
      </c>
      <c r="AI26" s="82">
        <v>600</v>
      </c>
      <c r="AJ26" s="83">
        <v>16.496279683852563</v>
      </c>
      <c r="AK26" s="84">
        <v>-2.5</v>
      </c>
      <c r="AL26" s="81">
        <f t="shared" si="6"/>
        <v>13.996279683852563</v>
      </c>
      <c r="AM26" s="81">
        <f t="shared" si="18"/>
        <v>42.868534607251163</v>
      </c>
      <c r="AN26" s="81">
        <f t="shared" si="19"/>
        <v>1.7861889419687984</v>
      </c>
      <c r="AO26" s="81">
        <f t="shared" si="20"/>
        <v>12.868534607251163</v>
      </c>
      <c r="AP26" s="85">
        <f t="shared" si="21"/>
        <v>2.8145539328008584</v>
      </c>
      <c r="AQ26" s="81">
        <f t="shared" si="22"/>
        <v>120.65580267224847</v>
      </c>
      <c r="AR26" s="86">
        <f t="shared" si="7"/>
        <v>505692.60015992774</v>
      </c>
      <c r="AS26" s="86">
        <v>165000</v>
      </c>
      <c r="AT26" s="86" t="s">
        <v>259</v>
      </c>
      <c r="AU26" s="86" t="s">
        <v>259</v>
      </c>
      <c r="AV26" s="86" t="s">
        <v>259</v>
      </c>
      <c r="AW26" s="86" t="s">
        <v>259</v>
      </c>
      <c r="AX26" s="86">
        <v>165000</v>
      </c>
      <c r="AY26" s="86" t="s">
        <v>259</v>
      </c>
    </row>
    <row r="27" spans="2:51">
      <c r="B27" s="74" t="s">
        <v>156</v>
      </c>
      <c r="C27" s="74" t="s">
        <v>4</v>
      </c>
      <c r="D27" s="74" t="s">
        <v>157</v>
      </c>
      <c r="E27" s="74" t="s">
        <v>158</v>
      </c>
      <c r="F27" s="74" t="s">
        <v>159</v>
      </c>
      <c r="G27" s="74" t="s">
        <v>160</v>
      </c>
      <c r="H27" s="74" t="s">
        <v>161</v>
      </c>
      <c r="I27" s="80">
        <f t="shared" si="8"/>
        <v>15.227551957205421</v>
      </c>
      <c r="J27" s="84" t="str">
        <f t="shared" si="9"/>
        <v>QUI</v>
      </c>
      <c r="K27" s="88">
        <f t="shared" si="10"/>
        <v>44588.227551957192</v>
      </c>
      <c r="L27" s="76">
        <v>0.5</v>
      </c>
      <c r="M27" s="76">
        <v>1</v>
      </c>
      <c r="N27" s="77">
        <f t="shared" si="11"/>
        <v>44588.290051957192</v>
      </c>
      <c r="O27" s="78">
        <v>1</v>
      </c>
      <c r="P27" s="77">
        <f t="shared" si="12"/>
        <v>44588.331718623856</v>
      </c>
      <c r="Q27" s="79">
        <v>1205</v>
      </c>
      <c r="R27" s="79">
        <v>967</v>
      </c>
      <c r="S27" s="79">
        <v>67</v>
      </c>
      <c r="T27" s="79">
        <v>305</v>
      </c>
      <c r="U27" s="80">
        <v>2544</v>
      </c>
      <c r="V27" s="80">
        <v>6</v>
      </c>
      <c r="W27" s="80">
        <v>3</v>
      </c>
      <c r="X27" s="80">
        <v>36</v>
      </c>
      <c r="Y27" s="81">
        <f t="shared" si="13"/>
        <v>70.666666666666671</v>
      </c>
      <c r="Z27" s="6" t="str">
        <f t="shared" si="14"/>
        <v>DOM</v>
      </c>
      <c r="AA27" s="77">
        <f t="shared" si="4"/>
        <v>44591.276163068302</v>
      </c>
      <c r="AB27" s="78">
        <v>1</v>
      </c>
      <c r="AC27" s="6" t="str">
        <f t="shared" si="15"/>
        <v>DOM</v>
      </c>
      <c r="AD27" s="77">
        <f t="shared" si="16"/>
        <v>44591.317829734966</v>
      </c>
      <c r="AE27" s="76">
        <v>1</v>
      </c>
      <c r="AF27" s="76">
        <v>0.5</v>
      </c>
      <c r="AG27" s="6" t="str">
        <f t="shared" si="17"/>
        <v>DOM</v>
      </c>
      <c r="AH27" s="77">
        <f t="shared" si="5"/>
        <v>44591.380329734966</v>
      </c>
      <c r="AI27" s="82">
        <v>600</v>
      </c>
      <c r="AJ27" s="83">
        <v>14.585134668698924</v>
      </c>
      <c r="AK27" s="84">
        <v>2.5</v>
      </c>
      <c r="AL27" s="81">
        <f t="shared" si="6"/>
        <v>17.085134668698924</v>
      </c>
      <c r="AM27" s="81">
        <f t="shared" si="18"/>
        <v>35.118248210196377</v>
      </c>
      <c r="AN27" s="81">
        <f t="shared" si="19"/>
        <v>1.4632603420915158</v>
      </c>
      <c r="AO27" s="81">
        <f t="shared" si="20"/>
        <v>5.1182482101963771</v>
      </c>
      <c r="AP27" s="85">
        <f t="shared" si="21"/>
        <v>2.4243844922692008</v>
      </c>
      <c r="AQ27" s="81">
        <f t="shared" si="22"/>
        <v>85.140136356460715</v>
      </c>
      <c r="AR27" s="86">
        <f t="shared" si="7"/>
        <v>356839.33949719812</v>
      </c>
      <c r="AS27" s="86">
        <v>120000</v>
      </c>
      <c r="AT27" s="86">
        <v>30000</v>
      </c>
      <c r="AU27" s="86">
        <v>0</v>
      </c>
      <c r="AV27" s="86">
        <v>2000</v>
      </c>
      <c r="AW27" s="86">
        <v>2000</v>
      </c>
      <c r="AX27" s="86">
        <v>120000</v>
      </c>
      <c r="AY27" s="86">
        <v>30000</v>
      </c>
    </row>
    <row r="28" spans="2:51">
      <c r="B28" s="74" t="s">
        <v>154</v>
      </c>
      <c r="C28" s="74" t="s">
        <v>32</v>
      </c>
      <c r="D28" s="74"/>
      <c r="E28" s="74"/>
      <c r="F28" s="74" t="s">
        <v>155</v>
      </c>
      <c r="G28" s="74"/>
      <c r="H28" s="74"/>
      <c r="I28" s="80">
        <f t="shared" si="8"/>
        <v>19.801923410408047</v>
      </c>
      <c r="J28" s="84" t="str">
        <f t="shared" si="9"/>
        <v>SEG</v>
      </c>
      <c r="K28" s="88">
        <f t="shared" si="10"/>
        <v>44592.843590077056</v>
      </c>
      <c r="L28" s="76">
        <v>1</v>
      </c>
      <c r="M28" s="76">
        <v>0</v>
      </c>
      <c r="N28" s="77">
        <f t="shared" si="11"/>
        <v>44592.885256743721</v>
      </c>
      <c r="O28" s="78">
        <v>0</v>
      </c>
      <c r="P28" s="77">
        <f t="shared" si="12"/>
        <v>44592.885256743721</v>
      </c>
      <c r="Q28" s="80"/>
      <c r="R28" s="80"/>
      <c r="S28" s="80"/>
      <c r="T28" s="80"/>
      <c r="U28" s="80">
        <v>0</v>
      </c>
      <c r="V28" s="80" t="s">
        <v>259</v>
      </c>
      <c r="W28" s="80"/>
      <c r="X28" s="80" t="s">
        <v>259</v>
      </c>
      <c r="Y28" s="81">
        <f t="shared" si="13"/>
        <v>0</v>
      </c>
      <c r="Z28" s="6" t="str">
        <f t="shared" si="14"/>
        <v>SEG</v>
      </c>
      <c r="AA28" s="77">
        <f t="shared" si="4"/>
        <v>44592.885256743721</v>
      </c>
      <c r="AB28" s="78">
        <v>0</v>
      </c>
      <c r="AC28" s="6" t="str">
        <f t="shared" si="15"/>
        <v>SEG</v>
      </c>
      <c r="AD28" s="77">
        <f t="shared" si="16"/>
        <v>44592.885256743721</v>
      </c>
      <c r="AE28" s="76">
        <v>0</v>
      </c>
      <c r="AF28" s="76">
        <v>1</v>
      </c>
      <c r="AG28" s="6" t="str">
        <f t="shared" si="17"/>
        <v>SEG</v>
      </c>
      <c r="AH28" s="77">
        <f t="shared" si="5"/>
        <v>44592.926923410385</v>
      </c>
      <c r="AI28" s="82">
        <v>811</v>
      </c>
      <c r="AJ28" s="83">
        <v>15.740985431113844</v>
      </c>
      <c r="AK28" s="84">
        <v>0</v>
      </c>
      <c r="AL28" s="81">
        <f t="shared" si="6"/>
        <v>15.740985431113844</v>
      </c>
      <c r="AM28" s="81">
        <f t="shared" si="18"/>
        <v>51.521552036822705</v>
      </c>
      <c r="AN28" s="81">
        <f t="shared" si="19"/>
        <v>2.1467313348676127</v>
      </c>
      <c r="AO28" s="81">
        <f t="shared" si="20"/>
        <v>10.971552036822708</v>
      </c>
      <c r="AP28" s="85">
        <f t="shared" si="21"/>
        <v>2.648853707861516</v>
      </c>
      <c r="AQ28" s="81">
        <f t="shared" si="22"/>
        <v>136.47305414751787</v>
      </c>
      <c r="AR28" s="86">
        <f t="shared" si="7"/>
        <v>571985.86454307684</v>
      </c>
      <c r="AS28" s="86">
        <v>165000</v>
      </c>
      <c r="AT28" s="86" t="s">
        <v>259</v>
      </c>
      <c r="AU28" s="86" t="s">
        <v>259</v>
      </c>
      <c r="AV28" s="86" t="s">
        <v>259</v>
      </c>
      <c r="AW28" s="86" t="s">
        <v>259</v>
      </c>
      <c r="AX28" s="86">
        <v>165000</v>
      </c>
      <c r="AY28" s="86" t="s">
        <v>259</v>
      </c>
    </row>
    <row r="29" spans="2:51">
      <c r="B29" s="74" t="s">
        <v>150</v>
      </c>
      <c r="C29" s="74" t="s">
        <v>5</v>
      </c>
      <c r="D29" s="74" t="s">
        <v>157</v>
      </c>
      <c r="E29" s="74" t="s">
        <v>133</v>
      </c>
      <c r="F29" s="74" t="s">
        <v>151</v>
      </c>
      <c r="G29" s="74" t="s">
        <v>162</v>
      </c>
      <c r="H29" s="74" t="s">
        <v>153</v>
      </c>
      <c r="I29" s="80">
        <f t="shared" si="8"/>
        <v>22.031988078608993</v>
      </c>
      <c r="J29" s="84" t="str">
        <f t="shared" si="9"/>
        <v>QUI</v>
      </c>
      <c r="K29" s="88">
        <f t="shared" si="10"/>
        <v>44595.073654745254</v>
      </c>
      <c r="L29" s="76">
        <v>1</v>
      </c>
      <c r="M29" s="76">
        <v>1</v>
      </c>
      <c r="N29" s="77">
        <f t="shared" si="11"/>
        <v>44595.15698807859</v>
      </c>
      <c r="O29" s="78">
        <v>1</v>
      </c>
      <c r="P29" s="77">
        <f t="shared" si="12"/>
        <v>44595.198654745254</v>
      </c>
      <c r="Q29" s="79">
        <v>156</v>
      </c>
      <c r="R29" s="79">
        <v>175</v>
      </c>
      <c r="S29" s="79">
        <v>0</v>
      </c>
      <c r="T29" s="79">
        <v>27</v>
      </c>
      <c r="U29" s="80">
        <v>358</v>
      </c>
      <c r="V29" s="80">
        <v>2</v>
      </c>
      <c r="W29" s="80">
        <v>2</v>
      </c>
      <c r="X29" s="80">
        <v>60</v>
      </c>
      <c r="Y29" s="81">
        <f t="shared" si="13"/>
        <v>5.9666666666666668</v>
      </c>
      <c r="Z29" s="6" t="str">
        <f t="shared" si="14"/>
        <v>QUI</v>
      </c>
      <c r="AA29" s="77">
        <f t="shared" si="4"/>
        <v>44595.447265856368</v>
      </c>
      <c r="AB29" s="78">
        <v>1</v>
      </c>
      <c r="AC29" s="6" t="str">
        <f t="shared" si="15"/>
        <v>QUI</v>
      </c>
      <c r="AD29" s="77">
        <f t="shared" si="16"/>
        <v>44595.488932523032</v>
      </c>
      <c r="AE29" s="76">
        <v>1</v>
      </c>
      <c r="AF29" s="76">
        <v>1</v>
      </c>
      <c r="AG29" s="6" t="str">
        <f t="shared" si="17"/>
        <v>QUI</v>
      </c>
      <c r="AH29" s="77">
        <f t="shared" si="5"/>
        <v>44595.572265856368</v>
      </c>
      <c r="AI29" s="82">
        <v>431</v>
      </c>
      <c r="AJ29" s="83">
        <v>15.741113465339456</v>
      </c>
      <c r="AK29" s="84">
        <v>0</v>
      </c>
      <c r="AL29" s="81">
        <f t="shared" si="6"/>
        <v>15.741113465339456</v>
      </c>
      <c r="AM29" s="81">
        <f>IFERROR(AI29/AL29,"-")</f>
        <v>27.380528127760719</v>
      </c>
      <c r="AN29" s="81">
        <f t="shared" si="19"/>
        <v>1.1408553386566966</v>
      </c>
      <c r="AO29" s="81">
        <f t="shared" si="20"/>
        <v>5.8305281277607186</v>
      </c>
      <c r="AP29" s="85">
        <f t="shared" si="21"/>
        <v>2.6488804911879669</v>
      </c>
      <c r="AQ29" s="81">
        <f t="shared" si="22"/>
        <v>72.52774679604876</v>
      </c>
      <c r="AR29" s="86">
        <f t="shared" si="7"/>
        <v>303978.29237159953</v>
      </c>
      <c r="AS29" s="86">
        <v>15000</v>
      </c>
      <c r="AT29" s="86">
        <v>43000</v>
      </c>
      <c r="AU29" s="86">
        <v>0</v>
      </c>
      <c r="AV29" s="86">
        <v>2000</v>
      </c>
      <c r="AW29" s="86">
        <v>2000</v>
      </c>
      <c r="AX29" s="86">
        <v>15000</v>
      </c>
      <c r="AY29" s="86">
        <v>43000</v>
      </c>
    </row>
    <row r="30" spans="2:51">
      <c r="B30" s="74" t="s">
        <v>146</v>
      </c>
      <c r="C30" s="74" t="s">
        <v>6</v>
      </c>
      <c r="D30" s="74" t="s">
        <v>157</v>
      </c>
      <c r="E30" s="74" t="s">
        <v>133</v>
      </c>
      <c r="F30" s="74" t="s">
        <v>147</v>
      </c>
      <c r="G30" s="74" t="s">
        <v>148</v>
      </c>
      <c r="H30" s="74" t="s">
        <v>149</v>
      </c>
      <c r="I30" s="80">
        <f t="shared" si="8"/>
        <v>23.629787861710135</v>
      </c>
      <c r="J30" s="84" t="str">
        <f t="shared" si="9"/>
        <v>SEX</v>
      </c>
      <c r="K30" s="88">
        <f t="shared" si="10"/>
        <v>44596.713121195025</v>
      </c>
      <c r="L30" s="76">
        <v>0.5</v>
      </c>
      <c r="M30" s="76">
        <v>1</v>
      </c>
      <c r="N30" s="77">
        <f t="shared" si="11"/>
        <v>44596.775621195025</v>
      </c>
      <c r="O30" s="78">
        <v>1</v>
      </c>
      <c r="P30" s="77">
        <f t="shared" si="12"/>
        <v>44596.81728786169</v>
      </c>
      <c r="Q30" s="79">
        <v>88</v>
      </c>
      <c r="R30" s="79">
        <v>156</v>
      </c>
      <c r="S30" s="79">
        <v>35</v>
      </c>
      <c r="T30" s="79">
        <v>21</v>
      </c>
      <c r="U30" s="80">
        <v>300</v>
      </c>
      <c r="V30" s="80">
        <v>6</v>
      </c>
      <c r="W30" s="80">
        <v>2</v>
      </c>
      <c r="X30" s="80">
        <v>20</v>
      </c>
      <c r="Y30" s="81">
        <f t="shared" si="13"/>
        <v>15</v>
      </c>
      <c r="Z30" s="6" t="str">
        <f t="shared" si="14"/>
        <v>SÁB</v>
      </c>
      <c r="AA30" s="77">
        <f t="shared" si="4"/>
        <v>44597.44228786169</v>
      </c>
      <c r="AB30" s="78">
        <v>1</v>
      </c>
      <c r="AC30" s="6" t="str">
        <f t="shared" si="15"/>
        <v>SÁB</v>
      </c>
      <c r="AD30" s="77">
        <f t="shared" si="16"/>
        <v>44597.483954528354</v>
      </c>
      <c r="AE30" s="76">
        <v>1</v>
      </c>
      <c r="AF30" s="76">
        <v>0.5</v>
      </c>
      <c r="AG30" s="6" t="str">
        <f t="shared" si="17"/>
        <v>SÁB</v>
      </c>
      <c r="AH30" s="77">
        <f t="shared" si="5"/>
        <v>44597.546454528354</v>
      </c>
      <c r="AI30" s="82">
        <v>1226</v>
      </c>
      <c r="AJ30" s="83">
        <v>15.74113713331371</v>
      </c>
      <c r="AK30" s="84">
        <v>0</v>
      </c>
      <c r="AL30" s="81">
        <f>IFERROR(AJ30+AK30,"-")</f>
        <v>15.74113713331371</v>
      </c>
      <c r="AM30" s="81">
        <f>IFERROR(AI30/AL30,"-")</f>
        <v>77.885097475287125</v>
      </c>
      <c r="AN30" s="81">
        <f>IFERROR(AM30/24,"-")</f>
        <v>3.2452123948036302</v>
      </c>
      <c r="AO30" s="81">
        <f t="shared" si="20"/>
        <v>16.585097475287128</v>
      </c>
      <c r="AP30" s="85">
        <f t="shared" si="21"/>
        <v>2.6488854423108954</v>
      </c>
      <c r="AQ30" s="81">
        <f>AP30*AM30</f>
        <v>206.30870087525315</v>
      </c>
      <c r="AR30" s="86">
        <f t="shared" si="7"/>
        <v>864681.02710836101</v>
      </c>
      <c r="AS30" s="86">
        <v>9000</v>
      </c>
      <c r="AT30" s="86">
        <v>15000</v>
      </c>
      <c r="AU30" s="86">
        <v>0</v>
      </c>
      <c r="AV30" s="86">
        <v>2000</v>
      </c>
      <c r="AW30" s="86">
        <v>2000</v>
      </c>
      <c r="AX30" s="86">
        <v>9000</v>
      </c>
      <c r="AY30" s="86">
        <v>15000</v>
      </c>
    </row>
    <row r="31" spans="2:51">
      <c r="B31" s="74" t="s">
        <v>132</v>
      </c>
      <c r="C31" s="74" t="s">
        <v>9</v>
      </c>
      <c r="D31" s="74"/>
      <c r="E31" s="74"/>
      <c r="F31" s="74" t="s">
        <v>135</v>
      </c>
      <c r="G31" s="74" t="s">
        <v>136</v>
      </c>
      <c r="H31" s="74" t="s">
        <v>137</v>
      </c>
      <c r="I31" s="80">
        <f t="shared" si="8"/>
        <v>27.666666923180433</v>
      </c>
      <c r="J31" s="84" t="str">
        <f t="shared" si="9"/>
        <v>TER</v>
      </c>
      <c r="K31" s="88">
        <f t="shared" si="10"/>
        <v>44600.791666923156</v>
      </c>
      <c r="L31" s="89"/>
      <c r="M31" s="89"/>
      <c r="N31" s="90"/>
      <c r="O31" s="89"/>
      <c r="P31" s="90"/>
      <c r="Q31" s="79"/>
      <c r="R31" s="79"/>
      <c r="S31" s="79"/>
      <c r="T31" s="79"/>
      <c r="U31" s="80"/>
      <c r="V31" s="80"/>
      <c r="W31" s="80"/>
      <c r="X31" s="80"/>
      <c r="Y31" s="81"/>
      <c r="Z31" s="6"/>
      <c r="AA31" s="77"/>
      <c r="AB31" s="78"/>
      <c r="AC31" s="78"/>
      <c r="AD31" s="78"/>
      <c r="AE31" s="76"/>
      <c r="AF31" s="76"/>
      <c r="AG31" s="6"/>
      <c r="AH31" s="77"/>
      <c r="AI31" s="87"/>
      <c r="AJ31" s="91"/>
      <c r="AK31" s="6"/>
      <c r="AL31" s="81"/>
      <c r="AM31" s="6"/>
      <c r="AN31" s="81"/>
      <c r="AO31" s="81"/>
      <c r="AP31" s="85"/>
      <c r="AQ31" s="81"/>
      <c r="AR31" s="92"/>
      <c r="AS31" s="92"/>
      <c r="AT31" s="92"/>
      <c r="AU31" s="92"/>
      <c r="AV31" s="92"/>
      <c r="AW31" s="92"/>
      <c r="AX31" s="92"/>
      <c r="AY31" s="92"/>
    </row>
    <row r="32" spans="2:51">
      <c r="B32" s="74"/>
      <c r="C32" s="74"/>
      <c r="D32" s="74"/>
      <c r="E32" s="74"/>
      <c r="F32" s="74"/>
      <c r="G32" s="74"/>
      <c r="H32" s="74"/>
      <c r="I32" s="80"/>
      <c r="J32" s="84"/>
      <c r="K32" s="88"/>
      <c r="L32" s="88"/>
      <c r="M32" s="88"/>
      <c r="N32" s="88"/>
      <c r="O32" s="88"/>
      <c r="P32" s="88"/>
      <c r="Q32" s="88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6"/>
      <c r="AF32" s="6"/>
      <c r="AG32" s="77"/>
      <c r="AH32" s="87"/>
      <c r="AI32" s="91"/>
      <c r="AJ32" s="6"/>
      <c r="AK32" s="81"/>
      <c r="AL32" s="6"/>
      <c r="AM32" s="81"/>
      <c r="AN32" s="81"/>
      <c r="AO32" s="85"/>
      <c r="AP32" s="81"/>
      <c r="AQ32" s="92"/>
      <c r="AR32" s="92"/>
      <c r="AS32" s="92"/>
      <c r="AT32" s="92"/>
      <c r="AU32" s="92"/>
      <c r="AV32" s="92"/>
      <c r="AW32" s="92"/>
      <c r="AX32" s="92"/>
      <c r="AY32" s="92"/>
    </row>
    <row r="33" spans="2:51">
      <c r="B33" s="74"/>
      <c r="C33" s="74"/>
      <c r="D33" s="74"/>
      <c r="E33" s="74"/>
      <c r="F33" s="74"/>
      <c r="G33" s="74"/>
      <c r="H33" s="74"/>
      <c r="I33" s="80"/>
      <c r="J33" s="84"/>
      <c r="K33" s="88"/>
      <c r="L33" s="88"/>
      <c r="M33" s="88"/>
      <c r="N33" s="88"/>
      <c r="O33" s="88"/>
      <c r="P33" s="88"/>
      <c r="Q33" s="88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6"/>
      <c r="AF33" s="6"/>
      <c r="AG33" s="77"/>
      <c r="AH33" s="87"/>
      <c r="AI33" s="91"/>
      <c r="AJ33" s="6"/>
      <c r="AK33" s="81"/>
      <c r="AL33" s="6"/>
      <c r="AM33" s="81"/>
      <c r="AN33" s="81"/>
      <c r="AO33" s="85"/>
      <c r="AP33" s="81"/>
      <c r="AQ33" s="92"/>
      <c r="AR33" s="92"/>
      <c r="AS33" s="92"/>
      <c r="AT33" s="92"/>
      <c r="AU33" s="92"/>
      <c r="AV33" s="92"/>
      <c r="AW33" s="92"/>
      <c r="AX33" s="92"/>
      <c r="AY33" s="92"/>
    </row>
    <row r="34" spans="2:51">
      <c r="B34" s="74"/>
      <c r="C34" s="74"/>
      <c r="D34" s="74"/>
      <c r="E34" s="74"/>
      <c r="F34" s="74"/>
      <c r="G34" s="74"/>
      <c r="H34" s="74"/>
      <c r="I34" s="80"/>
      <c r="J34" s="84"/>
      <c r="K34" s="88"/>
      <c r="L34" s="88"/>
      <c r="M34" s="88"/>
      <c r="N34" s="88"/>
      <c r="O34" s="88"/>
      <c r="P34" s="88"/>
      <c r="Q34" s="88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6"/>
      <c r="AF34" s="6"/>
      <c r="AG34" s="77"/>
      <c r="AH34" s="87"/>
      <c r="AI34" s="91"/>
      <c r="AJ34" s="6"/>
      <c r="AK34" s="81"/>
      <c r="AL34" s="6"/>
      <c r="AM34" s="81"/>
      <c r="AN34" s="81"/>
      <c r="AO34" s="85"/>
      <c r="AP34" s="81"/>
      <c r="AQ34" s="92"/>
      <c r="AR34" s="92"/>
      <c r="AS34" s="92"/>
      <c r="AT34" s="92"/>
      <c r="AU34" s="92"/>
      <c r="AV34" s="92"/>
      <c r="AW34" s="92"/>
      <c r="AX34" s="92"/>
      <c r="AY34" s="92"/>
    </row>
    <row r="35" spans="2:51">
      <c r="B35" s="74"/>
      <c r="C35" s="74" t="s">
        <v>259</v>
      </c>
      <c r="D35" s="74"/>
      <c r="E35" s="74"/>
      <c r="F35" s="74"/>
      <c r="G35" s="74"/>
      <c r="H35" s="74"/>
      <c r="I35" s="87"/>
      <c r="J35" s="6"/>
      <c r="K35" s="77"/>
      <c r="L35" s="6"/>
      <c r="M35" s="6"/>
      <c r="N35" s="77"/>
      <c r="O35" s="77"/>
      <c r="P35" s="77"/>
      <c r="Q35" s="87"/>
      <c r="R35" s="87"/>
      <c r="S35" s="87"/>
      <c r="T35" s="87"/>
      <c r="U35" s="6"/>
      <c r="V35" s="6"/>
      <c r="W35" s="6"/>
      <c r="X35" s="6"/>
      <c r="Y35" s="81"/>
      <c r="Z35" s="77"/>
      <c r="AA35" s="6"/>
      <c r="AB35" s="6"/>
      <c r="AC35" s="6"/>
      <c r="AD35" s="6"/>
      <c r="AE35" s="6"/>
      <c r="AF35" s="6"/>
      <c r="AG35" s="77"/>
      <c r="AH35" s="87"/>
      <c r="AI35" s="91"/>
      <c r="AJ35" s="6"/>
      <c r="AK35" s="81"/>
      <c r="AL35" s="6"/>
      <c r="AM35" s="81"/>
      <c r="AN35" s="81"/>
      <c r="AO35" s="85"/>
      <c r="AP35" s="81"/>
      <c r="AQ35" s="92"/>
      <c r="AR35" s="92"/>
      <c r="AS35" s="92"/>
      <c r="AT35" s="92"/>
      <c r="AU35" s="92"/>
      <c r="AV35" s="92"/>
      <c r="AW35" s="92"/>
      <c r="AX35" s="92"/>
      <c r="AY35" s="92"/>
    </row>
    <row r="36" spans="2:51">
      <c r="B36" s="74"/>
      <c r="C36" s="74" t="s">
        <v>259</v>
      </c>
      <c r="D36" s="74"/>
      <c r="E36" s="74"/>
      <c r="F36" s="74"/>
      <c r="G36" s="74"/>
      <c r="H36" s="74"/>
      <c r="I36" s="87"/>
      <c r="J36" s="6"/>
      <c r="K36" s="77"/>
      <c r="L36" s="6"/>
      <c r="M36" s="6"/>
      <c r="N36" s="77"/>
      <c r="O36" s="77"/>
      <c r="P36" s="77"/>
      <c r="Q36" s="87"/>
      <c r="R36" s="87"/>
      <c r="S36" s="87"/>
      <c r="T36" s="87"/>
      <c r="U36" s="6"/>
      <c r="V36" s="6"/>
      <c r="W36" s="6"/>
      <c r="X36" s="6"/>
      <c r="Y36" s="81"/>
      <c r="Z36" s="77"/>
      <c r="AA36" s="6"/>
      <c r="AB36" s="6"/>
      <c r="AC36" s="6"/>
      <c r="AD36" s="6"/>
      <c r="AE36" s="6"/>
      <c r="AF36" s="6"/>
      <c r="AG36" s="77"/>
      <c r="AH36" s="87"/>
      <c r="AI36" s="91"/>
      <c r="AJ36" s="6"/>
      <c r="AK36" s="81"/>
      <c r="AL36" s="6"/>
      <c r="AM36" s="81"/>
      <c r="AN36" s="81"/>
      <c r="AO36" s="85"/>
      <c r="AP36" s="81"/>
      <c r="AQ36" s="92"/>
      <c r="AR36" s="92"/>
      <c r="AS36" s="92"/>
      <c r="AT36" s="92"/>
      <c r="AU36" s="92"/>
      <c r="AV36" s="92"/>
      <c r="AW36" s="92"/>
      <c r="AX36" s="92"/>
      <c r="AY36" s="92"/>
    </row>
    <row r="37" spans="2:51">
      <c r="B37" s="74"/>
      <c r="C37" s="74" t="s">
        <v>259</v>
      </c>
      <c r="D37" s="74"/>
      <c r="E37" s="74"/>
      <c r="F37" s="74"/>
      <c r="G37" s="74"/>
      <c r="H37" s="74"/>
      <c r="I37" s="87"/>
      <c r="J37" s="6"/>
      <c r="K37" s="77"/>
      <c r="L37" s="6"/>
      <c r="M37" s="6"/>
      <c r="N37" s="77"/>
      <c r="O37" s="77"/>
      <c r="P37" s="77"/>
      <c r="Q37" s="87"/>
      <c r="R37" s="87"/>
      <c r="S37" s="87"/>
      <c r="T37" s="87"/>
      <c r="U37" s="6"/>
      <c r="V37" s="6"/>
      <c r="W37" s="6"/>
      <c r="X37" s="6"/>
      <c r="Y37" s="81"/>
      <c r="Z37" s="77"/>
      <c r="AA37" s="6"/>
      <c r="AB37" s="6"/>
      <c r="AC37" s="6"/>
      <c r="AD37" s="6"/>
      <c r="AE37" s="6"/>
      <c r="AF37" s="6"/>
      <c r="AG37" s="77"/>
      <c r="AH37" s="87"/>
      <c r="AI37" s="91"/>
      <c r="AJ37" s="6"/>
      <c r="AK37" s="81"/>
      <c r="AL37" s="6"/>
      <c r="AM37" s="81"/>
      <c r="AN37" s="81"/>
      <c r="AO37" s="85"/>
      <c r="AP37" s="81"/>
      <c r="AQ37" s="92"/>
      <c r="AR37" s="92"/>
      <c r="AS37" s="92"/>
      <c r="AT37" s="92"/>
      <c r="AU37" s="92"/>
      <c r="AV37" s="92"/>
      <c r="AW37" s="92"/>
      <c r="AX37" s="92"/>
      <c r="AY37" s="92"/>
    </row>
    <row r="38" spans="2:51">
      <c r="B38" s="74"/>
      <c r="C38" s="74" t="s">
        <v>259</v>
      </c>
      <c r="D38" s="74"/>
      <c r="E38" s="74"/>
      <c r="F38" s="74"/>
      <c r="G38" s="74"/>
      <c r="H38" s="74"/>
      <c r="I38" s="87"/>
      <c r="J38" s="6"/>
      <c r="K38" s="77"/>
      <c r="L38" s="6"/>
      <c r="M38" s="6"/>
      <c r="N38" s="77"/>
      <c r="O38" s="77"/>
      <c r="P38" s="77"/>
      <c r="Q38" s="87"/>
      <c r="R38" s="87"/>
      <c r="S38" s="87"/>
      <c r="T38" s="87"/>
      <c r="U38" s="6"/>
      <c r="V38" s="6"/>
      <c r="W38" s="6"/>
      <c r="X38" s="6"/>
      <c r="Y38" s="81"/>
      <c r="Z38" s="77"/>
      <c r="AA38" s="6"/>
      <c r="AB38" s="6"/>
      <c r="AC38" s="6"/>
      <c r="AD38" s="6"/>
      <c r="AE38" s="6"/>
      <c r="AF38" s="6"/>
      <c r="AG38" s="77"/>
      <c r="AH38" s="87"/>
      <c r="AI38" s="91"/>
      <c r="AJ38" s="6"/>
      <c r="AK38" s="81"/>
      <c r="AL38" s="6"/>
      <c r="AM38" s="81"/>
      <c r="AN38" s="81"/>
      <c r="AO38" s="85"/>
      <c r="AP38" s="81"/>
      <c r="AQ38" s="92"/>
      <c r="AR38" s="92"/>
      <c r="AS38" s="92"/>
      <c r="AT38" s="92"/>
      <c r="AU38" s="92"/>
      <c r="AV38" s="92"/>
      <c r="AW38" s="92"/>
      <c r="AX38" s="92"/>
      <c r="AY38" s="92"/>
    </row>
    <row r="39" spans="2:51">
      <c r="B39" s="74"/>
      <c r="C39" s="74" t="s">
        <v>259</v>
      </c>
      <c r="D39" s="74"/>
      <c r="E39" s="74"/>
      <c r="F39" s="74"/>
      <c r="G39" s="74"/>
      <c r="H39" s="74"/>
      <c r="I39" s="87"/>
      <c r="J39" s="6"/>
      <c r="K39" s="77"/>
      <c r="L39" s="6"/>
      <c r="M39" s="6"/>
      <c r="N39" s="77"/>
      <c r="O39" s="77"/>
      <c r="P39" s="77"/>
      <c r="Q39" s="87"/>
      <c r="R39" s="87"/>
      <c r="S39" s="87"/>
      <c r="T39" s="87"/>
      <c r="U39" s="6"/>
      <c r="V39" s="6"/>
      <c r="W39" s="6"/>
      <c r="X39" s="6"/>
      <c r="Y39" s="81"/>
      <c r="Z39" s="77"/>
      <c r="AA39" s="6"/>
      <c r="AB39" s="6"/>
      <c r="AC39" s="6"/>
      <c r="AD39" s="6"/>
      <c r="AE39" s="6"/>
      <c r="AF39" s="6"/>
      <c r="AG39" s="77"/>
      <c r="AH39" s="87"/>
      <c r="AI39" s="91"/>
      <c r="AJ39" s="6"/>
      <c r="AK39" s="81"/>
      <c r="AL39" s="6"/>
      <c r="AM39" s="81"/>
      <c r="AN39" s="81"/>
      <c r="AO39" s="85"/>
      <c r="AP39" s="81"/>
      <c r="AQ39" s="92"/>
      <c r="AR39" s="92"/>
      <c r="AS39" s="92"/>
      <c r="AT39" s="92"/>
      <c r="AU39" s="92"/>
      <c r="AV39" s="92"/>
      <c r="AW39" s="92"/>
      <c r="AX39" s="92"/>
      <c r="AY39" s="92"/>
    </row>
    <row r="40" spans="2:51">
      <c r="B40" s="74"/>
      <c r="C40" s="74" t="s">
        <v>259</v>
      </c>
      <c r="D40" s="74"/>
      <c r="E40" s="74"/>
      <c r="F40" s="74"/>
      <c r="G40" s="74"/>
      <c r="H40" s="74"/>
      <c r="I40" s="87"/>
      <c r="J40" s="6"/>
      <c r="K40" s="77"/>
      <c r="L40" s="6"/>
      <c r="M40" s="6"/>
      <c r="N40" s="77"/>
      <c r="O40" s="77"/>
      <c r="P40" s="77"/>
      <c r="Q40" s="6"/>
      <c r="R40" s="6"/>
      <c r="S40" s="6"/>
      <c r="T40" s="6"/>
      <c r="U40" s="6"/>
      <c r="V40" s="6"/>
      <c r="W40" s="6"/>
      <c r="X40" s="6"/>
      <c r="Y40" s="81"/>
      <c r="Z40" s="77"/>
      <c r="AA40" s="6"/>
      <c r="AB40" s="6"/>
      <c r="AC40" s="6"/>
      <c r="AD40" s="6"/>
      <c r="AE40" s="6"/>
      <c r="AF40" s="6"/>
      <c r="AG40" s="77"/>
      <c r="AH40" s="87"/>
      <c r="AI40" s="87"/>
      <c r="AJ40" s="6"/>
      <c r="AK40" s="81"/>
      <c r="AL40" s="6"/>
      <c r="AM40" s="81"/>
      <c r="AN40" s="81"/>
      <c r="AO40" s="85"/>
      <c r="AP40" s="81"/>
      <c r="AQ40" s="92"/>
      <c r="AR40" s="92"/>
      <c r="AS40" s="92"/>
      <c r="AT40" s="92"/>
      <c r="AU40" s="92"/>
      <c r="AV40" s="92"/>
      <c r="AW40" s="92"/>
      <c r="AX40" s="92"/>
      <c r="AY40" s="92"/>
    </row>
    <row r="41" spans="2:51">
      <c r="K41" s="93"/>
      <c r="W41" s="94"/>
      <c r="X41" s="95"/>
      <c r="Y41" s="96"/>
      <c r="Z41" s="94"/>
    </row>
    <row r="42" spans="2:51">
      <c r="K42" s="97"/>
      <c r="L42" s="97"/>
      <c r="M42" s="97"/>
      <c r="N42" s="97"/>
      <c r="O42" s="97"/>
    </row>
    <row r="49" spans="2:28">
      <c r="B49" s="98" t="s">
        <v>163</v>
      </c>
      <c r="C49" s="98" t="s">
        <v>98</v>
      </c>
      <c r="D49" s="98" t="str">
        <f>B50</f>
        <v>BRSSZ</v>
      </c>
      <c r="E49" s="98" t="str">
        <f>B51</f>
        <v>BRIGI</v>
      </c>
      <c r="F49" s="98" t="str">
        <f>B52</f>
        <v>BRSSA</v>
      </c>
      <c r="G49" s="98" t="str">
        <f>B53</f>
        <v>BRSUA</v>
      </c>
      <c r="H49" s="98" t="str">
        <f>B54</f>
        <v>BRPEC</v>
      </c>
      <c r="I49" s="98" t="str">
        <f>B55</f>
        <v>BRMCP</v>
      </c>
      <c r="J49" s="98" t="str">
        <f>B56</f>
        <v>BRMAO</v>
      </c>
      <c r="L49" s="46" t="s">
        <v>164</v>
      </c>
      <c r="M49" s="98" t="s">
        <v>165</v>
      </c>
      <c r="N49" s="98" t="s">
        <v>166</v>
      </c>
      <c r="O49" s="98" t="s">
        <v>167</v>
      </c>
      <c r="P49" s="98" t="s">
        <v>168</v>
      </c>
      <c r="Q49" s="98" t="s">
        <v>169</v>
      </c>
      <c r="R49" s="98" t="s">
        <v>170</v>
      </c>
      <c r="S49" s="98" t="s">
        <v>171</v>
      </c>
      <c r="T49" s="98" t="s">
        <v>172</v>
      </c>
      <c r="U49" s="98" t="s">
        <v>173</v>
      </c>
      <c r="V49" s="98" t="s">
        <v>174</v>
      </c>
      <c r="W49" s="98" t="s">
        <v>175</v>
      </c>
      <c r="X49" s="98" t="s">
        <v>176</v>
      </c>
      <c r="Y49" s="98" t="s">
        <v>177</v>
      </c>
      <c r="Z49" s="98" t="s">
        <v>178</v>
      </c>
      <c r="AA49" s="98" t="s">
        <v>179</v>
      </c>
      <c r="AB49" s="98" t="s">
        <v>180</v>
      </c>
    </row>
    <row r="50" spans="2:28">
      <c r="B50" s="6" t="str">
        <f>C21</f>
        <v>BRSSZ</v>
      </c>
      <c r="C50" s="99"/>
      <c r="D50" s="100"/>
      <c r="E50" s="101">
        <f>K22-AH21</f>
        <v>0.37587637299293419</v>
      </c>
      <c r="F50" s="101">
        <f>K23-AH21</f>
        <v>3.7317787024803692</v>
      </c>
      <c r="G50" s="101">
        <f>K24-AH21</f>
        <v>5.3591836618652451</v>
      </c>
      <c r="H50" s="101">
        <f>K25-AH21</f>
        <v>8.7247242737576016</v>
      </c>
      <c r="I50" s="101">
        <f>K26-AH21</f>
        <v>11.639511163382849</v>
      </c>
      <c r="J50" s="101">
        <f>K27-AH21</f>
        <v>13.509033438676852</v>
      </c>
      <c r="L50" s="6" t="s">
        <v>12</v>
      </c>
      <c r="M50" s="6" t="str">
        <f>$J$2</f>
        <v>SHIP13</v>
      </c>
      <c r="N50" s="6">
        <v>1</v>
      </c>
      <c r="O50" s="74" t="str">
        <f t="shared" ref="O50:P59" si="23">D21</f>
        <v>N</v>
      </c>
      <c r="P50" s="74" t="str">
        <f t="shared" si="23"/>
        <v>B</v>
      </c>
      <c r="Q50" s="74" t="str">
        <f t="shared" ref="Q50:Q59" si="24">C21</f>
        <v>BRSSZ</v>
      </c>
      <c r="R50" s="74" t="str">
        <f t="shared" ref="R50:T59" si="25">F21</f>
        <v>ZP1601</v>
      </c>
      <c r="S50" s="74" t="str">
        <f t="shared" si="25"/>
        <v>BRSSZTB01</v>
      </c>
      <c r="T50" s="74" t="str">
        <f t="shared" si="25"/>
        <v>BRSSZTCO</v>
      </c>
      <c r="U50" s="6">
        <f>WEEKNUM(X50)</f>
        <v>3</v>
      </c>
      <c r="V50" s="102">
        <f>X50-7</f>
        <v>44565.791666666664</v>
      </c>
      <c r="W50" s="102">
        <f>X50-1</f>
        <v>44571.791666666664</v>
      </c>
      <c r="X50" s="102">
        <f t="shared" ref="X50:X59" si="26">K21</f>
        <v>44572.791666666664</v>
      </c>
      <c r="Y50" s="102">
        <f t="shared" ref="Y50:Y59" si="27">N21</f>
        <v>44572.895833333328</v>
      </c>
      <c r="Z50" s="102">
        <f t="shared" ref="Z50:Z59" si="28">AH21</f>
        <v>44574.718518518515</v>
      </c>
      <c r="AA50" s="74" t="str">
        <f t="shared" ref="AA50:AA59" si="29">C22</f>
        <v>BRIGI</v>
      </c>
      <c r="AB50" s="74" t="str">
        <f t="shared" ref="AB50:AB59" si="30">H22</f>
        <v>BRIGITCO</v>
      </c>
    </row>
    <row r="51" spans="2:28">
      <c r="B51" s="6" t="str">
        <f t="shared" ref="B51:C59" si="31">C22</f>
        <v>BRIGI</v>
      </c>
      <c r="C51" s="74" t="str">
        <f t="shared" si="31"/>
        <v>N</v>
      </c>
      <c r="D51" s="103"/>
      <c r="E51" s="100"/>
      <c r="F51" s="101">
        <f>K23-AH22</f>
        <v>2.0170134405998397</v>
      </c>
      <c r="G51" s="101">
        <f>K24-AH22</f>
        <v>3.6444183999847155</v>
      </c>
      <c r="H51" s="101">
        <f>K25-AH22</f>
        <v>7.009959011877072</v>
      </c>
      <c r="I51" s="103"/>
      <c r="J51" s="101">
        <f>K27-AH22</f>
        <v>11.794268176796322</v>
      </c>
      <c r="L51" s="6" t="s">
        <v>12</v>
      </c>
      <c r="M51" s="6" t="str">
        <f t="shared" ref="M51:M59" si="32">$J$2</f>
        <v>SHIP13</v>
      </c>
      <c r="N51" s="6">
        <v>1</v>
      </c>
      <c r="O51" s="74" t="str">
        <f t="shared" si="23"/>
        <v>N</v>
      </c>
      <c r="P51" s="74" t="str">
        <f t="shared" si="23"/>
        <v>N</v>
      </c>
      <c r="Q51" s="74" t="str">
        <f t="shared" si="24"/>
        <v>BRIGI</v>
      </c>
      <c r="R51" s="74" t="str">
        <f t="shared" si="25"/>
        <v>ZP15A03</v>
      </c>
      <c r="S51" s="74" t="str">
        <f t="shared" si="25"/>
        <v>BRIGITB01</v>
      </c>
      <c r="T51" s="74" t="str">
        <f t="shared" si="25"/>
        <v>BRIGITCO</v>
      </c>
      <c r="U51" s="6">
        <f t="shared" ref="U51:U114" si="33">WEEKNUM(X51)</f>
        <v>3</v>
      </c>
      <c r="V51" s="102">
        <f t="shared" ref="V51:V114" si="34">X51-7</f>
        <v>44568.094394891508</v>
      </c>
      <c r="W51" s="102">
        <f>X51-1</f>
        <v>44574.094394891508</v>
      </c>
      <c r="X51" s="102">
        <f t="shared" si="26"/>
        <v>44575.094394891508</v>
      </c>
      <c r="Y51" s="102">
        <f t="shared" si="27"/>
        <v>44575.240228224844</v>
      </c>
      <c r="Z51" s="102">
        <f t="shared" si="28"/>
        <v>44576.433283780396</v>
      </c>
      <c r="AA51" s="74" t="str">
        <f t="shared" si="29"/>
        <v>BRSSA</v>
      </c>
      <c r="AB51" s="74" t="str">
        <f t="shared" si="30"/>
        <v>BRSSATCO</v>
      </c>
    </row>
    <row r="52" spans="2:28">
      <c r="B52" s="6" t="str">
        <f t="shared" si="31"/>
        <v>BRSSA</v>
      </c>
      <c r="C52" s="74" t="str">
        <f t="shared" si="31"/>
        <v>N</v>
      </c>
      <c r="D52" s="103"/>
      <c r="E52" s="103"/>
      <c r="F52" s="103"/>
      <c r="G52" s="101">
        <f>K24-AH23</f>
        <v>0.96351607049291488</v>
      </c>
      <c r="H52" s="101">
        <f>K25-AH23</f>
        <v>4.3290566823852714</v>
      </c>
      <c r="I52" s="103"/>
      <c r="J52" s="101">
        <f>K27-AH23</f>
        <v>9.1133658473045216</v>
      </c>
      <c r="L52" s="6" t="s">
        <v>12</v>
      </c>
      <c r="M52" s="6" t="str">
        <f t="shared" si="32"/>
        <v>SHIP13</v>
      </c>
      <c r="N52" s="6">
        <v>1</v>
      </c>
      <c r="O52" s="74" t="str">
        <f t="shared" si="23"/>
        <v>N</v>
      </c>
      <c r="P52" s="74" t="str">
        <f t="shared" si="23"/>
        <v>N</v>
      </c>
      <c r="Q52" s="74" t="str">
        <f t="shared" si="24"/>
        <v>BRSSA</v>
      </c>
      <c r="R52" s="74" t="str">
        <f t="shared" si="25"/>
        <v>ZP1202</v>
      </c>
      <c r="S52" s="74" t="str">
        <f t="shared" si="25"/>
        <v>BRSSATB01</v>
      </c>
      <c r="T52" s="74" t="str">
        <f t="shared" si="25"/>
        <v>BRSSATCO</v>
      </c>
      <c r="U52" s="6">
        <f t="shared" si="33"/>
        <v>4</v>
      </c>
      <c r="V52" s="102">
        <f t="shared" si="34"/>
        <v>44571.450297220996</v>
      </c>
      <c r="W52" s="102">
        <f t="shared" ref="W52:W59" si="35">X52-1</f>
        <v>44577.450297220996</v>
      </c>
      <c r="X52" s="102">
        <f t="shared" si="26"/>
        <v>44578.450297220996</v>
      </c>
      <c r="Y52" s="102">
        <f t="shared" si="27"/>
        <v>44578.533630554331</v>
      </c>
      <c r="Z52" s="102">
        <f t="shared" si="28"/>
        <v>44579.114186109888</v>
      </c>
      <c r="AA52" s="74" t="str">
        <f t="shared" si="29"/>
        <v>BRSUA</v>
      </c>
      <c r="AB52" s="74" t="str">
        <f t="shared" si="30"/>
        <v>BRSUATCO</v>
      </c>
    </row>
    <row r="53" spans="2:28">
      <c r="B53" s="6" t="str">
        <f t="shared" si="31"/>
        <v>BRSUA</v>
      </c>
      <c r="C53" s="74" t="str">
        <f t="shared" si="31"/>
        <v>N</v>
      </c>
      <c r="D53" s="103"/>
      <c r="E53" s="103"/>
      <c r="F53" s="103"/>
      <c r="G53" s="103"/>
      <c r="H53" s="101">
        <f>K25-AH24</f>
        <v>1.1863739452310256</v>
      </c>
      <c r="I53" s="103"/>
      <c r="J53" s="101">
        <f>K27-AH24</f>
        <v>5.9706831101502758</v>
      </c>
      <c r="L53" s="6" t="s">
        <v>12</v>
      </c>
      <c r="M53" s="6" t="str">
        <f t="shared" si="32"/>
        <v>SHIP13</v>
      </c>
      <c r="N53" s="6">
        <v>1</v>
      </c>
      <c r="O53" s="74" t="str">
        <f t="shared" si="23"/>
        <v>N</v>
      </c>
      <c r="P53" s="74" t="str">
        <f t="shared" si="23"/>
        <v>N</v>
      </c>
      <c r="Q53" s="74" t="str">
        <f t="shared" si="24"/>
        <v>BRSUA</v>
      </c>
      <c r="R53" s="74" t="str">
        <f t="shared" si="25"/>
        <v>ZP901</v>
      </c>
      <c r="S53" s="74" t="str">
        <f t="shared" si="25"/>
        <v>BRSUATB02</v>
      </c>
      <c r="T53" s="74" t="str">
        <f t="shared" si="25"/>
        <v>BRSUATCO</v>
      </c>
      <c r="U53" s="6">
        <f>WEEKNUM(X53)</f>
        <v>4</v>
      </c>
      <c r="V53" s="102">
        <f t="shared" si="34"/>
        <v>44573.077702180381</v>
      </c>
      <c r="W53" s="102">
        <f t="shared" si="35"/>
        <v>44579.077702180381</v>
      </c>
      <c r="X53" s="102">
        <f t="shared" si="26"/>
        <v>44580.077702180381</v>
      </c>
      <c r="Y53" s="102">
        <f t="shared" si="27"/>
        <v>44580.140202180381</v>
      </c>
      <c r="Z53" s="102">
        <f t="shared" si="28"/>
        <v>44582.256868847042</v>
      </c>
      <c r="AA53" s="74" t="str">
        <f t="shared" si="29"/>
        <v>BRPEC</v>
      </c>
      <c r="AB53" s="74" t="str">
        <f t="shared" si="30"/>
        <v>BRPECAPM</v>
      </c>
    </row>
    <row r="54" spans="2:28">
      <c r="B54" s="6" t="str">
        <f t="shared" si="31"/>
        <v>BRPEC</v>
      </c>
      <c r="C54" s="74" t="str">
        <f t="shared" si="31"/>
        <v>N</v>
      </c>
      <c r="D54" s="103"/>
      <c r="E54" s="103"/>
      <c r="F54" s="103"/>
      <c r="G54" s="103"/>
      <c r="H54" s="103"/>
      <c r="I54" s="103"/>
      <c r="J54" s="101">
        <f>K27-AH25</f>
        <v>4.0162536093630479</v>
      </c>
      <c r="L54" s="6" t="s">
        <v>12</v>
      </c>
      <c r="M54" s="6" t="str">
        <f t="shared" si="32"/>
        <v>SHIP13</v>
      </c>
      <c r="N54" s="6">
        <v>1</v>
      </c>
      <c r="O54" s="74" t="str">
        <f t="shared" si="23"/>
        <v>N</v>
      </c>
      <c r="P54" s="74" t="str">
        <f t="shared" si="23"/>
        <v>N</v>
      </c>
      <c r="Q54" s="74" t="str">
        <f t="shared" si="24"/>
        <v>BRPEC</v>
      </c>
      <c r="R54" s="74" t="str">
        <f t="shared" si="25"/>
        <v>ZP501</v>
      </c>
      <c r="S54" s="74" t="str">
        <f t="shared" si="25"/>
        <v>BRPECTB01</v>
      </c>
      <c r="T54" s="74" t="str">
        <f t="shared" si="25"/>
        <v>BRPECAPM</v>
      </c>
      <c r="U54" s="6">
        <f t="shared" si="33"/>
        <v>4</v>
      </c>
      <c r="V54" s="102">
        <f t="shared" si="34"/>
        <v>44576.443242792273</v>
      </c>
      <c r="W54" s="102">
        <f t="shared" si="35"/>
        <v>44582.443242792273</v>
      </c>
      <c r="X54" s="102">
        <f t="shared" si="26"/>
        <v>44583.443242792273</v>
      </c>
      <c r="Y54" s="102">
        <f t="shared" si="27"/>
        <v>44583.526576125609</v>
      </c>
      <c r="Z54" s="102">
        <f t="shared" si="28"/>
        <v>44584.211298347829</v>
      </c>
      <c r="AA54" s="74" t="str">
        <f t="shared" si="29"/>
        <v>BRMCP</v>
      </c>
      <c r="AB54" s="74">
        <f t="shared" si="30"/>
        <v>0</v>
      </c>
    </row>
    <row r="55" spans="2:28">
      <c r="B55" s="6" t="str">
        <f t="shared" si="31"/>
        <v>BRMCP</v>
      </c>
      <c r="C55" s="99"/>
      <c r="D55" s="103"/>
      <c r="E55" s="103"/>
      <c r="F55" s="103"/>
      <c r="G55" s="103"/>
      <c r="H55" s="103"/>
      <c r="I55" s="103"/>
      <c r="J55" s="103"/>
      <c r="L55" s="6" t="s">
        <v>12</v>
      </c>
      <c r="M55" s="6" t="str">
        <f t="shared" si="32"/>
        <v>SHIP13</v>
      </c>
      <c r="N55" s="6">
        <v>1</v>
      </c>
      <c r="O55" s="74">
        <f t="shared" si="23"/>
        <v>0</v>
      </c>
      <c r="P55" s="74">
        <f t="shared" si="23"/>
        <v>0</v>
      </c>
      <c r="Q55" s="74" t="str">
        <f t="shared" si="24"/>
        <v>BRMCP</v>
      </c>
      <c r="R55" s="74" t="str">
        <f t="shared" si="25"/>
        <v>ZP101</v>
      </c>
      <c r="S55" s="74">
        <f t="shared" si="25"/>
        <v>0</v>
      </c>
      <c r="T55" s="74">
        <f t="shared" si="25"/>
        <v>0</v>
      </c>
      <c r="U55" s="6">
        <f t="shared" si="33"/>
        <v>5</v>
      </c>
      <c r="V55" s="102">
        <f t="shared" si="34"/>
        <v>44579.358029681898</v>
      </c>
      <c r="W55" s="102">
        <f t="shared" si="35"/>
        <v>44585.358029681898</v>
      </c>
      <c r="X55" s="102">
        <f t="shared" si="26"/>
        <v>44586.358029681898</v>
      </c>
      <c r="Y55" s="102">
        <f t="shared" si="27"/>
        <v>44586.399696348562</v>
      </c>
      <c r="Z55" s="102">
        <f t="shared" si="28"/>
        <v>44586.441363015227</v>
      </c>
      <c r="AA55" s="74" t="str">
        <f t="shared" si="29"/>
        <v>BRMAO</v>
      </c>
      <c r="AB55" s="74" t="str">
        <f t="shared" si="30"/>
        <v>BRMAOCHI</v>
      </c>
    </row>
    <row r="56" spans="2:28">
      <c r="B56" s="6" t="str">
        <f t="shared" si="31"/>
        <v>BRMAO</v>
      </c>
      <c r="C56" s="99"/>
      <c r="D56" s="101">
        <f>K31-AH27</f>
        <v>9.4113371881903731</v>
      </c>
      <c r="E56" s="103"/>
      <c r="F56" s="103"/>
      <c r="G56" s="101">
        <f>K30-AH27</f>
        <v>5.332791460059525</v>
      </c>
      <c r="H56" s="101">
        <f>K29-AH27</f>
        <v>3.6933250102883903</v>
      </c>
      <c r="I56" s="103"/>
      <c r="J56" s="103"/>
      <c r="L56" s="6" t="s">
        <v>12</v>
      </c>
      <c r="M56" s="6" t="str">
        <f t="shared" si="32"/>
        <v>SHIP13</v>
      </c>
      <c r="N56" s="6">
        <v>1</v>
      </c>
      <c r="O56" s="74" t="str">
        <f t="shared" si="23"/>
        <v>S</v>
      </c>
      <c r="P56" s="74" t="str">
        <f t="shared" si="23"/>
        <v>D</v>
      </c>
      <c r="Q56" s="74" t="str">
        <f t="shared" si="24"/>
        <v>BRMAO</v>
      </c>
      <c r="R56" s="74" t="str">
        <f t="shared" si="25"/>
        <v>ZP201</v>
      </c>
      <c r="S56" s="74" t="str">
        <f t="shared" si="25"/>
        <v>BRMAOTB01</v>
      </c>
      <c r="T56" s="74" t="str">
        <f t="shared" si="25"/>
        <v>BRMAOCHI</v>
      </c>
      <c r="U56" s="6">
        <f t="shared" si="33"/>
        <v>5</v>
      </c>
      <c r="V56" s="102">
        <f t="shared" si="34"/>
        <v>44581.227551957192</v>
      </c>
      <c r="W56" s="102">
        <f t="shared" si="35"/>
        <v>44587.227551957192</v>
      </c>
      <c r="X56" s="102">
        <f t="shared" si="26"/>
        <v>44588.227551957192</v>
      </c>
      <c r="Y56" s="102">
        <f t="shared" si="27"/>
        <v>44588.290051957192</v>
      </c>
      <c r="Z56" s="102">
        <f t="shared" si="28"/>
        <v>44591.380329734966</v>
      </c>
      <c r="AA56" s="74" t="str">
        <f t="shared" si="29"/>
        <v>BRMCP</v>
      </c>
      <c r="AB56" s="74">
        <f t="shared" si="30"/>
        <v>0</v>
      </c>
    </row>
    <row r="57" spans="2:28">
      <c r="B57" s="6" t="str">
        <f t="shared" si="31"/>
        <v>BRMCP</v>
      </c>
      <c r="C57" s="99"/>
      <c r="D57" s="104"/>
      <c r="E57" s="104"/>
      <c r="F57" s="104"/>
      <c r="G57" s="104"/>
      <c r="H57" s="104"/>
      <c r="I57" s="104"/>
      <c r="J57" s="104"/>
      <c r="L57" s="6" t="s">
        <v>12</v>
      </c>
      <c r="M57" s="6" t="str">
        <f t="shared" si="32"/>
        <v>SHIP13</v>
      </c>
      <c r="N57" s="6">
        <v>1</v>
      </c>
      <c r="O57" s="74">
        <f t="shared" si="23"/>
        <v>0</v>
      </c>
      <c r="P57" s="74">
        <f t="shared" si="23"/>
        <v>0</v>
      </c>
      <c r="Q57" s="74" t="str">
        <f t="shared" si="24"/>
        <v>BRMCP</v>
      </c>
      <c r="R57" s="74" t="str">
        <f t="shared" si="25"/>
        <v>ZP101</v>
      </c>
      <c r="S57" s="74">
        <f t="shared" si="25"/>
        <v>0</v>
      </c>
      <c r="T57" s="74">
        <f t="shared" si="25"/>
        <v>0</v>
      </c>
      <c r="U57" s="6">
        <f t="shared" si="33"/>
        <v>6</v>
      </c>
      <c r="V57" s="102">
        <f t="shared" si="34"/>
        <v>44585.843590077056</v>
      </c>
      <c r="W57" s="102">
        <f t="shared" si="35"/>
        <v>44591.843590077056</v>
      </c>
      <c r="X57" s="102">
        <f t="shared" si="26"/>
        <v>44592.843590077056</v>
      </c>
      <c r="Y57" s="102">
        <f t="shared" si="27"/>
        <v>44592.885256743721</v>
      </c>
      <c r="Z57" s="102">
        <f t="shared" si="28"/>
        <v>44592.926923410385</v>
      </c>
      <c r="AA57" s="74" t="str">
        <f t="shared" si="29"/>
        <v>BRPEC</v>
      </c>
      <c r="AB57" s="74" t="str">
        <f t="shared" si="30"/>
        <v>BRPECAPM</v>
      </c>
    </row>
    <row r="58" spans="2:28">
      <c r="B58" s="6" t="str">
        <f t="shared" si="31"/>
        <v>BRPEC</v>
      </c>
      <c r="C58" s="74" t="str">
        <f t="shared" si="31"/>
        <v>S</v>
      </c>
      <c r="D58" s="105">
        <f>K31-AH29</f>
        <v>5.219401066788123</v>
      </c>
      <c r="E58" s="104"/>
      <c r="F58" s="104"/>
      <c r="G58" s="104"/>
      <c r="H58" s="104"/>
      <c r="I58" s="104"/>
      <c r="J58" s="104"/>
      <c r="L58" s="6" t="s">
        <v>12</v>
      </c>
      <c r="M58" s="6" t="str">
        <f t="shared" si="32"/>
        <v>SHIP13</v>
      </c>
      <c r="N58" s="6">
        <v>1</v>
      </c>
      <c r="O58" s="74" t="str">
        <f t="shared" si="23"/>
        <v>S</v>
      </c>
      <c r="P58" s="74" t="str">
        <f t="shared" si="23"/>
        <v>N</v>
      </c>
      <c r="Q58" s="74" t="str">
        <f t="shared" si="24"/>
        <v>BRPEC</v>
      </c>
      <c r="R58" s="74" t="str">
        <f t="shared" si="25"/>
        <v>ZP501</v>
      </c>
      <c r="S58" s="74" t="str">
        <f t="shared" si="25"/>
        <v>BRPECTB02</v>
      </c>
      <c r="T58" s="74" t="str">
        <f t="shared" si="25"/>
        <v>BRPECAPM</v>
      </c>
      <c r="U58" s="6">
        <f t="shared" si="33"/>
        <v>6</v>
      </c>
      <c r="V58" s="102">
        <f t="shared" si="34"/>
        <v>44588.073654745254</v>
      </c>
      <c r="W58" s="102">
        <f t="shared" si="35"/>
        <v>44594.073654745254</v>
      </c>
      <c r="X58" s="102">
        <f t="shared" si="26"/>
        <v>44595.073654745254</v>
      </c>
      <c r="Y58" s="102">
        <f t="shared" si="27"/>
        <v>44595.15698807859</v>
      </c>
      <c r="Z58" s="102">
        <f t="shared" si="28"/>
        <v>44595.572265856368</v>
      </c>
      <c r="AA58" s="74" t="str">
        <f t="shared" si="29"/>
        <v>BRSUA</v>
      </c>
      <c r="AB58" s="74" t="str">
        <f t="shared" si="30"/>
        <v>BRSUATCO</v>
      </c>
    </row>
    <row r="59" spans="2:28">
      <c r="B59" s="6" t="str">
        <f t="shared" si="31"/>
        <v>BRSUA</v>
      </c>
      <c r="C59" s="74" t="str">
        <f t="shared" si="31"/>
        <v>S</v>
      </c>
      <c r="D59" s="105">
        <f>K31-AH30</f>
        <v>3.2452123948023655</v>
      </c>
      <c r="E59" s="104"/>
      <c r="F59" s="104"/>
      <c r="G59" s="104"/>
      <c r="H59" s="104"/>
      <c r="I59" s="104"/>
      <c r="J59" s="104"/>
      <c r="L59" s="6" t="s">
        <v>12</v>
      </c>
      <c r="M59" s="6" t="str">
        <f t="shared" si="32"/>
        <v>SHIP13</v>
      </c>
      <c r="N59" s="6">
        <v>1</v>
      </c>
      <c r="O59" s="74" t="str">
        <f t="shared" si="23"/>
        <v>S</v>
      </c>
      <c r="P59" s="74" t="str">
        <f t="shared" si="23"/>
        <v>N</v>
      </c>
      <c r="Q59" s="74" t="str">
        <f t="shared" si="24"/>
        <v>BRSUA</v>
      </c>
      <c r="R59" s="74" t="str">
        <f t="shared" si="25"/>
        <v>ZP901</v>
      </c>
      <c r="S59" s="74" t="str">
        <f t="shared" si="25"/>
        <v>BRSUATB02</v>
      </c>
      <c r="T59" s="74" t="str">
        <f t="shared" si="25"/>
        <v>BRSUATCO</v>
      </c>
      <c r="U59" s="6">
        <f t="shared" si="33"/>
        <v>6</v>
      </c>
      <c r="V59" s="102">
        <f t="shared" si="34"/>
        <v>44589.713121195025</v>
      </c>
      <c r="W59" s="102">
        <f t="shared" si="35"/>
        <v>44595.713121195025</v>
      </c>
      <c r="X59" s="102">
        <f t="shared" si="26"/>
        <v>44596.713121195025</v>
      </c>
      <c r="Y59" s="102">
        <f t="shared" si="27"/>
        <v>44596.775621195025</v>
      </c>
      <c r="Z59" s="102">
        <f t="shared" si="28"/>
        <v>44597.546454528354</v>
      </c>
      <c r="AA59" s="74" t="str">
        <f t="shared" si="29"/>
        <v>BRSSZ</v>
      </c>
      <c r="AB59" s="74" t="str">
        <f t="shared" si="30"/>
        <v>BRSSZTCO</v>
      </c>
    </row>
    <row r="60" spans="2:28">
      <c r="L60" s="106" t="s">
        <v>12</v>
      </c>
      <c r="M60" s="106" t="s">
        <v>181</v>
      </c>
      <c r="N60" s="106">
        <v>1</v>
      </c>
      <c r="O60" s="99" t="str">
        <f t="shared" ref="O60:T75" si="36">O50</f>
        <v>N</v>
      </c>
      <c r="P60" s="99" t="str">
        <f t="shared" si="36"/>
        <v>B</v>
      </c>
      <c r="Q60" s="99" t="str">
        <f t="shared" si="36"/>
        <v>BRSSZ</v>
      </c>
      <c r="R60" s="99" t="str">
        <f t="shared" si="36"/>
        <v>ZP1601</v>
      </c>
      <c r="S60" s="99" t="str">
        <f t="shared" si="36"/>
        <v>BRSSZTB01</v>
      </c>
      <c r="T60" s="99" t="str">
        <f t="shared" si="36"/>
        <v>BRSSZTCO</v>
      </c>
      <c r="U60" s="6">
        <f t="shared" si="33"/>
        <v>4</v>
      </c>
      <c r="V60" s="102">
        <f t="shared" si="34"/>
        <v>44572.791666666664</v>
      </c>
      <c r="W60" s="107">
        <f>W50+7</f>
        <v>44578.791666666664</v>
      </c>
      <c r="X60" s="107">
        <f t="shared" ref="W60:Z75" si="37">X50+7</f>
        <v>44579.791666666664</v>
      </c>
      <c r="Y60" s="107">
        <f t="shared" si="37"/>
        <v>44579.895833333328</v>
      </c>
      <c r="Z60" s="107">
        <f t="shared" si="37"/>
        <v>44581.718518518515</v>
      </c>
      <c r="AA60" s="99" t="str">
        <f t="shared" ref="AA60:AB68" si="38">AA50</f>
        <v>BRIGI</v>
      </c>
      <c r="AB60" s="99" t="str">
        <f t="shared" si="38"/>
        <v>BRIGITCO</v>
      </c>
    </row>
    <row r="61" spans="2:28">
      <c r="L61" s="106" t="s">
        <v>12</v>
      </c>
      <c r="M61" s="106" t="s">
        <v>181</v>
      </c>
      <c r="N61" s="106">
        <v>1</v>
      </c>
      <c r="O61" s="99" t="str">
        <f t="shared" si="36"/>
        <v>N</v>
      </c>
      <c r="P61" s="99" t="str">
        <f t="shared" si="36"/>
        <v>N</v>
      </c>
      <c r="Q61" s="99" t="str">
        <f t="shared" si="36"/>
        <v>BRIGI</v>
      </c>
      <c r="R61" s="99" t="str">
        <f t="shared" si="36"/>
        <v>ZP15A03</v>
      </c>
      <c r="S61" s="99" t="str">
        <f t="shared" si="36"/>
        <v>BRIGITB01</v>
      </c>
      <c r="T61" s="99" t="str">
        <f t="shared" si="36"/>
        <v>BRIGITCO</v>
      </c>
      <c r="U61" s="6">
        <f t="shared" si="33"/>
        <v>4</v>
      </c>
      <c r="V61" s="102">
        <f t="shared" si="34"/>
        <v>44575.094394891508</v>
      </c>
      <c r="W61" s="107">
        <f t="shared" si="37"/>
        <v>44581.094394891508</v>
      </c>
      <c r="X61" s="107">
        <f t="shared" si="37"/>
        <v>44582.094394891508</v>
      </c>
      <c r="Y61" s="107">
        <f t="shared" si="37"/>
        <v>44582.240228224844</v>
      </c>
      <c r="Z61" s="107">
        <f t="shared" si="37"/>
        <v>44583.433283780396</v>
      </c>
      <c r="AA61" s="99" t="str">
        <f t="shared" si="38"/>
        <v>BRSSA</v>
      </c>
      <c r="AB61" s="99" t="str">
        <f t="shared" si="38"/>
        <v>BRSSATCO</v>
      </c>
    </row>
    <row r="62" spans="2:28">
      <c r="L62" s="106" t="s">
        <v>12</v>
      </c>
      <c r="M62" s="106" t="s">
        <v>181</v>
      </c>
      <c r="N62" s="106">
        <v>1</v>
      </c>
      <c r="O62" s="99" t="str">
        <f t="shared" si="36"/>
        <v>N</v>
      </c>
      <c r="P62" s="99" t="str">
        <f t="shared" si="36"/>
        <v>N</v>
      </c>
      <c r="Q62" s="99" t="str">
        <f t="shared" si="36"/>
        <v>BRSSA</v>
      </c>
      <c r="R62" s="99" t="str">
        <f t="shared" si="36"/>
        <v>ZP1202</v>
      </c>
      <c r="S62" s="99" t="str">
        <f t="shared" si="36"/>
        <v>BRSSATB01</v>
      </c>
      <c r="T62" s="99" t="str">
        <f t="shared" si="36"/>
        <v>BRSSATCO</v>
      </c>
      <c r="U62" s="6">
        <f t="shared" si="33"/>
        <v>5</v>
      </c>
      <c r="V62" s="102">
        <f t="shared" si="34"/>
        <v>44578.450297220996</v>
      </c>
      <c r="W62" s="107">
        <f t="shared" si="37"/>
        <v>44584.450297220996</v>
      </c>
      <c r="X62" s="107">
        <f t="shared" si="37"/>
        <v>44585.450297220996</v>
      </c>
      <c r="Y62" s="107">
        <f t="shared" si="37"/>
        <v>44585.533630554331</v>
      </c>
      <c r="Z62" s="107">
        <f t="shared" si="37"/>
        <v>44586.114186109888</v>
      </c>
      <c r="AA62" s="99" t="str">
        <f t="shared" si="38"/>
        <v>BRSUA</v>
      </c>
      <c r="AB62" s="99" t="str">
        <f t="shared" si="38"/>
        <v>BRSUATCO</v>
      </c>
    </row>
    <row r="63" spans="2:28">
      <c r="L63" s="106" t="s">
        <v>12</v>
      </c>
      <c r="M63" s="106" t="s">
        <v>181</v>
      </c>
      <c r="N63" s="106">
        <v>1</v>
      </c>
      <c r="O63" s="99" t="str">
        <f t="shared" si="36"/>
        <v>N</v>
      </c>
      <c r="P63" s="99" t="str">
        <f t="shared" si="36"/>
        <v>N</v>
      </c>
      <c r="Q63" s="99" t="str">
        <f t="shared" si="36"/>
        <v>BRSUA</v>
      </c>
      <c r="R63" s="99" t="str">
        <f t="shared" si="36"/>
        <v>ZP901</v>
      </c>
      <c r="S63" s="99" t="str">
        <f t="shared" si="36"/>
        <v>BRSUATB02</v>
      </c>
      <c r="T63" s="99" t="str">
        <f t="shared" si="36"/>
        <v>BRSUATCO</v>
      </c>
      <c r="U63" s="6">
        <f t="shared" si="33"/>
        <v>5</v>
      </c>
      <c r="V63" s="102">
        <f t="shared" si="34"/>
        <v>44580.077702180381</v>
      </c>
      <c r="W63" s="107">
        <f t="shared" si="37"/>
        <v>44586.077702180381</v>
      </c>
      <c r="X63" s="107">
        <f t="shared" si="37"/>
        <v>44587.077702180381</v>
      </c>
      <c r="Y63" s="107">
        <f t="shared" si="37"/>
        <v>44587.140202180381</v>
      </c>
      <c r="Z63" s="107">
        <f t="shared" si="37"/>
        <v>44589.256868847042</v>
      </c>
      <c r="AA63" s="99" t="str">
        <f t="shared" si="38"/>
        <v>BRPEC</v>
      </c>
      <c r="AB63" s="99" t="str">
        <f t="shared" si="38"/>
        <v>BRPECAPM</v>
      </c>
    </row>
    <row r="64" spans="2:28">
      <c r="L64" s="106" t="s">
        <v>12</v>
      </c>
      <c r="M64" s="106" t="s">
        <v>181</v>
      </c>
      <c r="N64" s="106">
        <v>1</v>
      </c>
      <c r="O64" s="99" t="str">
        <f t="shared" si="36"/>
        <v>N</v>
      </c>
      <c r="P64" s="99" t="str">
        <f t="shared" si="36"/>
        <v>N</v>
      </c>
      <c r="Q64" s="99" t="str">
        <f t="shared" si="36"/>
        <v>BRPEC</v>
      </c>
      <c r="R64" s="99" t="str">
        <f t="shared" si="36"/>
        <v>ZP501</v>
      </c>
      <c r="S64" s="99" t="str">
        <f t="shared" si="36"/>
        <v>BRPECTB01</v>
      </c>
      <c r="T64" s="99" t="str">
        <f t="shared" si="36"/>
        <v>BRPECAPM</v>
      </c>
      <c r="U64" s="6">
        <f t="shared" si="33"/>
        <v>5</v>
      </c>
      <c r="V64" s="102">
        <f t="shared" si="34"/>
        <v>44583.443242792273</v>
      </c>
      <c r="W64" s="107">
        <f t="shared" si="37"/>
        <v>44589.443242792273</v>
      </c>
      <c r="X64" s="107">
        <f t="shared" si="37"/>
        <v>44590.443242792273</v>
      </c>
      <c r="Y64" s="107">
        <f t="shared" si="37"/>
        <v>44590.526576125609</v>
      </c>
      <c r="Z64" s="107">
        <f t="shared" si="37"/>
        <v>44591.211298347829</v>
      </c>
      <c r="AA64" s="99" t="str">
        <f t="shared" si="38"/>
        <v>BRMCP</v>
      </c>
      <c r="AB64" s="99">
        <f t="shared" si="38"/>
        <v>0</v>
      </c>
    </row>
    <row r="65" spans="12:28">
      <c r="L65" s="106" t="s">
        <v>12</v>
      </c>
      <c r="M65" s="106" t="s">
        <v>181</v>
      </c>
      <c r="N65" s="106">
        <v>1</v>
      </c>
      <c r="O65" s="99">
        <f t="shared" si="36"/>
        <v>0</v>
      </c>
      <c r="P65" s="99">
        <f t="shared" si="36"/>
        <v>0</v>
      </c>
      <c r="Q65" s="99" t="str">
        <f t="shared" si="36"/>
        <v>BRMCP</v>
      </c>
      <c r="R65" s="99" t="str">
        <f t="shared" si="36"/>
        <v>ZP101</v>
      </c>
      <c r="S65" s="99">
        <f t="shared" si="36"/>
        <v>0</v>
      </c>
      <c r="T65" s="99">
        <f t="shared" si="36"/>
        <v>0</v>
      </c>
      <c r="U65" s="6">
        <f t="shared" si="33"/>
        <v>6</v>
      </c>
      <c r="V65" s="102">
        <f t="shared" si="34"/>
        <v>44586.358029681898</v>
      </c>
      <c r="W65" s="107">
        <f t="shared" si="37"/>
        <v>44592.358029681898</v>
      </c>
      <c r="X65" s="107">
        <f t="shared" si="37"/>
        <v>44593.358029681898</v>
      </c>
      <c r="Y65" s="107">
        <f t="shared" si="37"/>
        <v>44593.399696348562</v>
      </c>
      <c r="Z65" s="107">
        <f t="shared" si="37"/>
        <v>44593.441363015227</v>
      </c>
      <c r="AA65" s="99" t="str">
        <f t="shared" si="38"/>
        <v>BRMAO</v>
      </c>
      <c r="AB65" s="99" t="str">
        <f t="shared" si="38"/>
        <v>BRMAOCHI</v>
      </c>
    </row>
    <row r="66" spans="12:28">
      <c r="L66" s="106" t="s">
        <v>12</v>
      </c>
      <c r="M66" s="106" t="s">
        <v>181</v>
      </c>
      <c r="N66" s="106">
        <v>1</v>
      </c>
      <c r="O66" s="99" t="str">
        <f t="shared" si="36"/>
        <v>S</v>
      </c>
      <c r="P66" s="99" t="str">
        <f t="shared" si="36"/>
        <v>D</v>
      </c>
      <c r="Q66" s="99" t="str">
        <f>Q56</f>
        <v>BRMAO</v>
      </c>
      <c r="R66" s="99" t="str">
        <f t="shared" si="36"/>
        <v>ZP201</v>
      </c>
      <c r="S66" s="99" t="str">
        <f t="shared" si="36"/>
        <v>BRMAOTB01</v>
      </c>
      <c r="T66" s="99" t="str">
        <f t="shared" si="36"/>
        <v>BRMAOCHI</v>
      </c>
      <c r="U66" s="6">
        <f t="shared" si="33"/>
        <v>6</v>
      </c>
      <c r="V66" s="102">
        <f t="shared" si="34"/>
        <v>44588.227551957192</v>
      </c>
      <c r="W66" s="107">
        <f t="shared" si="37"/>
        <v>44594.227551957192</v>
      </c>
      <c r="X66" s="107">
        <f t="shared" si="37"/>
        <v>44595.227551957192</v>
      </c>
      <c r="Y66" s="107">
        <f t="shared" si="37"/>
        <v>44595.290051957192</v>
      </c>
      <c r="Z66" s="107">
        <f t="shared" si="37"/>
        <v>44598.380329734966</v>
      </c>
      <c r="AA66" s="99" t="str">
        <f t="shared" si="38"/>
        <v>BRMCP</v>
      </c>
      <c r="AB66" s="99">
        <f t="shared" si="38"/>
        <v>0</v>
      </c>
    </row>
    <row r="67" spans="12:28">
      <c r="L67" s="106" t="s">
        <v>12</v>
      </c>
      <c r="M67" s="106" t="s">
        <v>181</v>
      </c>
      <c r="N67" s="106">
        <v>1</v>
      </c>
      <c r="O67" s="99">
        <f t="shared" si="36"/>
        <v>0</v>
      </c>
      <c r="P67" s="99">
        <f t="shared" si="36"/>
        <v>0</v>
      </c>
      <c r="Q67" s="99" t="str">
        <f t="shared" si="36"/>
        <v>BRMCP</v>
      </c>
      <c r="R67" s="99" t="str">
        <f t="shared" si="36"/>
        <v>ZP101</v>
      </c>
      <c r="S67" s="99">
        <f t="shared" si="36"/>
        <v>0</v>
      </c>
      <c r="T67" s="99">
        <f t="shared" si="36"/>
        <v>0</v>
      </c>
      <c r="U67" s="6">
        <f t="shared" si="33"/>
        <v>7</v>
      </c>
      <c r="V67" s="102">
        <f t="shared" si="34"/>
        <v>44592.843590077056</v>
      </c>
      <c r="W67" s="107">
        <f t="shared" si="37"/>
        <v>44598.843590077056</v>
      </c>
      <c r="X67" s="107">
        <f t="shared" si="37"/>
        <v>44599.843590077056</v>
      </c>
      <c r="Y67" s="107">
        <f t="shared" si="37"/>
        <v>44599.885256743721</v>
      </c>
      <c r="Z67" s="107">
        <f t="shared" si="37"/>
        <v>44599.926923410385</v>
      </c>
      <c r="AA67" s="99" t="str">
        <f t="shared" si="38"/>
        <v>BRPEC</v>
      </c>
      <c r="AB67" s="99" t="str">
        <f t="shared" si="38"/>
        <v>BRPECAPM</v>
      </c>
    </row>
    <row r="68" spans="12:28">
      <c r="L68" s="106" t="s">
        <v>12</v>
      </c>
      <c r="M68" s="106" t="s">
        <v>181</v>
      </c>
      <c r="N68" s="106">
        <v>1</v>
      </c>
      <c r="O68" s="99" t="str">
        <f t="shared" si="36"/>
        <v>S</v>
      </c>
      <c r="P68" s="99" t="str">
        <f t="shared" si="36"/>
        <v>N</v>
      </c>
      <c r="Q68" s="99" t="str">
        <f t="shared" si="36"/>
        <v>BRPEC</v>
      </c>
      <c r="R68" s="99" t="str">
        <f t="shared" si="36"/>
        <v>ZP501</v>
      </c>
      <c r="S68" s="99" t="str">
        <f t="shared" si="36"/>
        <v>BRPECTB02</v>
      </c>
      <c r="T68" s="99" t="str">
        <f t="shared" si="36"/>
        <v>BRPECAPM</v>
      </c>
      <c r="U68" s="6">
        <f t="shared" si="33"/>
        <v>7</v>
      </c>
      <c r="V68" s="102">
        <f t="shared" si="34"/>
        <v>44595.073654745254</v>
      </c>
      <c r="W68" s="107">
        <f t="shared" si="37"/>
        <v>44601.073654745254</v>
      </c>
      <c r="X68" s="107">
        <f t="shared" si="37"/>
        <v>44602.073654745254</v>
      </c>
      <c r="Y68" s="107">
        <f t="shared" si="37"/>
        <v>44602.15698807859</v>
      </c>
      <c r="Z68" s="107">
        <f t="shared" si="37"/>
        <v>44602.572265856368</v>
      </c>
      <c r="AA68" s="99" t="str">
        <f t="shared" si="38"/>
        <v>BRSUA</v>
      </c>
      <c r="AB68" s="99" t="str">
        <f t="shared" si="38"/>
        <v>BRSUATCO</v>
      </c>
    </row>
    <row r="69" spans="12:28">
      <c r="L69" s="106" t="s">
        <v>12</v>
      </c>
      <c r="M69" s="106" t="s">
        <v>181</v>
      </c>
      <c r="N69" s="106">
        <v>1</v>
      </c>
      <c r="O69" s="99" t="str">
        <f t="shared" si="36"/>
        <v>S</v>
      </c>
      <c r="P69" s="99" t="str">
        <f t="shared" si="36"/>
        <v>N</v>
      </c>
      <c r="Q69" s="99" t="str">
        <f t="shared" si="36"/>
        <v>BRSUA</v>
      </c>
      <c r="R69" s="99" t="str">
        <f t="shared" si="36"/>
        <v>ZP901</v>
      </c>
      <c r="S69" s="99" t="str">
        <f t="shared" si="36"/>
        <v>BRSUATB02</v>
      </c>
      <c r="T69" s="99" t="str">
        <f t="shared" si="36"/>
        <v>BRSUATCO</v>
      </c>
      <c r="U69" s="6">
        <f t="shared" si="33"/>
        <v>7</v>
      </c>
      <c r="V69" s="102">
        <f t="shared" si="34"/>
        <v>44596.713121195025</v>
      </c>
      <c r="W69" s="107">
        <f t="shared" si="37"/>
        <v>44602.713121195025</v>
      </c>
      <c r="X69" s="107">
        <f t="shared" si="37"/>
        <v>44603.713121195025</v>
      </c>
      <c r="Y69" s="107">
        <f t="shared" si="37"/>
        <v>44603.775621195025</v>
      </c>
      <c r="Z69" s="107">
        <f t="shared" si="37"/>
        <v>44604.546454528354</v>
      </c>
      <c r="AA69" s="99" t="str">
        <f>AA59</f>
        <v>BRSSZ</v>
      </c>
      <c r="AB69" s="99" t="str">
        <f>AB59</f>
        <v>BRSSZTCO</v>
      </c>
    </row>
    <row r="70" spans="12:28">
      <c r="L70" s="6" t="s">
        <v>12</v>
      </c>
      <c r="M70" s="6" t="s">
        <v>182</v>
      </c>
      <c r="N70" s="6">
        <v>1</v>
      </c>
      <c r="O70" s="74" t="str">
        <f t="shared" si="36"/>
        <v>N</v>
      </c>
      <c r="P70" s="74" t="str">
        <f t="shared" si="36"/>
        <v>B</v>
      </c>
      <c r="Q70" s="74" t="str">
        <f t="shared" si="36"/>
        <v>BRSSZ</v>
      </c>
      <c r="R70" s="99" t="str">
        <f t="shared" si="36"/>
        <v>ZP1601</v>
      </c>
      <c r="S70" s="99" t="str">
        <f t="shared" si="36"/>
        <v>BRSSZTB01</v>
      </c>
      <c r="T70" s="74" t="str">
        <f t="shared" si="36"/>
        <v>BRSSZTCO</v>
      </c>
      <c r="U70" s="6">
        <f t="shared" si="33"/>
        <v>5</v>
      </c>
      <c r="V70" s="102">
        <f t="shared" si="34"/>
        <v>44579.791666666664</v>
      </c>
      <c r="W70" s="102">
        <f>W60+7</f>
        <v>44585.791666666664</v>
      </c>
      <c r="X70" s="102">
        <f t="shared" si="37"/>
        <v>44586.791666666664</v>
      </c>
      <c r="Y70" s="102">
        <f t="shared" si="37"/>
        <v>44586.895833333328</v>
      </c>
      <c r="Z70" s="102">
        <f t="shared" si="37"/>
        <v>44588.718518518515</v>
      </c>
      <c r="AA70" s="74" t="str">
        <f t="shared" ref="AA70:AB78" si="39">AA60</f>
        <v>BRIGI</v>
      </c>
      <c r="AB70" s="74" t="str">
        <f t="shared" si="39"/>
        <v>BRIGITCO</v>
      </c>
    </row>
    <row r="71" spans="12:28">
      <c r="L71" s="6" t="s">
        <v>12</v>
      </c>
      <c r="M71" s="6" t="s">
        <v>182</v>
      </c>
      <c r="N71" s="6">
        <v>1</v>
      </c>
      <c r="O71" s="74" t="str">
        <f t="shared" si="36"/>
        <v>N</v>
      </c>
      <c r="P71" s="74" t="str">
        <f t="shared" si="36"/>
        <v>N</v>
      </c>
      <c r="Q71" s="74" t="str">
        <f t="shared" si="36"/>
        <v>BRIGI</v>
      </c>
      <c r="R71" s="99" t="str">
        <f t="shared" si="36"/>
        <v>ZP15A03</v>
      </c>
      <c r="S71" s="99" t="str">
        <f t="shared" si="36"/>
        <v>BRIGITB01</v>
      </c>
      <c r="T71" s="74" t="str">
        <f t="shared" si="36"/>
        <v>BRIGITCO</v>
      </c>
      <c r="U71" s="6">
        <f t="shared" si="33"/>
        <v>5</v>
      </c>
      <c r="V71" s="102">
        <f t="shared" si="34"/>
        <v>44582.094394891508</v>
      </c>
      <c r="W71" s="102">
        <f t="shared" si="37"/>
        <v>44588.094394891508</v>
      </c>
      <c r="X71" s="102">
        <f t="shared" si="37"/>
        <v>44589.094394891508</v>
      </c>
      <c r="Y71" s="102">
        <f t="shared" si="37"/>
        <v>44589.240228224844</v>
      </c>
      <c r="Z71" s="102">
        <f t="shared" si="37"/>
        <v>44590.433283780396</v>
      </c>
      <c r="AA71" s="74" t="str">
        <f t="shared" si="39"/>
        <v>BRSSA</v>
      </c>
      <c r="AB71" s="74" t="str">
        <f t="shared" si="39"/>
        <v>BRSSATCO</v>
      </c>
    </row>
    <row r="72" spans="12:28">
      <c r="L72" s="6" t="s">
        <v>12</v>
      </c>
      <c r="M72" s="6" t="s">
        <v>182</v>
      </c>
      <c r="N72" s="6">
        <v>1</v>
      </c>
      <c r="O72" s="74" t="str">
        <f t="shared" si="36"/>
        <v>N</v>
      </c>
      <c r="P72" s="74" t="str">
        <f t="shared" si="36"/>
        <v>N</v>
      </c>
      <c r="Q72" s="74" t="str">
        <f t="shared" si="36"/>
        <v>BRSSA</v>
      </c>
      <c r="R72" s="99" t="str">
        <f t="shared" si="36"/>
        <v>ZP1202</v>
      </c>
      <c r="S72" s="99" t="str">
        <f t="shared" si="36"/>
        <v>BRSSATB01</v>
      </c>
      <c r="T72" s="74" t="str">
        <f t="shared" si="36"/>
        <v>BRSSATCO</v>
      </c>
      <c r="U72" s="6">
        <f t="shared" si="33"/>
        <v>6</v>
      </c>
      <c r="V72" s="102">
        <f t="shared" si="34"/>
        <v>44585.450297220996</v>
      </c>
      <c r="W72" s="102">
        <f t="shared" si="37"/>
        <v>44591.450297220996</v>
      </c>
      <c r="X72" s="102">
        <f t="shared" si="37"/>
        <v>44592.450297220996</v>
      </c>
      <c r="Y72" s="102">
        <f t="shared" si="37"/>
        <v>44592.533630554331</v>
      </c>
      <c r="Z72" s="102">
        <f t="shared" si="37"/>
        <v>44593.114186109888</v>
      </c>
      <c r="AA72" s="74" t="str">
        <f t="shared" si="39"/>
        <v>BRSUA</v>
      </c>
      <c r="AB72" s="74" t="str">
        <f t="shared" si="39"/>
        <v>BRSUATCO</v>
      </c>
    </row>
    <row r="73" spans="12:28">
      <c r="L73" s="6" t="s">
        <v>12</v>
      </c>
      <c r="M73" s="6" t="s">
        <v>182</v>
      </c>
      <c r="N73" s="6">
        <v>1</v>
      </c>
      <c r="O73" s="74" t="str">
        <f t="shared" si="36"/>
        <v>N</v>
      </c>
      <c r="P73" s="74" t="str">
        <f t="shared" si="36"/>
        <v>N</v>
      </c>
      <c r="Q73" s="74" t="str">
        <f t="shared" si="36"/>
        <v>BRSUA</v>
      </c>
      <c r="R73" s="99" t="str">
        <f t="shared" si="36"/>
        <v>ZP901</v>
      </c>
      <c r="S73" s="99" t="str">
        <f t="shared" si="36"/>
        <v>BRSUATB02</v>
      </c>
      <c r="T73" s="74" t="str">
        <f t="shared" si="36"/>
        <v>BRSUATCO</v>
      </c>
      <c r="U73" s="6">
        <f t="shared" si="33"/>
        <v>6</v>
      </c>
      <c r="V73" s="102">
        <f t="shared" si="34"/>
        <v>44587.077702180381</v>
      </c>
      <c r="W73" s="102">
        <f t="shared" si="37"/>
        <v>44593.077702180381</v>
      </c>
      <c r="X73" s="102">
        <f t="shared" si="37"/>
        <v>44594.077702180381</v>
      </c>
      <c r="Y73" s="102">
        <f t="shared" si="37"/>
        <v>44594.140202180381</v>
      </c>
      <c r="Z73" s="102">
        <f t="shared" si="37"/>
        <v>44596.256868847042</v>
      </c>
      <c r="AA73" s="74" t="str">
        <f t="shared" si="39"/>
        <v>BRPEC</v>
      </c>
      <c r="AB73" s="74" t="str">
        <f t="shared" si="39"/>
        <v>BRPECAPM</v>
      </c>
    </row>
    <row r="74" spans="12:28">
      <c r="L74" s="6" t="s">
        <v>12</v>
      </c>
      <c r="M74" s="6" t="s">
        <v>182</v>
      </c>
      <c r="N74" s="6">
        <v>1</v>
      </c>
      <c r="O74" s="74" t="str">
        <f t="shared" si="36"/>
        <v>N</v>
      </c>
      <c r="P74" s="74" t="str">
        <f t="shared" si="36"/>
        <v>N</v>
      </c>
      <c r="Q74" s="74" t="str">
        <f t="shared" si="36"/>
        <v>BRPEC</v>
      </c>
      <c r="R74" s="99" t="str">
        <f t="shared" si="36"/>
        <v>ZP501</v>
      </c>
      <c r="S74" s="99" t="str">
        <f t="shared" si="36"/>
        <v>BRPECTB01</v>
      </c>
      <c r="T74" s="74" t="str">
        <f t="shared" si="36"/>
        <v>BRPECAPM</v>
      </c>
      <c r="U74" s="6">
        <f t="shared" si="33"/>
        <v>6</v>
      </c>
      <c r="V74" s="102">
        <f t="shared" si="34"/>
        <v>44590.443242792273</v>
      </c>
      <c r="W74" s="102">
        <f t="shared" si="37"/>
        <v>44596.443242792273</v>
      </c>
      <c r="X74" s="102">
        <f t="shared" si="37"/>
        <v>44597.443242792273</v>
      </c>
      <c r="Y74" s="102">
        <f t="shared" si="37"/>
        <v>44597.526576125609</v>
      </c>
      <c r="Z74" s="102">
        <f t="shared" si="37"/>
        <v>44598.211298347829</v>
      </c>
      <c r="AA74" s="74" t="str">
        <f t="shared" si="39"/>
        <v>BRMCP</v>
      </c>
      <c r="AB74" s="74">
        <f t="shared" si="39"/>
        <v>0</v>
      </c>
    </row>
    <row r="75" spans="12:28">
      <c r="L75" s="6" t="s">
        <v>12</v>
      </c>
      <c r="M75" s="6" t="s">
        <v>182</v>
      </c>
      <c r="N75" s="6">
        <v>1</v>
      </c>
      <c r="O75" s="74">
        <f t="shared" si="36"/>
        <v>0</v>
      </c>
      <c r="P75" s="74">
        <f t="shared" si="36"/>
        <v>0</v>
      </c>
      <c r="Q75" s="74" t="str">
        <f t="shared" si="36"/>
        <v>BRMCP</v>
      </c>
      <c r="R75" s="99" t="str">
        <f t="shared" si="36"/>
        <v>ZP101</v>
      </c>
      <c r="S75" s="99">
        <f t="shared" si="36"/>
        <v>0</v>
      </c>
      <c r="T75" s="74">
        <f t="shared" si="36"/>
        <v>0</v>
      </c>
      <c r="U75" s="6">
        <f t="shared" si="33"/>
        <v>7</v>
      </c>
      <c r="V75" s="102">
        <f t="shared" si="34"/>
        <v>44593.358029681898</v>
      </c>
      <c r="W75" s="102">
        <f t="shared" si="37"/>
        <v>44599.358029681898</v>
      </c>
      <c r="X75" s="102">
        <f t="shared" si="37"/>
        <v>44600.358029681898</v>
      </c>
      <c r="Y75" s="102">
        <f t="shared" si="37"/>
        <v>44600.399696348562</v>
      </c>
      <c r="Z75" s="102">
        <f t="shared" si="37"/>
        <v>44600.441363015227</v>
      </c>
      <c r="AA75" s="74" t="str">
        <f t="shared" si="39"/>
        <v>BRMAO</v>
      </c>
      <c r="AB75" s="74" t="str">
        <f t="shared" si="39"/>
        <v>BRMAOCHI</v>
      </c>
    </row>
    <row r="76" spans="12:28">
      <c r="L76" s="6" t="s">
        <v>12</v>
      </c>
      <c r="M76" s="6" t="s">
        <v>182</v>
      </c>
      <c r="N76" s="6">
        <v>1</v>
      </c>
      <c r="O76" s="74" t="str">
        <f t="shared" ref="O76:T91" si="40">O66</f>
        <v>S</v>
      </c>
      <c r="P76" s="74" t="str">
        <f t="shared" si="40"/>
        <v>D</v>
      </c>
      <c r="Q76" s="74" t="str">
        <f t="shared" si="40"/>
        <v>BRMAO</v>
      </c>
      <c r="R76" s="99" t="str">
        <f t="shared" si="40"/>
        <v>ZP201</v>
      </c>
      <c r="S76" s="99" t="str">
        <f t="shared" si="40"/>
        <v>BRMAOTB01</v>
      </c>
      <c r="T76" s="74" t="str">
        <f t="shared" si="40"/>
        <v>BRMAOCHI</v>
      </c>
      <c r="U76" s="6">
        <f t="shared" si="33"/>
        <v>7</v>
      </c>
      <c r="V76" s="102">
        <f t="shared" si="34"/>
        <v>44595.227551957192</v>
      </c>
      <c r="W76" s="102">
        <f t="shared" ref="W76:Z91" si="41">W66+7</f>
        <v>44601.227551957192</v>
      </c>
      <c r="X76" s="102">
        <f t="shared" si="41"/>
        <v>44602.227551957192</v>
      </c>
      <c r="Y76" s="102">
        <f t="shared" si="41"/>
        <v>44602.290051957192</v>
      </c>
      <c r="Z76" s="102">
        <f t="shared" si="41"/>
        <v>44605.380329734966</v>
      </c>
      <c r="AA76" s="74" t="str">
        <f t="shared" si="39"/>
        <v>BRMCP</v>
      </c>
      <c r="AB76" s="74">
        <f t="shared" si="39"/>
        <v>0</v>
      </c>
    </row>
    <row r="77" spans="12:28">
      <c r="L77" s="6" t="s">
        <v>12</v>
      </c>
      <c r="M77" s="6" t="s">
        <v>182</v>
      </c>
      <c r="N77" s="6">
        <v>1</v>
      </c>
      <c r="O77" s="74">
        <f t="shared" si="40"/>
        <v>0</v>
      </c>
      <c r="P77" s="74">
        <f t="shared" si="40"/>
        <v>0</v>
      </c>
      <c r="Q77" s="74" t="str">
        <f t="shared" si="40"/>
        <v>BRMCP</v>
      </c>
      <c r="R77" s="99" t="str">
        <f t="shared" si="40"/>
        <v>ZP101</v>
      </c>
      <c r="S77" s="99">
        <f t="shared" si="40"/>
        <v>0</v>
      </c>
      <c r="T77" s="74">
        <f t="shared" si="40"/>
        <v>0</v>
      </c>
      <c r="U77" s="6">
        <f t="shared" si="33"/>
        <v>8</v>
      </c>
      <c r="V77" s="102">
        <f t="shared" si="34"/>
        <v>44599.843590077056</v>
      </c>
      <c r="W77" s="102">
        <f t="shared" si="41"/>
        <v>44605.843590077056</v>
      </c>
      <c r="X77" s="102">
        <f t="shared" si="41"/>
        <v>44606.843590077056</v>
      </c>
      <c r="Y77" s="102">
        <f t="shared" si="41"/>
        <v>44606.885256743721</v>
      </c>
      <c r="Z77" s="102">
        <f t="shared" si="41"/>
        <v>44606.926923410385</v>
      </c>
      <c r="AA77" s="74" t="str">
        <f t="shared" si="39"/>
        <v>BRPEC</v>
      </c>
      <c r="AB77" s="74" t="str">
        <f t="shared" si="39"/>
        <v>BRPECAPM</v>
      </c>
    </row>
    <row r="78" spans="12:28">
      <c r="L78" s="6" t="s">
        <v>12</v>
      </c>
      <c r="M78" s="6" t="s">
        <v>182</v>
      </c>
      <c r="N78" s="6">
        <v>1</v>
      </c>
      <c r="O78" s="74" t="str">
        <f t="shared" si="40"/>
        <v>S</v>
      </c>
      <c r="P78" s="74" t="str">
        <f t="shared" si="40"/>
        <v>N</v>
      </c>
      <c r="Q78" s="74" t="str">
        <f t="shared" si="40"/>
        <v>BRPEC</v>
      </c>
      <c r="R78" s="99" t="str">
        <f t="shared" si="40"/>
        <v>ZP501</v>
      </c>
      <c r="S78" s="99" t="str">
        <f t="shared" si="40"/>
        <v>BRPECTB02</v>
      </c>
      <c r="T78" s="74" t="str">
        <f t="shared" si="40"/>
        <v>BRPECAPM</v>
      </c>
      <c r="U78" s="6">
        <f t="shared" si="33"/>
        <v>8</v>
      </c>
      <c r="V78" s="102">
        <f t="shared" si="34"/>
        <v>44602.073654745254</v>
      </c>
      <c r="W78" s="102">
        <f t="shared" si="41"/>
        <v>44608.073654745254</v>
      </c>
      <c r="X78" s="102">
        <f t="shared" si="41"/>
        <v>44609.073654745254</v>
      </c>
      <c r="Y78" s="102">
        <f t="shared" si="41"/>
        <v>44609.15698807859</v>
      </c>
      <c r="Z78" s="102">
        <f t="shared" si="41"/>
        <v>44609.572265856368</v>
      </c>
      <c r="AA78" s="74" t="str">
        <f t="shared" si="39"/>
        <v>BRSUA</v>
      </c>
      <c r="AB78" s="74" t="str">
        <f t="shared" si="39"/>
        <v>BRSUATCO</v>
      </c>
    </row>
    <row r="79" spans="12:28">
      <c r="L79" s="6" t="s">
        <v>12</v>
      </c>
      <c r="M79" s="6" t="s">
        <v>182</v>
      </c>
      <c r="N79" s="6">
        <v>1</v>
      </c>
      <c r="O79" s="74" t="str">
        <f t="shared" si="40"/>
        <v>S</v>
      </c>
      <c r="P79" s="74" t="str">
        <f t="shared" si="40"/>
        <v>N</v>
      </c>
      <c r="Q79" s="74" t="str">
        <f t="shared" si="40"/>
        <v>BRSUA</v>
      </c>
      <c r="R79" s="99" t="str">
        <f t="shared" si="40"/>
        <v>ZP901</v>
      </c>
      <c r="S79" s="99" t="str">
        <f t="shared" si="40"/>
        <v>BRSUATB02</v>
      </c>
      <c r="T79" s="74" t="str">
        <f t="shared" si="40"/>
        <v>BRSUATCO</v>
      </c>
      <c r="U79" s="6">
        <f t="shared" si="33"/>
        <v>8</v>
      </c>
      <c r="V79" s="102">
        <f t="shared" si="34"/>
        <v>44603.713121195025</v>
      </c>
      <c r="W79" s="102">
        <f t="shared" si="41"/>
        <v>44609.713121195025</v>
      </c>
      <c r="X79" s="102">
        <f t="shared" si="41"/>
        <v>44610.713121195025</v>
      </c>
      <c r="Y79" s="102">
        <f t="shared" si="41"/>
        <v>44610.775621195025</v>
      </c>
      <c r="Z79" s="102">
        <f t="shared" si="41"/>
        <v>44611.546454528354</v>
      </c>
      <c r="AA79" s="74" t="str">
        <f>AA69</f>
        <v>BRSSZ</v>
      </c>
      <c r="AB79" s="74" t="str">
        <f>AB69</f>
        <v>BRSSZTCO</v>
      </c>
    </row>
    <row r="80" spans="12:28">
      <c r="L80" s="6" t="s">
        <v>12</v>
      </c>
      <c r="M80" s="106" t="s">
        <v>183</v>
      </c>
      <c r="N80" s="6">
        <v>1</v>
      </c>
      <c r="O80" s="74" t="str">
        <f t="shared" si="40"/>
        <v>N</v>
      </c>
      <c r="P80" s="74" t="str">
        <f t="shared" si="40"/>
        <v>B</v>
      </c>
      <c r="Q80" s="74" t="str">
        <f t="shared" si="40"/>
        <v>BRSSZ</v>
      </c>
      <c r="R80" s="99" t="str">
        <f t="shared" si="40"/>
        <v>ZP1601</v>
      </c>
      <c r="S80" s="99" t="str">
        <f t="shared" si="40"/>
        <v>BRSSZTB01</v>
      </c>
      <c r="T80" s="74" t="str">
        <f t="shared" si="40"/>
        <v>BRSSZTCO</v>
      </c>
      <c r="U80" s="6">
        <f t="shared" si="33"/>
        <v>6</v>
      </c>
      <c r="V80" s="102">
        <f t="shared" si="34"/>
        <v>44586.791666666664</v>
      </c>
      <c r="W80" s="102">
        <f t="shared" si="41"/>
        <v>44592.791666666664</v>
      </c>
      <c r="X80" s="102">
        <f t="shared" si="41"/>
        <v>44593.791666666664</v>
      </c>
      <c r="Y80" s="102">
        <f t="shared" si="41"/>
        <v>44593.895833333328</v>
      </c>
      <c r="Z80" s="102">
        <f t="shared" si="41"/>
        <v>44595.718518518515</v>
      </c>
      <c r="AA80" s="74" t="str">
        <f t="shared" ref="AA80:AB88" si="42">AA70</f>
        <v>BRIGI</v>
      </c>
      <c r="AB80" s="74" t="str">
        <f t="shared" si="42"/>
        <v>BRIGITCO</v>
      </c>
    </row>
    <row r="81" spans="12:28">
      <c r="L81" s="6" t="s">
        <v>12</v>
      </c>
      <c r="M81" s="106" t="s">
        <v>183</v>
      </c>
      <c r="N81" s="6">
        <v>1</v>
      </c>
      <c r="O81" s="74" t="str">
        <f t="shared" si="40"/>
        <v>N</v>
      </c>
      <c r="P81" s="74" t="str">
        <f t="shared" si="40"/>
        <v>N</v>
      </c>
      <c r="Q81" s="74" t="str">
        <f t="shared" si="40"/>
        <v>BRIGI</v>
      </c>
      <c r="R81" s="99" t="str">
        <f t="shared" si="40"/>
        <v>ZP15A03</v>
      </c>
      <c r="S81" s="99" t="str">
        <f t="shared" si="40"/>
        <v>BRIGITB01</v>
      </c>
      <c r="T81" s="74" t="str">
        <f t="shared" si="40"/>
        <v>BRIGITCO</v>
      </c>
      <c r="U81" s="6">
        <f t="shared" si="33"/>
        <v>6</v>
      </c>
      <c r="V81" s="102">
        <f t="shared" si="34"/>
        <v>44589.094394891508</v>
      </c>
      <c r="W81" s="102">
        <f t="shared" si="41"/>
        <v>44595.094394891508</v>
      </c>
      <c r="X81" s="102">
        <f t="shared" si="41"/>
        <v>44596.094394891508</v>
      </c>
      <c r="Y81" s="102">
        <f t="shared" si="41"/>
        <v>44596.240228224844</v>
      </c>
      <c r="Z81" s="102">
        <f t="shared" si="41"/>
        <v>44597.433283780396</v>
      </c>
      <c r="AA81" s="74" t="str">
        <f t="shared" si="42"/>
        <v>BRSSA</v>
      </c>
      <c r="AB81" s="74" t="str">
        <f t="shared" si="42"/>
        <v>BRSSATCO</v>
      </c>
    </row>
    <row r="82" spans="12:28">
      <c r="L82" s="6" t="s">
        <v>12</v>
      </c>
      <c r="M82" s="106" t="s">
        <v>183</v>
      </c>
      <c r="N82" s="6">
        <v>1</v>
      </c>
      <c r="O82" s="74" t="str">
        <f t="shared" si="40"/>
        <v>N</v>
      </c>
      <c r="P82" s="74" t="str">
        <f t="shared" si="40"/>
        <v>N</v>
      </c>
      <c r="Q82" s="74" t="str">
        <f t="shared" si="40"/>
        <v>BRSSA</v>
      </c>
      <c r="R82" s="99" t="str">
        <f t="shared" si="40"/>
        <v>ZP1202</v>
      </c>
      <c r="S82" s="99" t="str">
        <f t="shared" si="40"/>
        <v>BRSSATB01</v>
      </c>
      <c r="T82" s="74" t="str">
        <f t="shared" si="40"/>
        <v>BRSSATCO</v>
      </c>
      <c r="U82" s="6">
        <f t="shared" si="33"/>
        <v>7</v>
      </c>
      <c r="V82" s="102">
        <f t="shared" si="34"/>
        <v>44592.450297220996</v>
      </c>
      <c r="W82" s="102">
        <f t="shared" si="41"/>
        <v>44598.450297220996</v>
      </c>
      <c r="X82" s="102">
        <f t="shared" si="41"/>
        <v>44599.450297220996</v>
      </c>
      <c r="Y82" s="102">
        <f t="shared" si="41"/>
        <v>44599.533630554331</v>
      </c>
      <c r="Z82" s="102">
        <f t="shared" si="41"/>
        <v>44600.114186109888</v>
      </c>
      <c r="AA82" s="74" t="str">
        <f t="shared" si="42"/>
        <v>BRSUA</v>
      </c>
      <c r="AB82" s="74" t="str">
        <f t="shared" si="42"/>
        <v>BRSUATCO</v>
      </c>
    </row>
    <row r="83" spans="12:28">
      <c r="L83" s="6" t="s">
        <v>12</v>
      </c>
      <c r="M83" s="106" t="s">
        <v>183</v>
      </c>
      <c r="N83" s="6">
        <v>1</v>
      </c>
      <c r="O83" s="74" t="str">
        <f t="shared" si="40"/>
        <v>N</v>
      </c>
      <c r="P83" s="74" t="str">
        <f t="shared" si="40"/>
        <v>N</v>
      </c>
      <c r="Q83" s="74" t="str">
        <f t="shared" si="40"/>
        <v>BRSUA</v>
      </c>
      <c r="R83" s="99" t="str">
        <f t="shared" si="40"/>
        <v>ZP901</v>
      </c>
      <c r="S83" s="99" t="str">
        <f t="shared" si="40"/>
        <v>BRSUATB02</v>
      </c>
      <c r="T83" s="74" t="str">
        <f t="shared" si="40"/>
        <v>BRSUATCO</v>
      </c>
      <c r="U83" s="6">
        <f t="shared" si="33"/>
        <v>7</v>
      </c>
      <c r="V83" s="102">
        <f t="shared" si="34"/>
        <v>44594.077702180381</v>
      </c>
      <c r="W83" s="102">
        <f t="shared" si="41"/>
        <v>44600.077702180381</v>
      </c>
      <c r="X83" s="102">
        <f t="shared" si="41"/>
        <v>44601.077702180381</v>
      </c>
      <c r="Y83" s="102">
        <f t="shared" si="41"/>
        <v>44601.140202180381</v>
      </c>
      <c r="Z83" s="102">
        <f t="shared" si="41"/>
        <v>44603.256868847042</v>
      </c>
      <c r="AA83" s="74" t="str">
        <f t="shared" si="42"/>
        <v>BRPEC</v>
      </c>
      <c r="AB83" s="74" t="str">
        <f t="shared" si="42"/>
        <v>BRPECAPM</v>
      </c>
    </row>
    <row r="84" spans="12:28">
      <c r="L84" s="6" t="s">
        <v>12</v>
      </c>
      <c r="M84" s="106" t="s">
        <v>183</v>
      </c>
      <c r="N84" s="6">
        <v>1</v>
      </c>
      <c r="O84" s="74" t="str">
        <f t="shared" si="40"/>
        <v>N</v>
      </c>
      <c r="P84" s="74" t="str">
        <f t="shared" si="40"/>
        <v>N</v>
      </c>
      <c r="Q84" s="74" t="str">
        <f t="shared" si="40"/>
        <v>BRPEC</v>
      </c>
      <c r="R84" s="99" t="str">
        <f t="shared" si="40"/>
        <v>ZP501</v>
      </c>
      <c r="S84" s="99" t="str">
        <f t="shared" si="40"/>
        <v>BRPECTB01</v>
      </c>
      <c r="T84" s="74" t="str">
        <f t="shared" si="40"/>
        <v>BRPECAPM</v>
      </c>
      <c r="U84" s="6">
        <f t="shared" si="33"/>
        <v>7</v>
      </c>
      <c r="V84" s="102">
        <f t="shared" si="34"/>
        <v>44597.443242792273</v>
      </c>
      <c r="W84" s="102">
        <f t="shared" si="41"/>
        <v>44603.443242792273</v>
      </c>
      <c r="X84" s="102">
        <f t="shared" si="41"/>
        <v>44604.443242792273</v>
      </c>
      <c r="Y84" s="102">
        <f t="shared" si="41"/>
        <v>44604.526576125609</v>
      </c>
      <c r="Z84" s="102">
        <f t="shared" si="41"/>
        <v>44605.211298347829</v>
      </c>
      <c r="AA84" s="74" t="str">
        <f t="shared" si="42"/>
        <v>BRMCP</v>
      </c>
      <c r="AB84" s="74">
        <f t="shared" si="42"/>
        <v>0</v>
      </c>
    </row>
    <row r="85" spans="12:28">
      <c r="L85" s="6" t="s">
        <v>12</v>
      </c>
      <c r="M85" s="106" t="s">
        <v>183</v>
      </c>
      <c r="N85" s="6">
        <v>1</v>
      </c>
      <c r="O85" s="74">
        <f t="shared" si="40"/>
        <v>0</v>
      </c>
      <c r="P85" s="74">
        <f t="shared" si="40"/>
        <v>0</v>
      </c>
      <c r="Q85" s="74" t="str">
        <f t="shared" si="40"/>
        <v>BRMCP</v>
      </c>
      <c r="R85" s="99" t="str">
        <f t="shared" si="40"/>
        <v>ZP101</v>
      </c>
      <c r="S85" s="99">
        <f t="shared" si="40"/>
        <v>0</v>
      </c>
      <c r="T85" s="74">
        <f t="shared" si="40"/>
        <v>0</v>
      </c>
      <c r="U85" s="6">
        <f t="shared" si="33"/>
        <v>8</v>
      </c>
      <c r="V85" s="102">
        <f t="shared" si="34"/>
        <v>44600.358029681898</v>
      </c>
      <c r="W85" s="102">
        <f t="shared" si="41"/>
        <v>44606.358029681898</v>
      </c>
      <c r="X85" s="102">
        <f t="shared" si="41"/>
        <v>44607.358029681898</v>
      </c>
      <c r="Y85" s="102">
        <f t="shared" si="41"/>
        <v>44607.399696348562</v>
      </c>
      <c r="Z85" s="102">
        <f t="shared" si="41"/>
        <v>44607.441363015227</v>
      </c>
      <c r="AA85" s="74" t="str">
        <f t="shared" si="42"/>
        <v>BRMAO</v>
      </c>
      <c r="AB85" s="74" t="str">
        <f t="shared" si="42"/>
        <v>BRMAOCHI</v>
      </c>
    </row>
    <row r="86" spans="12:28">
      <c r="L86" s="6" t="s">
        <v>12</v>
      </c>
      <c r="M86" s="106" t="s">
        <v>183</v>
      </c>
      <c r="N86" s="6">
        <v>1</v>
      </c>
      <c r="O86" s="74" t="str">
        <f t="shared" si="40"/>
        <v>S</v>
      </c>
      <c r="P86" s="74" t="str">
        <f t="shared" si="40"/>
        <v>D</v>
      </c>
      <c r="Q86" s="74" t="str">
        <f>Q76</f>
        <v>BRMAO</v>
      </c>
      <c r="R86" s="99" t="str">
        <f t="shared" si="40"/>
        <v>ZP201</v>
      </c>
      <c r="S86" s="99" t="str">
        <f t="shared" si="40"/>
        <v>BRMAOTB01</v>
      </c>
      <c r="T86" s="74" t="str">
        <f t="shared" si="40"/>
        <v>BRMAOCHI</v>
      </c>
      <c r="U86" s="6">
        <f t="shared" si="33"/>
        <v>8</v>
      </c>
      <c r="V86" s="102">
        <f t="shared" si="34"/>
        <v>44602.227551957192</v>
      </c>
      <c r="W86" s="102">
        <f t="shared" si="41"/>
        <v>44608.227551957192</v>
      </c>
      <c r="X86" s="102">
        <f t="shared" si="41"/>
        <v>44609.227551957192</v>
      </c>
      <c r="Y86" s="102">
        <f t="shared" si="41"/>
        <v>44609.290051957192</v>
      </c>
      <c r="Z86" s="102">
        <f t="shared" si="41"/>
        <v>44612.380329734966</v>
      </c>
      <c r="AA86" s="74" t="str">
        <f t="shared" si="42"/>
        <v>BRMCP</v>
      </c>
      <c r="AB86" s="74">
        <f t="shared" si="42"/>
        <v>0</v>
      </c>
    </row>
    <row r="87" spans="12:28">
      <c r="L87" s="6" t="s">
        <v>12</v>
      </c>
      <c r="M87" s="106" t="s">
        <v>183</v>
      </c>
      <c r="N87" s="6">
        <v>1</v>
      </c>
      <c r="O87" s="74">
        <f t="shared" si="40"/>
        <v>0</v>
      </c>
      <c r="P87" s="74">
        <f t="shared" si="40"/>
        <v>0</v>
      </c>
      <c r="Q87" s="74" t="str">
        <f t="shared" si="40"/>
        <v>BRMCP</v>
      </c>
      <c r="R87" s="99" t="str">
        <f t="shared" si="40"/>
        <v>ZP101</v>
      </c>
      <c r="S87" s="99">
        <f t="shared" si="40"/>
        <v>0</v>
      </c>
      <c r="T87" s="74">
        <f t="shared" si="40"/>
        <v>0</v>
      </c>
      <c r="U87" s="6">
        <f t="shared" si="33"/>
        <v>9</v>
      </c>
      <c r="V87" s="102">
        <f t="shared" si="34"/>
        <v>44606.843590077056</v>
      </c>
      <c r="W87" s="102">
        <f t="shared" si="41"/>
        <v>44612.843590077056</v>
      </c>
      <c r="X87" s="102">
        <f t="shared" si="41"/>
        <v>44613.843590077056</v>
      </c>
      <c r="Y87" s="102">
        <f t="shared" si="41"/>
        <v>44613.885256743721</v>
      </c>
      <c r="Z87" s="102">
        <f t="shared" si="41"/>
        <v>44613.926923410385</v>
      </c>
      <c r="AA87" s="74" t="str">
        <f t="shared" si="42"/>
        <v>BRPEC</v>
      </c>
      <c r="AB87" s="74" t="str">
        <f t="shared" si="42"/>
        <v>BRPECAPM</v>
      </c>
    </row>
    <row r="88" spans="12:28">
      <c r="L88" s="6" t="s">
        <v>12</v>
      </c>
      <c r="M88" s="106" t="s">
        <v>183</v>
      </c>
      <c r="N88" s="6">
        <v>1</v>
      </c>
      <c r="O88" s="74" t="str">
        <f t="shared" si="40"/>
        <v>S</v>
      </c>
      <c r="P88" s="74" t="str">
        <f t="shared" si="40"/>
        <v>N</v>
      </c>
      <c r="Q88" s="74" t="str">
        <f t="shared" si="40"/>
        <v>BRPEC</v>
      </c>
      <c r="R88" s="99" t="str">
        <f t="shared" si="40"/>
        <v>ZP501</v>
      </c>
      <c r="S88" s="99" t="str">
        <f t="shared" si="40"/>
        <v>BRPECTB02</v>
      </c>
      <c r="T88" s="74" t="str">
        <f t="shared" si="40"/>
        <v>BRPECAPM</v>
      </c>
      <c r="U88" s="6">
        <f t="shared" si="33"/>
        <v>9</v>
      </c>
      <c r="V88" s="102">
        <f t="shared" si="34"/>
        <v>44609.073654745254</v>
      </c>
      <c r="W88" s="102">
        <f t="shared" si="41"/>
        <v>44615.073654745254</v>
      </c>
      <c r="X88" s="102">
        <f t="shared" si="41"/>
        <v>44616.073654745254</v>
      </c>
      <c r="Y88" s="102">
        <f t="shared" si="41"/>
        <v>44616.15698807859</v>
      </c>
      <c r="Z88" s="102">
        <f t="shared" si="41"/>
        <v>44616.572265856368</v>
      </c>
      <c r="AA88" s="74" t="str">
        <f t="shared" si="42"/>
        <v>BRSUA</v>
      </c>
      <c r="AB88" s="74" t="str">
        <f t="shared" si="42"/>
        <v>BRSUATCO</v>
      </c>
    </row>
    <row r="89" spans="12:28">
      <c r="L89" s="6" t="s">
        <v>12</v>
      </c>
      <c r="M89" s="106" t="s">
        <v>183</v>
      </c>
      <c r="N89" s="6">
        <v>1</v>
      </c>
      <c r="O89" s="74" t="str">
        <f t="shared" si="40"/>
        <v>S</v>
      </c>
      <c r="P89" s="74" t="str">
        <f t="shared" si="40"/>
        <v>N</v>
      </c>
      <c r="Q89" s="74" t="str">
        <f t="shared" si="40"/>
        <v>BRSUA</v>
      </c>
      <c r="R89" s="99" t="str">
        <f t="shared" si="40"/>
        <v>ZP901</v>
      </c>
      <c r="S89" s="99" t="str">
        <f t="shared" si="40"/>
        <v>BRSUATB02</v>
      </c>
      <c r="T89" s="74" t="str">
        <f t="shared" si="40"/>
        <v>BRSUATCO</v>
      </c>
      <c r="U89" s="6">
        <f t="shared" si="33"/>
        <v>9</v>
      </c>
      <c r="V89" s="102">
        <f t="shared" si="34"/>
        <v>44610.713121195025</v>
      </c>
      <c r="W89" s="102">
        <f t="shared" si="41"/>
        <v>44616.713121195025</v>
      </c>
      <c r="X89" s="102">
        <f t="shared" si="41"/>
        <v>44617.713121195025</v>
      </c>
      <c r="Y89" s="102">
        <f t="shared" si="41"/>
        <v>44617.775621195025</v>
      </c>
      <c r="Z89" s="102">
        <f t="shared" si="41"/>
        <v>44618.546454528354</v>
      </c>
      <c r="AA89" s="74" t="str">
        <f>AA79</f>
        <v>BRSSZ</v>
      </c>
      <c r="AB89" s="74" t="str">
        <f>AB79</f>
        <v>BRSSZTCO</v>
      </c>
    </row>
    <row r="90" spans="12:28">
      <c r="L90" s="6" t="s">
        <v>12</v>
      </c>
      <c r="M90" s="6" t="str">
        <f>$J$2</f>
        <v>SHIP13</v>
      </c>
      <c r="N90" s="6">
        <f>N50+1</f>
        <v>2</v>
      </c>
      <c r="O90" s="74" t="str">
        <f t="shared" si="40"/>
        <v>N</v>
      </c>
      <c r="P90" s="74" t="str">
        <f t="shared" si="40"/>
        <v>B</v>
      </c>
      <c r="Q90" s="74" t="str">
        <f t="shared" si="40"/>
        <v>BRSSZ</v>
      </c>
      <c r="R90" s="99" t="str">
        <f t="shared" si="40"/>
        <v>ZP1601</v>
      </c>
      <c r="S90" s="99" t="str">
        <f t="shared" si="40"/>
        <v>BRSSZTB01</v>
      </c>
      <c r="T90" s="74" t="str">
        <f t="shared" si="40"/>
        <v>BRSSZTCO</v>
      </c>
      <c r="U90" s="6">
        <f t="shared" si="33"/>
        <v>7</v>
      </c>
      <c r="V90" s="102">
        <f t="shared" si="34"/>
        <v>44593.791666666664</v>
      </c>
      <c r="W90" s="102">
        <f t="shared" si="41"/>
        <v>44599.791666666664</v>
      </c>
      <c r="X90" s="102">
        <f t="shared" si="41"/>
        <v>44600.791666666664</v>
      </c>
      <c r="Y90" s="102">
        <f t="shared" si="41"/>
        <v>44600.895833333328</v>
      </c>
      <c r="Z90" s="102">
        <f t="shared" si="41"/>
        <v>44602.718518518515</v>
      </c>
      <c r="AA90" s="74" t="str">
        <f t="shared" ref="AA90:AB98" si="43">AA80</f>
        <v>BRIGI</v>
      </c>
      <c r="AB90" s="74" t="str">
        <f t="shared" si="43"/>
        <v>BRIGITCO</v>
      </c>
    </row>
    <row r="91" spans="12:28">
      <c r="L91" s="6" t="s">
        <v>12</v>
      </c>
      <c r="M91" s="6" t="str">
        <f t="shared" ref="M91:M99" si="44">$J$2</f>
        <v>SHIP13</v>
      </c>
      <c r="N91" s="6">
        <f t="shared" ref="N91:N154" si="45">N51+1</f>
        <v>2</v>
      </c>
      <c r="O91" s="74" t="str">
        <f t="shared" si="40"/>
        <v>N</v>
      </c>
      <c r="P91" s="74" t="str">
        <f t="shared" si="40"/>
        <v>N</v>
      </c>
      <c r="Q91" s="74" t="str">
        <f t="shared" si="40"/>
        <v>BRIGI</v>
      </c>
      <c r="R91" s="99" t="str">
        <f t="shared" si="40"/>
        <v>ZP15A03</v>
      </c>
      <c r="S91" s="99" t="str">
        <f t="shared" si="40"/>
        <v>BRIGITB01</v>
      </c>
      <c r="T91" s="74" t="str">
        <f t="shared" si="40"/>
        <v>BRIGITCO</v>
      </c>
      <c r="U91" s="6">
        <f t="shared" si="33"/>
        <v>7</v>
      </c>
      <c r="V91" s="102">
        <f t="shared" si="34"/>
        <v>44596.094394891508</v>
      </c>
      <c r="W91" s="102">
        <f t="shared" si="41"/>
        <v>44602.094394891508</v>
      </c>
      <c r="X91" s="102">
        <f t="shared" si="41"/>
        <v>44603.094394891508</v>
      </c>
      <c r="Y91" s="102">
        <f t="shared" si="41"/>
        <v>44603.240228224844</v>
      </c>
      <c r="Z91" s="102">
        <f t="shared" si="41"/>
        <v>44604.433283780396</v>
      </c>
      <c r="AA91" s="74" t="str">
        <f t="shared" si="43"/>
        <v>BRSSA</v>
      </c>
      <c r="AB91" s="74" t="str">
        <f t="shared" si="43"/>
        <v>BRSSATCO</v>
      </c>
    </row>
    <row r="92" spans="12:28">
      <c r="L92" s="6" t="s">
        <v>12</v>
      </c>
      <c r="M92" s="6" t="str">
        <f t="shared" si="44"/>
        <v>SHIP13</v>
      </c>
      <c r="N92" s="6">
        <f t="shared" si="45"/>
        <v>2</v>
      </c>
      <c r="O92" s="74" t="str">
        <f t="shared" ref="O92:T107" si="46">O82</f>
        <v>N</v>
      </c>
      <c r="P92" s="74" t="str">
        <f t="shared" si="46"/>
        <v>N</v>
      </c>
      <c r="Q92" s="74" t="str">
        <f t="shared" si="46"/>
        <v>BRSSA</v>
      </c>
      <c r="R92" s="99" t="str">
        <f t="shared" si="46"/>
        <v>ZP1202</v>
      </c>
      <c r="S92" s="99" t="str">
        <f t="shared" si="46"/>
        <v>BRSSATB01</v>
      </c>
      <c r="T92" s="74" t="str">
        <f t="shared" si="46"/>
        <v>BRSSATCO</v>
      </c>
      <c r="U92" s="6">
        <f t="shared" si="33"/>
        <v>8</v>
      </c>
      <c r="V92" s="102">
        <f t="shared" si="34"/>
        <v>44599.450297220996</v>
      </c>
      <c r="W92" s="102">
        <f t="shared" ref="W92:Z107" si="47">W82+7</f>
        <v>44605.450297220996</v>
      </c>
      <c r="X92" s="102">
        <f t="shared" si="47"/>
        <v>44606.450297220996</v>
      </c>
      <c r="Y92" s="102">
        <f t="shared" si="47"/>
        <v>44606.533630554331</v>
      </c>
      <c r="Z92" s="102">
        <f t="shared" si="47"/>
        <v>44607.114186109888</v>
      </c>
      <c r="AA92" s="74" t="str">
        <f t="shared" si="43"/>
        <v>BRSUA</v>
      </c>
      <c r="AB92" s="74" t="str">
        <f t="shared" si="43"/>
        <v>BRSUATCO</v>
      </c>
    </row>
    <row r="93" spans="12:28">
      <c r="L93" s="6" t="s">
        <v>12</v>
      </c>
      <c r="M93" s="6" t="str">
        <f t="shared" si="44"/>
        <v>SHIP13</v>
      </c>
      <c r="N93" s="6">
        <f t="shared" si="45"/>
        <v>2</v>
      </c>
      <c r="O93" s="74" t="str">
        <f t="shared" si="46"/>
        <v>N</v>
      </c>
      <c r="P93" s="74" t="str">
        <f t="shared" si="46"/>
        <v>N</v>
      </c>
      <c r="Q93" s="74" t="str">
        <f t="shared" si="46"/>
        <v>BRSUA</v>
      </c>
      <c r="R93" s="99" t="str">
        <f t="shared" si="46"/>
        <v>ZP901</v>
      </c>
      <c r="S93" s="99" t="str">
        <f t="shared" si="46"/>
        <v>BRSUATB02</v>
      </c>
      <c r="T93" s="74" t="str">
        <f t="shared" si="46"/>
        <v>BRSUATCO</v>
      </c>
      <c r="U93" s="6">
        <f t="shared" si="33"/>
        <v>8</v>
      </c>
      <c r="V93" s="102">
        <f t="shared" si="34"/>
        <v>44601.077702180381</v>
      </c>
      <c r="W93" s="102">
        <f t="shared" si="47"/>
        <v>44607.077702180381</v>
      </c>
      <c r="X93" s="102">
        <f t="shared" si="47"/>
        <v>44608.077702180381</v>
      </c>
      <c r="Y93" s="102">
        <f t="shared" si="47"/>
        <v>44608.140202180381</v>
      </c>
      <c r="Z93" s="102">
        <f t="shared" si="47"/>
        <v>44610.256868847042</v>
      </c>
      <c r="AA93" s="74" t="str">
        <f t="shared" si="43"/>
        <v>BRPEC</v>
      </c>
      <c r="AB93" s="74" t="str">
        <f t="shared" si="43"/>
        <v>BRPECAPM</v>
      </c>
    </row>
    <row r="94" spans="12:28">
      <c r="L94" s="6" t="s">
        <v>12</v>
      </c>
      <c r="M94" s="6" t="str">
        <f t="shared" si="44"/>
        <v>SHIP13</v>
      </c>
      <c r="N94" s="6">
        <f t="shared" si="45"/>
        <v>2</v>
      </c>
      <c r="O94" s="74" t="str">
        <f t="shared" si="46"/>
        <v>N</v>
      </c>
      <c r="P94" s="74" t="str">
        <f t="shared" si="46"/>
        <v>N</v>
      </c>
      <c r="Q94" s="74" t="str">
        <f t="shared" si="46"/>
        <v>BRPEC</v>
      </c>
      <c r="R94" s="99" t="str">
        <f t="shared" si="46"/>
        <v>ZP501</v>
      </c>
      <c r="S94" s="99" t="str">
        <f t="shared" si="46"/>
        <v>BRPECTB01</v>
      </c>
      <c r="T94" s="74" t="str">
        <f t="shared" si="46"/>
        <v>BRPECAPM</v>
      </c>
      <c r="U94" s="6">
        <f t="shared" si="33"/>
        <v>8</v>
      </c>
      <c r="V94" s="102">
        <f t="shared" si="34"/>
        <v>44604.443242792273</v>
      </c>
      <c r="W94" s="102">
        <f t="shared" si="47"/>
        <v>44610.443242792273</v>
      </c>
      <c r="X94" s="102">
        <f t="shared" si="47"/>
        <v>44611.443242792273</v>
      </c>
      <c r="Y94" s="102">
        <f t="shared" si="47"/>
        <v>44611.526576125609</v>
      </c>
      <c r="Z94" s="102">
        <f t="shared" si="47"/>
        <v>44612.211298347829</v>
      </c>
      <c r="AA94" s="74" t="str">
        <f t="shared" si="43"/>
        <v>BRMCP</v>
      </c>
      <c r="AB94" s="74">
        <f t="shared" si="43"/>
        <v>0</v>
      </c>
    </row>
    <row r="95" spans="12:28">
      <c r="L95" s="6" t="s">
        <v>12</v>
      </c>
      <c r="M95" s="6" t="str">
        <f t="shared" si="44"/>
        <v>SHIP13</v>
      </c>
      <c r="N95" s="6">
        <f t="shared" si="45"/>
        <v>2</v>
      </c>
      <c r="O95" s="74">
        <f t="shared" si="46"/>
        <v>0</v>
      </c>
      <c r="P95" s="74">
        <f t="shared" si="46"/>
        <v>0</v>
      </c>
      <c r="Q95" s="74" t="str">
        <f t="shared" si="46"/>
        <v>BRMCP</v>
      </c>
      <c r="R95" s="99" t="str">
        <f t="shared" si="46"/>
        <v>ZP101</v>
      </c>
      <c r="S95" s="99">
        <f t="shared" si="46"/>
        <v>0</v>
      </c>
      <c r="T95" s="74">
        <f t="shared" si="46"/>
        <v>0</v>
      </c>
      <c r="U95" s="6">
        <f t="shared" si="33"/>
        <v>9</v>
      </c>
      <c r="V95" s="102">
        <f t="shared" si="34"/>
        <v>44607.358029681898</v>
      </c>
      <c r="W95" s="102">
        <f t="shared" si="47"/>
        <v>44613.358029681898</v>
      </c>
      <c r="X95" s="102">
        <f t="shared" si="47"/>
        <v>44614.358029681898</v>
      </c>
      <c r="Y95" s="102">
        <f t="shared" si="47"/>
        <v>44614.399696348562</v>
      </c>
      <c r="Z95" s="102">
        <f t="shared" si="47"/>
        <v>44614.441363015227</v>
      </c>
      <c r="AA95" s="74" t="str">
        <f t="shared" si="43"/>
        <v>BRMAO</v>
      </c>
      <c r="AB95" s="74" t="str">
        <f t="shared" si="43"/>
        <v>BRMAOCHI</v>
      </c>
    </row>
    <row r="96" spans="12:28">
      <c r="L96" s="6" t="s">
        <v>12</v>
      </c>
      <c r="M96" s="6" t="str">
        <f t="shared" si="44"/>
        <v>SHIP13</v>
      </c>
      <c r="N96" s="6">
        <f t="shared" si="45"/>
        <v>2</v>
      </c>
      <c r="O96" s="74" t="str">
        <f t="shared" si="46"/>
        <v>S</v>
      </c>
      <c r="P96" s="74" t="str">
        <f t="shared" si="46"/>
        <v>D</v>
      </c>
      <c r="Q96" s="74" t="str">
        <f t="shared" si="46"/>
        <v>BRMAO</v>
      </c>
      <c r="R96" s="99" t="str">
        <f t="shared" si="46"/>
        <v>ZP201</v>
      </c>
      <c r="S96" s="99" t="str">
        <f t="shared" si="46"/>
        <v>BRMAOTB01</v>
      </c>
      <c r="T96" s="74" t="str">
        <f t="shared" si="46"/>
        <v>BRMAOCHI</v>
      </c>
      <c r="U96" s="6">
        <f t="shared" si="33"/>
        <v>9</v>
      </c>
      <c r="V96" s="102">
        <f t="shared" si="34"/>
        <v>44609.227551957192</v>
      </c>
      <c r="W96" s="102">
        <f t="shared" si="47"/>
        <v>44615.227551957192</v>
      </c>
      <c r="X96" s="102">
        <f t="shared" si="47"/>
        <v>44616.227551957192</v>
      </c>
      <c r="Y96" s="102">
        <f t="shared" si="47"/>
        <v>44616.290051957192</v>
      </c>
      <c r="Z96" s="102">
        <f t="shared" si="47"/>
        <v>44619.380329734966</v>
      </c>
      <c r="AA96" s="74" t="str">
        <f t="shared" si="43"/>
        <v>BRMCP</v>
      </c>
      <c r="AB96" s="74">
        <f t="shared" si="43"/>
        <v>0</v>
      </c>
    </row>
    <row r="97" spans="12:28">
      <c r="L97" s="6" t="s">
        <v>12</v>
      </c>
      <c r="M97" s="6" t="str">
        <f t="shared" si="44"/>
        <v>SHIP13</v>
      </c>
      <c r="N97" s="6">
        <f t="shared" si="45"/>
        <v>2</v>
      </c>
      <c r="O97" s="74">
        <f t="shared" si="46"/>
        <v>0</v>
      </c>
      <c r="P97" s="74">
        <f t="shared" si="46"/>
        <v>0</v>
      </c>
      <c r="Q97" s="74" t="str">
        <f t="shared" si="46"/>
        <v>BRMCP</v>
      </c>
      <c r="R97" s="99" t="str">
        <f t="shared" si="46"/>
        <v>ZP101</v>
      </c>
      <c r="S97" s="99">
        <f t="shared" si="46"/>
        <v>0</v>
      </c>
      <c r="T97" s="74">
        <f t="shared" si="46"/>
        <v>0</v>
      </c>
      <c r="U97" s="6">
        <f t="shared" si="33"/>
        <v>10</v>
      </c>
      <c r="V97" s="102">
        <f t="shared" si="34"/>
        <v>44613.843590077056</v>
      </c>
      <c r="W97" s="102">
        <f t="shared" si="47"/>
        <v>44619.843590077056</v>
      </c>
      <c r="X97" s="102">
        <f t="shared" si="47"/>
        <v>44620.843590077056</v>
      </c>
      <c r="Y97" s="102">
        <f t="shared" si="47"/>
        <v>44620.885256743721</v>
      </c>
      <c r="Z97" s="102">
        <f t="shared" si="47"/>
        <v>44620.926923410385</v>
      </c>
      <c r="AA97" s="74" t="str">
        <f t="shared" si="43"/>
        <v>BRPEC</v>
      </c>
      <c r="AB97" s="74" t="str">
        <f t="shared" si="43"/>
        <v>BRPECAPM</v>
      </c>
    </row>
    <row r="98" spans="12:28">
      <c r="L98" s="6" t="s">
        <v>12</v>
      </c>
      <c r="M98" s="6" t="str">
        <f t="shared" si="44"/>
        <v>SHIP13</v>
      </c>
      <c r="N98" s="6">
        <f t="shared" si="45"/>
        <v>2</v>
      </c>
      <c r="O98" s="74" t="str">
        <f t="shared" si="46"/>
        <v>S</v>
      </c>
      <c r="P98" s="74" t="str">
        <f t="shared" si="46"/>
        <v>N</v>
      </c>
      <c r="Q98" s="74" t="str">
        <f t="shared" si="46"/>
        <v>BRPEC</v>
      </c>
      <c r="R98" s="99" t="str">
        <f t="shared" si="46"/>
        <v>ZP501</v>
      </c>
      <c r="S98" s="99" t="str">
        <f t="shared" si="46"/>
        <v>BRPECTB02</v>
      </c>
      <c r="T98" s="74" t="str">
        <f t="shared" si="46"/>
        <v>BRPECAPM</v>
      </c>
      <c r="U98" s="6">
        <f t="shared" si="33"/>
        <v>10</v>
      </c>
      <c r="V98" s="102">
        <f t="shared" si="34"/>
        <v>44616.073654745254</v>
      </c>
      <c r="W98" s="102">
        <f t="shared" si="47"/>
        <v>44622.073654745254</v>
      </c>
      <c r="X98" s="102">
        <f t="shared" si="47"/>
        <v>44623.073654745254</v>
      </c>
      <c r="Y98" s="102">
        <f t="shared" si="47"/>
        <v>44623.15698807859</v>
      </c>
      <c r="Z98" s="102">
        <f t="shared" si="47"/>
        <v>44623.572265856368</v>
      </c>
      <c r="AA98" s="74" t="str">
        <f t="shared" si="43"/>
        <v>BRSUA</v>
      </c>
      <c r="AB98" s="74" t="str">
        <f t="shared" si="43"/>
        <v>BRSUATCO</v>
      </c>
    </row>
    <row r="99" spans="12:28">
      <c r="L99" s="6" t="s">
        <v>12</v>
      </c>
      <c r="M99" s="6" t="str">
        <f t="shared" si="44"/>
        <v>SHIP13</v>
      </c>
      <c r="N99" s="6">
        <f t="shared" si="45"/>
        <v>2</v>
      </c>
      <c r="O99" s="74" t="str">
        <f t="shared" si="46"/>
        <v>S</v>
      </c>
      <c r="P99" s="74" t="str">
        <f t="shared" si="46"/>
        <v>N</v>
      </c>
      <c r="Q99" s="74" t="str">
        <f t="shared" si="46"/>
        <v>BRSUA</v>
      </c>
      <c r="R99" s="99" t="str">
        <f t="shared" si="46"/>
        <v>ZP901</v>
      </c>
      <c r="S99" s="99" t="str">
        <f t="shared" si="46"/>
        <v>BRSUATB02</v>
      </c>
      <c r="T99" s="74" t="str">
        <f t="shared" si="46"/>
        <v>BRSUATCO</v>
      </c>
      <c r="U99" s="6">
        <f t="shared" si="33"/>
        <v>10</v>
      </c>
      <c r="V99" s="102">
        <f t="shared" si="34"/>
        <v>44617.713121195025</v>
      </c>
      <c r="W99" s="102">
        <f t="shared" si="47"/>
        <v>44623.713121195025</v>
      </c>
      <c r="X99" s="102">
        <f t="shared" si="47"/>
        <v>44624.713121195025</v>
      </c>
      <c r="Y99" s="102">
        <f t="shared" si="47"/>
        <v>44624.775621195025</v>
      </c>
      <c r="Z99" s="102">
        <f t="shared" si="47"/>
        <v>44625.546454528354</v>
      </c>
      <c r="AA99" s="74" t="str">
        <f>AA89</f>
        <v>BRSSZ</v>
      </c>
      <c r="AB99" s="74" t="str">
        <f>AB89</f>
        <v>BRSSZTCO</v>
      </c>
    </row>
    <row r="100" spans="12:28">
      <c r="L100" s="6" t="s">
        <v>12</v>
      </c>
      <c r="M100" s="106" t="s">
        <v>181</v>
      </c>
      <c r="N100" s="6">
        <f t="shared" si="45"/>
        <v>2</v>
      </c>
      <c r="O100" s="74" t="str">
        <f t="shared" si="46"/>
        <v>N</v>
      </c>
      <c r="P100" s="74" t="str">
        <f t="shared" si="46"/>
        <v>B</v>
      </c>
      <c r="Q100" s="74" t="str">
        <f t="shared" si="46"/>
        <v>BRSSZ</v>
      </c>
      <c r="R100" s="99" t="str">
        <f t="shared" si="46"/>
        <v>ZP1601</v>
      </c>
      <c r="S100" s="99" t="str">
        <f t="shared" si="46"/>
        <v>BRSSZTB01</v>
      </c>
      <c r="T100" s="74" t="str">
        <f t="shared" si="46"/>
        <v>BRSSZTCO</v>
      </c>
      <c r="U100" s="6">
        <f t="shared" si="33"/>
        <v>8</v>
      </c>
      <c r="V100" s="102">
        <f t="shared" si="34"/>
        <v>44600.791666666664</v>
      </c>
      <c r="W100" s="102">
        <f t="shared" si="47"/>
        <v>44606.791666666664</v>
      </c>
      <c r="X100" s="102">
        <f t="shared" si="47"/>
        <v>44607.791666666664</v>
      </c>
      <c r="Y100" s="102">
        <f t="shared" si="47"/>
        <v>44607.895833333328</v>
      </c>
      <c r="Z100" s="102">
        <f t="shared" si="47"/>
        <v>44609.718518518515</v>
      </c>
      <c r="AA100" s="74" t="str">
        <f t="shared" ref="AA100:AB108" si="48">AA90</f>
        <v>BRIGI</v>
      </c>
      <c r="AB100" s="74" t="str">
        <f t="shared" si="48"/>
        <v>BRIGITCO</v>
      </c>
    </row>
    <row r="101" spans="12:28">
      <c r="L101" s="6" t="s">
        <v>12</v>
      </c>
      <c r="M101" s="106" t="s">
        <v>181</v>
      </c>
      <c r="N101" s="6">
        <f t="shared" si="45"/>
        <v>2</v>
      </c>
      <c r="O101" s="74" t="str">
        <f t="shared" si="46"/>
        <v>N</v>
      </c>
      <c r="P101" s="74" t="str">
        <f t="shared" si="46"/>
        <v>N</v>
      </c>
      <c r="Q101" s="74" t="str">
        <f t="shared" si="46"/>
        <v>BRIGI</v>
      </c>
      <c r="R101" s="99" t="str">
        <f t="shared" si="46"/>
        <v>ZP15A03</v>
      </c>
      <c r="S101" s="99" t="str">
        <f t="shared" si="46"/>
        <v>BRIGITB01</v>
      </c>
      <c r="T101" s="74" t="str">
        <f t="shared" si="46"/>
        <v>BRIGITCO</v>
      </c>
      <c r="U101" s="6">
        <f t="shared" si="33"/>
        <v>8</v>
      </c>
      <c r="V101" s="102">
        <f t="shared" si="34"/>
        <v>44603.094394891508</v>
      </c>
      <c r="W101" s="102">
        <f t="shared" si="47"/>
        <v>44609.094394891508</v>
      </c>
      <c r="X101" s="102">
        <f t="shared" si="47"/>
        <v>44610.094394891508</v>
      </c>
      <c r="Y101" s="102">
        <f t="shared" si="47"/>
        <v>44610.240228224844</v>
      </c>
      <c r="Z101" s="102">
        <f t="shared" si="47"/>
        <v>44611.433283780396</v>
      </c>
      <c r="AA101" s="74" t="str">
        <f t="shared" si="48"/>
        <v>BRSSA</v>
      </c>
      <c r="AB101" s="74" t="str">
        <f t="shared" si="48"/>
        <v>BRSSATCO</v>
      </c>
    </row>
    <row r="102" spans="12:28">
      <c r="L102" s="6" t="s">
        <v>12</v>
      </c>
      <c r="M102" s="106" t="s">
        <v>181</v>
      </c>
      <c r="N102" s="6">
        <f t="shared" si="45"/>
        <v>2</v>
      </c>
      <c r="O102" s="74" t="str">
        <f t="shared" si="46"/>
        <v>N</v>
      </c>
      <c r="P102" s="74" t="str">
        <f t="shared" si="46"/>
        <v>N</v>
      </c>
      <c r="Q102" s="74" t="str">
        <f t="shared" si="46"/>
        <v>BRSSA</v>
      </c>
      <c r="R102" s="99" t="str">
        <f t="shared" si="46"/>
        <v>ZP1202</v>
      </c>
      <c r="S102" s="99" t="str">
        <f t="shared" si="46"/>
        <v>BRSSATB01</v>
      </c>
      <c r="T102" s="74" t="str">
        <f t="shared" si="46"/>
        <v>BRSSATCO</v>
      </c>
      <c r="U102" s="6">
        <f t="shared" si="33"/>
        <v>9</v>
      </c>
      <c r="V102" s="102">
        <f t="shared" si="34"/>
        <v>44606.450297220996</v>
      </c>
      <c r="W102" s="102">
        <f t="shared" si="47"/>
        <v>44612.450297220996</v>
      </c>
      <c r="X102" s="102">
        <f t="shared" si="47"/>
        <v>44613.450297220996</v>
      </c>
      <c r="Y102" s="102">
        <f t="shared" si="47"/>
        <v>44613.533630554331</v>
      </c>
      <c r="Z102" s="102">
        <f t="shared" si="47"/>
        <v>44614.114186109888</v>
      </c>
      <c r="AA102" s="74" t="str">
        <f t="shared" si="48"/>
        <v>BRSUA</v>
      </c>
      <c r="AB102" s="74" t="str">
        <f t="shared" si="48"/>
        <v>BRSUATCO</v>
      </c>
    </row>
    <row r="103" spans="12:28">
      <c r="L103" s="6" t="s">
        <v>12</v>
      </c>
      <c r="M103" s="106" t="s">
        <v>181</v>
      </c>
      <c r="N103" s="6">
        <f t="shared" si="45"/>
        <v>2</v>
      </c>
      <c r="O103" s="74" t="str">
        <f t="shared" si="46"/>
        <v>N</v>
      </c>
      <c r="P103" s="74" t="str">
        <f t="shared" si="46"/>
        <v>N</v>
      </c>
      <c r="Q103" s="74" t="str">
        <f t="shared" si="46"/>
        <v>BRSUA</v>
      </c>
      <c r="R103" s="99" t="str">
        <f t="shared" si="46"/>
        <v>ZP901</v>
      </c>
      <c r="S103" s="99" t="str">
        <f t="shared" si="46"/>
        <v>BRSUATB02</v>
      </c>
      <c r="T103" s="74" t="str">
        <f t="shared" si="46"/>
        <v>BRSUATCO</v>
      </c>
      <c r="U103" s="6">
        <f t="shared" si="33"/>
        <v>9</v>
      </c>
      <c r="V103" s="102">
        <f t="shared" si="34"/>
        <v>44608.077702180381</v>
      </c>
      <c r="W103" s="102">
        <f t="shared" si="47"/>
        <v>44614.077702180381</v>
      </c>
      <c r="X103" s="102">
        <f t="shared" si="47"/>
        <v>44615.077702180381</v>
      </c>
      <c r="Y103" s="102">
        <f t="shared" si="47"/>
        <v>44615.140202180381</v>
      </c>
      <c r="Z103" s="102">
        <f t="shared" si="47"/>
        <v>44617.256868847042</v>
      </c>
      <c r="AA103" s="74" t="str">
        <f t="shared" si="48"/>
        <v>BRPEC</v>
      </c>
      <c r="AB103" s="74" t="str">
        <f t="shared" si="48"/>
        <v>BRPECAPM</v>
      </c>
    </row>
    <row r="104" spans="12:28">
      <c r="L104" s="6" t="s">
        <v>12</v>
      </c>
      <c r="M104" s="106" t="s">
        <v>181</v>
      </c>
      <c r="N104" s="6">
        <f t="shared" si="45"/>
        <v>2</v>
      </c>
      <c r="O104" s="74" t="str">
        <f t="shared" si="46"/>
        <v>N</v>
      </c>
      <c r="P104" s="74" t="str">
        <f t="shared" si="46"/>
        <v>N</v>
      </c>
      <c r="Q104" s="74" t="str">
        <f t="shared" si="46"/>
        <v>BRPEC</v>
      </c>
      <c r="R104" s="99" t="str">
        <f t="shared" si="46"/>
        <v>ZP501</v>
      </c>
      <c r="S104" s="99" t="str">
        <f t="shared" si="46"/>
        <v>BRPECTB01</v>
      </c>
      <c r="T104" s="74" t="str">
        <f t="shared" si="46"/>
        <v>BRPECAPM</v>
      </c>
      <c r="U104" s="6">
        <f t="shared" si="33"/>
        <v>9</v>
      </c>
      <c r="V104" s="102">
        <f t="shared" si="34"/>
        <v>44611.443242792273</v>
      </c>
      <c r="W104" s="102">
        <f t="shared" si="47"/>
        <v>44617.443242792273</v>
      </c>
      <c r="X104" s="102">
        <f t="shared" si="47"/>
        <v>44618.443242792273</v>
      </c>
      <c r="Y104" s="102">
        <f t="shared" si="47"/>
        <v>44618.526576125609</v>
      </c>
      <c r="Z104" s="102">
        <f t="shared" si="47"/>
        <v>44619.211298347829</v>
      </c>
      <c r="AA104" s="74" t="str">
        <f t="shared" si="48"/>
        <v>BRMCP</v>
      </c>
      <c r="AB104" s="74">
        <f t="shared" si="48"/>
        <v>0</v>
      </c>
    </row>
    <row r="105" spans="12:28">
      <c r="L105" s="6" t="s">
        <v>12</v>
      </c>
      <c r="M105" s="106" t="s">
        <v>181</v>
      </c>
      <c r="N105" s="6">
        <f t="shared" si="45"/>
        <v>2</v>
      </c>
      <c r="O105" s="74">
        <f t="shared" si="46"/>
        <v>0</v>
      </c>
      <c r="P105" s="74">
        <f t="shared" si="46"/>
        <v>0</v>
      </c>
      <c r="Q105" s="74" t="str">
        <f t="shared" si="46"/>
        <v>BRMCP</v>
      </c>
      <c r="R105" s="99" t="str">
        <f t="shared" si="46"/>
        <v>ZP101</v>
      </c>
      <c r="S105" s="99">
        <f t="shared" si="46"/>
        <v>0</v>
      </c>
      <c r="T105" s="74">
        <f t="shared" si="46"/>
        <v>0</v>
      </c>
      <c r="U105" s="6">
        <f t="shared" si="33"/>
        <v>10</v>
      </c>
      <c r="V105" s="102">
        <f t="shared" si="34"/>
        <v>44614.358029681898</v>
      </c>
      <c r="W105" s="102">
        <f t="shared" si="47"/>
        <v>44620.358029681898</v>
      </c>
      <c r="X105" s="102">
        <f t="shared" si="47"/>
        <v>44621.358029681898</v>
      </c>
      <c r="Y105" s="102">
        <f t="shared" si="47"/>
        <v>44621.399696348562</v>
      </c>
      <c r="Z105" s="102">
        <f t="shared" si="47"/>
        <v>44621.441363015227</v>
      </c>
      <c r="AA105" s="74" t="str">
        <f t="shared" si="48"/>
        <v>BRMAO</v>
      </c>
      <c r="AB105" s="74" t="str">
        <f t="shared" si="48"/>
        <v>BRMAOCHI</v>
      </c>
    </row>
    <row r="106" spans="12:28">
      <c r="L106" s="6" t="s">
        <v>12</v>
      </c>
      <c r="M106" s="106" t="s">
        <v>181</v>
      </c>
      <c r="N106" s="6">
        <f t="shared" si="45"/>
        <v>2</v>
      </c>
      <c r="O106" s="74" t="str">
        <f t="shared" si="46"/>
        <v>S</v>
      </c>
      <c r="P106" s="74" t="str">
        <f t="shared" si="46"/>
        <v>D</v>
      </c>
      <c r="Q106" s="74" t="str">
        <f>Q96</f>
        <v>BRMAO</v>
      </c>
      <c r="R106" s="99" t="str">
        <f t="shared" si="46"/>
        <v>ZP201</v>
      </c>
      <c r="S106" s="99" t="str">
        <f t="shared" si="46"/>
        <v>BRMAOTB01</v>
      </c>
      <c r="T106" s="74" t="str">
        <f t="shared" si="46"/>
        <v>BRMAOCHI</v>
      </c>
      <c r="U106" s="6">
        <f t="shared" si="33"/>
        <v>10</v>
      </c>
      <c r="V106" s="102">
        <f t="shared" si="34"/>
        <v>44616.227551957192</v>
      </c>
      <c r="W106" s="102">
        <f t="shared" si="47"/>
        <v>44622.227551957192</v>
      </c>
      <c r="X106" s="102">
        <f t="shared" si="47"/>
        <v>44623.227551957192</v>
      </c>
      <c r="Y106" s="102">
        <f t="shared" si="47"/>
        <v>44623.290051957192</v>
      </c>
      <c r="Z106" s="102">
        <f t="shared" si="47"/>
        <v>44626.380329734966</v>
      </c>
      <c r="AA106" s="74" t="str">
        <f t="shared" si="48"/>
        <v>BRMCP</v>
      </c>
      <c r="AB106" s="74">
        <f t="shared" si="48"/>
        <v>0</v>
      </c>
    </row>
    <row r="107" spans="12:28">
      <c r="L107" s="6" t="s">
        <v>12</v>
      </c>
      <c r="M107" s="106" t="s">
        <v>181</v>
      </c>
      <c r="N107" s="6">
        <f t="shared" si="45"/>
        <v>2</v>
      </c>
      <c r="O107" s="74">
        <f t="shared" si="46"/>
        <v>0</v>
      </c>
      <c r="P107" s="74">
        <f t="shared" si="46"/>
        <v>0</v>
      </c>
      <c r="Q107" s="74" t="str">
        <f t="shared" si="46"/>
        <v>BRMCP</v>
      </c>
      <c r="R107" s="99" t="str">
        <f t="shared" si="46"/>
        <v>ZP101</v>
      </c>
      <c r="S107" s="99">
        <f t="shared" si="46"/>
        <v>0</v>
      </c>
      <c r="T107" s="74">
        <f t="shared" si="46"/>
        <v>0</v>
      </c>
      <c r="U107" s="6">
        <f t="shared" si="33"/>
        <v>11</v>
      </c>
      <c r="V107" s="102">
        <f t="shared" si="34"/>
        <v>44620.843590077056</v>
      </c>
      <c r="W107" s="102">
        <f t="shared" si="47"/>
        <v>44626.843590077056</v>
      </c>
      <c r="X107" s="102">
        <f t="shared" si="47"/>
        <v>44627.843590077056</v>
      </c>
      <c r="Y107" s="102">
        <f t="shared" si="47"/>
        <v>44627.885256743721</v>
      </c>
      <c r="Z107" s="102">
        <f t="shared" si="47"/>
        <v>44627.926923410385</v>
      </c>
      <c r="AA107" s="74" t="str">
        <f t="shared" si="48"/>
        <v>BRPEC</v>
      </c>
      <c r="AB107" s="74" t="str">
        <f t="shared" si="48"/>
        <v>BRPECAPM</v>
      </c>
    </row>
    <row r="108" spans="12:28">
      <c r="L108" s="6" t="s">
        <v>12</v>
      </c>
      <c r="M108" s="106" t="s">
        <v>181</v>
      </c>
      <c r="N108" s="6">
        <f t="shared" si="45"/>
        <v>2</v>
      </c>
      <c r="O108" s="74" t="str">
        <f t="shared" ref="O108:T123" si="49">O98</f>
        <v>S</v>
      </c>
      <c r="P108" s="74" t="str">
        <f t="shared" si="49"/>
        <v>N</v>
      </c>
      <c r="Q108" s="74" t="str">
        <f t="shared" si="49"/>
        <v>BRPEC</v>
      </c>
      <c r="R108" s="99" t="str">
        <f t="shared" si="49"/>
        <v>ZP501</v>
      </c>
      <c r="S108" s="99" t="str">
        <f t="shared" si="49"/>
        <v>BRPECTB02</v>
      </c>
      <c r="T108" s="74" t="str">
        <f t="shared" si="49"/>
        <v>BRPECAPM</v>
      </c>
      <c r="U108" s="6">
        <f t="shared" si="33"/>
        <v>11</v>
      </c>
      <c r="V108" s="102">
        <f t="shared" si="34"/>
        <v>44623.073654745254</v>
      </c>
      <c r="W108" s="102">
        <f t="shared" ref="W108:Z123" si="50">W98+7</f>
        <v>44629.073654745254</v>
      </c>
      <c r="X108" s="102">
        <f t="shared" si="50"/>
        <v>44630.073654745254</v>
      </c>
      <c r="Y108" s="102">
        <f t="shared" si="50"/>
        <v>44630.15698807859</v>
      </c>
      <c r="Z108" s="102">
        <f t="shared" si="50"/>
        <v>44630.572265856368</v>
      </c>
      <c r="AA108" s="74" t="str">
        <f t="shared" si="48"/>
        <v>BRSUA</v>
      </c>
      <c r="AB108" s="74" t="str">
        <f t="shared" si="48"/>
        <v>BRSUATCO</v>
      </c>
    </row>
    <row r="109" spans="12:28">
      <c r="L109" s="6" t="s">
        <v>12</v>
      </c>
      <c r="M109" s="106" t="s">
        <v>181</v>
      </c>
      <c r="N109" s="6">
        <f t="shared" si="45"/>
        <v>2</v>
      </c>
      <c r="O109" s="74" t="str">
        <f t="shared" si="49"/>
        <v>S</v>
      </c>
      <c r="P109" s="74" t="str">
        <f t="shared" si="49"/>
        <v>N</v>
      </c>
      <c r="Q109" s="74" t="str">
        <f t="shared" si="49"/>
        <v>BRSUA</v>
      </c>
      <c r="R109" s="99" t="str">
        <f t="shared" si="49"/>
        <v>ZP901</v>
      </c>
      <c r="S109" s="99" t="str">
        <f t="shared" si="49"/>
        <v>BRSUATB02</v>
      </c>
      <c r="T109" s="74" t="str">
        <f t="shared" si="49"/>
        <v>BRSUATCO</v>
      </c>
      <c r="U109" s="6">
        <f t="shared" si="33"/>
        <v>11</v>
      </c>
      <c r="V109" s="102">
        <f t="shared" si="34"/>
        <v>44624.713121195025</v>
      </c>
      <c r="W109" s="102">
        <f t="shared" si="50"/>
        <v>44630.713121195025</v>
      </c>
      <c r="X109" s="102">
        <f t="shared" si="50"/>
        <v>44631.713121195025</v>
      </c>
      <c r="Y109" s="102">
        <f t="shared" si="50"/>
        <v>44631.775621195025</v>
      </c>
      <c r="Z109" s="102">
        <f t="shared" si="50"/>
        <v>44632.546454528354</v>
      </c>
      <c r="AA109" s="74" t="str">
        <f>AA99</f>
        <v>BRSSZ</v>
      </c>
      <c r="AB109" s="74" t="str">
        <f>AB99</f>
        <v>BRSSZTCO</v>
      </c>
    </row>
    <row r="110" spans="12:28">
      <c r="L110" s="6" t="s">
        <v>12</v>
      </c>
      <c r="M110" s="6" t="s">
        <v>182</v>
      </c>
      <c r="N110" s="6">
        <f t="shared" si="45"/>
        <v>2</v>
      </c>
      <c r="O110" s="74" t="str">
        <f t="shared" si="49"/>
        <v>N</v>
      </c>
      <c r="P110" s="74" t="str">
        <f t="shared" si="49"/>
        <v>B</v>
      </c>
      <c r="Q110" s="74" t="str">
        <f t="shared" si="49"/>
        <v>BRSSZ</v>
      </c>
      <c r="R110" s="99" t="str">
        <f t="shared" si="49"/>
        <v>ZP1601</v>
      </c>
      <c r="S110" s="99" t="str">
        <f t="shared" si="49"/>
        <v>BRSSZTB01</v>
      </c>
      <c r="T110" s="74" t="str">
        <f t="shared" si="49"/>
        <v>BRSSZTCO</v>
      </c>
      <c r="U110" s="6">
        <f t="shared" si="33"/>
        <v>9</v>
      </c>
      <c r="V110" s="102">
        <f t="shared" si="34"/>
        <v>44607.791666666664</v>
      </c>
      <c r="W110" s="102">
        <f t="shared" si="50"/>
        <v>44613.791666666664</v>
      </c>
      <c r="X110" s="102">
        <f t="shared" si="50"/>
        <v>44614.791666666664</v>
      </c>
      <c r="Y110" s="102">
        <f t="shared" si="50"/>
        <v>44614.895833333328</v>
      </c>
      <c r="Z110" s="102">
        <f t="shared" si="50"/>
        <v>44616.718518518515</v>
      </c>
      <c r="AA110" s="74" t="str">
        <f t="shared" ref="AA110:AB118" si="51">AA100</f>
        <v>BRIGI</v>
      </c>
      <c r="AB110" s="74" t="str">
        <f t="shared" si="51"/>
        <v>BRIGITCO</v>
      </c>
    </row>
    <row r="111" spans="12:28">
      <c r="L111" s="6" t="s">
        <v>12</v>
      </c>
      <c r="M111" s="6" t="s">
        <v>182</v>
      </c>
      <c r="N111" s="6">
        <f t="shared" si="45"/>
        <v>2</v>
      </c>
      <c r="O111" s="74" t="str">
        <f t="shared" si="49"/>
        <v>N</v>
      </c>
      <c r="P111" s="74" t="str">
        <f t="shared" si="49"/>
        <v>N</v>
      </c>
      <c r="Q111" s="74" t="str">
        <f t="shared" si="49"/>
        <v>BRIGI</v>
      </c>
      <c r="R111" s="99" t="str">
        <f t="shared" si="49"/>
        <v>ZP15A03</v>
      </c>
      <c r="S111" s="99" t="str">
        <f t="shared" si="49"/>
        <v>BRIGITB01</v>
      </c>
      <c r="T111" s="74" t="str">
        <f t="shared" si="49"/>
        <v>BRIGITCO</v>
      </c>
      <c r="U111" s="6">
        <f t="shared" si="33"/>
        <v>9</v>
      </c>
      <c r="V111" s="102">
        <f t="shared" si="34"/>
        <v>44610.094394891508</v>
      </c>
      <c r="W111" s="102">
        <f t="shared" si="50"/>
        <v>44616.094394891508</v>
      </c>
      <c r="X111" s="102">
        <f t="shared" si="50"/>
        <v>44617.094394891508</v>
      </c>
      <c r="Y111" s="102">
        <f t="shared" si="50"/>
        <v>44617.240228224844</v>
      </c>
      <c r="Z111" s="102">
        <f t="shared" si="50"/>
        <v>44618.433283780396</v>
      </c>
      <c r="AA111" s="74" t="str">
        <f t="shared" si="51"/>
        <v>BRSSA</v>
      </c>
      <c r="AB111" s="74" t="str">
        <f t="shared" si="51"/>
        <v>BRSSATCO</v>
      </c>
    </row>
    <row r="112" spans="12:28">
      <c r="L112" s="6" t="s">
        <v>12</v>
      </c>
      <c r="M112" s="6" t="s">
        <v>182</v>
      </c>
      <c r="N112" s="6">
        <f t="shared" si="45"/>
        <v>2</v>
      </c>
      <c r="O112" s="74" t="str">
        <f t="shared" si="49"/>
        <v>N</v>
      </c>
      <c r="P112" s="74" t="str">
        <f t="shared" si="49"/>
        <v>N</v>
      </c>
      <c r="Q112" s="74" t="str">
        <f t="shared" si="49"/>
        <v>BRSSA</v>
      </c>
      <c r="R112" s="99" t="str">
        <f t="shared" si="49"/>
        <v>ZP1202</v>
      </c>
      <c r="S112" s="99" t="str">
        <f t="shared" si="49"/>
        <v>BRSSATB01</v>
      </c>
      <c r="T112" s="74" t="str">
        <f t="shared" si="49"/>
        <v>BRSSATCO</v>
      </c>
      <c r="U112" s="6">
        <f t="shared" si="33"/>
        <v>10</v>
      </c>
      <c r="V112" s="102">
        <f t="shared" si="34"/>
        <v>44613.450297220996</v>
      </c>
      <c r="W112" s="102">
        <f t="shared" si="50"/>
        <v>44619.450297220996</v>
      </c>
      <c r="X112" s="102">
        <f t="shared" si="50"/>
        <v>44620.450297220996</v>
      </c>
      <c r="Y112" s="102">
        <f t="shared" si="50"/>
        <v>44620.533630554331</v>
      </c>
      <c r="Z112" s="102">
        <f t="shared" si="50"/>
        <v>44621.114186109888</v>
      </c>
      <c r="AA112" s="74" t="str">
        <f t="shared" si="51"/>
        <v>BRSUA</v>
      </c>
      <c r="AB112" s="74" t="str">
        <f t="shared" si="51"/>
        <v>BRSUATCO</v>
      </c>
    </row>
    <row r="113" spans="12:28">
      <c r="L113" s="6" t="s">
        <v>12</v>
      </c>
      <c r="M113" s="6" t="s">
        <v>182</v>
      </c>
      <c r="N113" s="6">
        <f t="shared" si="45"/>
        <v>2</v>
      </c>
      <c r="O113" s="74" t="str">
        <f t="shared" si="49"/>
        <v>N</v>
      </c>
      <c r="P113" s="74" t="str">
        <f t="shared" si="49"/>
        <v>N</v>
      </c>
      <c r="Q113" s="74" t="str">
        <f t="shared" si="49"/>
        <v>BRSUA</v>
      </c>
      <c r="R113" s="99" t="str">
        <f t="shared" si="49"/>
        <v>ZP901</v>
      </c>
      <c r="S113" s="99" t="str">
        <f t="shared" si="49"/>
        <v>BRSUATB02</v>
      </c>
      <c r="T113" s="74" t="str">
        <f t="shared" si="49"/>
        <v>BRSUATCO</v>
      </c>
      <c r="U113" s="6">
        <f t="shared" si="33"/>
        <v>10</v>
      </c>
      <c r="V113" s="102">
        <f t="shared" si="34"/>
        <v>44615.077702180381</v>
      </c>
      <c r="W113" s="102">
        <f t="shared" si="50"/>
        <v>44621.077702180381</v>
      </c>
      <c r="X113" s="102">
        <f t="shared" si="50"/>
        <v>44622.077702180381</v>
      </c>
      <c r="Y113" s="102">
        <f t="shared" si="50"/>
        <v>44622.140202180381</v>
      </c>
      <c r="Z113" s="102">
        <f t="shared" si="50"/>
        <v>44624.256868847042</v>
      </c>
      <c r="AA113" s="74" t="str">
        <f t="shared" si="51"/>
        <v>BRPEC</v>
      </c>
      <c r="AB113" s="74" t="str">
        <f t="shared" si="51"/>
        <v>BRPECAPM</v>
      </c>
    </row>
    <row r="114" spans="12:28">
      <c r="L114" s="6" t="s">
        <v>12</v>
      </c>
      <c r="M114" s="6" t="s">
        <v>182</v>
      </c>
      <c r="N114" s="6">
        <f t="shared" si="45"/>
        <v>2</v>
      </c>
      <c r="O114" s="74" t="str">
        <f t="shared" si="49"/>
        <v>N</v>
      </c>
      <c r="P114" s="74" t="str">
        <f t="shared" si="49"/>
        <v>N</v>
      </c>
      <c r="Q114" s="74" t="str">
        <f t="shared" si="49"/>
        <v>BRPEC</v>
      </c>
      <c r="R114" s="99" t="str">
        <f t="shared" si="49"/>
        <v>ZP501</v>
      </c>
      <c r="S114" s="99" t="str">
        <f t="shared" si="49"/>
        <v>BRPECTB01</v>
      </c>
      <c r="T114" s="74" t="str">
        <f t="shared" si="49"/>
        <v>BRPECAPM</v>
      </c>
      <c r="U114" s="6">
        <f t="shared" si="33"/>
        <v>10</v>
      </c>
      <c r="V114" s="102">
        <f t="shared" si="34"/>
        <v>44618.443242792273</v>
      </c>
      <c r="W114" s="102">
        <f t="shared" si="50"/>
        <v>44624.443242792273</v>
      </c>
      <c r="X114" s="102">
        <f t="shared" si="50"/>
        <v>44625.443242792273</v>
      </c>
      <c r="Y114" s="102">
        <f t="shared" si="50"/>
        <v>44625.526576125609</v>
      </c>
      <c r="Z114" s="102">
        <f t="shared" si="50"/>
        <v>44626.211298347829</v>
      </c>
      <c r="AA114" s="74" t="str">
        <f t="shared" si="51"/>
        <v>BRMCP</v>
      </c>
      <c r="AB114" s="74">
        <f t="shared" si="51"/>
        <v>0</v>
      </c>
    </row>
    <row r="115" spans="12:28">
      <c r="L115" s="6" t="s">
        <v>12</v>
      </c>
      <c r="M115" s="6" t="s">
        <v>182</v>
      </c>
      <c r="N115" s="6">
        <f t="shared" si="45"/>
        <v>2</v>
      </c>
      <c r="O115" s="74">
        <f t="shared" si="49"/>
        <v>0</v>
      </c>
      <c r="P115" s="74">
        <f t="shared" si="49"/>
        <v>0</v>
      </c>
      <c r="Q115" s="74" t="str">
        <f t="shared" si="49"/>
        <v>BRMCP</v>
      </c>
      <c r="R115" s="99" t="str">
        <f t="shared" si="49"/>
        <v>ZP101</v>
      </c>
      <c r="S115" s="99">
        <f t="shared" si="49"/>
        <v>0</v>
      </c>
      <c r="T115" s="74">
        <f t="shared" si="49"/>
        <v>0</v>
      </c>
      <c r="U115" s="6">
        <f t="shared" ref="U115:U178" si="52">WEEKNUM(X115)</f>
        <v>11</v>
      </c>
      <c r="V115" s="102">
        <f t="shared" ref="V115:V178" si="53">X115-7</f>
        <v>44621.358029681898</v>
      </c>
      <c r="W115" s="102">
        <f t="shared" si="50"/>
        <v>44627.358029681898</v>
      </c>
      <c r="X115" s="102">
        <f t="shared" si="50"/>
        <v>44628.358029681898</v>
      </c>
      <c r="Y115" s="102">
        <f t="shared" si="50"/>
        <v>44628.399696348562</v>
      </c>
      <c r="Z115" s="102">
        <f t="shared" si="50"/>
        <v>44628.441363015227</v>
      </c>
      <c r="AA115" s="74" t="str">
        <f t="shared" si="51"/>
        <v>BRMAO</v>
      </c>
      <c r="AB115" s="74" t="str">
        <f t="shared" si="51"/>
        <v>BRMAOCHI</v>
      </c>
    </row>
    <row r="116" spans="12:28">
      <c r="L116" s="6" t="s">
        <v>12</v>
      </c>
      <c r="M116" s="6" t="s">
        <v>182</v>
      </c>
      <c r="N116" s="6">
        <f t="shared" si="45"/>
        <v>2</v>
      </c>
      <c r="O116" s="74" t="str">
        <f t="shared" si="49"/>
        <v>S</v>
      </c>
      <c r="P116" s="74" t="str">
        <f t="shared" si="49"/>
        <v>D</v>
      </c>
      <c r="Q116" s="74" t="str">
        <f t="shared" si="49"/>
        <v>BRMAO</v>
      </c>
      <c r="R116" s="99" t="str">
        <f t="shared" si="49"/>
        <v>ZP201</v>
      </c>
      <c r="S116" s="99" t="str">
        <f t="shared" si="49"/>
        <v>BRMAOTB01</v>
      </c>
      <c r="T116" s="74" t="str">
        <f t="shared" si="49"/>
        <v>BRMAOCHI</v>
      </c>
      <c r="U116" s="6">
        <f t="shared" si="52"/>
        <v>11</v>
      </c>
      <c r="V116" s="102">
        <f t="shared" si="53"/>
        <v>44623.227551957192</v>
      </c>
      <c r="W116" s="102">
        <f t="shared" si="50"/>
        <v>44629.227551957192</v>
      </c>
      <c r="X116" s="102">
        <f t="shared" si="50"/>
        <v>44630.227551957192</v>
      </c>
      <c r="Y116" s="102">
        <f t="shared" si="50"/>
        <v>44630.290051957192</v>
      </c>
      <c r="Z116" s="102">
        <f t="shared" si="50"/>
        <v>44633.380329734966</v>
      </c>
      <c r="AA116" s="74" t="str">
        <f t="shared" si="51"/>
        <v>BRMCP</v>
      </c>
      <c r="AB116" s="74">
        <f t="shared" si="51"/>
        <v>0</v>
      </c>
    </row>
    <row r="117" spans="12:28">
      <c r="L117" s="6" t="s">
        <v>12</v>
      </c>
      <c r="M117" s="6" t="s">
        <v>182</v>
      </c>
      <c r="N117" s="6">
        <f t="shared" si="45"/>
        <v>2</v>
      </c>
      <c r="O117" s="74">
        <f t="shared" si="49"/>
        <v>0</v>
      </c>
      <c r="P117" s="74">
        <f t="shared" si="49"/>
        <v>0</v>
      </c>
      <c r="Q117" s="74" t="str">
        <f t="shared" si="49"/>
        <v>BRMCP</v>
      </c>
      <c r="R117" s="99" t="str">
        <f t="shared" si="49"/>
        <v>ZP101</v>
      </c>
      <c r="S117" s="99">
        <f t="shared" si="49"/>
        <v>0</v>
      </c>
      <c r="T117" s="74">
        <f t="shared" si="49"/>
        <v>0</v>
      </c>
      <c r="U117" s="6">
        <f t="shared" si="52"/>
        <v>12</v>
      </c>
      <c r="V117" s="102">
        <f t="shared" si="53"/>
        <v>44627.843590077056</v>
      </c>
      <c r="W117" s="102">
        <f t="shared" si="50"/>
        <v>44633.843590077056</v>
      </c>
      <c r="X117" s="102">
        <f t="shared" si="50"/>
        <v>44634.843590077056</v>
      </c>
      <c r="Y117" s="102">
        <f t="shared" si="50"/>
        <v>44634.885256743721</v>
      </c>
      <c r="Z117" s="102">
        <f t="shared" si="50"/>
        <v>44634.926923410385</v>
      </c>
      <c r="AA117" s="74" t="str">
        <f t="shared" si="51"/>
        <v>BRPEC</v>
      </c>
      <c r="AB117" s="74" t="str">
        <f t="shared" si="51"/>
        <v>BRPECAPM</v>
      </c>
    </row>
    <row r="118" spans="12:28">
      <c r="L118" s="6" t="s">
        <v>12</v>
      </c>
      <c r="M118" s="6" t="s">
        <v>182</v>
      </c>
      <c r="N118" s="6">
        <f t="shared" si="45"/>
        <v>2</v>
      </c>
      <c r="O118" s="74" t="str">
        <f t="shared" si="49"/>
        <v>S</v>
      </c>
      <c r="P118" s="74" t="str">
        <f t="shared" si="49"/>
        <v>N</v>
      </c>
      <c r="Q118" s="74" t="str">
        <f t="shared" si="49"/>
        <v>BRPEC</v>
      </c>
      <c r="R118" s="99" t="str">
        <f t="shared" si="49"/>
        <v>ZP501</v>
      </c>
      <c r="S118" s="99" t="str">
        <f t="shared" si="49"/>
        <v>BRPECTB02</v>
      </c>
      <c r="T118" s="74" t="str">
        <f t="shared" si="49"/>
        <v>BRPECAPM</v>
      </c>
      <c r="U118" s="6">
        <f t="shared" si="52"/>
        <v>12</v>
      </c>
      <c r="V118" s="102">
        <f t="shared" si="53"/>
        <v>44630.073654745254</v>
      </c>
      <c r="W118" s="102">
        <f t="shared" si="50"/>
        <v>44636.073654745254</v>
      </c>
      <c r="X118" s="102">
        <f t="shared" si="50"/>
        <v>44637.073654745254</v>
      </c>
      <c r="Y118" s="102">
        <f t="shared" si="50"/>
        <v>44637.15698807859</v>
      </c>
      <c r="Z118" s="102">
        <f t="shared" si="50"/>
        <v>44637.572265856368</v>
      </c>
      <c r="AA118" s="74" t="str">
        <f t="shared" si="51"/>
        <v>BRSUA</v>
      </c>
      <c r="AB118" s="74" t="str">
        <f t="shared" si="51"/>
        <v>BRSUATCO</v>
      </c>
    </row>
    <row r="119" spans="12:28">
      <c r="L119" s="6" t="s">
        <v>12</v>
      </c>
      <c r="M119" s="6" t="s">
        <v>182</v>
      </c>
      <c r="N119" s="6">
        <f t="shared" si="45"/>
        <v>2</v>
      </c>
      <c r="O119" s="74" t="str">
        <f t="shared" si="49"/>
        <v>S</v>
      </c>
      <c r="P119" s="74" t="str">
        <f t="shared" si="49"/>
        <v>N</v>
      </c>
      <c r="Q119" s="74" t="str">
        <f t="shared" si="49"/>
        <v>BRSUA</v>
      </c>
      <c r="R119" s="99" t="str">
        <f t="shared" si="49"/>
        <v>ZP901</v>
      </c>
      <c r="S119" s="99" t="str">
        <f t="shared" si="49"/>
        <v>BRSUATB02</v>
      </c>
      <c r="T119" s="74" t="str">
        <f t="shared" si="49"/>
        <v>BRSUATCO</v>
      </c>
      <c r="U119" s="6">
        <f t="shared" si="52"/>
        <v>12</v>
      </c>
      <c r="V119" s="102">
        <f t="shared" si="53"/>
        <v>44631.713121195025</v>
      </c>
      <c r="W119" s="102">
        <f t="shared" si="50"/>
        <v>44637.713121195025</v>
      </c>
      <c r="X119" s="102">
        <f t="shared" si="50"/>
        <v>44638.713121195025</v>
      </c>
      <c r="Y119" s="102">
        <f t="shared" si="50"/>
        <v>44638.775621195025</v>
      </c>
      <c r="Z119" s="102">
        <f t="shared" si="50"/>
        <v>44639.546454528354</v>
      </c>
      <c r="AA119" s="74" t="str">
        <f>AA109</f>
        <v>BRSSZ</v>
      </c>
      <c r="AB119" s="74" t="str">
        <f>AB109</f>
        <v>BRSSZTCO</v>
      </c>
    </row>
    <row r="120" spans="12:28">
      <c r="L120" s="6" t="s">
        <v>12</v>
      </c>
      <c r="M120" s="106" t="s">
        <v>183</v>
      </c>
      <c r="N120" s="6">
        <f t="shared" si="45"/>
        <v>2</v>
      </c>
      <c r="O120" s="74" t="str">
        <f t="shared" si="49"/>
        <v>N</v>
      </c>
      <c r="P120" s="74" t="str">
        <f t="shared" si="49"/>
        <v>B</v>
      </c>
      <c r="Q120" s="74" t="str">
        <f t="shared" si="49"/>
        <v>BRSSZ</v>
      </c>
      <c r="R120" s="99" t="str">
        <f t="shared" si="49"/>
        <v>ZP1601</v>
      </c>
      <c r="S120" s="99" t="str">
        <f t="shared" si="49"/>
        <v>BRSSZTB01</v>
      </c>
      <c r="T120" s="74" t="str">
        <f t="shared" si="49"/>
        <v>BRSSZTCO</v>
      </c>
      <c r="U120" s="6">
        <f t="shared" si="52"/>
        <v>10</v>
      </c>
      <c r="V120" s="102">
        <f t="shared" si="53"/>
        <v>44614.791666666664</v>
      </c>
      <c r="W120" s="102">
        <f t="shared" si="50"/>
        <v>44620.791666666664</v>
      </c>
      <c r="X120" s="102">
        <f t="shared" si="50"/>
        <v>44621.791666666664</v>
      </c>
      <c r="Y120" s="102">
        <f t="shared" si="50"/>
        <v>44621.895833333328</v>
      </c>
      <c r="Z120" s="102">
        <f t="shared" si="50"/>
        <v>44623.718518518515</v>
      </c>
      <c r="AA120" s="74" t="str">
        <f t="shared" ref="AA120:AB128" si="54">AA110</f>
        <v>BRIGI</v>
      </c>
      <c r="AB120" s="74" t="str">
        <f t="shared" si="54"/>
        <v>BRIGITCO</v>
      </c>
    </row>
    <row r="121" spans="12:28">
      <c r="L121" s="6" t="s">
        <v>12</v>
      </c>
      <c r="M121" s="106" t="s">
        <v>183</v>
      </c>
      <c r="N121" s="6">
        <f t="shared" si="45"/>
        <v>2</v>
      </c>
      <c r="O121" s="74" t="str">
        <f t="shared" si="49"/>
        <v>N</v>
      </c>
      <c r="P121" s="74" t="str">
        <f t="shared" si="49"/>
        <v>N</v>
      </c>
      <c r="Q121" s="74" t="str">
        <f t="shared" si="49"/>
        <v>BRIGI</v>
      </c>
      <c r="R121" s="99" t="str">
        <f t="shared" si="49"/>
        <v>ZP15A03</v>
      </c>
      <c r="S121" s="99" t="str">
        <f t="shared" si="49"/>
        <v>BRIGITB01</v>
      </c>
      <c r="T121" s="74" t="str">
        <f t="shared" si="49"/>
        <v>BRIGITCO</v>
      </c>
      <c r="U121" s="6">
        <f t="shared" si="52"/>
        <v>10</v>
      </c>
      <c r="V121" s="102">
        <f t="shared" si="53"/>
        <v>44617.094394891508</v>
      </c>
      <c r="W121" s="102">
        <f t="shared" si="50"/>
        <v>44623.094394891508</v>
      </c>
      <c r="X121" s="102">
        <f t="shared" si="50"/>
        <v>44624.094394891508</v>
      </c>
      <c r="Y121" s="102">
        <f t="shared" si="50"/>
        <v>44624.240228224844</v>
      </c>
      <c r="Z121" s="102">
        <f t="shared" si="50"/>
        <v>44625.433283780396</v>
      </c>
      <c r="AA121" s="74" t="str">
        <f t="shared" si="54"/>
        <v>BRSSA</v>
      </c>
      <c r="AB121" s="74" t="str">
        <f t="shared" si="54"/>
        <v>BRSSATCO</v>
      </c>
    </row>
    <row r="122" spans="12:28">
      <c r="L122" s="6" t="s">
        <v>12</v>
      </c>
      <c r="M122" s="106" t="s">
        <v>183</v>
      </c>
      <c r="N122" s="6">
        <f t="shared" si="45"/>
        <v>2</v>
      </c>
      <c r="O122" s="74" t="str">
        <f t="shared" si="49"/>
        <v>N</v>
      </c>
      <c r="P122" s="74" t="str">
        <f t="shared" si="49"/>
        <v>N</v>
      </c>
      <c r="Q122" s="74" t="str">
        <f t="shared" si="49"/>
        <v>BRSSA</v>
      </c>
      <c r="R122" s="99" t="str">
        <f t="shared" si="49"/>
        <v>ZP1202</v>
      </c>
      <c r="S122" s="99" t="str">
        <f t="shared" si="49"/>
        <v>BRSSATB01</v>
      </c>
      <c r="T122" s="74" t="str">
        <f t="shared" si="49"/>
        <v>BRSSATCO</v>
      </c>
      <c r="U122" s="6">
        <f t="shared" si="52"/>
        <v>11</v>
      </c>
      <c r="V122" s="102">
        <f t="shared" si="53"/>
        <v>44620.450297220996</v>
      </c>
      <c r="W122" s="102">
        <f t="shared" si="50"/>
        <v>44626.450297220996</v>
      </c>
      <c r="X122" s="102">
        <f t="shared" si="50"/>
        <v>44627.450297220996</v>
      </c>
      <c r="Y122" s="102">
        <f t="shared" si="50"/>
        <v>44627.533630554331</v>
      </c>
      <c r="Z122" s="102">
        <f t="shared" si="50"/>
        <v>44628.114186109888</v>
      </c>
      <c r="AA122" s="74" t="str">
        <f t="shared" si="54"/>
        <v>BRSUA</v>
      </c>
      <c r="AB122" s="74" t="str">
        <f t="shared" si="54"/>
        <v>BRSUATCO</v>
      </c>
    </row>
    <row r="123" spans="12:28">
      <c r="L123" s="6" t="s">
        <v>12</v>
      </c>
      <c r="M123" s="106" t="s">
        <v>183</v>
      </c>
      <c r="N123" s="6">
        <f t="shared" si="45"/>
        <v>2</v>
      </c>
      <c r="O123" s="74" t="str">
        <f t="shared" si="49"/>
        <v>N</v>
      </c>
      <c r="P123" s="74" t="str">
        <f t="shared" si="49"/>
        <v>N</v>
      </c>
      <c r="Q123" s="74" t="str">
        <f t="shared" si="49"/>
        <v>BRSUA</v>
      </c>
      <c r="R123" s="99" t="str">
        <f t="shared" si="49"/>
        <v>ZP901</v>
      </c>
      <c r="S123" s="99" t="str">
        <f t="shared" si="49"/>
        <v>BRSUATB02</v>
      </c>
      <c r="T123" s="74" t="str">
        <f t="shared" si="49"/>
        <v>BRSUATCO</v>
      </c>
      <c r="U123" s="6">
        <f t="shared" si="52"/>
        <v>11</v>
      </c>
      <c r="V123" s="102">
        <f t="shared" si="53"/>
        <v>44622.077702180381</v>
      </c>
      <c r="W123" s="102">
        <f t="shared" si="50"/>
        <v>44628.077702180381</v>
      </c>
      <c r="X123" s="102">
        <f t="shared" si="50"/>
        <v>44629.077702180381</v>
      </c>
      <c r="Y123" s="102">
        <f t="shared" si="50"/>
        <v>44629.140202180381</v>
      </c>
      <c r="Z123" s="102">
        <f t="shared" si="50"/>
        <v>44631.256868847042</v>
      </c>
      <c r="AA123" s="74" t="str">
        <f t="shared" si="54"/>
        <v>BRPEC</v>
      </c>
      <c r="AB123" s="74" t="str">
        <f t="shared" si="54"/>
        <v>BRPECAPM</v>
      </c>
    </row>
    <row r="124" spans="12:28">
      <c r="L124" s="6" t="s">
        <v>12</v>
      </c>
      <c r="M124" s="106" t="s">
        <v>183</v>
      </c>
      <c r="N124" s="6">
        <f t="shared" si="45"/>
        <v>2</v>
      </c>
      <c r="O124" s="74" t="str">
        <f t="shared" ref="O124:T139" si="55">O114</f>
        <v>N</v>
      </c>
      <c r="P124" s="74" t="str">
        <f t="shared" si="55"/>
        <v>N</v>
      </c>
      <c r="Q124" s="74" t="str">
        <f t="shared" si="55"/>
        <v>BRPEC</v>
      </c>
      <c r="R124" s="99" t="str">
        <f t="shared" si="55"/>
        <v>ZP501</v>
      </c>
      <c r="S124" s="99" t="str">
        <f t="shared" si="55"/>
        <v>BRPECTB01</v>
      </c>
      <c r="T124" s="74" t="str">
        <f t="shared" si="55"/>
        <v>BRPECAPM</v>
      </c>
      <c r="U124" s="6">
        <f t="shared" si="52"/>
        <v>11</v>
      </c>
      <c r="V124" s="102">
        <f t="shared" si="53"/>
        <v>44625.443242792273</v>
      </c>
      <c r="W124" s="102">
        <f t="shared" ref="W124:Z139" si="56">W114+7</f>
        <v>44631.443242792273</v>
      </c>
      <c r="X124" s="102">
        <f t="shared" si="56"/>
        <v>44632.443242792273</v>
      </c>
      <c r="Y124" s="102">
        <f t="shared" si="56"/>
        <v>44632.526576125609</v>
      </c>
      <c r="Z124" s="102">
        <f t="shared" si="56"/>
        <v>44633.211298347829</v>
      </c>
      <c r="AA124" s="74" t="str">
        <f t="shared" si="54"/>
        <v>BRMCP</v>
      </c>
      <c r="AB124" s="74">
        <f t="shared" si="54"/>
        <v>0</v>
      </c>
    </row>
    <row r="125" spans="12:28">
      <c r="L125" s="6" t="s">
        <v>12</v>
      </c>
      <c r="M125" s="106" t="s">
        <v>183</v>
      </c>
      <c r="N125" s="6">
        <f t="shared" si="45"/>
        <v>2</v>
      </c>
      <c r="O125" s="74">
        <f t="shared" si="55"/>
        <v>0</v>
      </c>
      <c r="P125" s="74">
        <f t="shared" si="55"/>
        <v>0</v>
      </c>
      <c r="Q125" s="74" t="str">
        <f t="shared" si="55"/>
        <v>BRMCP</v>
      </c>
      <c r="R125" s="99" t="str">
        <f t="shared" si="55"/>
        <v>ZP101</v>
      </c>
      <c r="S125" s="99">
        <f t="shared" si="55"/>
        <v>0</v>
      </c>
      <c r="T125" s="74">
        <f t="shared" si="55"/>
        <v>0</v>
      </c>
      <c r="U125" s="6">
        <f t="shared" si="52"/>
        <v>12</v>
      </c>
      <c r="V125" s="102">
        <f t="shared" si="53"/>
        <v>44628.358029681898</v>
      </c>
      <c r="W125" s="102">
        <f t="shared" si="56"/>
        <v>44634.358029681898</v>
      </c>
      <c r="X125" s="102">
        <f t="shared" si="56"/>
        <v>44635.358029681898</v>
      </c>
      <c r="Y125" s="102">
        <f t="shared" si="56"/>
        <v>44635.399696348562</v>
      </c>
      <c r="Z125" s="102">
        <f t="shared" si="56"/>
        <v>44635.441363015227</v>
      </c>
      <c r="AA125" s="74" t="str">
        <f t="shared" si="54"/>
        <v>BRMAO</v>
      </c>
      <c r="AB125" s="74" t="str">
        <f t="shared" si="54"/>
        <v>BRMAOCHI</v>
      </c>
    </row>
    <row r="126" spans="12:28">
      <c r="L126" s="6" t="s">
        <v>12</v>
      </c>
      <c r="M126" s="106" t="s">
        <v>183</v>
      </c>
      <c r="N126" s="6">
        <f t="shared" si="45"/>
        <v>2</v>
      </c>
      <c r="O126" s="74" t="str">
        <f t="shared" si="55"/>
        <v>S</v>
      </c>
      <c r="P126" s="74" t="str">
        <f t="shared" si="55"/>
        <v>D</v>
      </c>
      <c r="Q126" s="74" t="str">
        <f>Q116</f>
        <v>BRMAO</v>
      </c>
      <c r="R126" s="99" t="str">
        <f t="shared" si="55"/>
        <v>ZP201</v>
      </c>
      <c r="S126" s="99" t="str">
        <f t="shared" si="55"/>
        <v>BRMAOTB01</v>
      </c>
      <c r="T126" s="74" t="str">
        <f t="shared" si="55"/>
        <v>BRMAOCHI</v>
      </c>
      <c r="U126" s="6">
        <f t="shared" si="52"/>
        <v>12</v>
      </c>
      <c r="V126" s="102">
        <f t="shared" si="53"/>
        <v>44630.227551957192</v>
      </c>
      <c r="W126" s="102">
        <f t="shared" si="56"/>
        <v>44636.227551957192</v>
      </c>
      <c r="X126" s="102">
        <f t="shared" si="56"/>
        <v>44637.227551957192</v>
      </c>
      <c r="Y126" s="102">
        <f t="shared" si="56"/>
        <v>44637.290051957192</v>
      </c>
      <c r="Z126" s="102">
        <f t="shared" si="56"/>
        <v>44640.380329734966</v>
      </c>
      <c r="AA126" s="74" t="str">
        <f t="shared" si="54"/>
        <v>BRMCP</v>
      </c>
      <c r="AB126" s="74">
        <f t="shared" si="54"/>
        <v>0</v>
      </c>
    </row>
    <row r="127" spans="12:28">
      <c r="L127" s="6" t="s">
        <v>12</v>
      </c>
      <c r="M127" s="106" t="s">
        <v>183</v>
      </c>
      <c r="N127" s="6">
        <f t="shared" si="45"/>
        <v>2</v>
      </c>
      <c r="O127" s="74">
        <f t="shared" si="55"/>
        <v>0</v>
      </c>
      <c r="P127" s="74">
        <f t="shared" si="55"/>
        <v>0</v>
      </c>
      <c r="Q127" s="74" t="str">
        <f t="shared" si="55"/>
        <v>BRMCP</v>
      </c>
      <c r="R127" s="99" t="str">
        <f t="shared" si="55"/>
        <v>ZP101</v>
      </c>
      <c r="S127" s="99">
        <f t="shared" si="55"/>
        <v>0</v>
      </c>
      <c r="T127" s="74">
        <f t="shared" si="55"/>
        <v>0</v>
      </c>
      <c r="U127" s="6">
        <f t="shared" si="52"/>
        <v>13</v>
      </c>
      <c r="V127" s="102">
        <f t="shared" si="53"/>
        <v>44634.843590077056</v>
      </c>
      <c r="W127" s="102">
        <f t="shared" si="56"/>
        <v>44640.843590077056</v>
      </c>
      <c r="X127" s="102">
        <f t="shared" si="56"/>
        <v>44641.843590077056</v>
      </c>
      <c r="Y127" s="102">
        <f t="shared" si="56"/>
        <v>44641.885256743721</v>
      </c>
      <c r="Z127" s="102">
        <f t="shared" si="56"/>
        <v>44641.926923410385</v>
      </c>
      <c r="AA127" s="74" t="str">
        <f t="shared" si="54"/>
        <v>BRPEC</v>
      </c>
      <c r="AB127" s="74" t="str">
        <f t="shared" si="54"/>
        <v>BRPECAPM</v>
      </c>
    </row>
    <row r="128" spans="12:28">
      <c r="L128" s="6" t="s">
        <v>12</v>
      </c>
      <c r="M128" s="106" t="s">
        <v>183</v>
      </c>
      <c r="N128" s="6">
        <f t="shared" si="45"/>
        <v>2</v>
      </c>
      <c r="O128" s="74" t="str">
        <f t="shared" si="55"/>
        <v>S</v>
      </c>
      <c r="P128" s="74" t="str">
        <f t="shared" si="55"/>
        <v>N</v>
      </c>
      <c r="Q128" s="74" t="str">
        <f t="shared" si="55"/>
        <v>BRPEC</v>
      </c>
      <c r="R128" s="99" t="str">
        <f t="shared" si="55"/>
        <v>ZP501</v>
      </c>
      <c r="S128" s="99" t="str">
        <f t="shared" si="55"/>
        <v>BRPECTB02</v>
      </c>
      <c r="T128" s="74" t="str">
        <f t="shared" si="55"/>
        <v>BRPECAPM</v>
      </c>
      <c r="U128" s="6">
        <f t="shared" si="52"/>
        <v>13</v>
      </c>
      <c r="V128" s="102">
        <f t="shared" si="53"/>
        <v>44637.073654745254</v>
      </c>
      <c r="W128" s="102">
        <f t="shared" si="56"/>
        <v>44643.073654745254</v>
      </c>
      <c r="X128" s="102">
        <f t="shared" si="56"/>
        <v>44644.073654745254</v>
      </c>
      <c r="Y128" s="102">
        <f t="shared" si="56"/>
        <v>44644.15698807859</v>
      </c>
      <c r="Z128" s="102">
        <f t="shared" si="56"/>
        <v>44644.572265856368</v>
      </c>
      <c r="AA128" s="74" t="str">
        <f t="shared" si="54"/>
        <v>BRSUA</v>
      </c>
      <c r="AB128" s="74" t="str">
        <f t="shared" si="54"/>
        <v>BRSUATCO</v>
      </c>
    </row>
    <row r="129" spans="12:28">
      <c r="L129" s="6" t="s">
        <v>12</v>
      </c>
      <c r="M129" s="106" t="s">
        <v>183</v>
      </c>
      <c r="N129" s="6">
        <f t="shared" si="45"/>
        <v>2</v>
      </c>
      <c r="O129" s="74" t="str">
        <f t="shared" si="55"/>
        <v>S</v>
      </c>
      <c r="P129" s="74" t="str">
        <f t="shared" si="55"/>
        <v>N</v>
      </c>
      <c r="Q129" s="74" t="str">
        <f t="shared" si="55"/>
        <v>BRSUA</v>
      </c>
      <c r="R129" s="99" t="str">
        <f t="shared" si="55"/>
        <v>ZP901</v>
      </c>
      <c r="S129" s="99" t="str">
        <f t="shared" si="55"/>
        <v>BRSUATB02</v>
      </c>
      <c r="T129" s="74" t="str">
        <f t="shared" si="55"/>
        <v>BRSUATCO</v>
      </c>
      <c r="U129" s="6">
        <f t="shared" si="52"/>
        <v>13</v>
      </c>
      <c r="V129" s="102">
        <f t="shared" si="53"/>
        <v>44638.713121195025</v>
      </c>
      <c r="W129" s="102">
        <f t="shared" si="56"/>
        <v>44644.713121195025</v>
      </c>
      <c r="X129" s="102">
        <f t="shared" si="56"/>
        <v>44645.713121195025</v>
      </c>
      <c r="Y129" s="102">
        <f t="shared" si="56"/>
        <v>44645.775621195025</v>
      </c>
      <c r="Z129" s="102">
        <f t="shared" si="56"/>
        <v>44646.546454528354</v>
      </c>
      <c r="AA129" s="74" t="str">
        <f>AA119</f>
        <v>BRSSZ</v>
      </c>
      <c r="AB129" s="74" t="str">
        <f>AB119</f>
        <v>BRSSZTCO</v>
      </c>
    </row>
    <row r="130" spans="12:28">
      <c r="L130" s="6" t="s">
        <v>12</v>
      </c>
      <c r="M130" s="6" t="str">
        <f>$J$2</f>
        <v>SHIP13</v>
      </c>
      <c r="N130" s="6">
        <f t="shared" si="45"/>
        <v>3</v>
      </c>
      <c r="O130" s="74" t="str">
        <f t="shared" si="55"/>
        <v>N</v>
      </c>
      <c r="P130" s="74" t="str">
        <f t="shared" si="55"/>
        <v>B</v>
      </c>
      <c r="Q130" s="74" t="str">
        <f t="shared" si="55"/>
        <v>BRSSZ</v>
      </c>
      <c r="R130" s="99" t="str">
        <f t="shared" si="55"/>
        <v>ZP1601</v>
      </c>
      <c r="S130" s="99" t="str">
        <f t="shared" si="55"/>
        <v>BRSSZTB01</v>
      </c>
      <c r="T130" s="74" t="str">
        <f t="shared" si="55"/>
        <v>BRSSZTCO</v>
      </c>
      <c r="U130" s="6">
        <f t="shared" si="52"/>
        <v>11</v>
      </c>
      <c r="V130" s="102">
        <f t="shared" si="53"/>
        <v>44621.791666666664</v>
      </c>
      <c r="W130" s="102">
        <f t="shared" si="56"/>
        <v>44627.791666666664</v>
      </c>
      <c r="X130" s="102">
        <f t="shared" si="56"/>
        <v>44628.791666666664</v>
      </c>
      <c r="Y130" s="102">
        <f t="shared" si="56"/>
        <v>44628.895833333328</v>
      </c>
      <c r="Z130" s="102">
        <f t="shared" si="56"/>
        <v>44630.718518518515</v>
      </c>
      <c r="AA130" s="74" t="str">
        <f t="shared" ref="AA130:AB138" si="57">AA120</f>
        <v>BRIGI</v>
      </c>
      <c r="AB130" s="74" t="str">
        <f t="shared" si="57"/>
        <v>BRIGITCO</v>
      </c>
    </row>
    <row r="131" spans="12:28">
      <c r="L131" s="6" t="s">
        <v>12</v>
      </c>
      <c r="M131" s="6" t="str">
        <f t="shared" ref="M131:M139" si="58">$J$2</f>
        <v>SHIP13</v>
      </c>
      <c r="N131" s="6">
        <f t="shared" si="45"/>
        <v>3</v>
      </c>
      <c r="O131" s="74" t="str">
        <f t="shared" si="55"/>
        <v>N</v>
      </c>
      <c r="P131" s="74" t="str">
        <f t="shared" si="55"/>
        <v>N</v>
      </c>
      <c r="Q131" s="74" t="str">
        <f t="shared" si="55"/>
        <v>BRIGI</v>
      </c>
      <c r="R131" s="99" t="str">
        <f t="shared" si="55"/>
        <v>ZP15A03</v>
      </c>
      <c r="S131" s="99" t="str">
        <f t="shared" si="55"/>
        <v>BRIGITB01</v>
      </c>
      <c r="T131" s="74" t="str">
        <f t="shared" si="55"/>
        <v>BRIGITCO</v>
      </c>
      <c r="U131" s="6">
        <f t="shared" si="52"/>
        <v>11</v>
      </c>
      <c r="V131" s="102">
        <f t="shared" si="53"/>
        <v>44624.094394891508</v>
      </c>
      <c r="W131" s="102">
        <f t="shared" si="56"/>
        <v>44630.094394891508</v>
      </c>
      <c r="X131" s="102">
        <f t="shared" si="56"/>
        <v>44631.094394891508</v>
      </c>
      <c r="Y131" s="102">
        <f t="shared" si="56"/>
        <v>44631.240228224844</v>
      </c>
      <c r="Z131" s="102">
        <f t="shared" si="56"/>
        <v>44632.433283780396</v>
      </c>
      <c r="AA131" s="74" t="str">
        <f t="shared" si="57"/>
        <v>BRSSA</v>
      </c>
      <c r="AB131" s="74" t="str">
        <f t="shared" si="57"/>
        <v>BRSSATCO</v>
      </c>
    </row>
    <row r="132" spans="12:28">
      <c r="L132" s="6" t="s">
        <v>12</v>
      </c>
      <c r="M132" s="6" t="str">
        <f t="shared" si="58"/>
        <v>SHIP13</v>
      </c>
      <c r="N132" s="6">
        <f t="shared" si="45"/>
        <v>3</v>
      </c>
      <c r="O132" s="74" t="str">
        <f t="shared" si="55"/>
        <v>N</v>
      </c>
      <c r="P132" s="74" t="str">
        <f t="shared" si="55"/>
        <v>N</v>
      </c>
      <c r="Q132" s="74" t="str">
        <f t="shared" si="55"/>
        <v>BRSSA</v>
      </c>
      <c r="R132" s="99" t="str">
        <f t="shared" si="55"/>
        <v>ZP1202</v>
      </c>
      <c r="S132" s="99" t="str">
        <f t="shared" si="55"/>
        <v>BRSSATB01</v>
      </c>
      <c r="T132" s="74" t="str">
        <f t="shared" si="55"/>
        <v>BRSSATCO</v>
      </c>
      <c r="U132" s="6">
        <f t="shared" si="52"/>
        <v>12</v>
      </c>
      <c r="V132" s="102">
        <f t="shared" si="53"/>
        <v>44627.450297220996</v>
      </c>
      <c r="W132" s="102">
        <f t="shared" si="56"/>
        <v>44633.450297220996</v>
      </c>
      <c r="X132" s="102">
        <f t="shared" si="56"/>
        <v>44634.450297220996</v>
      </c>
      <c r="Y132" s="102">
        <f t="shared" si="56"/>
        <v>44634.533630554331</v>
      </c>
      <c r="Z132" s="102">
        <f t="shared" si="56"/>
        <v>44635.114186109888</v>
      </c>
      <c r="AA132" s="74" t="str">
        <f t="shared" si="57"/>
        <v>BRSUA</v>
      </c>
      <c r="AB132" s="74" t="str">
        <f t="shared" si="57"/>
        <v>BRSUATCO</v>
      </c>
    </row>
    <row r="133" spans="12:28">
      <c r="L133" s="6" t="s">
        <v>12</v>
      </c>
      <c r="M133" s="6" t="str">
        <f t="shared" si="58"/>
        <v>SHIP13</v>
      </c>
      <c r="N133" s="6">
        <f t="shared" si="45"/>
        <v>3</v>
      </c>
      <c r="O133" s="74" t="str">
        <f t="shared" si="55"/>
        <v>N</v>
      </c>
      <c r="P133" s="74" t="str">
        <f t="shared" si="55"/>
        <v>N</v>
      </c>
      <c r="Q133" s="74" t="str">
        <f t="shared" si="55"/>
        <v>BRSUA</v>
      </c>
      <c r="R133" s="99" t="str">
        <f t="shared" si="55"/>
        <v>ZP901</v>
      </c>
      <c r="S133" s="99" t="str">
        <f t="shared" si="55"/>
        <v>BRSUATB02</v>
      </c>
      <c r="T133" s="74" t="str">
        <f t="shared" si="55"/>
        <v>BRSUATCO</v>
      </c>
      <c r="U133" s="6">
        <f t="shared" si="52"/>
        <v>12</v>
      </c>
      <c r="V133" s="102">
        <f t="shared" si="53"/>
        <v>44629.077702180381</v>
      </c>
      <c r="W133" s="102">
        <f t="shared" si="56"/>
        <v>44635.077702180381</v>
      </c>
      <c r="X133" s="102">
        <f t="shared" si="56"/>
        <v>44636.077702180381</v>
      </c>
      <c r="Y133" s="102">
        <f t="shared" si="56"/>
        <v>44636.140202180381</v>
      </c>
      <c r="Z133" s="102">
        <f t="shared" si="56"/>
        <v>44638.256868847042</v>
      </c>
      <c r="AA133" s="74" t="str">
        <f t="shared" si="57"/>
        <v>BRPEC</v>
      </c>
      <c r="AB133" s="74" t="str">
        <f t="shared" si="57"/>
        <v>BRPECAPM</v>
      </c>
    </row>
    <row r="134" spans="12:28">
      <c r="L134" s="6" t="s">
        <v>12</v>
      </c>
      <c r="M134" s="6" t="str">
        <f t="shared" si="58"/>
        <v>SHIP13</v>
      </c>
      <c r="N134" s="6">
        <f t="shared" si="45"/>
        <v>3</v>
      </c>
      <c r="O134" s="74" t="str">
        <f t="shared" si="55"/>
        <v>N</v>
      </c>
      <c r="P134" s="74" t="str">
        <f t="shared" si="55"/>
        <v>N</v>
      </c>
      <c r="Q134" s="74" t="str">
        <f t="shared" si="55"/>
        <v>BRPEC</v>
      </c>
      <c r="R134" s="99" t="str">
        <f t="shared" si="55"/>
        <v>ZP501</v>
      </c>
      <c r="S134" s="99" t="str">
        <f t="shared" si="55"/>
        <v>BRPECTB01</v>
      </c>
      <c r="T134" s="74" t="str">
        <f t="shared" si="55"/>
        <v>BRPECAPM</v>
      </c>
      <c r="U134" s="6">
        <f t="shared" si="52"/>
        <v>12</v>
      </c>
      <c r="V134" s="102">
        <f t="shared" si="53"/>
        <v>44632.443242792273</v>
      </c>
      <c r="W134" s="102">
        <f t="shared" si="56"/>
        <v>44638.443242792273</v>
      </c>
      <c r="X134" s="102">
        <f t="shared" si="56"/>
        <v>44639.443242792273</v>
      </c>
      <c r="Y134" s="102">
        <f t="shared" si="56"/>
        <v>44639.526576125609</v>
      </c>
      <c r="Z134" s="102">
        <f t="shared" si="56"/>
        <v>44640.211298347829</v>
      </c>
      <c r="AA134" s="74" t="str">
        <f t="shared" si="57"/>
        <v>BRMCP</v>
      </c>
      <c r="AB134" s="74">
        <f t="shared" si="57"/>
        <v>0</v>
      </c>
    </row>
    <row r="135" spans="12:28">
      <c r="L135" s="6" t="s">
        <v>12</v>
      </c>
      <c r="M135" s="6" t="str">
        <f t="shared" si="58"/>
        <v>SHIP13</v>
      </c>
      <c r="N135" s="6">
        <f t="shared" si="45"/>
        <v>3</v>
      </c>
      <c r="O135" s="74">
        <f t="shared" si="55"/>
        <v>0</v>
      </c>
      <c r="P135" s="74">
        <f t="shared" si="55"/>
        <v>0</v>
      </c>
      <c r="Q135" s="74" t="str">
        <f t="shared" si="55"/>
        <v>BRMCP</v>
      </c>
      <c r="R135" s="99" t="str">
        <f t="shared" si="55"/>
        <v>ZP101</v>
      </c>
      <c r="S135" s="99">
        <f t="shared" si="55"/>
        <v>0</v>
      </c>
      <c r="T135" s="74">
        <f t="shared" si="55"/>
        <v>0</v>
      </c>
      <c r="U135" s="6">
        <f t="shared" si="52"/>
        <v>13</v>
      </c>
      <c r="V135" s="102">
        <f t="shared" si="53"/>
        <v>44635.358029681898</v>
      </c>
      <c r="W135" s="102">
        <f t="shared" si="56"/>
        <v>44641.358029681898</v>
      </c>
      <c r="X135" s="102">
        <f t="shared" si="56"/>
        <v>44642.358029681898</v>
      </c>
      <c r="Y135" s="102">
        <f t="shared" si="56"/>
        <v>44642.399696348562</v>
      </c>
      <c r="Z135" s="102">
        <f t="shared" si="56"/>
        <v>44642.441363015227</v>
      </c>
      <c r="AA135" s="74" t="str">
        <f t="shared" si="57"/>
        <v>BRMAO</v>
      </c>
      <c r="AB135" s="74" t="str">
        <f t="shared" si="57"/>
        <v>BRMAOCHI</v>
      </c>
    </row>
    <row r="136" spans="12:28">
      <c r="L136" s="6" t="s">
        <v>12</v>
      </c>
      <c r="M136" s="6" t="str">
        <f t="shared" si="58"/>
        <v>SHIP13</v>
      </c>
      <c r="N136" s="6">
        <f t="shared" si="45"/>
        <v>3</v>
      </c>
      <c r="O136" s="74" t="str">
        <f t="shared" si="55"/>
        <v>S</v>
      </c>
      <c r="P136" s="74" t="str">
        <f t="shared" si="55"/>
        <v>D</v>
      </c>
      <c r="Q136" s="74" t="str">
        <f t="shared" si="55"/>
        <v>BRMAO</v>
      </c>
      <c r="R136" s="99" t="str">
        <f t="shared" si="55"/>
        <v>ZP201</v>
      </c>
      <c r="S136" s="99" t="str">
        <f t="shared" si="55"/>
        <v>BRMAOTB01</v>
      </c>
      <c r="T136" s="74" t="str">
        <f t="shared" si="55"/>
        <v>BRMAOCHI</v>
      </c>
      <c r="U136" s="6">
        <f t="shared" si="52"/>
        <v>13</v>
      </c>
      <c r="V136" s="102">
        <f t="shared" si="53"/>
        <v>44637.227551957192</v>
      </c>
      <c r="W136" s="102">
        <f t="shared" si="56"/>
        <v>44643.227551957192</v>
      </c>
      <c r="X136" s="102">
        <f t="shared" si="56"/>
        <v>44644.227551957192</v>
      </c>
      <c r="Y136" s="102">
        <f t="shared" si="56"/>
        <v>44644.290051957192</v>
      </c>
      <c r="Z136" s="102">
        <f t="shared" si="56"/>
        <v>44647.380329734966</v>
      </c>
      <c r="AA136" s="74" t="str">
        <f t="shared" si="57"/>
        <v>BRMCP</v>
      </c>
      <c r="AB136" s="74">
        <f t="shared" si="57"/>
        <v>0</v>
      </c>
    </row>
    <row r="137" spans="12:28">
      <c r="L137" s="6" t="s">
        <v>12</v>
      </c>
      <c r="M137" s="6" t="str">
        <f t="shared" si="58"/>
        <v>SHIP13</v>
      </c>
      <c r="N137" s="6">
        <f t="shared" si="45"/>
        <v>3</v>
      </c>
      <c r="O137" s="74">
        <f t="shared" si="55"/>
        <v>0</v>
      </c>
      <c r="P137" s="74">
        <f t="shared" si="55"/>
        <v>0</v>
      </c>
      <c r="Q137" s="74" t="str">
        <f t="shared" si="55"/>
        <v>BRMCP</v>
      </c>
      <c r="R137" s="99" t="str">
        <f t="shared" si="55"/>
        <v>ZP101</v>
      </c>
      <c r="S137" s="99">
        <f t="shared" si="55"/>
        <v>0</v>
      </c>
      <c r="T137" s="74">
        <f t="shared" si="55"/>
        <v>0</v>
      </c>
      <c r="U137" s="6">
        <f t="shared" si="52"/>
        <v>14</v>
      </c>
      <c r="V137" s="102">
        <f t="shared" si="53"/>
        <v>44641.843590077056</v>
      </c>
      <c r="W137" s="102">
        <f t="shared" si="56"/>
        <v>44647.843590077056</v>
      </c>
      <c r="X137" s="102">
        <f t="shared" si="56"/>
        <v>44648.843590077056</v>
      </c>
      <c r="Y137" s="102">
        <f t="shared" si="56"/>
        <v>44648.885256743721</v>
      </c>
      <c r="Z137" s="102">
        <f t="shared" si="56"/>
        <v>44648.926923410385</v>
      </c>
      <c r="AA137" s="74" t="str">
        <f t="shared" si="57"/>
        <v>BRPEC</v>
      </c>
      <c r="AB137" s="74" t="str">
        <f t="shared" si="57"/>
        <v>BRPECAPM</v>
      </c>
    </row>
    <row r="138" spans="12:28">
      <c r="L138" s="6" t="s">
        <v>12</v>
      </c>
      <c r="M138" s="6" t="str">
        <f t="shared" si="58"/>
        <v>SHIP13</v>
      </c>
      <c r="N138" s="6">
        <f t="shared" si="45"/>
        <v>3</v>
      </c>
      <c r="O138" s="74" t="str">
        <f t="shared" si="55"/>
        <v>S</v>
      </c>
      <c r="P138" s="74" t="str">
        <f t="shared" si="55"/>
        <v>N</v>
      </c>
      <c r="Q138" s="74" t="str">
        <f t="shared" si="55"/>
        <v>BRPEC</v>
      </c>
      <c r="R138" s="99" t="str">
        <f t="shared" si="55"/>
        <v>ZP501</v>
      </c>
      <c r="S138" s="99" t="str">
        <f t="shared" si="55"/>
        <v>BRPECTB02</v>
      </c>
      <c r="T138" s="74" t="str">
        <f t="shared" si="55"/>
        <v>BRPECAPM</v>
      </c>
      <c r="U138" s="6">
        <f t="shared" si="52"/>
        <v>14</v>
      </c>
      <c r="V138" s="102">
        <f t="shared" si="53"/>
        <v>44644.073654745254</v>
      </c>
      <c r="W138" s="102">
        <f t="shared" si="56"/>
        <v>44650.073654745254</v>
      </c>
      <c r="X138" s="102">
        <f t="shared" si="56"/>
        <v>44651.073654745254</v>
      </c>
      <c r="Y138" s="102">
        <f t="shared" si="56"/>
        <v>44651.15698807859</v>
      </c>
      <c r="Z138" s="102">
        <f t="shared" si="56"/>
        <v>44651.572265856368</v>
      </c>
      <c r="AA138" s="74" t="str">
        <f t="shared" si="57"/>
        <v>BRSUA</v>
      </c>
      <c r="AB138" s="74" t="str">
        <f t="shared" si="57"/>
        <v>BRSUATCO</v>
      </c>
    </row>
    <row r="139" spans="12:28">
      <c r="L139" s="6" t="s">
        <v>12</v>
      </c>
      <c r="M139" s="6" t="str">
        <f t="shared" si="58"/>
        <v>SHIP13</v>
      </c>
      <c r="N139" s="6">
        <f t="shared" si="45"/>
        <v>3</v>
      </c>
      <c r="O139" s="74" t="str">
        <f t="shared" si="55"/>
        <v>S</v>
      </c>
      <c r="P139" s="74" t="str">
        <f t="shared" si="55"/>
        <v>N</v>
      </c>
      <c r="Q139" s="74" t="str">
        <f t="shared" si="55"/>
        <v>BRSUA</v>
      </c>
      <c r="R139" s="99" t="str">
        <f t="shared" si="55"/>
        <v>ZP901</v>
      </c>
      <c r="S139" s="99" t="str">
        <f t="shared" si="55"/>
        <v>BRSUATB02</v>
      </c>
      <c r="T139" s="74" t="str">
        <f t="shared" si="55"/>
        <v>BRSUATCO</v>
      </c>
      <c r="U139" s="6">
        <f t="shared" si="52"/>
        <v>14</v>
      </c>
      <c r="V139" s="102">
        <f t="shared" si="53"/>
        <v>44645.713121195025</v>
      </c>
      <c r="W139" s="102">
        <f t="shared" si="56"/>
        <v>44651.713121195025</v>
      </c>
      <c r="X139" s="102">
        <f t="shared" si="56"/>
        <v>44652.713121195025</v>
      </c>
      <c r="Y139" s="102">
        <f t="shared" si="56"/>
        <v>44652.775621195025</v>
      </c>
      <c r="Z139" s="102">
        <f t="shared" si="56"/>
        <v>44653.546454528354</v>
      </c>
      <c r="AA139" s="74" t="str">
        <f>AA129</f>
        <v>BRSSZ</v>
      </c>
      <c r="AB139" s="74" t="str">
        <f>AB129</f>
        <v>BRSSZTCO</v>
      </c>
    </row>
    <row r="140" spans="12:28">
      <c r="L140" s="6" t="s">
        <v>12</v>
      </c>
      <c r="M140" s="106" t="s">
        <v>181</v>
      </c>
      <c r="N140" s="6">
        <f t="shared" si="45"/>
        <v>3</v>
      </c>
      <c r="O140" s="74" t="str">
        <f t="shared" ref="O140:T155" si="59">O130</f>
        <v>N</v>
      </c>
      <c r="P140" s="74" t="str">
        <f t="shared" si="59"/>
        <v>B</v>
      </c>
      <c r="Q140" s="74" t="str">
        <f t="shared" si="59"/>
        <v>BRSSZ</v>
      </c>
      <c r="R140" s="99" t="str">
        <f t="shared" si="59"/>
        <v>ZP1601</v>
      </c>
      <c r="S140" s="99" t="str">
        <f t="shared" si="59"/>
        <v>BRSSZTB01</v>
      </c>
      <c r="T140" s="74" t="str">
        <f t="shared" si="59"/>
        <v>BRSSZTCO</v>
      </c>
      <c r="U140" s="6">
        <f t="shared" si="52"/>
        <v>12</v>
      </c>
      <c r="V140" s="102">
        <f t="shared" si="53"/>
        <v>44628.791666666664</v>
      </c>
      <c r="W140" s="102">
        <f t="shared" ref="W140:Z155" si="60">W130+7</f>
        <v>44634.791666666664</v>
      </c>
      <c r="X140" s="102">
        <f t="shared" si="60"/>
        <v>44635.791666666664</v>
      </c>
      <c r="Y140" s="102">
        <f t="shared" si="60"/>
        <v>44635.895833333328</v>
      </c>
      <c r="Z140" s="102">
        <f t="shared" si="60"/>
        <v>44637.718518518515</v>
      </c>
      <c r="AA140" s="74" t="str">
        <f t="shared" ref="AA140:AB148" si="61">AA130</f>
        <v>BRIGI</v>
      </c>
      <c r="AB140" s="74" t="str">
        <f t="shared" si="61"/>
        <v>BRIGITCO</v>
      </c>
    </row>
    <row r="141" spans="12:28">
      <c r="L141" s="6" t="s">
        <v>12</v>
      </c>
      <c r="M141" s="106" t="s">
        <v>181</v>
      </c>
      <c r="N141" s="6">
        <f t="shared" si="45"/>
        <v>3</v>
      </c>
      <c r="O141" s="74" t="str">
        <f t="shared" si="59"/>
        <v>N</v>
      </c>
      <c r="P141" s="74" t="str">
        <f t="shared" si="59"/>
        <v>N</v>
      </c>
      <c r="Q141" s="74" t="str">
        <f t="shared" si="59"/>
        <v>BRIGI</v>
      </c>
      <c r="R141" s="99" t="str">
        <f t="shared" si="59"/>
        <v>ZP15A03</v>
      </c>
      <c r="S141" s="99" t="str">
        <f t="shared" si="59"/>
        <v>BRIGITB01</v>
      </c>
      <c r="T141" s="74" t="str">
        <f t="shared" si="59"/>
        <v>BRIGITCO</v>
      </c>
      <c r="U141" s="6">
        <f t="shared" si="52"/>
        <v>12</v>
      </c>
      <c r="V141" s="102">
        <f t="shared" si="53"/>
        <v>44631.094394891508</v>
      </c>
      <c r="W141" s="102">
        <f t="shared" si="60"/>
        <v>44637.094394891508</v>
      </c>
      <c r="X141" s="102">
        <f t="shared" si="60"/>
        <v>44638.094394891508</v>
      </c>
      <c r="Y141" s="102">
        <f t="shared" si="60"/>
        <v>44638.240228224844</v>
      </c>
      <c r="Z141" s="102">
        <f t="shared" si="60"/>
        <v>44639.433283780396</v>
      </c>
      <c r="AA141" s="74" t="str">
        <f t="shared" si="61"/>
        <v>BRSSA</v>
      </c>
      <c r="AB141" s="74" t="str">
        <f t="shared" si="61"/>
        <v>BRSSATCO</v>
      </c>
    </row>
    <row r="142" spans="12:28">
      <c r="L142" s="6" t="s">
        <v>12</v>
      </c>
      <c r="M142" s="106" t="s">
        <v>181</v>
      </c>
      <c r="N142" s="6">
        <f t="shared" si="45"/>
        <v>3</v>
      </c>
      <c r="O142" s="74" t="str">
        <f t="shared" si="59"/>
        <v>N</v>
      </c>
      <c r="P142" s="74" t="str">
        <f t="shared" si="59"/>
        <v>N</v>
      </c>
      <c r="Q142" s="74" t="str">
        <f t="shared" si="59"/>
        <v>BRSSA</v>
      </c>
      <c r="R142" s="99" t="str">
        <f t="shared" si="59"/>
        <v>ZP1202</v>
      </c>
      <c r="S142" s="99" t="str">
        <f t="shared" si="59"/>
        <v>BRSSATB01</v>
      </c>
      <c r="T142" s="74" t="str">
        <f t="shared" si="59"/>
        <v>BRSSATCO</v>
      </c>
      <c r="U142" s="6">
        <f t="shared" si="52"/>
        <v>13</v>
      </c>
      <c r="V142" s="102">
        <f t="shared" si="53"/>
        <v>44634.450297220996</v>
      </c>
      <c r="W142" s="102">
        <f t="shared" si="60"/>
        <v>44640.450297220996</v>
      </c>
      <c r="X142" s="102">
        <f t="shared" si="60"/>
        <v>44641.450297220996</v>
      </c>
      <c r="Y142" s="102">
        <f t="shared" si="60"/>
        <v>44641.533630554331</v>
      </c>
      <c r="Z142" s="102">
        <f t="shared" si="60"/>
        <v>44642.114186109888</v>
      </c>
      <c r="AA142" s="74" t="str">
        <f t="shared" si="61"/>
        <v>BRSUA</v>
      </c>
      <c r="AB142" s="74" t="str">
        <f t="shared" si="61"/>
        <v>BRSUATCO</v>
      </c>
    </row>
    <row r="143" spans="12:28">
      <c r="L143" s="6" t="s">
        <v>12</v>
      </c>
      <c r="M143" s="106" t="s">
        <v>181</v>
      </c>
      <c r="N143" s="6">
        <f t="shared" si="45"/>
        <v>3</v>
      </c>
      <c r="O143" s="74" t="str">
        <f t="shared" si="59"/>
        <v>N</v>
      </c>
      <c r="P143" s="74" t="str">
        <f t="shared" si="59"/>
        <v>N</v>
      </c>
      <c r="Q143" s="74" t="str">
        <f t="shared" si="59"/>
        <v>BRSUA</v>
      </c>
      <c r="R143" s="99" t="str">
        <f t="shared" si="59"/>
        <v>ZP901</v>
      </c>
      <c r="S143" s="99" t="str">
        <f t="shared" si="59"/>
        <v>BRSUATB02</v>
      </c>
      <c r="T143" s="74" t="str">
        <f t="shared" si="59"/>
        <v>BRSUATCO</v>
      </c>
      <c r="U143" s="6">
        <f t="shared" si="52"/>
        <v>13</v>
      </c>
      <c r="V143" s="102">
        <f t="shared" si="53"/>
        <v>44636.077702180381</v>
      </c>
      <c r="W143" s="102">
        <f t="shared" si="60"/>
        <v>44642.077702180381</v>
      </c>
      <c r="X143" s="102">
        <f t="shared" si="60"/>
        <v>44643.077702180381</v>
      </c>
      <c r="Y143" s="102">
        <f t="shared" si="60"/>
        <v>44643.140202180381</v>
      </c>
      <c r="Z143" s="102">
        <f t="shared" si="60"/>
        <v>44645.256868847042</v>
      </c>
      <c r="AA143" s="74" t="str">
        <f t="shared" si="61"/>
        <v>BRPEC</v>
      </c>
      <c r="AB143" s="74" t="str">
        <f t="shared" si="61"/>
        <v>BRPECAPM</v>
      </c>
    </row>
    <row r="144" spans="12:28">
      <c r="L144" s="6" t="s">
        <v>12</v>
      </c>
      <c r="M144" s="106" t="s">
        <v>181</v>
      </c>
      <c r="N144" s="6">
        <f t="shared" si="45"/>
        <v>3</v>
      </c>
      <c r="O144" s="74" t="str">
        <f t="shared" si="59"/>
        <v>N</v>
      </c>
      <c r="P144" s="74" t="str">
        <f t="shared" si="59"/>
        <v>N</v>
      </c>
      <c r="Q144" s="74" t="str">
        <f t="shared" si="59"/>
        <v>BRPEC</v>
      </c>
      <c r="R144" s="99" t="str">
        <f t="shared" si="59"/>
        <v>ZP501</v>
      </c>
      <c r="S144" s="99" t="str">
        <f t="shared" si="59"/>
        <v>BRPECTB01</v>
      </c>
      <c r="T144" s="74" t="str">
        <f t="shared" si="59"/>
        <v>BRPECAPM</v>
      </c>
      <c r="U144" s="6">
        <f t="shared" si="52"/>
        <v>13</v>
      </c>
      <c r="V144" s="102">
        <f t="shared" si="53"/>
        <v>44639.443242792273</v>
      </c>
      <c r="W144" s="102">
        <f t="shared" si="60"/>
        <v>44645.443242792273</v>
      </c>
      <c r="X144" s="102">
        <f t="shared" si="60"/>
        <v>44646.443242792273</v>
      </c>
      <c r="Y144" s="102">
        <f t="shared" si="60"/>
        <v>44646.526576125609</v>
      </c>
      <c r="Z144" s="102">
        <f t="shared" si="60"/>
        <v>44647.211298347829</v>
      </c>
      <c r="AA144" s="74" t="str">
        <f t="shared" si="61"/>
        <v>BRMCP</v>
      </c>
      <c r="AB144" s="74">
        <f t="shared" si="61"/>
        <v>0</v>
      </c>
    </row>
    <row r="145" spans="12:28">
      <c r="L145" s="6" t="s">
        <v>12</v>
      </c>
      <c r="M145" s="106" t="s">
        <v>181</v>
      </c>
      <c r="N145" s="6">
        <f t="shared" si="45"/>
        <v>3</v>
      </c>
      <c r="O145" s="74">
        <f t="shared" si="59"/>
        <v>0</v>
      </c>
      <c r="P145" s="74">
        <f t="shared" si="59"/>
        <v>0</v>
      </c>
      <c r="Q145" s="74" t="str">
        <f t="shared" si="59"/>
        <v>BRMCP</v>
      </c>
      <c r="R145" s="99" t="str">
        <f t="shared" si="59"/>
        <v>ZP101</v>
      </c>
      <c r="S145" s="99">
        <f t="shared" si="59"/>
        <v>0</v>
      </c>
      <c r="T145" s="74">
        <f t="shared" si="59"/>
        <v>0</v>
      </c>
      <c r="U145" s="6">
        <f t="shared" si="52"/>
        <v>14</v>
      </c>
      <c r="V145" s="102">
        <f t="shared" si="53"/>
        <v>44642.358029681898</v>
      </c>
      <c r="W145" s="102">
        <f t="shared" si="60"/>
        <v>44648.358029681898</v>
      </c>
      <c r="X145" s="102">
        <f t="shared" si="60"/>
        <v>44649.358029681898</v>
      </c>
      <c r="Y145" s="102">
        <f t="shared" si="60"/>
        <v>44649.399696348562</v>
      </c>
      <c r="Z145" s="102">
        <f t="shared" si="60"/>
        <v>44649.441363015227</v>
      </c>
      <c r="AA145" s="74" t="str">
        <f t="shared" si="61"/>
        <v>BRMAO</v>
      </c>
      <c r="AB145" s="74" t="str">
        <f t="shared" si="61"/>
        <v>BRMAOCHI</v>
      </c>
    </row>
    <row r="146" spans="12:28">
      <c r="L146" s="6" t="s">
        <v>12</v>
      </c>
      <c r="M146" s="106" t="s">
        <v>181</v>
      </c>
      <c r="N146" s="6">
        <f t="shared" si="45"/>
        <v>3</v>
      </c>
      <c r="O146" s="74" t="str">
        <f t="shared" si="59"/>
        <v>S</v>
      </c>
      <c r="P146" s="74" t="str">
        <f t="shared" si="59"/>
        <v>D</v>
      </c>
      <c r="Q146" s="74" t="str">
        <f>Q136</f>
        <v>BRMAO</v>
      </c>
      <c r="R146" s="99" t="str">
        <f t="shared" si="59"/>
        <v>ZP201</v>
      </c>
      <c r="S146" s="99" t="str">
        <f t="shared" si="59"/>
        <v>BRMAOTB01</v>
      </c>
      <c r="T146" s="74" t="str">
        <f t="shared" si="59"/>
        <v>BRMAOCHI</v>
      </c>
      <c r="U146" s="6">
        <f t="shared" si="52"/>
        <v>14</v>
      </c>
      <c r="V146" s="102">
        <f t="shared" si="53"/>
        <v>44644.227551957192</v>
      </c>
      <c r="W146" s="102">
        <f t="shared" si="60"/>
        <v>44650.227551957192</v>
      </c>
      <c r="X146" s="102">
        <f t="shared" si="60"/>
        <v>44651.227551957192</v>
      </c>
      <c r="Y146" s="102">
        <f t="shared" si="60"/>
        <v>44651.290051957192</v>
      </c>
      <c r="Z146" s="102">
        <f t="shared" si="60"/>
        <v>44654.380329734966</v>
      </c>
      <c r="AA146" s="74" t="str">
        <f t="shared" si="61"/>
        <v>BRMCP</v>
      </c>
      <c r="AB146" s="74">
        <f t="shared" si="61"/>
        <v>0</v>
      </c>
    </row>
    <row r="147" spans="12:28">
      <c r="L147" s="6" t="s">
        <v>12</v>
      </c>
      <c r="M147" s="106" t="s">
        <v>181</v>
      </c>
      <c r="N147" s="6">
        <f t="shared" si="45"/>
        <v>3</v>
      </c>
      <c r="O147" s="74">
        <f t="shared" si="59"/>
        <v>0</v>
      </c>
      <c r="P147" s="74">
        <f t="shared" si="59"/>
        <v>0</v>
      </c>
      <c r="Q147" s="74" t="str">
        <f t="shared" si="59"/>
        <v>BRMCP</v>
      </c>
      <c r="R147" s="99" t="str">
        <f t="shared" si="59"/>
        <v>ZP101</v>
      </c>
      <c r="S147" s="99">
        <f t="shared" si="59"/>
        <v>0</v>
      </c>
      <c r="T147" s="74">
        <f t="shared" si="59"/>
        <v>0</v>
      </c>
      <c r="U147" s="6">
        <f t="shared" si="52"/>
        <v>15</v>
      </c>
      <c r="V147" s="102">
        <f t="shared" si="53"/>
        <v>44648.843590077056</v>
      </c>
      <c r="W147" s="102">
        <f t="shared" si="60"/>
        <v>44654.843590077056</v>
      </c>
      <c r="X147" s="102">
        <f t="shared" si="60"/>
        <v>44655.843590077056</v>
      </c>
      <c r="Y147" s="102">
        <f t="shared" si="60"/>
        <v>44655.885256743721</v>
      </c>
      <c r="Z147" s="102">
        <f t="shared" si="60"/>
        <v>44655.926923410385</v>
      </c>
      <c r="AA147" s="74" t="str">
        <f t="shared" si="61"/>
        <v>BRPEC</v>
      </c>
      <c r="AB147" s="74" t="str">
        <f t="shared" si="61"/>
        <v>BRPECAPM</v>
      </c>
    </row>
    <row r="148" spans="12:28">
      <c r="L148" s="6" t="s">
        <v>12</v>
      </c>
      <c r="M148" s="106" t="s">
        <v>181</v>
      </c>
      <c r="N148" s="6">
        <f t="shared" si="45"/>
        <v>3</v>
      </c>
      <c r="O148" s="74" t="str">
        <f t="shared" si="59"/>
        <v>S</v>
      </c>
      <c r="P148" s="74" t="str">
        <f t="shared" si="59"/>
        <v>N</v>
      </c>
      <c r="Q148" s="74" t="str">
        <f t="shared" si="59"/>
        <v>BRPEC</v>
      </c>
      <c r="R148" s="99" t="str">
        <f t="shared" si="59"/>
        <v>ZP501</v>
      </c>
      <c r="S148" s="99" t="str">
        <f t="shared" si="59"/>
        <v>BRPECTB02</v>
      </c>
      <c r="T148" s="74" t="str">
        <f t="shared" si="59"/>
        <v>BRPECAPM</v>
      </c>
      <c r="U148" s="6">
        <f t="shared" si="52"/>
        <v>15</v>
      </c>
      <c r="V148" s="102">
        <f t="shared" si="53"/>
        <v>44651.073654745254</v>
      </c>
      <c r="W148" s="102">
        <f t="shared" si="60"/>
        <v>44657.073654745254</v>
      </c>
      <c r="X148" s="102">
        <f t="shared" si="60"/>
        <v>44658.073654745254</v>
      </c>
      <c r="Y148" s="102">
        <f t="shared" si="60"/>
        <v>44658.15698807859</v>
      </c>
      <c r="Z148" s="102">
        <f t="shared" si="60"/>
        <v>44658.572265856368</v>
      </c>
      <c r="AA148" s="74" t="str">
        <f t="shared" si="61"/>
        <v>BRSUA</v>
      </c>
      <c r="AB148" s="74" t="str">
        <f t="shared" si="61"/>
        <v>BRSUATCO</v>
      </c>
    </row>
    <row r="149" spans="12:28">
      <c r="L149" s="6" t="s">
        <v>12</v>
      </c>
      <c r="M149" s="106" t="s">
        <v>181</v>
      </c>
      <c r="N149" s="6">
        <f t="shared" si="45"/>
        <v>3</v>
      </c>
      <c r="O149" s="74" t="str">
        <f t="shared" si="59"/>
        <v>S</v>
      </c>
      <c r="P149" s="74" t="str">
        <f t="shared" si="59"/>
        <v>N</v>
      </c>
      <c r="Q149" s="74" t="str">
        <f t="shared" si="59"/>
        <v>BRSUA</v>
      </c>
      <c r="R149" s="99" t="str">
        <f t="shared" si="59"/>
        <v>ZP901</v>
      </c>
      <c r="S149" s="99" t="str">
        <f t="shared" si="59"/>
        <v>BRSUATB02</v>
      </c>
      <c r="T149" s="74" t="str">
        <f t="shared" si="59"/>
        <v>BRSUATCO</v>
      </c>
      <c r="U149" s="6">
        <f t="shared" si="52"/>
        <v>15</v>
      </c>
      <c r="V149" s="102">
        <f t="shared" si="53"/>
        <v>44652.713121195025</v>
      </c>
      <c r="W149" s="102">
        <f t="shared" si="60"/>
        <v>44658.713121195025</v>
      </c>
      <c r="X149" s="102">
        <f t="shared" si="60"/>
        <v>44659.713121195025</v>
      </c>
      <c r="Y149" s="102">
        <f t="shared" si="60"/>
        <v>44659.775621195025</v>
      </c>
      <c r="Z149" s="102">
        <f t="shared" si="60"/>
        <v>44660.546454528354</v>
      </c>
      <c r="AA149" s="74" t="str">
        <f>AA139</f>
        <v>BRSSZ</v>
      </c>
      <c r="AB149" s="74" t="str">
        <f>AB139</f>
        <v>BRSSZTCO</v>
      </c>
    </row>
    <row r="150" spans="12:28">
      <c r="L150" s="6" t="s">
        <v>12</v>
      </c>
      <c r="M150" s="6" t="s">
        <v>182</v>
      </c>
      <c r="N150" s="6">
        <f t="shared" si="45"/>
        <v>3</v>
      </c>
      <c r="O150" s="74" t="str">
        <f t="shared" si="59"/>
        <v>N</v>
      </c>
      <c r="P150" s="74" t="str">
        <f t="shared" si="59"/>
        <v>B</v>
      </c>
      <c r="Q150" s="74" t="str">
        <f t="shared" si="59"/>
        <v>BRSSZ</v>
      </c>
      <c r="R150" s="99" t="str">
        <f t="shared" si="59"/>
        <v>ZP1601</v>
      </c>
      <c r="S150" s="99" t="str">
        <f t="shared" si="59"/>
        <v>BRSSZTB01</v>
      </c>
      <c r="T150" s="74" t="str">
        <f t="shared" si="59"/>
        <v>BRSSZTCO</v>
      </c>
      <c r="U150" s="6">
        <f t="shared" si="52"/>
        <v>13</v>
      </c>
      <c r="V150" s="102">
        <f t="shared" si="53"/>
        <v>44635.791666666664</v>
      </c>
      <c r="W150" s="102">
        <f t="shared" si="60"/>
        <v>44641.791666666664</v>
      </c>
      <c r="X150" s="102">
        <f t="shared" si="60"/>
        <v>44642.791666666664</v>
      </c>
      <c r="Y150" s="102">
        <f t="shared" si="60"/>
        <v>44642.895833333328</v>
      </c>
      <c r="Z150" s="102">
        <f t="shared" si="60"/>
        <v>44644.718518518515</v>
      </c>
      <c r="AA150" s="74" t="str">
        <f t="shared" ref="AA150:AB158" si="62">AA140</f>
        <v>BRIGI</v>
      </c>
      <c r="AB150" s="74" t="str">
        <f t="shared" si="62"/>
        <v>BRIGITCO</v>
      </c>
    </row>
    <row r="151" spans="12:28">
      <c r="L151" s="6" t="s">
        <v>12</v>
      </c>
      <c r="M151" s="6" t="s">
        <v>182</v>
      </c>
      <c r="N151" s="6">
        <f t="shared" si="45"/>
        <v>3</v>
      </c>
      <c r="O151" s="74" t="str">
        <f t="shared" si="59"/>
        <v>N</v>
      </c>
      <c r="P151" s="74" t="str">
        <f t="shared" si="59"/>
        <v>N</v>
      </c>
      <c r="Q151" s="74" t="str">
        <f t="shared" si="59"/>
        <v>BRIGI</v>
      </c>
      <c r="R151" s="99" t="str">
        <f t="shared" si="59"/>
        <v>ZP15A03</v>
      </c>
      <c r="S151" s="99" t="str">
        <f t="shared" si="59"/>
        <v>BRIGITB01</v>
      </c>
      <c r="T151" s="74" t="str">
        <f t="shared" si="59"/>
        <v>BRIGITCO</v>
      </c>
      <c r="U151" s="6">
        <f t="shared" si="52"/>
        <v>13</v>
      </c>
      <c r="V151" s="102">
        <f t="shared" si="53"/>
        <v>44638.094394891508</v>
      </c>
      <c r="W151" s="102">
        <f t="shared" si="60"/>
        <v>44644.094394891508</v>
      </c>
      <c r="X151" s="102">
        <f t="shared" si="60"/>
        <v>44645.094394891508</v>
      </c>
      <c r="Y151" s="102">
        <f t="shared" si="60"/>
        <v>44645.240228224844</v>
      </c>
      <c r="Z151" s="102">
        <f t="shared" si="60"/>
        <v>44646.433283780396</v>
      </c>
      <c r="AA151" s="74" t="str">
        <f t="shared" si="62"/>
        <v>BRSSA</v>
      </c>
      <c r="AB151" s="74" t="str">
        <f t="shared" si="62"/>
        <v>BRSSATCO</v>
      </c>
    </row>
    <row r="152" spans="12:28">
      <c r="L152" s="6" t="s">
        <v>12</v>
      </c>
      <c r="M152" s="6" t="s">
        <v>182</v>
      </c>
      <c r="N152" s="6">
        <f t="shared" si="45"/>
        <v>3</v>
      </c>
      <c r="O152" s="74" t="str">
        <f t="shared" si="59"/>
        <v>N</v>
      </c>
      <c r="P152" s="74" t="str">
        <f t="shared" si="59"/>
        <v>N</v>
      </c>
      <c r="Q152" s="74" t="str">
        <f t="shared" si="59"/>
        <v>BRSSA</v>
      </c>
      <c r="R152" s="99" t="str">
        <f t="shared" si="59"/>
        <v>ZP1202</v>
      </c>
      <c r="S152" s="99" t="str">
        <f t="shared" si="59"/>
        <v>BRSSATB01</v>
      </c>
      <c r="T152" s="74" t="str">
        <f t="shared" si="59"/>
        <v>BRSSATCO</v>
      </c>
      <c r="U152" s="6">
        <f t="shared" si="52"/>
        <v>14</v>
      </c>
      <c r="V152" s="102">
        <f t="shared" si="53"/>
        <v>44641.450297220996</v>
      </c>
      <c r="W152" s="102">
        <f t="shared" si="60"/>
        <v>44647.450297220996</v>
      </c>
      <c r="X152" s="102">
        <f t="shared" si="60"/>
        <v>44648.450297220996</v>
      </c>
      <c r="Y152" s="102">
        <f t="shared" si="60"/>
        <v>44648.533630554331</v>
      </c>
      <c r="Z152" s="102">
        <f t="shared" si="60"/>
        <v>44649.114186109888</v>
      </c>
      <c r="AA152" s="74" t="str">
        <f t="shared" si="62"/>
        <v>BRSUA</v>
      </c>
      <c r="AB152" s="74" t="str">
        <f t="shared" si="62"/>
        <v>BRSUATCO</v>
      </c>
    </row>
    <row r="153" spans="12:28">
      <c r="L153" s="6" t="s">
        <v>12</v>
      </c>
      <c r="M153" s="6" t="s">
        <v>182</v>
      </c>
      <c r="N153" s="6">
        <f t="shared" si="45"/>
        <v>3</v>
      </c>
      <c r="O153" s="74" t="str">
        <f t="shared" si="59"/>
        <v>N</v>
      </c>
      <c r="P153" s="74" t="str">
        <f t="shared" si="59"/>
        <v>N</v>
      </c>
      <c r="Q153" s="74" t="str">
        <f t="shared" si="59"/>
        <v>BRSUA</v>
      </c>
      <c r="R153" s="99" t="str">
        <f t="shared" si="59"/>
        <v>ZP901</v>
      </c>
      <c r="S153" s="99" t="str">
        <f t="shared" si="59"/>
        <v>BRSUATB02</v>
      </c>
      <c r="T153" s="74" t="str">
        <f t="shared" si="59"/>
        <v>BRSUATCO</v>
      </c>
      <c r="U153" s="6">
        <f t="shared" si="52"/>
        <v>14</v>
      </c>
      <c r="V153" s="102">
        <f t="shared" si="53"/>
        <v>44643.077702180381</v>
      </c>
      <c r="W153" s="102">
        <f t="shared" si="60"/>
        <v>44649.077702180381</v>
      </c>
      <c r="X153" s="102">
        <f t="shared" si="60"/>
        <v>44650.077702180381</v>
      </c>
      <c r="Y153" s="102">
        <f t="shared" si="60"/>
        <v>44650.140202180381</v>
      </c>
      <c r="Z153" s="102">
        <f t="shared" si="60"/>
        <v>44652.256868847042</v>
      </c>
      <c r="AA153" s="74" t="str">
        <f t="shared" si="62"/>
        <v>BRPEC</v>
      </c>
      <c r="AB153" s="74" t="str">
        <f t="shared" si="62"/>
        <v>BRPECAPM</v>
      </c>
    </row>
    <row r="154" spans="12:28">
      <c r="L154" s="6" t="s">
        <v>12</v>
      </c>
      <c r="M154" s="6" t="s">
        <v>182</v>
      </c>
      <c r="N154" s="6">
        <f t="shared" si="45"/>
        <v>3</v>
      </c>
      <c r="O154" s="74" t="str">
        <f t="shared" si="59"/>
        <v>N</v>
      </c>
      <c r="P154" s="74" t="str">
        <f t="shared" si="59"/>
        <v>N</v>
      </c>
      <c r="Q154" s="74" t="str">
        <f t="shared" si="59"/>
        <v>BRPEC</v>
      </c>
      <c r="R154" s="99" t="str">
        <f t="shared" si="59"/>
        <v>ZP501</v>
      </c>
      <c r="S154" s="99" t="str">
        <f t="shared" si="59"/>
        <v>BRPECTB01</v>
      </c>
      <c r="T154" s="74" t="str">
        <f t="shared" si="59"/>
        <v>BRPECAPM</v>
      </c>
      <c r="U154" s="6">
        <f t="shared" si="52"/>
        <v>14</v>
      </c>
      <c r="V154" s="102">
        <f t="shared" si="53"/>
        <v>44646.443242792273</v>
      </c>
      <c r="W154" s="102">
        <f t="shared" si="60"/>
        <v>44652.443242792273</v>
      </c>
      <c r="X154" s="102">
        <f t="shared" si="60"/>
        <v>44653.443242792273</v>
      </c>
      <c r="Y154" s="102">
        <f t="shared" si="60"/>
        <v>44653.526576125609</v>
      </c>
      <c r="Z154" s="102">
        <f t="shared" si="60"/>
        <v>44654.211298347829</v>
      </c>
      <c r="AA154" s="74" t="str">
        <f t="shared" si="62"/>
        <v>BRMCP</v>
      </c>
      <c r="AB154" s="74">
        <f t="shared" si="62"/>
        <v>0</v>
      </c>
    </row>
    <row r="155" spans="12:28">
      <c r="L155" s="6" t="s">
        <v>12</v>
      </c>
      <c r="M155" s="6" t="s">
        <v>182</v>
      </c>
      <c r="N155" s="6">
        <f t="shared" ref="N155:N218" si="63">N115+1</f>
        <v>3</v>
      </c>
      <c r="O155" s="74">
        <f t="shared" si="59"/>
        <v>0</v>
      </c>
      <c r="P155" s="74">
        <f t="shared" si="59"/>
        <v>0</v>
      </c>
      <c r="Q155" s="74" t="str">
        <f t="shared" si="59"/>
        <v>BRMCP</v>
      </c>
      <c r="R155" s="99" t="str">
        <f t="shared" si="59"/>
        <v>ZP101</v>
      </c>
      <c r="S155" s="99">
        <f t="shared" si="59"/>
        <v>0</v>
      </c>
      <c r="T155" s="74">
        <f t="shared" si="59"/>
        <v>0</v>
      </c>
      <c r="U155" s="6">
        <f t="shared" si="52"/>
        <v>15</v>
      </c>
      <c r="V155" s="102">
        <f t="shared" si="53"/>
        <v>44649.358029681898</v>
      </c>
      <c r="W155" s="102">
        <f t="shared" si="60"/>
        <v>44655.358029681898</v>
      </c>
      <c r="X155" s="102">
        <f t="shared" si="60"/>
        <v>44656.358029681898</v>
      </c>
      <c r="Y155" s="102">
        <f t="shared" si="60"/>
        <v>44656.399696348562</v>
      </c>
      <c r="Z155" s="102">
        <f t="shared" si="60"/>
        <v>44656.441363015227</v>
      </c>
      <c r="AA155" s="74" t="str">
        <f t="shared" si="62"/>
        <v>BRMAO</v>
      </c>
      <c r="AB155" s="74" t="str">
        <f t="shared" si="62"/>
        <v>BRMAOCHI</v>
      </c>
    </row>
    <row r="156" spans="12:28">
      <c r="L156" s="6" t="s">
        <v>12</v>
      </c>
      <c r="M156" s="6" t="s">
        <v>182</v>
      </c>
      <c r="N156" s="6">
        <f t="shared" si="63"/>
        <v>3</v>
      </c>
      <c r="O156" s="74" t="str">
        <f t="shared" ref="O156:T171" si="64">O146</f>
        <v>S</v>
      </c>
      <c r="P156" s="74" t="str">
        <f t="shared" si="64"/>
        <v>D</v>
      </c>
      <c r="Q156" s="74" t="str">
        <f t="shared" si="64"/>
        <v>BRMAO</v>
      </c>
      <c r="R156" s="99" t="str">
        <f t="shared" si="64"/>
        <v>ZP201</v>
      </c>
      <c r="S156" s="99" t="str">
        <f t="shared" si="64"/>
        <v>BRMAOTB01</v>
      </c>
      <c r="T156" s="74" t="str">
        <f t="shared" si="64"/>
        <v>BRMAOCHI</v>
      </c>
      <c r="U156" s="6">
        <f t="shared" si="52"/>
        <v>15</v>
      </c>
      <c r="V156" s="102">
        <f t="shared" si="53"/>
        <v>44651.227551957192</v>
      </c>
      <c r="W156" s="102">
        <f t="shared" ref="W156:Z171" si="65">W146+7</f>
        <v>44657.227551957192</v>
      </c>
      <c r="X156" s="102">
        <f t="shared" si="65"/>
        <v>44658.227551957192</v>
      </c>
      <c r="Y156" s="102">
        <f t="shared" si="65"/>
        <v>44658.290051957192</v>
      </c>
      <c r="Z156" s="102">
        <f t="shared" si="65"/>
        <v>44661.380329734966</v>
      </c>
      <c r="AA156" s="74" t="str">
        <f t="shared" si="62"/>
        <v>BRMCP</v>
      </c>
      <c r="AB156" s="74">
        <f t="shared" si="62"/>
        <v>0</v>
      </c>
    </row>
    <row r="157" spans="12:28">
      <c r="L157" s="6" t="s">
        <v>12</v>
      </c>
      <c r="M157" s="6" t="s">
        <v>182</v>
      </c>
      <c r="N157" s="6">
        <f t="shared" si="63"/>
        <v>3</v>
      </c>
      <c r="O157" s="74">
        <f t="shared" si="64"/>
        <v>0</v>
      </c>
      <c r="P157" s="74">
        <f t="shared" si="64"/>
        <v>0</v>
      </c>
      <c r="Q157" s="74" t="str">
        <f t="shared" si="64"/>
        <v>BRMCP</v>
      </c>
      <c r="R157" s="99" t="str">
        <f t="shared" si="64"/>
        <v>ZP101</v>
      </c>
      <c r="S157" s="99">
        <f t="shared" si="64"/>
        <v>0</v>
      </c>
      <c r="T157" s="74">
        <f t="shared" si="64"/>
        <v>0</v>
      </c>
      <c r="U157" s="6">
        <f t="shared" si="52"/>
        <v>16</v>
      </c>
      <c r="V157" s="102">
        <f t="shared" si="53"/>
        <v>44655.843590077056</v>
      </c>
      <c r="W157" s="102">
        <f t="shared" si="65"/>
        <v>44661.843590077056</v>
      </c>
      <c r="X157" s="102">
        <f t="shared" si="65"/>
        <v>44662.843590077056</v>
      </c>
      <c r="Y157" s="102">
        <f t="shared" si="65"/>
        <v>44662.885256743721</v>
      </c>
      <c r="Z157" s="102">
        <f t="shared" si="65"/>
        <v>44662.926923410385</v>
      </c>
      <c r="AA157" s="74" t="str">
        <f t="shared" si="62"/>
        <v>BRPEC</v>
      </c>
      <c r="AB157" s="74" t="str">
        <f t="shared" si="62"/>
        <v>BRPECAPM</v>
      </c>
    </row>
    <row r="158" spans="12:28">
      <c r="L158" s="6" t="s">
        <v>12</v>
      </c>
      <c r="M158" s="6" t="s">
        <v>182</v>
      </c>
      <c r="N158" s="6">
        <f t="shared" si="63"/>
        <v>3</v>
      </c>
      <c r="O158" s="74" t="str">
        <f t="shared" si="64"/>
        <v>S</v>
      </c>
      <c r="P158" s="74" t="str">
        <f t="shared" si="64"/>
        <v>N</v>
      </c>
      <c r="Q158" s="74" t="str">
        <f t="shared" si="64"/>
        <v>BRPEC</v>
      </c>
      <c r="R158" s="99" t="str">
        <f t="shared" si="64"/>
        <v>ZP501</v>
      </c>
      <c r="S158" s="99" t="str">
        <f t="shared" si="64"/>
        <v>BRPECTB02</v>
      </c>
      <c r="T158" s="74" t="str">
        <f t="shared" si="64"/>
        <v>BRPECAPM</v>
      </c>
      <c r="U158" s="6">
        <f t="shared" si="52"/>
        <v>16</v>
      </c>
      <c r="V158" s="102">
        <f t="shared" si="53"/>
        <v>44658.073654745254</v>
      </c>
      <c r="W158" s="102">
        <f t="shared" si="65"/>
        <v>44664.073654745254</v>
      </c>
      <c r="X158" s="102">
        <f t="shared" si="65"/>
        <v>44665.073654745254</v>
      </c>
      <c r="Y158" s="102">
        <f t="shared" si="65"/>
        <v>44665.15698807859</v>
      </c>
      <c r="Z158" s="102">
        <f t="shared" si="65"/>
        <v>44665.572265856368</v>
      </c>
      <c r="AA158" s="74" t="str">
        <f t="shared" si="62"/>
        <v>BRSUA</v>
      </c>
      <c r="AB158" s="74" t="str">
        <f t="shared" si="62"/>
        <v>BRSUATCO</v>
      </c>
    </row>
    <row r="159" spans="12:28">
      <c r="L159" s="6" t="s">
        <v>12</v>
      </c>
      <c r="M159" s="6" t="s">
        <v>182</v>
      </c>
      <c r="N159" s="6">
        <f t="shared" si="63"/>
        <v>3</v>
      </c>
      <c r="O159" s="74" t="str">
        <f t="shared" si="64"/>
        <v>S</v>
      </c>
      <c r="P159" s="74" t="str">
        <f t="shared" si="64"/>
        <v>N</v>
      </c>
      <c r="Q159" s="74" t="str">
        <f t="shared" si="64"/>
        <v>BRSUA</v>
      </c>
      <c r="R159" s="99" t="str">
        <f t="shared" si="64"/>
        <v>ZP901</v>
      </c>
      <c r="S159" s="99" t="str">
        <f t="shared" si="64"/>
        <v>BRSUATB02</v>
      </c>
      <c r="T159" s="74" t="str">
        <f t="shared" si="64"/>
        <v>BRSUATCO</v>
      </c>
      <c r="U159" s="6">
        <f t="shared" si="52"/>
        <v>16</v>
      </c>
      <c r="V159" s="102">
        <f t="shared" si="53"/>
        <v>44659.713121195025</v>
      </c>
      <c r="W159" s="102">
        <f t="shared" si="65"/>
        <v>44665.713121195025</v>
      </c>
      <c r="X159" s="102">
        <f t="shared" si="65"/>
        <v>44666.713121195025</v>
      </c>
      <c r="Y159" s="102">
        <f t="shared" si="65"/>
        <v>44666.775621195025</v>
      </c>
      <c r="Z159" s="102">
        <f t="shared" si="65"/>
        <v>44667.546454528354</v>
      </c>
      <c r="AA159" s="74" t="str">
        <f>AA149</f>
        <v>BRSSZ</v>
      </c>
      <c r="AB159" s="74" t="str">
        <f>AB149</f>
        <v>BRSSZTCO</v>
      </c>
    </row>
    <row r="160" spans="12:28">
      <c r="L160" s="6" t="s">
        <v>12</v>
      </c>
      <c r="M160" s="106" t="s">
        <v>183</v>
      </c>
      <c r="N160" s="6">
        <f t="shared" si="63"/>
        <v>3</v>
      </c>
      <c r="O160" s="74" t="str">
        <f t="shared" si="64"/>
        <v>N</v>
      </c>
      <c r="P160" s="74" t="str">
        <f t="shared" si="64"/>
        <v>B</v>
      </c>
      <c r="Q160" s="74" t="str">
        <f t="shared" si="64"/>
        <v>BRSSZ</v>
      </c>
      <c r="R160" s="99" t="str">
        <f t="shared" si="64"/>
        <v>ZP1601</v>
      </c>
      <c r="S160" s="99" t="str">
        <f t="shared" si="64"/>
        <v>BRSSZTB01</v>
      </c>
      <c r="T160" s="74" t="str">
        <f t="shared" si="64"/>
        <v>BRSSZTCO</v>
      </c>
      <c r="U160" s="6">
        <f t="shared" si="52"/>
        <v>14</v>
      </c>
      <c r="V160" s="102">
        <f t="shared" si="53"/>
        <v>44642.791666666664</v>
      </c>
      <c r="W160" s="102">
        <f t="shared" si="65"/>
        <v>44648.791666666664</v>
      </c>
      <c r="X160" s="102">
        <f t="shared" si="65"/>
        <v>44649.791666666664</v>
      </c>
      <c r="Y160" s="102">
        <f t="shared" si="65"/>
        <v>44649.895833333328</v>
      </c>
      <c r="Z160" s="102">
        <f t="shared" si="65"/>
        <v>44651.718518518515</v>
      </c>
      <c r="AA160" s="74" t="str">
        <f t="shared" ref="AA160:AB168" si="66">AA150</f>
        <v>BRIGI</v>
      </c>
      <c r="AB160" s="74" t="str">
        <f t="shared" si="66"/>
        <v>BRIGITCO</v>
      </c>
    </row>
    <row r="161" spans="12:28">
      <c r="L161" s="6" t="s">
        <v>12</v>
      </c>
      <c r="M161" s="106" t="s">
        <v>183</v>
      </c>
      <c r="N161" s="6">
        <f t="shared" si="63"/>
        <v>3</v>
      </c>
      <c r="O161" s="74" t="str">
        <f t="shared" si="64"/>
        <v>N</v>
      </c>
      <c r="P161" s="74" t="str">
        <f t="shared" si="64"/>
        <v>N</v>
      </c>
      <c r="Q161" s="74" t="str">
        <f t="shared" si="64"/>
        <v>BRIGI</v>
      </c>
      <c r="R161" s="99" t="str">
        <f t="shared" si="64"/>
        <v>ZP15A03</v>
      </c>
      <c r="S161" s="99" t="str">
        <f t="shared" si="64"/>
        <v>BRIGITB01</v>
      </c>
      <c r="T161" s="74" t="str">
        <f t="shared" si="64"/>
        <v>BRIGITCO</v>
      </c>
      <c r="U161" s="6">
        <f t="shared" si="52"/>
        <v>14</v>
      </c>
      <c r="V161" s="102">
        <f t="shared" si="53"/>
        <v>44645.094394891508</v>
      </c>
      <c r="W161" s="102">
        <f t="shared" si="65"/>
        <v>44651.094394891508</v>
      </c>
      <c r="X161" s="102">
        <f t="shared" si="65"/>
        <v>44652.094394891508</v>
      </c>
      <c r="Y161" s="102">
        <f t="shared" si="65"/>
        <v>44652.240228224844</v>
      </c>
      <c r="Z161" s="102">
        <f t="shared" si="65"/>
        <v>44653.433283780396</v>
      </c>
      <c r="AA161" s="74" t="str">
        <f t="shared" si="66"/>
        <v>BRSSA</v>
      </c>
      <c r="AB161" s="74" t="str">
        <f t="shared" si="66"/>
        <v>BRSSATCO</v>
      </c>
    </row>
    <row r="162" spans="12:28">
      <c r="L162" s="6" t="s">
        <v>12</v>
      </c>
      <c r="M162" s="106" t="s">
        <v>183</v>
      </c>
      <c r="N162" s="6">
        <f t="shared" si="63"/>
        <v>3</v>
      </c>
      <c r="O162" s="74" t="str">
        <f t="shared" si="64"/>
        <v>N</v>
      </c>
      <c r="P162" s="74" t="str">
        <f t="shared" si="64"/>
        <v>N</v>
      </c>
      <c r="Q162" s="74" t="str">
        <f t="shared" si="64"/>
        <v>BRSSA</v>
      </c>
      <c r="R162" s="99" t="str">
        <f t="shared" si="64"/>
        <v>ZP1202</v>
      </c>
      <c r="S162" s="99" t="str">
        <f t="shared" si="64"/>
        <v>BRSSATB01</v>
      </c>
      <c r="T162" s="74" t="str">
        <f t="shared" si="64"/>
        <v>BRSSATCO</v>
      </c>
      <c r="U162" s="6">
        <f t="shared" si="52"/>
        <v>15</v>
      </c>
      <c r="V162" s="102">
        <f t="shared" si="53"/>
        <v>44648.450297220996</v>
      </c>
      <c r="W162" s="102">
        <f t="shared" si="65"/>
        <v>44654.450297220996</v>
      </c>
      <c r="X162" s="102">
        <f t="shared" si="65"/>
        <v>44655.450297220996</v>
      </c>
      <c r="Y162" s="102">
        <f t="shared" si="65"/>
        <v>44655.533630554331</v>
      </c>
      <c r="Z162" s="102">
        <f t="shared" si="65"/>
        <v>44656.114186109888</v>
      </c>
      <c r="AA162" s="74" t="str">
        <f t="shared" si="66"/>
        <v>BRSUA</v>
      </c>
      <c r="AB162" s="74" t="str">
        <f t="shared" si="66"/>
        <v>BRSUATCO</v>
      </c>
    </row>
    <row r="163" spans="12:28">
      <c r="L163" s="6" t="s">
        <v>12</v>
      </c>
      <c r="M163" s="106" t="s">
        <v>183</v>
      </c>
      <c r="N163" s="6">
        <f t="shared" si="63"/>
        <v>3</v>
      </c>
      <c r="O163" s="74" t="str">
        <f t="shared" si="64"/>
        <v>N</v>
      </c>
      <c r="P163" s="74" t="str">
        <f t="shared" si="64"/>
        <v>N</v>
      </c>
      <c r="Q163" s="74" t="str">
        <f t="shared" si="64"/>
        <v>BRSUA</v>
      </c>
      <c r="R163" s="99" t="str">
        <f t="shared" si="64"/>
        <v>ZP901</v>
      </c>
      <c r="S163" s="99" t="str">
        <f t="shared" si="64"/>
        <v>BRSUATB02</v>
      </c>
      <c r="T163" s="74" t="str">
        <f t="shared" si="64"/>
        <v>BRSUATCO</v>
      </c>
      <c r="U163" s="6">
        <f t="shared" si="52"/>
        <v>15</v>
      </c>
      <c r="V163" s="102">
        <f t="shared" si="53"/>
        <v>44650.077702180381</v>
      </c>
      <c r="W163" s="102">
        <f t="shared" si="65"/>
        <v>44656.077702180381</v>
      </c>
      <c r="X163" s="102">
        <f t="shared" si="65"/>
        <v>44657.077702180381</v>
      </c>
      <c r="Y163" s="102">
        <f t="shared" si="65"/>
        <v>44657.140202180381</v>
      </c>
      <c r="Z163" s="102">
        <f t="shared" si="65"/>
        <v>44659.256868847042</v>
      </c>
      <c r="AA163" s="74" t="str">
        <f t="shared" si="66"/>
        <v>BRPEC</v>
      </c>
      <c r="AB163" s="74" t="str">
        <f t="shared" si="66"/>
        <v>BRPECAPM</v>
      </c>
    </row>
    <row r="164" spans="12:28">
      <c r="L164" s="6" t="s">
        <v>12</v>
      </c>
      <c r="M164" s="106" t="s">
        <v>183</v>
      </c>
      <c r="N164" s="6">
        <f t="shared" si="63"/>
        <v>3</v>
      </c>
      <c r="O164" s="74" t="str">
        <f t="shared" si="64"/>
        <v>N</v>
      </c>
      <c r="P164" s="74" t="str">
        <f t="shared" si="64"/>
        <v>N</v>
      </c>
      <c r="Q164" s="74" t="str">
        <f t="shared" si="64"/>
        <v>BRPEC</v>
      </c>
      <c r="R164" s="99" t="str">
        <f t="shared" si="64"/>
        <v>ZP501</v>
      </c>
      <c r="S164" s="99" t="str">
        <f t="shared" si="64"/>
        <v>BRPECTB01</v>
      </c>
      <c r="T164" s="74" t="str">
        <f t="shared" si="64"/>
        <v>BRPECAPM</v>
      </c>
      <c r="U164" s="6">
        <f t="shared" si="52"/>
        <v>15</v>
      </c>
      <c r="V164" s="102">
        <f t="shared" si="53"/>
        <v>44653.443242792273</v>
      </c>
      <c r="W164" s="102">
        <f t="shared" si="65"/>
        <v>44659.443242792273</v>
      </c>
      <c r="X164" s="102">
        <f t="shared" si="65"/>
        <v>44660.443242792273</v>
      </c>
      <c r="Y164" s="102">
        <f t="shared" si="65"/>
        <v>44660.526576125609</v>
      </c>
      <c r="Z164" s="102">
        <f t="shared" si="65"/>
        <v>44661.211298347829</v>
      </c>
      <c r="AA164" s="74" t="str">
        <f t="shared" si="66"/>
        <v>BRMCP</v>
      </c>
      <c r="AB164" s="74">
        <f t="shared" si="66"/>
        <v>0</v>
      </c>
    </row>
    <row r="165" spans="12:28">
      <c r="L165" s="6" t="s">
        <v>12</v>
      </c>
      <c r="M165" s="106" t="s">
        <v>183</v>
      </c>
      <c r="N165" s="6">
        <f t="shared" si="63"/>
        <v>3</v>
      </c>
      <c r="O165" s="74">
        <f t="shared" si="64"/>
        <v>0</v>
      </c>
      <c r="P165" s="74">
        <f t="shared" si="64"/>
        <v>0</v>
      </c>
      <c r="Q165" s="74" t="str">
        <f t="shared" si="64"/>
        <v>BRMCP</v>
      </c>
      <c r="R165" s="99" t="str">
        <f t="shared" si="64"/>
        <v>ZP101</v>
      </c>
      <c r="S165" s="99">
        <f t="shared" si="64"/>
        <v>0</v>
      </c>
      <c r="T165" s="74">
        <f t="shared" si="64"/>
        <v>0</v>
      </c>
      <c r="U165" s="6">
        <f t="shared" si="52"/>
        <v>16</v>
      </c>
      <c r="V165" s="102">
        <f t="shared" si="53"/>
        <v>44656.358029681898</v>
      </c>
      <c r="W165" s="102">
        <f t="shared" si="65"/>
        <v>44662.358029681898</v>
      </c>
      <c r="X165" s="102">
        <f t="shared" si="65"/>
        <v>44663.358029681898</v>
      </c>
      <c r="Y165" s="102">
        <f t="shared" si="65"/>
        <v>44663.399696348562</v>
      </c>
      <c r="Z165" s="102">
        <f t="shared" si="65"/>
        <v>44663.441363015227</v>
      </c>
      <c r="AA165" s="74" t="str">
        <f t="shared" si="66"/>
        <v>BRMAO</v>
      </c>
      <c r="AB165" s="74" t="str">
        <f t="shared" si="66"/>
        <v>BRMAOCHI</v>
      </c>
    </row>
    <row r="166" spans="12:28">
      <c r="L166" s="6" t="s">
        <v>12</v>
      </c>
      <c r="M166" s="106" t="s">
        <v>183</v>
      </c>
      <c r="N166" s="6">
        <f t="shared" si="63"/>
        <v>3</v>
      </c>
      <c r="O166" s="74" t="str">
        <f t="shared" si="64"/>
        <v>S</v>
      </c>
      <c r="P166" s="74" t="str">
        <f t="shared" si="64"/>
        <v>D</v>
      </c>
      <c r="Q166" s="74" t="str">
        <f>Q156</f>
        <v>BRMAO</v>
      </c>
      <c r="R166" s="99" t="str">
        <f t="shared" si="64"/>
        <v>ZP201</v>
      </c>
      <c r="S166" s="99" t="str">
        <f t="shared" si="64"/>
        <v>BRMAOTB01</v>
      </c>
      <c r="T166" s="74" t="str">
        <f t="shared" si="64"/>
        <v>BRMAOCHI</v>
      </c>
      <c r="U166" s="6">
        <f t="shared" si="52"/>
        <v>16</v>
      </c>
      <c r="V166" s="102">
        <f t="shared" si="53"/>
        <v>44658.227551957192</v>
      </c>
      <c r="W166" s="102">
        <f t="shared" si="65"/>
        <v>44664.227551957192</v>
      </c>
      <c r="X166" s="102">
        <f t="shared" si="65"/>
        <v>44665.227551957192</v>
      </c>
      <c r="Y166" s="102">
        <f t="shared" si="65"/>
        <v>44665.290051957192</v>
      </c>
      <c r="Z166" s="102">
        <f t="shared" si="65"/>
        <v>44668.380329734966</v>
      </c>
      <c r="AA166" s="74" t="str">
        <f t="shared" si="66"/>
        <v>BRMCP</v>
      </c>
      <c r="AB166" s="74">
        <f t="shared" si="66"/>
        <v>0</v>
      </c>
    </row>
    <row r="167" spans="12:28">
      <c r="L167" s="6" t="s">
        <v>12</v>
      </c>
      <c r="M167" s="106" t="s">
        <v>183</v>
      </c>
      <c r="N167" s="6">
        <f t="shared" si="63"/>
        <v>3</v>
      </c>
      <c r="O167" s="74">
        <f t="shared" si="64"/>
        <v>0</v>
      </c>
      <c r="P167" s="74">
        <f t="shared" si="64"/>
        <v>0</v>
      </c>
      <c r="Q167" s="74" t="str">
        <f t="shared" si="64"/>
        <v>BRMCP</v>
      </c>
      <c r="R167" s="99" t="str">
        <f t="shared" si="64"/>
        <v>ZP101</v>
      </c>
      <c r="S167" s="99">
        <f t="shared" si="64"/>
        <v>0</v>
      </c>
      <c r="T167" s="74">
        <f t="shared" si="64"/>
        <v>0</v>
      </c>
      <c r="U167" s="6">
        <f t="shared" si="52"/>
        <v>17</v>
      </c>
      <c r="V167" s="102">
        <f t="shared" si="53"/>
        <v>44662.843590077056</v>
      </c>
      <c r="W167" s="102">
        <f t="shared" si="65"/>
        <v>44668.843590077056</v>
      </c>
      <c r="X167" s="102">
        <f t="shared" si="65"/>
        <v>44669.843590077056</v>
      </c>
      <c r="Y167" s="102">
        <f t="shared" si="65"/>
        <v>44669.885256743721</v>
      </c>
      <c r="Z167" s="102">
        <f t="shared" si="65"/>
        <v>44669.926923410385</v>
      </c>
      <c r="AA167" s="74" t="str">
        <f t="shared" si="66"/>
        <v>BRPEC</v>
      </c>
      <c r="AB167" s="74" t="str">
        <f t="shared" si="66"/>
        <v>BRPECAPM</v>
      </c>
    </row>
    <row r="168" spans="12:28">
      <c r="L168" s="6" t="s">
        <v>12</v>
      </c>
      <c r="M168" s="106" t="s">
        <v>183</v>
      </c>
      <c r="N168" s="6">
        <f t="shared" si="63"/>
        <v>3</v>
      </c>
      <c r="O168" s="74" t="str">
        <f t="shared" si="64"/>
        <v>S</v>
      </c>
      <c r="P168" s="74" t="str">
        <f t="shared" si="64"/>
        <v>N</v>
      </c>
      <c r="Q168" s="74" t="str">
        <f t="shared" si="64"/>
        <v>BRPEC</v>
      </c>
      <c r="R168" s="99" t="str">
        <f t="shared" si="64"/>
        <v>ZP501</v>
      </c>
      <c r="S168" s="99" t="str">
        <f t="shared" si="64"/>
        <v>BRPECTB02</v>
      </c>
      <c r="T168" s="74" t="str">
        <f t="shared" si="64"/>
        <v>BRPECAPM</v>
      </c>
      <c r="U168" s="6">
        <f t="shared" si="52"/>
        <v>17</v>
      </c>
      <c r="V168" s="102">
        <f t="shared" si="53"/>
        <v>44665.073654745254</v>
      </c>
      <c r="W168" s="102">
        <f t="shared" si="65"/>
        <v>44671.073654745254</v>
      </c>
      <c r="X168" s="102">
        <f t="shared" si="65"/>
        <v>44672.073654745254</v>
      </c>
      <c r="Y168" s="102">
        <f t="shared" si="65"/>
        <v>44672.15698807859</v>
      </c>
      <c r="Z168" s="102">
        <f t="shared" si="65"/>
        <v>44672.572265856368</v>
      </c>
      <c r="AA168" s="74" t="str">
        <f t="shared" si="66"/>
        <v>BRSUA</v>
      </c>
      <c r="AB168" s="74" t="str">
        <f t="shared" si="66"/>
        <v>BRSUATCO</v>
      </c>
    </row>
    <row r="169" spans="12:28">
      <c r="L169" s="6" t="s">
        <v>12</v>
      </c>
      <c r="M169" s="106" t="s">
        <v>183</v>
      </c>
      <c r="N169" s="6">
        <f t="shared" si="63"/>
        <v>3</v>
      </c>
      <c r="O169" s="74" t="str">
        <f t="shared" si="64"/>
        <v>S</v>
      </c>
      <c r="P169" s="74" t="str">
        <f t="shared" si="64"/>
        <v>N</v>
      </c>
      <c r="Q169" s="74" t="str">
        <f t="shared" si="64"/>
        <v>BRSUA</v>
      </c>
      <c r="R169" s="99" t="str">
        <f t="shared" si="64"/>
        <v>ZP901</v>
      </c>
      <c r="S169" s="99" t="str">
        <f t="shared" si="64"/>
        <v>BRSUATB02</v>
      </c>
      <c r="T169" s="74" t="str">
        <f t="shared" si="64"/>
        <v>BRSUATCO</v>
      </c>
      <c r="U169" s="6">
        <f t="shared" si="52"/>
        <v>17</v>
      </c>
      <c r="V169" s="102">
        <f t="shared" si="53"/>
        <v>44666.713121195025</v>
      </c>
      <c r="W169" s="102">
        <f t="shared" si="65"/>
        <v>44672.713121195025</v>
      </c>
      <c r="X169" s="102">
        <f t="shared" si="65"/>
        <v>44673.713121195025</v>
      </c>
      <c r="Y169" s="102">
        <f t="shared" si="65"/>
        <v>44673.775621195025</v>
      </c>
      <c r="Z169" s="102">
        <f t="shared" si="65"/>
        <v>44674.546454528354</v>
      </c>
      <c r="AA169" s="74" t="str">
        <f>AA159</f>
        <v>BRSSZ</v>
      </c>
      <c r="AB169" s="74" t="str">
        <f>AB159</f>
        <v>BRSSZTCO</v>
      </c>
    </row>
    <row r="170" spans="12:28">
      <c r="L170" s="6" t="s">
        <v>12</v>
      </c>
      <c r="M170" s="6" t="str">
        <f>$J$2</f>
        <v>SHIP13</v>
      </c>
      <c r="N170" s="6">
        <f t="shared" si="63"/>
        <v>4</v>
      </c>
      <c r="O170" s="74" t="str">
        <f t="shared" si="64"/>
        <v>N</v>
      </c>
      <c r="P170" s="74" t="str">
        <f t="shared" si="64"/>
        <v>B</v>
      </c>
      <c r="Q170" s="74" t="str">
        <f t="shared" si="64"/>
        <v>BRSSZ</v>
      </c>
      <c r="R170" s="99" t="str">
        <f t="shared" si="64"/>
        <v>ZP1601</v>
      </c>
      <c r="S170" s="99" t="str">
        <f t="shared" si="64"/>
        <v>BRSSZTB01</v>
      </c>
      <c r="T170" s="74" t="str">
        <f t="shared" si="64"/>
        <v>BRSSZTCO</v>
      </c>
      <c r="U170" s="6">
        <f t="shared" si="52"/>
        <v>15</v>
      </c>
      <c r="V170" s="102">
        <f t="shared" si="53"/>
        <v>44649.791666666664</v>
      </c>
      <c r="W170" s="102">
        <f t="shared" si="65"/>
        <v>44655.791666666664</v>
      </c>
      <c r="X170" s="102">
        <f t="shared" si="65"/>
        <v>44656.791666666664</v>
      </c>
      <c r="Y170" s="102">
        <f t="shared" si="65"/>
        <v>44656.895833333328</v>
      </c>
      <c r="Z170" s="102">
        <f t="shared" si="65"/>
        <v>44658.718518518515</v>
      </c>
      <c r="AA170" s="74" t="str">
        <f t="shared" ref="AA170:AB178" si="67">AA160</f>
        <v>BRIGI</v>
      </c>
      <c r="AB170" s="74" t="str">
        <f t="shared" si="67"/>
        <v>BRIGITCO</v>
      </c>
    </row>
    <row r="171" spans="12:28">
      <c r="L171" s="6" t="s">
        <v>12</v>
      </c>
      <c r="M171" s="6" t="str">
        <f t="shared" ref="M171:M179" si="68">$J$2</f>
        <v>SHIP13</v>
      </c>
      <c r="N171" s="6">
        <f t="shared" si="63"/>
        <v>4</v>
      </c>
      <c r="O171" s="74" t="str">
        <f t="shared" si="64"/>
        <v>N</v>
      </c>
      <c r="P171" s="74" t="str">
        <f t="shared" si="64"/>
        <v>N</v>
      </c>
      <c r="Q171" s="74" t="str">
        <f t="shared" si="64"/>
        <v>BRIGI</v>
      </c>
      <c r="R171" s="99" t="str">
        <f t="shared" si="64"/>
        <v>ZP15A03</v>
      </c>
      <c r="S171" s="99" t="str">
        <f t="shared" si="64"/>
        <v>BRIGITB01</v>
      </c>
      <c r="T171" s="74" t="str">
        <f t="shared" si="64"/>
        <v>BRIGITCO</v>
      </c>
      <c r="U171" s="6">
        <f t="shared" si="52"/>
        <v>15</v>
      </c>
      <c r="V171" s="102">
        <f t="shared" si="53"/>
        <v>44652.094394891508</v>
      </c>
      <c r="W171" s="102">
        <f t="shared" si="65"/>
        <v>44658.094394891508</v>
      </c>
      <c r="X171" s="102">
        <f t="shared" si="65"/>
        <v>44659.094394891508</v>
      </c>
      <c r="Y171" s="102">
        <f t="shared" si="65"/>
        <v>44659.240228224844</v>
      </c>
      <c r="Z171" s="102">
        <f t="shared" si="65"/>
        <v>44660.433283780396</v>
      </c>
      <c r="AA171" s="74" t="str">
        <f t="shared" si="67"/>
        <v>BRSSA</v>
      </c>
      <c r="AB171" s="74" t="str">
        <f t="shared" si="67"/>
        <v>BRSSATCO</v>
      </c>
    </row>
    <row r="172" spans="12:28">
      <c r="L172" s="6" t="s">
        <v>12</v>
      </c>
      <c r="M172" s="6" t="str">
        <f t="shared" si="68"/>
        <v>SHIP13</v>
      </c>
      <c r="N172" s="6">
        <f t="shared" si="63"/>
        <v>4</v>
      </c>
      <c r="O172" s="74" t="str">
        <f t="shared" ref="O172:T187" si="69">O162</f>
        <v>N</v>
      </c>
      <c r="P172" s="74" t="str">
        <f t="shared" si="69"/>
        <v>N</v>
      </c>
      <c r="Q172" s="74" t="str">
        <f t="shared" si="69"/>
        <v>BRSSA</v>
      </c>
      <c r="R172" s="99" t="str">
        <f t="shared" si="69"/>
        <v>ZP1202</v>
      </c>
      <c r="S172" s="99" t="str">
        <f t="shared" si="69"/>
        <v>BRSSATB01</v>
      </c>
      <c r="T172" s="74" t="str">
        <f t="shared" si="69"/>
        <v>BRSSATCO</v>
      </c>
      <c r="U172" s="6">
        <f t="shared" si="52"/>
        <v>16</v>
      </c>
      <c r="V172" s="102">
        <f t="shared" si="53"/>
        <v>44655.450297220996</v>
      </c>
      <c r="W172" s="102">
        <f t="shared" ref="W172:Z187" si="70">W162+7</f>
        <v>44661.450297220996</v>
      </c>
      <c r="X172" s="102">
        <f t="shared" si="70"/>
        <v>44662.450297220996</v>
      </c>
      <c r="Y172" s="102">
        <f t="shared" si="70"/>
        <v>44662.533630554331</v>
      </c>
      <c r="Z172" s="102">
        <f t="shared" si="70"/>
        <v>44663.114186109888</v>
      </c>
      <c r="AA172" s="74" t="str">
        <f t="shared" si="67"/>
        <v>BRSUA</v>
      </c>
      <c r="AB172" s="74" t="str">
        <f t="shared" si="67"/>
        <v>BRSUATCO</v>
      </c>
    </row>
    <row r="173" spans="12:28">
      <c r="L173" s="6" t="s">
        <v>12</v>
      </c>
      <c r="M173" s="6" t="str">
        <f t="shared" si="68"/>
        <v>SHIP13</v>
      </c>
      <c r="N173" s="6">
        <f t="shared" si="63"/>
        <v>4</v>
      </c>
      <c r="O173" s="74" t="str">
        <f t="shared" si="69"/>
        <v>N</v>
      </c>
      <c r="P173" s="74" t="str">
        <f t="shared" si="69"/>
        <v>N</v>
      </c>
      <c r="Q173" s="74" t="str">
        <f t="shared" si="69"/>
        <v>BRSUA</v>
      </c>
      <c r="R173" s="99" t="str">
        <f t="shared" si="69"/>
        <v>ZP901</v>
      </c>
      <c r="S173" s="99" t="str">
        <f t="shared" si="69"/>
        <v>BRSUATB02</v>
      </c>
      <c r="T173" s="74" t="str">
        <f t="shared" si="69"/>
        <v>BRSUATCO</v>
      </c>
      <c r="U173" s="6">
        <f t="shared" si="52"/>
        <v>16</v>
      </c>
      <c r="V173" s="102">
        <f t="shared" si="53"/>
        <v>44657.077702180381</v>
      </c>
      <c r="W173" s="102">
        <f t="shared" si="70"/>
        <v>44663.077702180381</v>
      </c>
      <c r="X173" s="102">
        <f t="shared" si="70"/>
        <v>44664.077702180381</v>
      </c>
      <c r="Y173" s="102">
        <f t="shared" si="70"/>
        <v>44664.140202180381</v>
      </c>
      <c r="Z173" s="102">
        <f t="shared" si="70"/>
        <v>44666.256868847042</v>
      </c>
      <c r="AA173" s="74" t="str">
        <f t="shared" si="67"/>
        <v>BRPEC</v>
      </c>
      <c r="AB173" s="74" t="str">
        <f t="shared" si="67"/>
        <v>BRPECAPM</v>
      </c>
    </row>
    <row r="174" spans="12:28">
      <c r="L174" s="6" t="s">
        <v>12</v>
      </c>
      <c r="M174" s="6" t="str">
        <f t="shared" si="68"/>
        <v>SHIP13</v>
      </c>
      <c r="N174" s="6">
        <f t="shared" si="63"/>
        <v>4</v>
      </c>
      <c r="O174" s="74" t="str">
        <f t="shared" si="69"/>
        <v>N</v>
      </c>
      <c r="P174" s="74" t="str">
        <f t="shared" si="69"/>
        <v>N</v>
      </c>
      <c r="Q174" s="74" t="str">
        <f t="shared" si="69"/>
        <v>BRPEC</v>
      </c>
      <c r="R174" s="99" t="str">
        <f t="shared" si="69"/>
        <v>ZP501</v>
      </c>
      <c r="S174" s="99" t="str">
        <f t="shared" si="69"/>
        <v>BRPECTB01</v>
      </c>
      <c r="T174" s="74" t="str">
        <f t="shared" si="69"/>
        <v>BRPECAPM</v>
      </c>
      <c r="U174" s="6">
        <f t="shared" si="52"/>
        <v>16</v>
      </c>
      <c r="V174" s="102">
        <f t="shared" si="53"/>
        <v>44660.443242792273</v>
      </c>
      <c r="W174" s="102">
        <f t="shared" si="70"/>
        <v>44666.443242792273</v>
      </c>
      <c r="X174" s="102">
        <f t="shared" si="70"/>
        <v>44667.443242792273</v>
      </c>
      <c r="Y174" s="102">
        <f t="shared" si="70"/>
        <v>44667.526576125609</v>
      </c>
      <c r="Z174" s="102">
        <f t="shared" si="70"/>
        <v>44668.211298347829</v>
      </c>
      <c r="AA174" s="74" t="str">
        <f t="shared" si="67"/>
        <v>BRMCP</v>
      </c>
      <c r="AB174" s="74">
        <f t="shared" si="67"/>
        <v>0</v>
      </c>
    </row>
    <row r="175" spans="12:28">
      <c r="L175" s="6" t="s">
        <v>12</v>
      </c>
      <c r="M175" s="6" t="str">
        <f t="shared" si="68"/>
        <v>SHIP13</v>
      </c>
      <c r="N175" s="6">
        <f t="shared" si="63"/>
        <v>4</v>
      </c>
      <c r="O175" s="74">
        <f t="shared" si="69"/>
        <v>0</v>
      </c>
      <c r="P175" s="74">
        <f t="shared" si="69"/>
        <v>0</v>
      </c>
      <c r="Q175" s="74" t="str">
        <f t="shared" si="69"/>
        <v>BRMCP</v>
      </c>
      <c r="R175" s="99" t="str">
        <f t="shared" si="69"/>
        <v>ZP101</v>
      </c>
      <c r="S175" s="99">
        <f t="shared" si="69"/>
        <v>0</v>
      </c>
      <c r="T175" s="74">
        <f t="shared" si="69"/>
        <v>0</v>
      </c>
      <c r="U175" s="6">
        <f t="shared" si="52"/>
        <v>17</v>
      </c>
      <c r="V175" s="102">
        <f t="shared" si="53"/>
        <v>44663.358029681898</v>
      </c>
      <c r="W175" s="102">
        <f t="shared" si="70"/>
        <v>44669.358029681898</v>
      </c>
      <c r="X175" s="102">
        <f t="shared" si="70"/>
        <v>44670.358029681898</v>
      </c>
      <c r="Y175" s="102">
        <f t="shared" si="70"/>
        <v>44670.399696348562</v>
      </c>
      <c r="Z175" s="102">
        <f t="shared" si="70"/>
        <v>44670.441363015227</v>
      </c>
      <c r="AA175" s="74" t="str">
        <f t="shared" si="67"/>
        <v>BRMAO</v>
      </c>
      <c r="AB175" s="74" t="str">
        <f t="shared" si="67"/>
        <v>BRMAOCHI</v>
      </c>
    </row>
    <row r="176" spans="12:28">
      <c r="L176" s="6" t="s">
        <v>12</v>
      </c>
      <c r="M176" s="6" t="str">
        <f t="shared" si="68"/>
        <v>SHIP13</v>
      </c>
      <c r="N176" s="6">
        <f t="shared" si="63"/>
        <v>4</v>
      </c>
      <c r="O176" s="74" t="str">
        <f t="shared" si="69"/>
        <v>S</v>
      </c>
      <c r="P176" s="74" t="str">
        <f t="shared" si="69"/>
        <v>D</v>
      </c>
      <c r="Q176" s="74" t="str">
        <f t="shared" si="69"/>
        <v>BRMAO</v>
      </c>
      <c r="R176" s="99" t="str">
        <f t="shared" si="69"/>
        <v>ZP201</v>
      </c>
      <c r="S176" s="99" t="str">
        <f t="shared" si="69"/>
        <v>BRMAOTB01</v>
      </c>
      <c r="T176" s="74" t="str">
        <f t="shared" si="69"/>
        <v>BRMAOCHI</v>
      </c>
      <c r="U176" s="6">
        <f t="shared" si="52"/>
        <v>17</v>
      </c>
      <c r="V176" s="102">
        <f t="shared" si="53"/>
        <v>44665.227551957192</v>
      </c>
      <c r="W176" s="102">
        <f t="shared" si="70"/>
        <v>44671.227551957192</v>
      </c>
      <c r="X176" s="102">
        <f t="shared" si="70"/>
        <v>44672.227551957192</v>
      </c>
      <c r="Y176" s="102">
        <f t="shared" si="70"/>
        <v>44672.290051957192</v>
      </c>
      <c r="Z176" s="102">
        <f t="shared" si="70"/>
        <v>44675.380329734966</v>
      </c>
      <c r="AA176" s="74" t="str">
        <f t="shared" si="67"/>
        <v>BRMCP</v>
      </c>
      <c r="AB176" s="74">
        <f t="shared" si="67"/>
        <v>0</v>
      </c>
    </row>
    <row r="177" spans="12:28">
      <c r="L177" s="6" t="s">
        <v>12</v>
      </c>
      <c r="M177" s="6" t="str">
        <f t="shared" si="68"/>
        <v>SHIP13</v>
      </c>
      <c r="N177" s="6">
        <f t="shared" si="63"/>
        <v>4</v>
      </c>
      <c r="O177" s="74">
        <f t="shared" si="69"/>
        <v>0</v>
      </c>
      <c r="P177" s="74">
        <f t="shared" si="69"/>
        <v>0</v>
      </c>
      <c r="Q177" s="74" t="str">
        <f t="shared" si="69"/>
        <v>BRMCP</v>
      </c>
      <c r="R177" s="99" t="str">
        <f t="shared" si="69"/>
        <v>ZP101</v>
      </c>
      <c r="S177" s="99">
        <f t="shared" si="69"/>
        <v>0</v>
      </c>
      <c r="T177" s="74">
        <f t="shared" si="69"/>
        <v>0</v>
      </c>
      <c r="U177" s="6">
        <f t="shared" si="52"/>
        <v>18</v>
      </c>
      <c r="V177" s="102">
        <f t="shared" si="53"/>
        <v>44669.843590077056</v>
      </c>
      <c r="W177" s="102">
        <f t="shared" si="70"/>
        <v>44675.843590077056</v>
      </c>
      <c r="X177" s="102">
        <f t="shared" si="70"/>
        <v>44676.843590077056</v>
      </c>
      <c r="Y177" s="102">
        <f t="shared" si="70"/>
        <v>44676.885256743721</v>
      </c>
      <c r="Z177" s="102">
        <f t="shared" si="70"/>
        <v>44676.926923410385</v>
      </c>
      <c r="AA177" s="74" t="str">
        <f t="shared" si="67"/>
        <v>BRPEC</v>
      </c>
      <c r="AB177" s="74" t="str">
        <f t="shared" si="67"/>
        <v>BRPECAPM</v>
      </c>
    </row>
    <row r="178" spans="12:28">
      <c r="L178" s="6" t="s">
        <v>12</v>
      </c>
      <c r="M178" s="6" t="str">
        <f t="shared" si="68"/>
        <v>SHIP13</v>
      </c>
      <c r="N178" s="6">
        <f t="shared" si="63"/>
        <v>4</v>
      </c>
      <c r="O178" s="74" t="str">
        <f t="shared" si="69"/>
        <v>S</v>
      </c>
      <c r="P178" s="74" t="str">
        <f t="shared" si="69"/>
        <v>N</v>
      </c>
      <c r="Q178" s="74" t="str">
        <f t="shared" si="69"/>
        <v>BRPEC</v>
      </c>
      <c r="R178" s="99" t="str">
        <f t="shared" si="69"/>
        <v>ZP501</v>
      </c>
      <c r="S178" s="99" t="str">
        <f t="shared" si="69"/>
        <v>BRPECTB02</v>
      </c>
      <c r="T178" s="74" t="str">
        <f t="shared" si="69"/>
        <v>BRPECAPM</v>
      </c>
      <c r="U178" s="6">
        <f t="shared" si="52"/>
        <v>18</v>
      </c>
      <c r="V178" s="102">
        <f t="shared" si="53"/>
        <v>44672.073654745254</v>
      </c>
      <c r="W178" s="102">
        <f t="shared" si="70"/>
        <v>44678.073654745254</v>
      </c>
      <c r="X178" s="102">
        <f t="shared" si="70"/>
        <v>44679.073654745254</v>
      </c>
      <c r="Y178" s="102">
        <f t="shared" si="70"/>
        <v>44679.15698807859</v>
      </c>
      <c r="Z178" s="102">
        <f t="shared" si="70"/>
        <v>44679.572265856368</v>
      </c>
      <c r="AA178" s="74" t="str">
        <f t="shared" si="67"/>
        <v>BRSUA</v>
      </c>
      <c r="AB178" s="74" t="str">
        <f t="shared" si="67"/>
        <v>BRSUATCO</v>
      </c>
    </row>
    <row r="179" spans="12:28">
      <c r="L179" s="6" t="s">
        <v>12</v>
      </c>
      <c r="M179" s="6" t="str">
        <f t="shared" si="68"/>
        <v>SHIP13</v>
      </c>
      <c r="N179" s="6">
        <f t="shared" si="63"/>
        <v>4</v>
      </c>
      <c r="O179" s="74" t="str">
        <f t="shared" si="69"/>
        <v>S</v>
      </c>
      <c r="P179" s="74" t="str">
        <f t="shared" si="69"/>
        <v>N</v>
      </c>
      <c r="Q179" s="74" t="str">
        <f t="shared" si="69"/>
        <v>BRSUA</v>
      </c>
      <c r="R179" s="99" t="str">
        <f t="shared" si="69"/>
        <v>ZP901</v>
      </c>
      <c r="S179" s="99" t="str">
        <f t="shared" si="69"/>
        <v>BRSUATB02</v>
      </c>
      <c r="T179" s="74" t="str">
        <f t="shared" si="69"/>
        <v>BRSUATCO</v>
      </c>
      <c r="U179" s="6">
        <f t="shared" ref="U179:U242" si="71">WEEKNUM(X179)</f>
        <v>18</v>
      </c>
      <c r="V179" s="102">
        <f t="shared" ref="V179:V242" si="72">X179-7</f>
        <v>44673.713121195025</v>
      </c>
      <c r="W179" s="102">
        <f t="shared" si="70"/>
        <v>44679.713121195025</v>
      </c>
      <c r="X179" s="102">
        <f t="shared" si="70"/>
        <v>44680.713121195025</v>
      </c>
      <c r="Y179" s="102">
        <f t="shared" si="70"/>
        <v>44680.775621195025</v>
      </c>
      <c r="Z179" s="102">
        <f t="shared" si="70"/>
        <v>44681.546454528354</v>
      </c>
      <c r="AA179" s="74" t="str">
        <f>AA169</f>
        <v>BRSSZ</v>
      </c>
      <c r="AB179" s="74" t="str">
        <f>AB169</f>
        <v>BRSSZTCO</v>
      </c>
    </row>
    <row r="180" spans="12:28">
      <c r="L180" s="6" t="s">
        <v>12</v>
      </c>
      <c r="M180" s="106" t="s">
        <v>181</v>
      </c>
      <c r="N180" s="6">
        <f t="shared" si="63"/>
        <v>4</v>
      </c>
      <c r="O180" s="74" t="str">
        <f t="shared" si="69"/>
        <v>N</v>
      </c>
      <c r="P180" s="74" t="str">
        <f t="shared" si="69"/>
        <v>B</v>
      </c>
      <c r="Q180" s="74" t="str">
        <f t="shared" si="69"/>
        <v>BRSSZ</v>
      </c>
      <c r="R180" s="99" t="str">
        <f t="shared" si="69"/>
        <v>ZP1601</v>
      </c>
      <c r="S180" s="99" t="str">
        <f t="shared" si="69"/>
        <v>BRSSZTB01</v>
      </c>
      <c r="T180" s="74" t="str">
        <f t="shared" si="69"/>
        <v>BRSSZTCO</v>
      </c>
      <c r="U180" s="6">
        <f t="shared" si="71"/>
        <v>16</v>
      </c>
      <c r="V180" s="102">
        <f t="shared" si="72"/>
        <v>44656.791666666664</v>
      </c>
      <c r="W180" s="102">
        <f t="shared" si="70"/>
        <v>44662.791666666664</v>
      </c>
      <c r="X180" s="102">
        <f t="shared" si="70"/>
        <v>44663.791666666664</v>
      </c>
      <c r="Y180" s="102">
        <f t="shared" si="70"/>
        <v>44663.895833333328</v>
      </c>
      <c r="Z180" s="102">
        <f t="shared" si="70"/>
        <v>44665.718518518515</v>
      </c>
      <c r="AA180" s="74" t="str">
        <f t="shared" ref="AA180:AB188" si="73">AA170</f>
        <v>BRIGI</v>
      </c>
      <c r="AB180" s="74" t="str">
        <f t="shared" si="73"/>
        <v>BRIGITCO</v>
      </c>
    </row>
    <row r="181" spans="12:28">
      <c r="L181" s="6" t="s">
        <v>12</v>
      </c>
      <c r="M181" s="106" t="s">
        <v>181</v>
      </c>
      <c r="N181" s="6">
        <f t="shared" si="63"/>
        <v>4</v>
      </c>
      <c r="O181" s="74" t="str">
        <f t="shared" si="69"/>
        <v>N</v>
      </c>
      <c r="P181" s="74" t="str">
        <f t="shared" si="69"/>
        <v>N</v>
      </c>
      <c r="Q181" s="74" t="str">
        <f t="shared" si="69"/>
        <v>BRIGI</v>
      </c>
      <c r="R181" s="99" t="str">
        <f t="shared" si="69"/>
        <v>ZP15A03</v>
      </c>
      <c r="S181" s="99" t="str">
        <f t="shared" si="69"/>
        <v>BRIGITB01</v>
      </c>
      <c r="T181" s="74" t="str">
        <f t="shared" si="69"/>
        <v>BRIGITCO</v>
      </c>
      <c r="U181" s="6">
        <f t="shared" si="71"/>
        <v>16</v>
      </c>
      <c r="V181" s="102">
        <f t="shared" si="72"/>
        <v>44659.094394891508</v>
      </c>
      <c r="W181" s="102">
        <f t="shared" si="70"/>
        <v>44665.094394891508</v>
      </c>
      <c r="X181" s="102">
        <f t="shared" si="70"/>
        <v>44666.094394891508</v>
      </c>
      <c r="Y181" s="102">
        <f t="shared" si="70"/>
        <v>44666.240228224844</v>
      </c>
      <c r="Z181" s="102">
        <f t="shared" si="70"/>
        <v>44667.433283780396</v>
      </c>
      <c r="AA181" s="74" t="str">
        <f t="shared" si="73"/>
        <v>BRSSA</v>
      </c>
      <c r="AB181" s="74" t="str">
        <f t="shared" si="73"/>
        <v>BRSSATCO</v>
      </c>
    </row>
    <row r="182" spans="12:28">
      <c r="L182" s="6" t="s">
        <v>12</v>
      </c>
      <c r="M182" s="106" t="s">
        <v>181</v>
      </c>
      <c r="N182" s="6">
        <f t="shared" si="63"/>
        <v>4</v>
      </c>
      <c r="O182" s="74" t="str">
        <f t="shared" si="69"/>
        <v>N</v>
      </c>
      <c r="P182" s="74" t="str">
        <f t="shared" si="69"/>
        <v>N</v>
      </c>
      <c r="Q182" s="74" t="str">
        <f t="shared" si="69"/>
        <v>BRSSA</v>
      </c>
      <c r="R182" s="99" t="str">
        <f t="shared" si="69"/>
        <v>ZP1202</v>
      </c>
      <c r="S182" s="99" t="str">
        <f t="shared" si="69"/>
        <v>BRSSATB01</v>
      </c>
      <c r="T182" s="74" t="str">
        <f t="shared" si="69"/>
        <v>BRSSATCO</v>
      </c>
      <c r="U182" s="6">
        <f t="shared" si="71"/>
        <v>17</v>
      </c>
      <c r="V182" s="102">
        <f t="shared" si="72"/>
        <v>44662.450297220996</v>
      </c>
      <c r="W182" s="102">
        <f t="shared" si="70"/>
        <v>44668.450297220996</v>
      </c>
      <c r="X182" s="102">
        <f t="shared" si="70"/>
        <v>44669.450297220996</v>
      </c>
      <c r="Y182" s="102">
        <f t="shared" si="70"/>
        <v>44669.533630554331</v>
      </c>
      <c r="Z182" s="102">
        <f t="shared" si="70"/>
        <v>44670.114186109888</v>
      </c>
      <c r="AA182" s="74" t="str">
        <f t="shared" si="73"/>
        <v>BRSUA</v>
      </c>
      <c r="AB182" s="74" t="str">
        <f t="shared" si="73"/>
        <v>BRSUATCO</v>
      </c>
    </row>
    <row r="183" spans="12:28">
      <c r="L183" s="6" t="s">
        <v>12</v>
      </c>
      <c r="M183" s="106" t="s">
        <v>181</v>
      </c>
      <c r="N183" s="6">
        <f t="shared" si="63"/>
        <v>4</v>
      </c>
      <c r="O183" s="74" t="str">
        <f t="shared" si="69"/>
        <v>N</v>
      </c>
      <c r="P183" s="74" t="str">
        <f t="shared" si="69"/>
        <v>N</v>
      </c>
      <c r="Q183" s="74" t="str">
        <f t="shared" si="69"/>
        <v>BRSUA</v>
      </c>
      <c r="R183" s="99" t="str">
        <f t="shared" si="69"/>
        <v>ZP901</v>
      </c>
      <c r="S183" s="99" t="str">
        <f t="shared" si="69"/>
        <v>BRSUATB02</v>
      </c>
      <c r="T183" s="74" t="str">
        <f t="shared" si="69"/>
        <v>BRSUATCO</v>
      </c>
      <c r="U183" s="6">
        <f t="shared" si="71"/>
        <v>17</v>
      </c>
      <c r="V183" s="102">
        <f t="shared" si="72"/>
        <v>44664.077702180381</v>
      </c>
      <c r="W183" s="102">
        <f t="shared" si="70"/>
        <v>44670.077702180381</v>
      </c>
      <c r="X183" s="102">
        <f t="shared" si="70"/>
        <v>44671.077702180381</v>
      </c>
      <c r="Y183" s="102">
        <f t="shared" si="70"/>
        <v>44671.140202180381</v>
      </c>
      <c r="Z183" s="102">
        <f t="shared" si="70"/>
        <v>44673.256868847042</v>
      </c>
      <c r="AA183" s="74" t="str">
        <f t="shared" si="73"/>
        <v>BRPEC</v>
      </c>
      <c r="AB183" s="74" t="str">
        <f t="shared" si="73"/>
        <v>BRPECAPM</v>
      </c>
    </row>
    <row r="184" spans="12:28">
      <c r="L184" s="6" t="s">
        <v>12</v>
      </c>
      <c r="M184" s="106" t="s">
        <v>181</v>
      </c>
      <c r="N184" s="6">
        <f t="shared" si="63"/>
        <v>4</v>
      </c>
      <c r="O184" s="74" t="str">
        <f t="shared" si="69"/>
        <v>N</v>
      </c>
      <c r="P184" s="74" t="str">
        <f t="shared" si="69"/>
        <v>N</v>
      </c>
      <c r="Q184" s="74" t="str">
        <f t="shared" si="69"/>
        <v>BRPEC</v>
      </c>
      <c r="R184" s="99" t="str">
        <f t="shared" si="69"/>
        <v>ZP501</v>
      </c>
      <c r="S184" s="99" t="str">
        <f t="shared" si="69"/>
        <v>BRPECTB01</v>
      </c>
      <c r="T184" s="74" t="str">
        <f t="shared" si="69"/>
        <v>BRPECAPM</v>
      </c>
      <c r="U184" s="6">
        <f t="shared" si="71"/>
        <v>17</v>
      </c>
      <c r="V184" s="102">
        <f t="shared" si="72"/>
        <v>44667.443242792273</v>
      </c>
      <c r="W184" s="102">
        <f t="shared" si="70"/>
        <v>44673.443242792273</v>
      </c>
      <c r="X184" s="102">
        <f t="shared" si="70"/>
        <v>44674.443242792273</v>
      </c>
      <c r="Y184" s="102">
        <f t="shared" si="70"/>
        <v>44674.526576125609</v>
      </c>
      <c r="Z184" s="102">
        <f t="shared" si="70"/>
        <v>44675.211298347829</v>
      </c>
      <c r="AA184" s="74" t="str">
        <f t="shared" si="73"/>
        <v>BRMCP</v>
      </c>
      <c r="AB184" s="74">
        <f t="shared" si="73"/>
        <v>0</v>
      </c>
    </row>
    <row r="185" spans="12:28">
      <c r="L185" s="6" t="s">
        <v>12</v>
      </c>
      <c r="M185" s="106" t="s">
        <v>181</v>
      </c>
      <c r="N185" s="6">
        <f t="shared" si="63"/>
        <v>4</v>
      </c>
      <c r="O185" s="74">
        <f t="shared" si="69"/>
        <v>0</v>
      </c>
      <c r="P185" s="74">
        <f t="shared" si="69"/>
        <v>0</v>
      </c>
      <c r="Q185" s="74" t="str">
        <f t="shared" si="69"/>
        <v>BRMCP</v>
      </c>
      <c r="R185" s="99" t="str">
        <f t="shared" si="69"/>
        <v>ZP101</v>
      </c>
      <c r="S185" s="99">
        <f t="shared" si="69"/>
        <v>0</v>
      </c>
      <c r="T185" s="74">
        <f t="shared" si="69"/>
        <v>0</v>
      </c>
      <c r="U185" s="6">
        <f t="shared" si="71"/>
        <v>18</v>
      </c>
      <c r="V185" s="102">
        <f t="shared" si="72"/>
        <v>44670.358029681898</v>
      </c>
      <c r="W185" s="102">
        <f t="shared" si="70"/>
        <v>44676.358029681898</v>
      </c>
      <c r="X185" s="102">
        <f t="shared" si="70"/>
        <v>44677.358029681898</v>
      </c>
      <c r="Y185" s="102">
        <f t="shared" si="70"/>
        <v>44677.399696348562</v>
      </c>
      <c r="Z185" s="102">
        <f t="shared" si="70"/>
        <v>44677.441363015227</v>
      </c>
      <c r="AA185" s="74" t="str">
        <f t="shared" si="73"/>
        <v>BRMAO</v>
      </c>
      <c r="AB185" s="74" t="str">
        <f t="shared" si="73"/>
        <v>BRMAOCHI</v>
      </c>
    </row>
    <row r="186" spans="12:28">
      <c r="L186" s="6" t="s">
        <v>12</v>
      </c>
      <c r="M186" s="106" t="s">
        <v>181</v>
      </c>
      <c r="N186" s="6">
        <f t="shared" si="63"/>
        <v>4</v>
      </c>
      <c r="O186" s="74" t="str">
        <f t="shared" si="69"/>
        <v>S</v>
      </c>
      <c r="P186" s="74" t="str">
        <f t="shared" si="69"/>
        <v>D</v>
      </c>
      <c r="Q186" s="74" t="str">
        <f>Q176</f>
        <v>BRMAO</v>
      </c>
      <c r="R186" s="99" t="str">
        <f t="shared" si="69"/>
        <v>ZP201</v>
      </c>
      <c r="S186" s="99" t="str">
        <f t="shared" si="69"/>
        <v>BRMAOTB01</v>
      </c>
      <c r="T186" s="74" t="str">
        <f t="shared" si="69"/>
        <v>BRMAOCHI</v>
      </c>
      <c r="U186" s="6">
        <f t="shared" si="71"/>
        <v>18</v>
      </c>
      <c r="V186" s="102">
        <f t="shared" si="72"/>
        <v>44672.227551957192</v>
      </c>
      <c r="W186" s="102">
        <f t="shared" si="70"/>
        <v>44678.227551957192</v>
      </c>
      <c r="X186" s="102">
        <f t="shared" si="70"/>
        <v>44679.227551957192</v>
      </c>
      <c r="Y186" s="102">
        <f t="shared" si="70"/>
        <v>44679.290051957192</v>
      </c>
      <c r="Z186" s="102">
        <f t="shared" si="70"/>
        <v>44682.380329734966</v>
      </c>
      <c r="AA186" s="74" t="str">
        <f t="shared" si="73"/>
        <v>BRMCP</v>
      </c>
      <c r="AB186" s="74">
        <f t="shared" si="73"/>
        <v>0</v>
      </c>
    </row>
    <row r="187" spans="12:28">
      <c r="L187" s="6" t="s">
        <v>12</v>
      </c>
      <c r="M187" s="106" t="s">
        <v>181</v>
      </c>
      <c r="N187" s="6">
        <f t="shared" si="63"/>
        <v>4</v>
      </c>
      <c r="O187" s="74">
        <f t="shared" si="69"/>
        <v>0</v>
      </c>
      <c r="P187" s="74">
        <f t="shared" si="69"/>
        <v>0</v>
      </c>
      <c r="Q187" s="74" t="str">
        <f t="shared" si="69"/>
        <v>BRMCP</v>
      </c>
      <c r="R187" s="99" t="str">
        <f t="shared" si="69"/>
        <v>ZP101</v>
      </c>
      <c r="S187" s="99">
        <f t="shared" si="69"/>
        <v>0</v>
      </c>
      <c r="T187" s="74">
        <f t="shared" si="69"/>
        <v>0</v>
      </c>
      <c r="U187" s="6">
        <f t="shared" si="71"/>
        <v>19</v>
      </c>
      <c r="V187" s="102">
        <f t="shared" si="72"/>
        <v>44676.843590077056</v>
      </c>
      <c r="W187" s="102">
        <f t="shared" si="70"/>
        <v>44682.843590077056</v>
      </c>
      <c r="X187" s="102">
        <f t="shared" si="70"/>
        <v>44683.843590077056</v>
      </c>
      <c r="Y187" s="102">
        <f t="shared" si="70"/>
        <v>44683.885256743721</v>
      </c>
      <c r="Z187" s="102">
        <f t="shared" si="70"/>
        <v>44683.926923410385</v>
      </c>
      <c r="AA187" s="74" t="str">
        <f t="shared" si="73"/>
        <v>BRPEC</v>
      </c>
      <c r="AB187" s="74" t="str">
        <f t="shared" si="73"/>
        <v>BRPECAPM</v>
      </c>
    </row>
    <row r="188" spans="12:28">
      <c r="L188" s="6" t="s">
        <v>12</v>
      </c>
      <c r="M188" s="106" t="s">
        <v>181</v>
      </c>
      <c r="N188" s="6">
        <f t="shared" si="63"/>
        <v>4</v>
      </c>
      <c r="O188" s="74" t="str">
        <f t="shared" ref="O188:T203" si="74">O178</f>
        <v>S</v>
      </c>
      <c r="P188" s="74" t="str">
        <f t="shared" si="74"/>
        <v>N</v>
      </c>
      <c r="Q188" s="74" t="str">
        <f t="shared" si="74"/>
        <v>BRPEC</v>
      </c>
      <c r="R188" s="99" t="str">
        <f t="shared" si="74"/>
        <v>ZP501</v>
      </c>
      <c r="S188" s="99" t="str">
        <f t="shared" si="74"/>
        <v>BRPECTB02</v>
      </c>
      <c r="T188" s="74" t="str">
        <f t="shared" si="74"/>
        <v>BRPECAPM</v>
      </c>
      <c r="U188" s="6">
        <f t="shared" si="71"/>
        <v>19</v>
      </c>
      <c r="V188" s="102">
        <f t="shared" si="72"/>
        <v>44679.073654745254</v>
      </c>
      <c r="W188" s="102">
        <f t="shared" ref="W188:Z203" si="75">W178+7</f>
        <v>44685.073654745254</v>
      </c>
      <c r="X188" s="102">
        <f t="shared" si="75"/>
        <v>44686.073654745254</v>
      </c>
      <c r="Y188" s="102">
        <f t="shared" si="75"/>
        <v>44686.15698807859</v>
      </c>
      <c r="Z188" s="102">
        <f t="shared" si="75"/>
        <v>44686.572265856368</v>
      </c>
      <c r="AA188" s="74" t="str">
        <f t="shared" si="73"/>
        <v>BRSUA</v>
      </c>
      <c r="AB188" s="74" t="str">
        <f t="shared" si="73"/>
        <v>BRSUATCO</v>
      </c>
    </row>
    <row r="189" spans="12:28">
      <c r="L189" s="6" t="s">
        <v>12</v>
      </c>
      <c r="M189" s="106" t="s">
        <v>181</v>
      </c>
      <c r="N189" s="6">
        <f t="shared" si="63"/>
        <v>4</v>
      </c>
      <c r="O189" s="74" t="str">
        <f t="shared" si="74"/>
        <v>S</v>
      </c>
      <c r="P189" s="74" t="str">
        <f t="shared" si="74"/>
        <v>N</v>
      </c>
      <c r="Q189" s="74" t="str">
        <f t="shared" si="74"/>
        <v>BRSUA</v>
      </c>
      <c r="R189" s="99" t="str">
        <f t="shared" si="74"/>
        <v>ZP901</v>
      </c>
      <c r="S189" s="99" t="str">
        <f t="shared" si="74"/>
        <v>BRSUATB02</v>
      </c>
      <c r="T189" s="74" t="str">
        <f t="shared" si="74"/>
        <v>BRSUATCO</v>
      </c>
      <c r="U189" s="6">
        <f t="shared" si="71"/>
        <v>19</v>
      </c>
      <c r="V189" s="102">
        <f t="shared" si="72"/>
        <v>44680.713121195025</v>
      </c>
      <c r="W189" s="102">
        <f t="shared" si="75"/>
        <v>44686.713121195025</v>
      </c>
      <c r="X189" s="102">
        <f t="shared" si="75"/>
        <v>44687.713121195025</v>
      </c>
      <c r="Y189" s="102">
        <f t="shared" si="75"/>
        <v>44687.775621195025</v>
      </c>
      <c r="Z189" s="102">
        <f t="shared" si="75"/>
        <v>44688.546454528354</v>
      </c>
      <c r="AA189" s="74" t="str">
        <f>AA179</f>
        <v>BRSSZ</v>
      </c>
      <c r="AB189" s="74" t="str">
        <f>AB179</f>
        <v>BRSSZTCO</v>
      </c>
    </row>
    <row r="190" spans="12:28">
      <c r="L190" s="6" t="s">
        <v>12</v>
      </c>
      <c r="M190" s="6" t="s">
        <v>182</v>
      </c>
      <c r="N190" s="6">
        <f t="shared" si="63"/>
        <v>4</v>
      </c>
      <c r="O190" s="74" t="str">
        <f t="shared" si="74"/>
        <v>N</v>
      </c>
      <c r="P190" s="74" t="str">
        <f t="shared" si="74"/>
        <v>B</v>
      </c>
      <c r="Q190" s="74" t="str">
        <f t="shared" si="74"/>
        <v>BRSSZ</v>
      </c>
      <c r="R190" s="99" t="str">
        <f t="shared" si="74"/>
        <v>ZP1601</v>
      </c>
      <c r="S190" s="99" t="str">
        <f t="shared" si="74"/>
        <v>BRSSZTB01</v>
      </c>
      <c r="T190" s="74" t="str">
        <f t="shared" si="74"/>
        <v>BRSSZTCO</v>
      </c>
      <c r="U190" s="6">
        <f t="shared" si="71"/>
        <v>17</v>
      </c>
      <c r="V190" s="102">
        <f t="shared" si="72"/>
        <v>44663.791666666664</v>
      </c>
      <c r="W190" s="102">
        <f t="shared" si="75"/>
        <v>44669.791666666664</v>
      </c>
      <c r="X190" s="102">
        <f t="shared" si="75"/>
        <v>44670.791666666664</v>
      </c>
      <c r="Y190" s="102">
        <f t="shared" si="75"/>
        <v>44670.895833333328</v>
      </c>
      <c r="Z190" s="102">
        <f t="shared" si="75"/>
        <v>44672.718518518515</v>
      </c>
      <c r="AA190" s="74" t="str">
        <f t="shared" ref="AA190:AB198" si="76">AA180</f>
        <v>BRIGI</v>
      </c>
      <c r="AB190" s="74" t="str">
        <f t="shared" si="76"/>
        <v>BRIGITCO</v>
      </c>
    </row>
    <row r="191" spans="12:28">
      <c r="L191" s="6" t="s">
        <v>12</v>
      </c>
      <c r="M191" s="6" t="s">
        <v>182</v>
      </c>
      <c r="N191" s="6">
        <f t="shared" si="63"/>
        <v>4</v>
      </c>
      <c r="O191" s="74" t="str">
        <f t="shared" si="74"/>
        <v>N</v>
      </c>
      <c r="P191" s="74" t="str">
        <f t="shared" si="74"/>
        <v>N</v>
      </c>
      <c r="Q191" s="74" t="str">
        <f t="shared" si="74"/>
        <v>BRIGI</v>
      </c>
      <c r="R191" s="99" t="str">
        <f t="shared" si="74"/>
        <v>ZP15A03</v>
      </c>
      <c r="S191" s="99" t="str">
        <f t="shared" si="74"/>
        <v>BRIGITB01</v>
      </c>
      <c r="T191" s="74" t="str">
        <f t="shared" si="74"/>
        <v>BRIGITCO</v>
      </c>
      <c r="U191" s="6">
        <f t="shared" si="71"/>
        <v>17</v>
      </c>
      <c r="V191" s="102">
        <f t="shared" si="72"/>
        <v>44666.094394891508</v>
      </c>
      <c r="W191" s="102">
        <f t="shared" si="75"/>
        <v>44672.094394891508</v>
      </c>
      <c r="X191" s="102">
        <f t="shared" si="75"/>
        <v>44673.094394891508</v>
      </c>
      <c r="Y191" s="102">
        <f t="shared" si="75"/>
        <v>44673.240228224844</v>
      </c>
      <c r="Z191" s="102">
        <f t="shared" si="75"/>
        <v>44674.433283780396</v>
      </c>
      <c r="AA191" s="74" t="str">
        <f t="shared" si="76"/>
        <v>BRSSA</v>
      </c>
      <c r="AB191" s="74" t="str">
        <f t="shared" si="76"/>
        <v>BRSSATCO</v>
      </c>
    </row>
    <row r="192" spans="12:28">
      <c r="L192" s="6" t="s">
        <v>12</v>
      </c>
      <c r="M192" s="6" t="s">
        <v>182</v>
      </c>
      <c r="N192" s="6">
        <f t="shared" si="63"/>
        <v>4</v>
      </c>
      <c r="O192" s="74" t="str">
        <f t="shared" si="74"/>
        <v>N</v>
      </c>
      <c r="P192" s="74" t="str">
        <f t="shared" si="74"/>
        <v>N</v>
      </c>
      <c r="Q192" s="74" t="str">
        <f t="shared" si="74"/>
        <v>BRSSA</v>
      </c>
      <c r="R192" s="99" t="str">
        <f t="shared" si="74"/>
        <v>ZP1202</v>
      </c>
      <c r="S192" s="99" t="str">
        <f t="shared" si="74"/>
        <v>BRSSATB01</v>
      </c>
      <c r="T192" s="74" t="str">
        <f t="shared" si="74"/>
        <v>BRSSATCO</v>
      </c>
      <c r="U192" s="6">
        <f t="shared" si="71"/>
        <v>18</v>
      </c>
      <c r="V192" s="102">
        <f t="shared" si="72"/>
        <v>44669.450297220996</v>
      </c>
      <c r="W192" s="102">
        <f t="shared" si="75"/>
        <v>44675.450297220996</v>
      </c>
      <c r="X192" s="102">
        <f t="shared" si="75"/>
        <v>44676.450297220996</v>
      </c>
      <c r="Y192" s="102">
        <f t="shared" si="75"/>
        <v>44676.533630554331</v>
      </c>
      <c r="Z192" s="102">
        <f t="shared" si="75"/>
        <v>44677.114186109888</v>
      </c>
      <c r="AA192" s="74" t="str">
        <f t="shared" si="76"/>
        <v>BRSUA</v>
      </c>
      <c r="AB192" s="74" t="str">
        <f t="shared" si="76"/>
        <v>BRSUATCO</v>
      </c>
    </row>
    <row r="193" spans="12:28">
      <c r="L193" s="6" t="s">
        <v>12</v>
      </c>
      <c r="M193" s="6" t="s">
        <v>182</v>
      </c>
      <c r="N193" s="6">
        <f t="shared" si="63"/>
        <v>4</v>
      </c>
      <c r="O193" s="74" t="str">
        <f t="shared" si="74"/>
        <v>N</v>
      </c>
      <c r="P193" s="74" t="str">
        <f t="shared" si="74"/>
        <v>N</v>
      </c>
      <c r="Q193" s="74" t="str">
        <f t="shared" si="74"/>
        <v>BRSUA</v>
      </c>
      <c r="R193" s="99" t="str">
        <f t="shared" si="74"/>
        <v>ZP901</v>
      </c>
      <c r="S193" s="99" t="str">
        <f t="shared" si="74"/>
        <v>BRSUATB02</v>
      </c>
      <c r="T193" s="74" t="str">
        <f t="shared" si="74"/>
        <v>BRSUATCO</v>
      </c>
      <c r="U193" s="6">
        <f t="shared" si="71"/>
        <v>18</v>
      </c>
      <c r="V193" s="102">
        <f t="shared" si="72"/>
        <v>44671.077702180381</v>
      </c>
      <c r="W193" s="102">
        <f t="shared" si="75"/>
        <v>44677.077702180381</v>
      </c>
      <c r="X193" s="102">
        <f t="shared" si="75"/>
        <v>44678.077702180381</v>
      </c>
      <c r="Y193" s="102">
        <f t="shared" si="75"/>
        <v>44678.140202180381</v>
      </c>
      <c r="Z193" s="102">
        <f t="shared" si="75"/>
        <v>44680.256868847042</v>
      </c>
      <c r="AA193" s="74" t="str">
        <f t="shared" si="76"/>
        <v>BRPEC</v>
      </c>
      <c r="AB193" s="74" t="str">
        <f t="shared" si="76"/>
        <v>BRPECAPM</v>
      </c>
    </row>
    <row r="194" spans="12:28">
      <c r="L194" s="6" t="s">
        <v>12</v>
      </c>
      <c r="M194" s="6" t="s">
        <v>182</v>
      </c>
      <c r="N194" s="6">
        <f t="shared" si="63"/>
        <v>4</v>
      </c>
      <c r="O194" s="74" t="str">
        <f t="shared" si="74"/>
        <v>N</v>
      </c>
      <c r="P194" s="74" t="str">
        <f t="shared" si="74"/>
        <v>N</v>
      </c>
      <c r="Q194" s="74" t="str">
        <f t="shared" si="74"/>
        <v>BRPEC</v>
      </c>
      <c r="R194" s="99" t="str">
        <f t="shared" si="74"/>
        <v>ZP501</v>
      </c>
      <c r="S194" s="99" t="str">
        <f t="shared" si="74"/>
        <v>BRPECTB01</v>
      </c>
      <c r="T194" s="74" t="str">
        <f t="shared" si="74"/>
        <v>BRPECAPM</v>
      </c>
      <c r="U194" s="6">
        <f t="shared" si="71"/>
        <v>18</v>
      </c>
      <c r="V194" s="102">
        <f t="shared" si="72"/>
        <v>44674.443242792273</v>
      </c>
      <c r="W194" s="102">
        <f t="shared" si="75"/>
        <v>44680.443242792273</v>
      </c>
      <c r="X194" s="102">
        <f t="shared" si="75"/>
        <v>44681.443242792273</v>
      </c>
      <c r="Y194" s="102">
        <f t="shared" si="75"/>
        <v>44681.526576125609</v>
      </c>
      <c r="Z194" s="102">
        <f t="shared" si="75"/>
        <v>44682.211298347829</v>
      </c>
      <c r="AA194" s="74" t="str">
        <f t="shared" si="76"/>
        <v>BRMCP</v>
      </c>
      <c r="AB194" s="74">
        <f t="shared" si="76"/>
        <v>0</v>
      </c>
    </row>
    <row r="195" spans="12:28">
      <c r="L195" s="6" t="s">
        <v>12</v>
      </c>
      <c r="M195" s="6" t="s">
        <v>182</v>
      </c>
      <c r="N195" s="6">
        <f t="shared" si="63"/>
        <v>4</v>
      </c>
      <c r="O195" s="74">
        <f t="shared" si="74"/>
        <v>0</v>
      </c>
      <c r="P195" s="74">
        <f t="shared" si="74"/>
        <v>0</v>
      </c>
      <c r="Q195" s="74" t="str">
        <f t="shared" si="74"/>
        <v>BRMCP</v>
      </c>
      <c r="R195" s="99" t="str">
        <f t="shared" si="74"/>
        <v>ZP101</v>
      </c>
      <c r="S195" s="99">
        <f t="shared" si="74"/>
        <v>0</v>
      </c>
      <c r="T195" s="74">
        <f t="shared" si="74"/>
        <v>0</v>
      </c>
      <c r="U195" s="6">
        <f t="shared" si="71"/>
        <v>19</v>
      </c>
      <c r="V195" s="102">
        <f t="shared" si="72"/>
        <v>44677.358029681898</v>
      </c>
      <c r="W195" s="102">
        <f t="shared" si="75"/>
        <v>44683.358029681898</v>
      </c>
      <c r="X195" s="102">
        <f t="shared" si="75"/>
        <v>44684.358029681898</v>
      </c>
      <c r="Y195" s="102">
        <f t="shared" si="75"/>
        <v>44684.399696348562</v>
      </c>
      <c r="Z195" s="102">
        <f t="shared" si="75"/>
        <v>44684.441363015227</v>
      </c>
      <c r="AA195" s="74" t="str">
        <f t="shared" si="76"/>
        <v>BRMAO</v>
      </c>
      <c r="AB195" s="74" t="str">
        <f t="shared" si="76"/>
        <v>BRMAOCHI</v>
      </c>
    </row>
    <row r="196" spans="12:28">
      <c r="L196" s="6" t="s">
        <v>12</v>
      </c>
      <c r="M196" s="6" t="s">
        <v>182</v>
      </c>
      <c r="N196" s="6">
        <f t="shared" si="63"/>
        <v>4</v>
      </c>
      <c r="O196" s="74" t="str">
        <f t="shared" si="74"/>
        <v>S</v>
      </c>
      <c r="P196" s="74" t="str">
        <f t="shared" si="74"/>
        <v>D</v>
      </c>
      <c r="Q196" s="74" t="str">
        <f t="shared" si="74"/>
        <v>BRMAO</v>
      </c>
      <c r="R196" s="99" t="str">
        <f t="shared" si="74"/>
        <v>ZP201</v>
      </c>
      <c r="S196" s="99" t="str">
        <f t="shared" si="74"/>
        <v>BRMAOTB01</v>
      </c>
      <c r="T196" s="74" t="str">
        <f t="shared" si="74"/>
        <v>BRMAOCHI</v>
      </c>
      <c r="U196" s="6">
        <f t="shared" si="71"/>
        <v>19</v>
      </c>
      <c r="V196" s="102">
        <f t="shared" si="72"/>
        <v>44679.227551957192</v>
      </c>
      <c r="W196" s="102">
        <f t="shared" si="75"/>
        <v>44685.227551957192</v>
      </c>
      <c r="X196" s="102">
        <f t="shared" si="75"/>
        <v>44686.227551957192</v>
      </c>
      <c r="Y196" s="102">
        <f t="shared" si="75"/>
        <v>44686.290051957192</v>
      </c>
      <c r="Z196" s="102">
        <f t="shared" si="75"/>
        <v>44689.380329734966</v>
      </c>
      <c r="AA196" s="74" t="str">
        <f t="shared" si="76"/>
        <v>BRMCP</v>
      </c>
      <c r="AB196" s="74">
        <f t="shared" si="76"/>
        <v>0</v>
      </c>
    </row>
    <row r="197" spans="12:28">
      <c r="L197" s="6" t="s">
        <v>12</v>
      </c>
      <c r="M197" s="6" t="s">
        <v>182</v>
      </c>
      <c r="N197" s="6">
        <f t="shared" si="63"/>
        <v>4</v>
      </c>
      <c r="O197" s="74">
        <f t="shared" si="74"/>
        <v>0</v>
      </c>
      <c r="P197" s="74">
        <f t="shared" si="74"/>
        <v>0</v>
      </c>
      <c r="Q197" s="74" t="str">
        <f t="shared" si="74"/>
        <v>BRMCP</v>
      </c>
      <c r="R197" s="99" t="str">
        <f t="shared" si="74"/>
        <v>ZP101</v>
      </c>
      <c r="S197" s="99">
        <f t="shared" si="74"/>
        <v>0</v>
      </c>
      <c r="T197" s="74">
        <f t="shared" si="74"/>
        <v>0</v>
      </c>
      <c r="U197" s="6">
        <f t="shared" si="71"/>
        <v>20</v>
      </c>
      <c r="V197" s="102">
        <f t="shared" si="72"/>
        <v>44683.843590077056</v>
      </c>
      <c r="W197" s="102">
        <f t="shared" si="75"/>
        <v>44689.843590077056</v>
      </c>
      <c r="X197" s="102">
        <f t="shared" si="75"/>
        <v>44690.843590077056</v>
      </c>
      <c r="Y197" s="102">
        <f t="shared" si="75"/>
        <v>44690.885256743721</v>
      </c>
      <c r="Z197" s="102">
        <f t="shared" si="75"/>
        <v>44690.926923410385</v>
      </c>
      <c r="AA197" s="74" t="str">
        <f t="shared" si="76"/>
        <v>BRPEC</v>
      </c>
      <c r="AB197" s="74" t="str">
        <f t="shared" si="76"/>
        <v>BRPECAPM</v>
      </c>
    </row>
    <row r="198" spans="12:28">
      <c r="L198" s="6" t="s">
        <v>12</v>
      </c>
      <c r="M198" s="6" t="s">
        <v>182</v>
      </c>
      <c r="N198" s="6">
        <f t="shared" si="63"/>
        <v>4</v>
      </c>
      <c r="O198" s="74" t="str">
        <f t="shared" si="74"/>
        <v>S</v>
      </c>
      <c r="P198" s="74" t="str">
        <f t="shared" si="74"/>
        <v>N</v>
      </c>
      <c r="Q198" s="74" t="str">
        <f t="shared" si="74"/>
        <v>BRPEC</v>
      </c>
      <c r="R198" s="99" t="str">
        <f t="shared" si="74"/>
        <v>ZP501</v>
      </c>
      <c r="S198" s="99" t="str">
        <f t="shared" si="74"/>
        <v>BRPECTB02</v>
      </c>
      <c r="T198" s="74" t="str">
        <f t="shared" si="74"/>
        <v>BRPECAPM</v>
      </c>
      <c r="U198" s="6">
        <f t="shared" si="71"/>
        <v>20</v>
      </c>
      <c r="V198" s="102">
        <f t="shared" si="72"/>
        <v>44686.073654745254</v>
      </c>
      <c r="W198" s="102">
        <f t="shared" si="75"/>
        <v>44692.073654745254</v>
      </c>
      <c r="X198" s="102">
        <f t="shared" si="75"/>
        <v>44693.073654745254</v>
      </c>
      <c r="Y198" s="102">
        <f t="shared" si="75"/>
        <v>44693.15698807859</v>
      </c>
      <c r="Z198" s="102">
        <f t="shared" si="75"/>
        <v>44693.572265856368</v>
      </c>
      <c r="AA198" s="74" t="str">
        <f t="shared" si="76"/>
        <v>BRSUA</v>
      </c>
      <c r="AB198" s="74" t="str">
        <f t="shared" si="76"/>
        <v>BRSUATCO</v>
      </c>
    </row>
    <row r="199" spans="12:28">
      <c r="L199" s="6" t="s">
        <v>12</v>
      </c>
      <c r="M199" s="6" t="s">
        <v>182</v>
      </c>
      <c r="N199" s="6">
        <f t="shared" si="63"/>
        <v>4</v>
      </c>
      <c r="O199" s="74" t="str">
        <f t="shared" si="74"/>
        <v>S</v>
      </c>
      <c r="P199" s="74" t="str">
        <f t="shared" si="74"/>
        <v>N</v>
      </c>
      <c r="Q199" s="74" t="str">
        <f t="shared" si="74"/>
        <v>BRSUA</v>
      </c>
      <c r="R199" s="99" t="str">
        <f t="shared" si="74"/>
        <v>ZP901</v>
      </c>
      <c r="S199" s="99" t="str">
        <f t="shared" si="74"/>
        <v>BRSUATB02</v>
      </c>
      <c r="T199" s="74" t="str">
        <f t="shared" si="74"/>
        <v>BRSUATCO</v>
      </c>
      <c r="U199" s="6">
        <f t="shared" si="71"/>
        <v>20</v>
      </c>
      <c r="V199" s="102">
        <f t="shared" si="72"/>
        <v>44687.713121195025</v>
      </c>
      <c r="W199" s="102">
        <f t="shared" si="75"/>
        <v>44693.713121195025</v>
      </c>
      <c r="X199" s="102">
        <f t="shared" si="75"/>
        <v>44694.713121195025</v>
      </c>
      <c r="Y199" s="102">
        <f t="shared" si="75"/>
        <v>44694.775621195025</v>
      </c>
      <c r="Z199" s="102">
        <f t="shared" si="75"/>
        <v>44695.546454528354</v>
      </c>
      <c r="AA199" s="74" t="str">
        <f>AA189</f>
        <v>BRSSZ</v>
      </c>
      <c r="AB199" s="74" t="str">
        <f>AB189</f>
        <v>BRSSZTCO</v>
      </c>
    </row>
    <row r="200" spans="12:28">
      <c r="L200" s="6" t="s">
        <v>12</v>
      </c>
      <c r="M200" s="106" t="s">
        <v>183</v>
      </c>
      <c r="N200" s="6">
        <f t="shared" si="63"/>
        <v>4</v>
      </c>
      <c r="O200" s="74" t="str">
        <f t="shared" si="74"/>
        <v>N</v>
      </c>
      <c r="P200" s="74" t="str">
        <f t="shared" si="74"/>
        <v>B</v>
      </c>
      <c r="Q200" s="74" t="str">
        <f t="shared" si="74"/>
        <v>BRSSZ</v>
      </c>
      <c r="R200" s="99" t="str">
        <f t="shared" si="74"/>
        <v>ZP1601</v>
      </c>
      <c r="S200" s="99" t="str">
        <f t="shared" si="74"/>
        <v>BRSSZTB01</v>
      </c>
      <c r="T200" s="74" t="str">
        <f t="shared" si="74"/>
        <v>BRSSZTCO</v>
      </c>
      <c r="U200" s="6">
        <f t="shared" si="71"/>
        <v>18</v>
      </c>
      <c r="V200" s="102">
        <f t="shared" si="72"/>
        <v>44670.791666666664</v>
      </c>
      <c r="W200" s="102">
        <f t="shared" si="75"/>
        <v>44676.791666666664</v>
      </c>
      <c r="X200" s="102">
        <f t="shared" si="75"/>
        <v>44677.791666666664</v>
      </c>
      <c r="Y200" s="102">
        <f t="shared" si="75"/>
        <v>44677.895833333328</v>
      </c>
      <c r="Z200" s="102">
        <f t="shared" si="75"/>
        <v>44679.718518518515</v>
      </c>
      <c r="AA200" s="74" t="str">
        <f t="shared" ref="AA200:AB208" si="77">AA190</f>
        <v>BRIGI</v>
      </c>
      <c r="AB200" s="74" t="str">
        <f t="shared" si="77"/>
        <v>BRIGITCO</v>
      </c>
    </row>
    <row r="201" spans="12:28">
      <c r="L201" s="6" t="s">
        <v>12</v>
      </c>
      <c r="M201" s="106" t="s">
        <v>183</v>
      </c>
      <c r="N201" s="6">
        <f t="shared" si="63"/>
        <v>4</v>
      </c>
      <c r="O201" s="74" t="str">
        <f t="shared" si="74"/>
        <v>N</v>
      </c>
      <c r="P201" s="74" t="str">
        <f t="shared" si="74"/>
        <v>N</v>
      </c>
      <c r="Q201" s="74" t="str">
        <f t="shared" si="74"/>
        <v>BRIGI</v>
      </c>
      <c r="R201" s="99" t="str">
        <f t="shared" si="74"/>
        <v>ZP15A03</v>
      </c>
      <c r="S201" s="99" t="str">
        <f t="shared" si="74"/>
        <v>BRIGITB01</v>
      </c>
      <c r="T201" s="74" t="str">
        <f t="shared" si="74"/>
        <v>BRIGITCO</v>
      </c>
      <c r="U201" s="6">
        <f t="shared" si="71"/>
        <v>18</v>
      </c>
      <c r="V201" s="102">
        <f t="shared" si="72"/>
        <v>44673.094394891508</v>
      </c>
      <c r="W201" s="102">
        <f t="shared" si="75"/>
        <v>44679.094394891508</v>
      </c>
      <c r="X201" s="102">
        <f t="shared" si="75"/>
        <v>44680.094394891508</v>
      </c>
      <c r="Y201" s="102">
        <f t="shared" si="75"/>
        <v>44680.240228224844</v>
      </c>
      <c r="Z201" s="102">
        <f t="shared" si="75"/>
        <v>44681.433283780396</v>
      </c>
      <c r="AA201" s="74" t="str">
        <f t="shared" si="77"/>
        <v>BRSSA</v>
      </c>
      <c r="AB201" s="74" t="str">
        <f t="shared" si="77"/>
        <v>BRSSATCO</v>
      </c>
    </row>
    <row r="202" spans="12:28">
      <c r="L202" s="6" t="s">
        <v>12</v>
      </c>
      <c r="M202" s="106" t="s">
        <v>183</v>
      </c>
      <c r="N202" s="6">
        <f t="shared" si="63"/>
        <v>4</v>
      </c>
      <c r="O202" s="74" t="str">
        <f t="shared" si="74"/>
        <v>N</v>
      </c>
      <c r="P202" s="74" t="str">
        <f t="shared" si="74"/>
        <v>N</v>
      </c>
      <c r="Q202" s="74" t="str">
        <f t="shared" si="74"/>
        <v>BRSSA</v>
      </c>
      <c r="R202" s="99" t="str">
        <f t="shared" si="74"/>
        <v>ZP1202</v>
      </c>
      <c r="S202" s="99" t="str">
        <f t="shared" si="74"/>
        <v>BRSSATB01</v>
      </c>
      <c r="T202" s="74" t="str">
        <f t="shared" si="74"/>
        <v>BRSSATCO</v>
      </c>
      <c r="U202" s="6">
        <f t="shared" si="71"/>
        <v>19</v>
      </c>
      <c r="V202" s="102">
        <f t="shared" si="72"/>
        <v>44676.450297220996</v>
      </c>
      <c r="W202" s="102">
        <f t="shared" si="75"/>
        <v>44682.450297220996</v>
      </c>
      <c r="X202" s="102">
        <f t="shared" si="75"/>
        <v>44683.450297220996</v>
      </c>
      <c r="Y202" s="102">
        <f t="shared" si="75"/>
        <v>44683.533630554331</v>
      </c>
      <c r="Z202" s="102">
        <f t="shared" si="75"/>
        <v>44684.114186109888</v>
      </c>
      <c r="AA202" s="74" t="str">
        <f t="shared" si="77"/>
        <v>BRSUA</v>
      </c>
      <c r="AB202" s="74" t="str">
        <f t="shared" si="77"/>
        <v>BRSUATCO</v>
      </c>
    </row>
    <row r="203" spans="12:28">
      <c r="L203" s="6" t="s">
        <v>12</v>
      </c>
      <c r="M203" s="106" t="s">
        <v>183</v>
      </c>
      <c r="N203" s="6">
        <f t="shared" si="63"/>
        <v>4</v>
      </c>
      <c r="O203" s="74" t="str">
        <f t="shared" si="74"/>
        <v>N</v>
      </c>
      <c r="P203" s="74" t="str">
        <f t="shared" si="74"/>
        <v>N</v>
      </c>
      <c r="Q203" s="74" t="str">
        <f t="shared" si="74"/>
        <v>BRSUA</v>
      </c>
      <c r="R203" s="99" t="str">
        <f t="shared" si="74"/>
        <v>ZP901</v>
      </c>
      <c r="S203" s="99" t="str">
        <f t="shared" si="74"/>
        <v>BRSUATB02</v>
      </c>
      <c r="T203" s="74" t="str">
        <f t="shared" si="74"/>
        <v>BRSUATCO</v>
      </c>
      <c r="U203" s="6">
        <f t="shared" si="71"/>
        <v>19</v>
      </c>
      <c r="V203" s="102">
        <f t="shared" si="72"/>
        <v>44678.077702180381</v>
      </c>
      <c r="W203" s="102">
        <f t="shared" si="75"/>
        <v>44684.077702180381</v>
      </c>
      <c r="X203" s="102">
        <f t="shared" si="75"/>
        <v>44685.077702180381</v>
      </c>
      <c r="Y203" s="102">
        <f t="shared" si="75"/>
        <v>44685.140202180381</v>
      </c>
      <c r="Z203" s="102">
        <f t="shared" si="75"/>
        <v>44687.256868847042</v>
      </c>
      <c r="AA203" s="74" t="str">
        <f t="shared" si="77"/>
        <v>BRPEC</v>
      </c>
      <c r="AB203" s="74" t="str">
        <f t="shared" si="77"/>
        <v>BRPECAPM</v>
      </c>
    </row>
    <row r="204" spans="12:28">
      <c r="L204" s="6" t="s">
        <v>12</v>
      </c>
      <c r="M204" s="106" t="s">
        <v>183</v>
      </c>
      <c r="N204" s="6">
        <f t="shared" si="63"/>
        <v>4</v>
      </c>
      <c r="O204" s="74" t="str">
        <f t="shared" ref="O204:T219" si="78">O194</f>
        <v>N</v>
      </c>
      <c r="P204" s="74" t="str">
        <f t="shared" si="78"/>
        <v>N</v>
      </c>
      <c r="Q204" s="74" t="str">
        <f t="shared" si="78"/>
        <v>BRPEC</v>
      </c>
      <c r="R204" s="99" t="str">
        <f t="shared" si="78"/>
        <v>ZP501</v>
      </c>
      <c r="S204" s="99" t="str">
        <f t="shared" si="78"/>
        <v>BRPECTB01</v>
      </c>
      <c r="T204" s="74" t="str">
        <f t="shared" si="78"/>
        <v>BRPECAPM</v>
      </c>
      <c r="U204" s="6">
        <f t="shared" si="71"/>
        <v>19</v>
      </c>
      <c r="V204" s="102">
        <f t="shared" si="72"/>
        <v>44681.443242792273</v>
      </c>
      <c r="W204" s="102">
        <f t="shared" ref="W204:Z219" si="79">W194+7</f>
        <v>44687.443242792273</v>
      </c>
      <c r="X204" s="102">
        <f t="shared" si="79"/>
        <v>44688.443242792273</v>
      </c>
      <c r="Y204" s="102">
        <f t="shared" si="79"/>
        <v>44688.526576125609</v>
      </c>
      <c r="Z204" s="102">
        <f t="shared" si="79"/>
        <v>44689.211298347829</v>
      </c>
      <c r="AA204" s="74" t="str">
        <f t="shared" si="77"/>
        <v>BRMCP</v>
      </c>
      <c r="AB204" s="74">
        <f t="shared" si="77"/>
        <v>0</v>
      </c>
    </row>
    <row r="205" spans="12:28">
      <c r="L205" s="6" t="s">
        <v>12</v>
      </c>
      <c r="M205" s="106" t="s">
        <v>183</v>
      </c>
      <c r="N205" s="6">
        <f t="shared" si="63"/>
        <v>4</v>
      </c>
      <c r="O205" s="74">
        <f t="shared" si="78"/>
        <v>0</v>
      </c>
      <c r="P205" s="74">
        <f t="shared" si="78"/>
        <v>0</v>
      </c>
      <c r="Q205" s="74" t="str">
        <f t="shared" si="78"/>
        <v>BRMCP</v>
      </c>
      <c r="R205" s="99" t="str">
        <f t="shared" si="78"/>
        <v>ZP101</v>
      </c>
      <c r="S205" s="99">
        <f t="shared" si="78"/>
        <v>0</v>
      </c>
      <c r="T205" s="74">
        <f t="shared" si="78"/>
        <v>0</v>
      </c>
      <c r="U205" s="6">
        <f t="shared" si="71"/>
        <v>20</v>
      </c>
      <c r="V205" s="102">
        <f t="shared" si="72"/>
        <v>44684.358029681898</v>
      </c>
      <c r="W205" s="102">
        <f t="shared" si="79"/>
        <v>44690.358029681898</v>
      </c>
      <c r="X205" s="102">
        <f t="shared" si="79"/>
        <v>44691.358029681898</v>
      </c>
      <c r="Y205" s="102">
        <f t="shared" si="79"/>
        <v>44691.399696348562</v>
      </c>
      <c r="Z205" s="102">
        <f t="shared" si="79"/>
        <v>44691.441363015227</v>
      </c>
      <c r="AA205" s="74" t="str">
        <f t="shared" si="77"/>
        <v>BRMAO</v>
      </c>
      <c r="AB205" s="74" t="str">
        <f t="shared" si="77"/>
        <v>BRMAOCHI</v>
      </c>
    </row>
    <row r="206" spans="12:28">
      <c r="L206" s="6" t="s">
        <v>12</v>
      </c>
      <c r="M206" s="106" t="s">
        <v>183</v>
      </c>
      <c r="N206" s="6">
        <f t="shared" si="63"/>
        <v>4</v>
      </c>
      <c r="O206" s="74" t="str">
        <f t="shared" si="78"/>
        <v>S</v>
      </c>
      <c r="P206" s="74" t="str">
        <f t="shared" si="78"/>
        <v>D</v>
      </c>
      <c r="Q206" s="74" t="str">
        <f>Q196</f>
        <v>BRMAO</v>
      </c>
      <c r="R206" s="99" t="str">
        <f t="shared" si="78"/>
        <v>ZP201</v>
      </c>
      <c r="S206" s="99" t="str">
        <f t="shared" si="78"/>
        <v>BRMAOTB01</v>
      </c>
      <c r="T206" s="74" t="str">
        <f t="shared" si="78"/>
        <v>BRMAOCHI</v>
      </c>
      <c r="U206" s="6">
        <f t="shared" si="71"/>
        <v>20</v>
      </c>
      <c r="V206" s="102">
        <f t="shared" si="72"/>
        <v>44686.227551957192</v>
      </c>
      <c r="W206" s="102">
        <f t="shared" si="79"/>
        <v>44692.227551957192</v>
      </c>
      <c r="X206" s="102">
        <f t="shared" si="79"/>
        <v>44693.227551957192</v>
      </c>
      <c r="Y206" s="102">
        <f t="shared" si="79"/>
        <v>44693.290051957192</v>
      </c>
      <c r="Z206" s="102">
        <f t="shared" si="79"/>
        <v>44696.380329734966</v>
      </c>
      <c r="AA206" s="74" t="str">
        <f t="shared" si="77"/>
        <v>BRMCP</v>
      </c>
      <c r="AB206" s="74">
        <f t="shared" si="77"/>
        <v>0</v>
      </c>
    </row>
    <row r="207" spans="12:28">
      <c r="L207" s="6" t="s">
        <v>12</v>
      </c>
      <c r="M207" s="106" t="s">
        <v>183</v>
      </c>
      <c r="N207" s="6">
        <f t="shared" si="63"/>
        <v>4</v>
      </c>
      <c r="O207" s="74">
        <f t="shared" si="78"/>
        <v>0</v>
      </c>
      <c r="P207" s="74">
        <f t="shared" si="78"/>
        <v>0</v>
      </c>
      <c r="Q207" s="74" t="str">
        <f t="shared" si="78"/>
        <v>BRMCP</v>
      </c>
      <c r="R207" s="99" t="str">
        <f t="shared" si="78"/>
        <v>ZP101</v>
      </c>
      <c r="S207" s="99">
        <f t="shared" si="78"/>
        <v>0</v>
      </c>
      <c r="T207" s="74">
        <f t="shared" si="78"/>
        <v>0</v>
      </c>
      <c r="U207" s="6">
        <f t="shared" si="71"/>
        <v>21</v>
      </c>
      <c r="V207" s="102">
        <f t="shared" si="72"/>
        <v>44690.843590077056</v>
      </c>
      <c r="W207" s="102">
        <f t="shared" si="79"/>
        <v>44696.843590077056</v>
      </c>
      <c r="X207" s="102">
        <f t="shared" si="79"/>
        <v>44697.843590077056</v>
      </c>
      <c r="Y207" s="102">
        <f t="shared" si="79"/>
        <v>44697.885256743721</v>
      </c>
      <c r="Z207" s="102">
        <f t="shared" si="79"/>
        <v>44697.926923410385</v>
      </c>
      <c r="AA207" s="74" t="str">
        <f t="shared" si="77"/>
        <v>BRPEC</v>
      </c>
      <c r="AB207" s="74" t="str">
        <f t="shared" si="77"/>
        <v>BRPECAPM</v>
      </c>
    </row>
    <row r="208" spans="12:28">
      <c r="L208" s="6" t="s">
        <v>12</v>
      </c>
      <c r="M208" s="106" t="s">
        <v>183</v>
      </c>
      <c r="N208" s="6">
        <f t="shared" si="63"/>
        <v>4</v>
      </c>
      <c r="O208" s="74" t="str">
        <f t="shared" si="78"/>
        <v>S</v>
      </c>
      <c r="P208" s="74" t="str">
        <f t="shared" si="78"/>
        <v>N</v>
      </c>
      <c r="Q208" s="74" t="str">
        <f t="shared" si="78"/>
        <v>BRPEC</v>
      </c>
      <c r="R208" s="99" t="str">
        <f t="shared" si="78"/>
        <v>ZP501</v>
      </c>
      <c r="S208" s="99" t="str">
        <f t="shared" si="78"/>
        <v>BRPECTB02</v>
      </c>
      <c r="T208" s="74" t="str">
        <f t="shared" si="78"/>
        <v>BRPECAPM</v>
      </c>
      <c r="U208" s="6">
        <f t="shared" si="71"/>
        <v>21</v>
      </c>
      <c r="V208" s="102">
        <f t="shared" si="72"/>
        <v>44693.073654745254</v>
      </c>
      <c r="W208" s="102">
        <f t="shared" si="79"/>
        <v>44699.073654745254</v>
      </c>
      <c r="X208" s="102">
        <f t="shared" si="79"/>
        <v>44700.073654745254</v>
      </c>
      <c r="Y208" s="102">
        <f t="shared" si="79"/>
        <v>44700.15698807859</v>
      </c>
      <c r="Z208" s="102">
        <f t="shared" si="79"/>
        <v>44700.572265856368</v>
      </c>
      <c r="AA208" s="74" t="str">
        <f t="shared" si="77"/>
        <v>BRSUA</v>
      </c>
      <c r="AB208" s="74" t="str">
        <f t="shared" si="77"/>
        <v>BRSUATCO</v>
      </c>
    </row>
    <row r="209" spans="12:28">
      <c r="L209" s="6" t="s">
        <v>12</v>
      </c>
      <c r="M209" s="106" t="s">
        <v>183</v>
      </c>
      <c r="N209" s="6">
        <f t="shared" si="63"/>
        <v>4</v>
      </c>
      <c r="O209" s="74" t="str">
        <f t="shared" si="78"/>
        <v>S</v>
      </c>
      <c r="P209" s="74" t="str">
        <f t="shared" si="78"/>
        <v>N</v>
      </c>
      <c r="Q209" s="74" t="str">
        <f t="shared" si="78"/>
        <v>BRSUA</v>
      </c>
      <c r="R209" s="99" t="str">
        <f t="shared" si="78"/>
        <v>ZP901</v>
      </c>
      <c r="S209" s="99" t="str">
        <f t="shared" si="78"/>
        <v>BRSUATB02</v>
      </c>
      <c r="T209" s="74" t="str">
        <f t="shared" si="78"/>
        <v>BRSUATCO</v>
      </c>
      <c r="U209" s="6">
        <f t="shared" si="71"/>
        <v>21</v>
      </c>
      <c r="V209" s="102">
        <f t="shared" si="72"/>
        <v>44694.713121195025</v>
      </c>
      <c r="W209" s="102">
        <f t="shared" si="79"/>
        <v>44700.713121195025</v>
      </c>
      <c r="X209" s="102">
        <f t="shared" si="79"/>
        <v>44701.713121195025</v>
      </c>
      <c r="Y209" s="102">
        <f t="shared" si="79"/>
        <v>44701.775621195025</v>
      </c>
      <c r="Z209" s="102">
        <f t="shared" si="79"/>
        <v>44702.546454528354</v>
      </c>
      <c r="AA209" s="74" t="str">
        <f>AA199</f>
        <v>BRSSZ</v>
      </c>
      <c r="AB209" s="74" t="str">
        <f>AB199</f>
        <v>BRSSZTCO</v>
      </c>
    </row>
    <row r="210" spans="12:28">
      <c r="L210" s="6" t="s">
        <v>12</v>
      </c>
      <c r="M210" s="6" t="str">
        <f>$J$2</f>
        <v>SHIP13</v>
      </c>
      <c r="N210" s="6">
        <f t="shared" si="63"/>
        <v>5</v>
      </c>
      <c r="O210" s="74" t="str">
        <f t="shared" si="78"/>
        <v>N</v>
      </c>
      <c r="P210" s="74" t="str">
        <f t="shared" si="78"/>
        <v>B</v>
      </c>
      <c r="Q210" s="74" t="str">
        <f t="shared" si="78"/>
        <v>BRSSZ</v>
      </c>
      <c r="R210" s="99" t="str">
        <f t="shared" si="78"/>
        <v>ZP1601</v>
      </c>
      <c r="S210" s="99" t="str">
        <f t="shared" si="78"/>
        <v>BRSSZTB01</v>
      </c>
      <c r="T210" s="74" t="str">
        <f t="shared" si="78"/>
        <v>BRSSZTCO</v>
      </c>
      <c r="U210" s="6">
        <f t="shared" si="71"/>
        <v>19</v>
      </c>
      <c r="V210" s="102">
        <f t="shared" si="72"/>
        <v>44677.791666666664</v>
      </c>
      <c r="W210" s="102">
        <f t="shared" si="79"/>
        <v>44683.791666666664</v>
      </c>
      <c r="X210" s="102">
        <f t="shared" si="79"/>
        <v>44684.791666666664</v>
      </c>
      <c r="Y210" s="102">
        <f t="shared" si="79"/>
        <v>44684.895833333328</v>
      </c>
      <c r="Z210" s="102">
        <f t="shared" si="79"/>
        <v>44686.718518518515</v>
      </c>
      <c r="AA210" s="74" t="str">
        <f t="shared" ref="AA210:AB218" si="80">AA200</f>
        <v>BRIGI</v>
      </c>
      <c r="AB210" s="74" t="str">
        <f t="shared" si="80"/>
        <v>BRIGITCO</v>
      </c>
    </row>
    <row r="211" spans="12:28">
      <c r="L211" s="6" t="s">
        <v>12</v>
      </c>
      <c r="M211" s="6" t="str">
        <f t="shared" ref="M211:M219" si="81">$J$2</f>
        <v>SHIP13</v>
      </c>
      <c r="N211" s="6">
        <f t="shared" si="63"/>
        <v>5</v>
      </c>
      <c r="O211" s="74" t="str">
        <f t="shared" si="78"/>
        <v>N</v>
      </c>
      <c r="P211" s="74" t="str">
        <f t="shared" si="78"/>
        <v>N</v>
      </c>
      <c r="Q211" s="74" t="str">
        <f t="shared" si="78"/>
        <v>BRIGI</v>
      </c>
      <c r="R211" s="99" t="str">
        <f t="shared" si="78"/>
        <v>ZP15A03</v>
      </c>
      <c r="S211" s="99" t="str">
        <f t="shared" si="78"/>
        <v>BRIGITB01</v>
      </c>
      <c r="T211" s="74" t="str">
        <f t="shared" si="78"/>
        <v>BRIGITCO</v>
      </c>
      <c r="U211" s="6">
        <f t="shared" si="71"/>
        <v>19</v>
      </c>
      <c r="V211" s="102">
        <f t="shared" si="72"/>
        <v>44680.094394891508</v>
      </c>
      <c r="W211" s="102">
        <f t="shared" si="79"/>
        <v>44686.094394891508</v>
      </c>
      <c r="X211" s="102">
        <f t="shared" si="79"/>
        <v>44687.094394891508</v>
      </c>
      <c r="Y211" s="102">
        <f t="shared" si="79"/>
        <v>44687.240228224844</v>
      </c>
      <c r="Z211" s="102">
        <f t="shared" si="79"/>
        <v>44688.433283780396</v>
      </c>
      <c r="AA211" s="74" t="str">
        <f t="shared" si="80"/>
        <v>BRSSA</v>
      </c>
      <c r="AB211" s="74" t="str">
        <f t="shared" si="80"/>
        <v>BRSSATCO</v>
      </c>
    </row>
    <row r="212" spans="12:28">
      <c r="L212" s="6" t="s">
        <v>12</v>
      </c>
      <c r="M212" s="6" t="str">
        <f t="shared" si="81"/>
        <v>SHIP13</v>
      </c>
      <c r="N212" s="6">
        <f t="shared" si="63"/>
        <v>5</v>
      </c>
      <c r="O212" s="74" t="str">
        <f t="shared" si="78"/>
        <v>N</v>
      </c>
      <c r="P212" s="74" t="str">
        <f t="shared" si="78"/>
        <v>N</v>
      </c>
      <c r="Q212" s="74" t="str">
        <f t="shared" si="78"/>
        <v>BRSSA</v>
      </c>
      <c r="R212" s="99" t="str">
        <f t="shared" si="78"/>
        <v>ZP1202</v>
      </c>
      <c r="S212" s="99" t="str">
        <f t="shared" si="78"/>
        <v>BRSSATB01</v>
      </c>
      <c r="T212" s="74" t="str">
        <f t="shared" si="78"/>
        <v>BRSSATCO</v>
      </c>
      <c r="U212" s="6">
        <f t="shared" si="71"/>
        <v>20</v>
      </c>
      <c r="V212" s="102">
        <f t="shared" si="72"/>
        <v>44683.450297220996</v>
      </c>
      <c r="W212" s="102">
        <f t="shared" si="79"/>
        <v>44689.450297220996</v>
      </c>
      <c r="X212" s="102">
        <f t="shared" si="79"/>
        <v>44690.450297220996</v>
      </c>
      <c r="Y212" s="102">
        <f t="shared" si="79"/>
        <v>44690.533630554331</v>
      </c>
      <c r="Z212" s="102">
        <f t="shared" si="79"/>
        <v>44691.114186109888</v>
      </c>
      <c r="AA212" s="74" t="str">
        <f t="shared" si="80"/>
        <v>BRSUA</v>
      </c>
      <c r="AB212" s="74" t="str">
        <f t="shared" si="80"/>
        <v>BRSUATCO</v>
      </c>
    </row>
    <row r="213" spans="12:28">
      <c r="L213" s="6" t="s">
        <v>12</v>
      </c>
      <c r="M213" s="6" t="str">
        <f t="shared" si="81"/>
        <v>SHIP13</v>
      </c>
      <c r="N213" s="6">
        <f t="shared" si="63"/>
        <v>5</v>
      </c>
      <c r="O213" s="74" t="str">
        <f t="shared" si="78"/>
        <v>N</v>
      </c>
      <c r="P213" s="74" t="str">
        <f t="shared" si="78"/>
        <v>N</v>
      </c>
      <c r="Q213" s="74" t="str">
        <f t="shared" si="78"/>
        <v>BRSUA</v>
      </c>
      <c r="R213" s="99" t="str">
        <f t="shared" si="78"/>
        <v>ZP901</v>
      </c>
      <c r="S213" s="99" t="str">
        <f t="shared" si="78"/>
        <v>BRSUATB02</v>
      </c>
      <c r="T213" s="74" t="str">
        <f t="shared" si="78"/>
        <v>BRSUATCO</v>
      </c>
      <c r="U213" s="6">
        <f t="shared" si="71"/>
        <v>20</v>
      </c>
      <c r="V213" s="102">
        <f t="shared" si="72"/>
        <v>44685.077702180381</v>
      </c>
      <c r="W213" s="102">
        <f t="shared" si="79"/>
        <v>44691.077702180381</v>
      </c>
      <c r="X213" s="102">
        <f t="shared" si="79"/>
        <v>44692.077702180381</v>
      </c>
      <c r="Y213" s="102">
        <f t="shared" si="79"/>
        <v>44692.140202180381</v>
      </c>
      <c r="Z213" s="102">
        <f t="shared" si="79"/>
        <v>44694.256868847042</v>
      </c>
      <c r="AA213" s="74" t="str">
        <f t="shared" si="80"/>
        <v>BRPEC</v>
      </c>
      <c r="AB213" s="74" t="str">
        <f t="shared" si="80"/>
        <v>BRPECAPM</v>
      </c>
    </row>
    <row r="214" spans="12:28">
      <c r="L214" s="6" t="s">
        <v>12</v>
      </c>
      <c r="M214" s="6" t="str">
        <f t="shared" si="81"/>
        <v>SHIP13</v>
      </c>
      <c r="N214" s="6">
        <f t="shared" si="63"/>
        <v>5</v>
      </c>
      <c r="O214" s="74" t="str">
        <f t="shared" si="78"/>
        <v>N</v>
      </c>
      <c r="P214" s="74" t="str">
        <f t="shared" si="78"/>
        <v>N</v>
      </c>
      <c r="Q214" s="74" t="str">
        <f t="shared" si="78"/>
        <v>BRPEC</v>
      </c>
      <c r="R214" s="99" t="str">
        <f t="shared" si="78"/>
        <v>ZP501</v>
      </c>
      <c r="S214" s="99" t="str">
        <f t="shared" si="78"/>
        <v>BRPECTB01</v>
      </c>
      <c r="T214" s="74" t="str">
        <f t="shared" si="78"/>
        <v>BRPECAPM</v>
      </c>
      <c r="U214" s="6">
        <f t="shared" si="71"/>
        <v>20</v>
      </c>
      <c r="V214" s="102">
        <f t="shared" si="72"/>
        <v>44688.443242792273</v>
      </c>
      <c r="W214" s="102">
        <f t="shared" si="79"/>
        <v>44694.443242792273</v>
      </c>
      <c r="X214" s="102">
        <f t="shared" si="79"/>
        <v>44695.443242792273</v>
      </c>
      <c r="Y214" s="102">
        <f t="shared" si="79"/>
        <v>44695.526576125609</v>
      </c>
      <c r="Z214" s="102">
        <f t="shared" si="79"/>
        <v>44696.211298347829</v>
      </c>
      <c r="AA214" s="74" t="str">
        <f t="shared" si="80"/>
        <v>BRMCP</v>
      </c>
      <c r="AB214" s="74">
        <f t="shared" si="80"/>
        <v>0</v>
      </c>
    </row>
    <row r="215" spans="12:28">
      <c r="L215" s="6" t="s">
        <v>12</v>
      </c>
      <c r="M215" s="6" t="str">
        <f t="shared" si="81"/>
        <v>SHIP13</v>
      </c>
      <c r="N215" s="6">
        <f t="shared" si="63"/>
        <v>5</v>
      </c>
      <c r="O215" s="74">
        <f t="shared" si="78"/>
        <v>0</v>
      </c>
      <c r="P215" s="74">
        <f t="shared" si="78"/>
        <v>0</v>
      </c>
      <c r="Q215" s="74" t="str">
        <f t="shared" si="78"/>
        <v>BRMCP</v>
      </c>
      <c r="R215" s="99" t="str">
        <f t="shared" si="78"/>
        <v>ZP101</v>
      </c>
      <c r="S215" s="99">
        <f t="shared" si="78"/>
        <v>0</v>
      </c>
      <c r="T215" s="74">
        <f t="shared" si="78"/>
        <v>0</v>
      </c>
      <c r="U215" s="6">
        <f t="shared" si="71"/>
        <v>21</v>
      </c>
      <c r="V215" s="102">
        <f t="shared" si="72"/>
        <v>44691.358029681898</v>
      </c>
      <c r="W215" s="102">
        <f t="shared" si="79"/>
        <v>44697.358029681898</v>
      </c>
      <c r="X215" s="102">
        <f t="shared" si="79"/>
        <v>44698.358029681898</v>
      </c>
      <c r="Y215" s="102">
        <f t="shared" si="79"/>
        <v>44698.399696348562</v>
      </c>
      <c r="Z215" s="102">
        <f t="shared" si="79"/>
        <v>44698.441363015227</v>
      </c>
      <c r="AA215" s="74" t="str">
        <f t="shared" si="80"/>
        <v>BRMAO</v>
      </c>
      <c r="AB215" s="74" t="str">
        <f t="shared" si="80"/>
        <v>BRMAOCHI</v>
      </c>
    </row>
    <row r="216" spans="12:28">
      <c r="L216" s="6" t="s">
        <v>12</v>
      </c>
      <c r="M216" s="6" t="str">
        <f t="shared" si="81"/>
        <v>SHIP13</v>
      </c>
      <c r="N216" s="6">
        <f t="shared" si="63"/>
        <v>5</v>
      </c>
      <c r="O216" s="74" t="str">
        <f t="shared" si="78"/>
        <v>S</v>
      </c>
      <c r="P216" s="74" t="str">
        <f t="shared" si="78"/>
        <v>D</v>
      </c>
      <c r="Q216" s="74" t="str">
        <f t="shared" si="78"/>
        <v>BRMAO</v>
      </c>
      <c r="R216" s="99" t="str">
        <f t="shared" si="78"/>
        <v>ZP201</v>
      </c>
      <c r="S216" s="99" t="str">
        <f t="shared" si="78"/>
        <v>BRMAOTB01</v>
      </c>
      <c r="T216" s="74" t="str">
        <f t="shared" si="78"/>
        <v>BRMAOCHI</v>
      </c>
      <c r="U216" s="6">
        <f t="shared" si="71"/>
        <v>21</v>
      </c>
      <c r="V216" s="102">
        <f t="shared" si="72"/>
        <v>44693.227551957192</v>
      </c>
      <c r="W216" s="102">
        <f t="shared" si="79"/>
        <v>44699.227551957192</v>
      </c>
      <c r="X216" s="102">
        <f t="shared" si="79"/>
        <v>44700.227551957192</v>
      </c>
      <c r="Y216" s="102">
        <f t="shared" si="79"/>
        <v>44700.290051957192</v>
      </c>
      <c r="Z216" s="102">
        <f t="shared" si="79"/>
        <v>44703.380329734966</v>
      </c>
      <c r="AA216" s="74" t="str">
        <f t="shared" si="80"/>
        <v>BRMCP</v>
      </c>
      <c r="AB216" s="74">
        <f t="shared" si="80"/>
        <v>0</v>
      </c>
    </row>
    <row r="217" spans="12:28">
      <c r="L217" s="6" t="s">
        <v>12</v>
      </c>
      <c r="M217" s="6" t="str">
        <f t="shared" si="81"/>
        <v>SHIP13</v>
      </c>
      <c r="N217" s="6">
        <f t="shared" si="63"/>
        <v>5</v>
      </c>
      <c r="O217" s="74">
        <f t="shared" si="78"/>
        <v>0</v>
      </c>
      <c r="P217" s="74">
        <f t="shared" si="78"/>
        <v>0</v>
      </c>
      <c r="Q217" s="74" t="str">
        <f t="shared" si="78"/>
        <v>BRMCP</v>
      </c>
      <c r="R217" s="99" t="str">
        <f t="shared" si="78"/>
        <v>ZP101</v>
      </c>
      <c r="S217" s="99">
        <f t="shared" si="78"/>
        <v>0</v>
      </c>
      <c r="T217" s="74">
        <f t="shared" si="78"/>
        <v>0</v>
      </c>
      <c r="U217" s="6">
        <f t="shared" si="71"/>
        <v>22</v>
      </c>
      <c r="V217" s="102">
        <f t="shared" si="72"/>
        <v>44697.843590077056</v>
      </c>
      <c r="W217" s="102">
        <f t="shared" si="79"/>
        <v>44703.843590077056</v>
      </c>
      <c r="X217" s="102">
        <f t="shared" si="79"/>
        <v>44704.843590077056</v>
      </c>
      <c r="Y217" s="102">
        <f t="shared" si="79"/>
        <v>44704.885256743721</v>
      </c>
      <c r="Z217" s="102">
        <f t="shared" si="79"/>
        <v>44704.926923410385</v>
      </c>
      <c r="AA217" s="74" t="str">
        <f t="shared" si="80"/>
        <v>BRPEC</v>
      </c>
      <c r="AB217" s="74" t="str">
        <f t="shared" si="80"/>
        <v>BRPECAPM</v>
      </c>
    </row>
    <row r="218" spans="12:28">
      <c r="L218" s="6" t="s">
        <v>12</v>
      </c>
      <c r="M218" s="6" t="str">
        <f t="shared" si="81"/>
        <v>SHIP13</v>
      </c>
      <c r="N218" s="6">
        <f t="shared" si="63"/>
        <v>5</v>
      </c>
      <c r="O218" s="74" t="str">
        <f t="shared" si="78"/>
        <v>S</v>
      </c>
      <c r="P218" s="74" t="str">
        <f t="shared" si="78"/>
        <v>N</v>
      </c>
      <c r="Q218" s="74" t="str">
        <f t="shared" si="78"/>
        <v>BRPEC</v>
      </c>
      <c r="R218" s="99" t="str">
        <f t="shared" si="78"/>
        <v>ZP501</v>
      </c>
      <c r="S218" s="99" t="str">
        <f t="shared" si="78"/>
        <v>BRPECTB02</v>
      </c>
      <c r="T218" s="74" t="str">
        <f t="shared" si="78"/>
        <v>BRPECAPM</v>
      </c>
      <c r="U218" s="6">
        <f t="shared" si="71"/>
        <v>22</v>
      </c>
      <c r="V218" s="102">
        <f t="shared" si="72"/>
        <v>44700.073654745254</v>
      </c>
      <c r="W218" s="102">
        <f t="shared" si="79"/>
        <v>44706.073654745254</v>
      </c>
      <c r="X218" s="102">
        <f t="shared" si="79"/>
        <v>44707.073654745254</v>
      </c>
      <c r="Y218" s="102">
        <f t="shared" si="79"/>
        <v>44707.15698807859</v>
      </c>
      <c r="Z218" s="102">
        <f t="shared" si="79"/>
        <v>44707.572265856368</v>
      </c>
      <c r="AA218" s="74" t="str">
        <f t="shared" si="80"/>
        <v>BRSUA</v>
      </c>
      <c r="AB218" s="74" t="str">
        <f t="shared" si="80"/>
        <v>BRSUATCO</v>
      </c>
    </row>
    <row r="219" spans="12:28">
      <c r="L219" s="6" t="s">
        <v>12</v>
      </c>
      <c r="M219" s="6" t="str">
        <f t="shared" si="81"/>
        <v>SHIP13</v>
      </c>
      <c r="N219" s="6">
        <f t="shared" ref="N219:N282" si="82">N179+1</f>
        <v>5</v>
      </c>
      <c r="O219" s="74" t="str">
        <f t="shared" si="78"/>
        <v>S</v>
      </c>
      <c r="P219" s="74" t="str">
        <f t="shared" si="78"/>
        <v>N</v>
      </c>
      <c r="Q219" s="74" t="str">
        <f t="shared" si="78"/>
        <v>BRSUA</v>
      </c>
      <c r="R219" s="99" t="str">
        <f t="shared" si="78"/>
        <v>ZP901</v>
      </c>
      <c r="S219" s="99" t="str">
        <f t="shared" si="78"/>
        <v>BRSUATB02</v>
      </c>
      <c r="T219" s="74" t="str">
        <f t="shared" si="78"/>
        <v>BRSUATCO</v>
      </c>
      <c r="U219" s="6">
        <f t="shared" si="71"/>
        <v>22</v>
      </c>
      <c r="V219" s="102">
        <f t="shared" si="72"/>
        <v>44701.713121195025</v>
      </c>
      <c r="W219" s="102">
        <f t="shared" si="79"/>
        <v>44707.713121195025</v>
      </c>
      <c r="X219" s="102">
        <f t="shared" si="79"/>
        <v>44708.713121195025</v>
      </c>
      <c r="Y219" s="102">
        <f t="shared" si="79"/>
        <v>44708.775621195025</v>
      </c>
      <c r="Z219" s="102">
        <f t="shared" si="79"/>
        <v>44709.546454528354</v>
      </c>
      <c r="AA219" s="74" t="str">
        <f>AA209</f>
        <v>BRSSZ</v>
      </c>
      <c r="AB219" s="74" t="str">
        <f>AB209</f>
        <v>BRSSZTCO</v>
      </c>
    </row>
    <row r="220" spans="12:28">
      <c r="L220" s="6" t="s">
        <v>12</v>
      </c>
      <c r="M220" s="106" t="s">
        <v>181</v>
      </c>
      <c r="N220" s="6">
        <f t="shared" si="82"/>
        <v>5</v>
      </c>
      <c r="O220" s="74" t="str">
        <f t="shared" ref="O220:T235" si="83">O210</f>
        <v>N</v>
      </c>
      <c r="P220" s="74" t="str">
        <f t="shared" si="83"/>
        <v>B</v>
      </c>
      <c r="Q220" s="74" t="str">
        <f t="shared" si="83"/>
        <v>BRSSZ</v>
      </c>
      <c r="R220" s="99" t="str">
        <f t="shared" si="83"/>
        <v>ZP1601</v>
      </c>
      <c r="S220" s="99" t="str">
        <f t="shared" si="83"/>
        <v>BRSSZTB01</v>
      </c>
      <c r="T220" s="74" t="str">
        <f t="shared" si="83"/>
        <v>BRSSZTCO</v>
      </c>
      <c r="U220" s="6">
        <f t="shared" si="71"/>
        <v>20</v>
      </c>
      <c r="V220" s="102">
        <f t="shared" si="72"/>
        <v>44684.791666666664</v>
      </c>
      <c r="W220" s="102">
        <f t="shared" ref="W220:Z235" si="84">W210+7</f>
        <v>44690.791666666664</v>
      </c>
      <c r="X220" s="102">
        <f t="shared" si="84"/>
        <v>44691.791666666664</v>
      </c>
      <c r="Y220" s="102">
        <f t="shared" si="84"/>
        <v>44691.895833333328</v>
      </c>
      <c r="Z220" s="102">
        <f t="shared" si="84"/>
        <v>44693.718518518515</v>
      </c>
      <c r="AA220" s="74" t="str">
        <f t="shared" ref="AA220:AB228" si="85">AA210</f>
        <v>BRIGI</v>
      </c>
      <c r="AB220" s="74" t="str">
        <f t="shared" si="85"/>
        <v>BRIGITCO</v>
      </c>
    </row>
    <row r="221" spans="12:28">
      <c r="L221" s="6" t="s">
        <v>12</v>
      </c>
      <c r="M221" s="106" t="s">
        <v>181</v>
      </c>
      <c r="N221" s="6">
        <f t="shared" si="82"/>
        <v>5</v>
      </c>
      <c r="O221" s="74" t="str">
        <f t="shared" si="83"/>
        <v>N</v>
      </c>
      <c r="P221" s="74" t="str">
        <f t="shared" si="83"/>
        <v>N</v>
      </c>
      <c r="Q221" s="74" t="str">
        <f t="shared" si="83"/>
        <v>BRIGI</v>
      </c>
      <c r="R221" s="99" t="str">
        <f t="shared" si="83"/>
        <v>ZP15A03</v>
      </c>
      <c r="S221" s="99" t="str">
        <f t="shared" si="83"/>
        <v>BRIGITB01</v>
      </c>
      <c r="T221" s="74" t="str">
        <f t="shared" si="83"/>
        <v>BRIGITCO</v>
      </c>
      <c r="U221" s="6">
        <f t="shared" si="71"/>
        <v>20</v>
      </c>
      <c r="V221" s="102">
        <f t="shared" si="72"/>
        <v>44687.094394891508</v>
      </c>
      <c r="W221" s="102">
        <f t="shared" si="84"/>
        <v>44693.094394891508</v>
      </c>
      <c r="X221" s="102">
        <f t="shared" si="84"/>
        <v>44694.094394891508</v>
      </c>
      <c r="Y221" s="102">
        <f t="shared" si="84"/>
        <v>44694.240228224844</v>
      </c>
      <c r="Z221" s="102">
        <f t="shared" si="84"/>
        <v>44695.433283780396</v>
      </c>
      <c r="AA221" s="74" t="str">
        <f t="shared" si="85"/>
        <v>BRSSA</v>
      </c>
      <c r="AB221" s="74" t="str">
        <f t="shared" si="85"/>
        <v>BRSSATCO</v>
      </c>
    </row>
    <row r="222" spans="12:28">
      <c r="L222" s="6" t="s">
        <v>12</v>
      </c>
      <c r="M222" s="106" t="s">
        <v>181</v>
      </c>
      <c r="N222" s="6">
        <f t="shared" si="82"/>
        <v>5</v>
      </c>
      <c r="O222" s="74" t="str">
        <f t="shared" si="83"/>
        <v>N</v>
      </c>
      <c r="P222" s="74" t="str">
        <f t="shared" si="83"/>
        <v>N</v>
      </c>
      <c r="Q222" s="74" t="str">
        <f t="shared" si="83"/>
        <v>BRSSA</v>
      </c>
      <c r="R222" s="99" t="str">
        <f t="shared" si="83"/>
        <v>ZP1202</v>
      </c>
      <c r="S222" s="99" t="str">
        <f t="shared" si="83"/>
        <v>BRSSATB01</v>
      </c>
      <c r="T222" s="74" t="str">
        <f t="shared" si="83"/>
        <v>BRSSATCO</v>
      </c>
      <c r="U222" s="6">
        <f t="shared" si="71"/>
        <v>21</v>
      </c>
      <c r="V222" s="102">
        <f t="shared" si="72"/>
        <v>44690.450297220996</v>
      </c>
      <c r="W222" s="102">
        <f t="shared" si="84"/>
        <v>44696.450297220996</v>
      </c>
      <c r="X222" s="102">
        <f t="shared" si="84"/>
        <v>44697.450297220996</v>
      </c>
      <c r="Y222" s="102">
        <f t="shared" si="84"/>
        <v>44697.533630554331</v>
      </c>
      <c r="Z222" s="102">
        <f t="shared" si="84"/>
        <v>44698.114186109888</v>
      </c>
      <c r="AA222" s="74" t="str">
        <f t="shared" si="85"/>
        <v>BRSUA</v>
      </c>
      <c r="AB222" s="74" t="str">
        <f t="shared" si="85"/>
        <v>BRSUATCO</v>
      </c>
    </row>
    <row r="223" spans="12:28">
      <c r="L223" s="6" t="s">
        <v>12</v>
      </c>
      <c r="M223" s="106" t="s">
        <v>181</v>
      </c>
      <c r="N223" s="6">
        <f t="shared" si="82"/>
        <v>5</v>
      </c>
      <c r="O223" s="74" t="str">
        <f t="shared" si="83"/>
        <v>N</v>
      </c>
      <c r="P223" s="74" t="str">
        <f t="shared" si="83"/>
        <v>N</v>
      </c>
      <c r="Q223" s="74" t="str">
        <f t="shared" si="83"/>
        <v>BRSUA</v>
      </c>
      <c r="R223" s="99" t="str">
        <f t="shared" si="83"/>
        <v>ZP901</v>
      </c>
      <c r="S223" s="99" t="str">
        <f t="shared" si="83"/>
        <v>BRSUATB02</v>
      </c>
      <c r="T223" s="74" t="str">
        <f t="shared" si="83"/>
        <v>BRSUATCO</v>
      </c>
      <c r="U223" s="6">
        <f t="shared" si="71"/>
        <v>21</v>
      </c>
      <c r="V223" s="102">
        <f t="shared" si="72"/>
        <v>44692.077702180381</v>
      </c>
      <c r="W223" s="102">
        <f t="shared" si="84"/>
        <v>44698.077702180381</v>
      </c>
      <c r="X223" s="102">
        <f t="shared" si="84"/>
        <v>44699.077702180381</v>
      </c>
      <c r="Y223" s="102">
        <f t="shared" si="84"/>
        <v>44699.140202180381</v>
      </c>
      <c r="Z223" s="102">
        <f t="shared" si="84"/>
        <v>44701.256868847042</v>
      </c>
      <c r="AA223" s="74" t="str">
        <f t="shared" si="85"/>
        <v>BRPEC</v>
      </c>
      <c r="AB223" s="74" t="str">
        <f t="shared" si="85"/>
        <v>BRPECAPM</v>
      </c>
    </row>
    <row r="224" spans="12:28">
      <c r="L224" s="6" t="s">
        <v>12</v>
      </c>
      <c r="M224" s="106" t="s">
        <v>181</v>
      </c>
      <c r="N224" s="6">
        <f t="shared" si="82"/>
        <v>5</v>
      </c>
      <c r="O224" s="74" t="str">
        <f t="shared" si="83"/>
        <v>N</v>
      </c>
      <c r="P224" s="74" t="str">
        <f t="shared" si="83"/>
        <v>N</v>
      </c>
      <c r="Q224" s="74" t="str">
        <f t="shared" si="83"/>
        <v>BRPEC</v>
      </c>
      <c r="R224" s="99" t="str">
        <f t="shared" si="83"/>
        <v>ZP501</v>
      </c>
      <c r="S224" s="99" t="str">
        <f t="shared" si="83"/>
        <v>BRPECTB01</v>
      </c>
      <c r="T224" s="74" t="str">
        <f t="shared" si="83"/>
        <v>BRPECAPM</v>
      </c>
      <c r="U224" s="6">
        <f t="shared" si="71"/>
        <v>21</v>
      </c>
      <c r="V224" s="102">
        <f t="shared" si="72"/>
        <v>44695.443242792273</v>
      </c>
      <c r="W224" s="102">
        <f t="shared" si="84"/>
        <v>44701.443242792273</v>
      </c>
      <c r="X224" s="102">
        <f t="shared" si="84"/>
        <v>44702.443242792273</v>
      </c>
      <c r="Y224" s="102">
        <f t="shared" si="84"/>
        <v>44702.526576125609</v>
      </c>
      <c r="Z224" s="102">
        <f t="shared" si="84"/>
        <v>44703.211298347829</v>
      </c>
      <c r="AA224" s="74" t="str">
        <f t="shared" si="85"/>
        <v>BRMCP</v>
      </c>
      <c r="AB224" s="74">
        <f t="shared" si="85"/>
        <v>0</v>
      </c>
    </row>
    <row r="225" spans="12:28">
      <c r="L225" s="6" t="s">
        <v>12</v>
      </c>
      <c r="M225" s="106" t="s">
        <v>181</v>
      </c>
      <c r="N225" s="6">
        <f t="shared" si="82"/>
        <v>5</v>
      </c>
      <c r="O225" s="74">
        <f t="shared" si="83"/>
        <v>0</v>
      </c>
      <c r="P225" s="74">
        <f t="shared" si="83"/>
        <v>0</v>
      </c>
      <c r="Q225" s="74" t="str">
        <f t="shared" si="83"/>
        <v>BRMCP</v>
      </c>
      <c r="R225" s="99" t="str">
        <f t="shared" si="83"/>
        <v>ZP101</v>
      </c>
      <c r="S225" s="99">
        <f t="shared" si="83"/>
        <v>0</v>
      </c>
      <c r="T225" s="74">
        <f t="shared" si="83"/>
        <v>0</v>
      </c>
      <c r="U225" s="6">
        <f t="shared" si="71"/>
        <v>22</v>
      </c>
      <c r="V225" s="102">
        <f t="shared" si="72"/>
        <v>44698.358029681898</v>
      </c>
      <c r="W225" s="102">
        <f t="shared" si="84"/>
        <v>44704.358029681898</v>
      </c>
      <c r="X225" s="102">
        <f t="shared" si="84"/>
        <v>44705.358029681898</v>
      </c>
      <c r="Y225" s="102">
        <f t="shared" si="84"/>
        <v>44705.399696348562</v>
      </c>
      <c r="Z225" s="102">
        <f t="shared" si="84"/>
        <v>44705.441363015227</v>
      </c>
      <c r="AA225" s="74" t="str">
        <f t="shared" si="85"/>
        <v>BRMAO</v>
      </c>
      <c r="AB225" s="74" t="str">
        <f t="shared" si="85"/>
        <v>BRMAOCHI</v>
      </c>
    </row>
    <row r="226" spans="12:28">
      <c r="L226" s="6" t="s">
        <v>12</v>
      </c>
      <c r="M226" s="106" t="s">
        <v>181</v>
      </c>
      <c r="N226" s="6">
        <f t="shared" si="82"/>
        <v>5</v>
      </c>
      <c r="O226" s="74" t="str">
        <f t="shared" si="83"/>
        <v>S</v>
      </c>
      <c r="P226" s="74" t="str">
        <f t="shared" si="83"/>
        <v>D</v>
      </c>
      <c r="Q226" s="74" t="str">
        <f>Q216</f>
        <v>BRMAO</v>
      </c>
      <c r="R226" s="99" t="str">
        <f t="shared" si="83"/>
        <v>ZP201</v>
      </c>
      <c r="S226" s="99" t="str">
        <f t="shared" si="83"/>
        <v>BRMAOTB01</v>
      </c>
      <c r="T226" s="74" t="str">
        <f t="shared" si="83"/>
        <v>BRMAOCHI</v>
      </c>
      <c r="U226" s="6">
        <f t="shared" si="71"/>
        <v>22</v>
      </c>
      <c r="V226" s="102">
        <f t="shared" si="72"/>
        <v>44700.227551957192</v>
      </c>
      <c r="W226" s="102">
        <f t="shared" si="84"/>
        <v>44706.227551957192</v>
      </c>
      <c r="X226" s="102">
        <f t="shared" si="84"/>
        <v>44707.227551957192</v>
      </c>
      <c r="Y226" s="102">
        <f t="shared" si="84"/>
        <v>44707.290051957192</v>
      </c>
      <c r="Z226" s="102">
        <f t="shared" si="84"/>
        <v>44710.380329734966</v>
      </c>
      <c r="AA226" s="74" t="str">
        <f t="shared" si="85"/>
        <v>BRMCP</v>
      </c>
      <c r="AB226" s="74">
        <f t="shared" si="85"/>
        <v>0</v>
      </c>
    </row>
    <row r="227" spans="12:28">
      <c r="L227" s="6" t="s">
        <v>12</v>
      </c>
      <c r="M227" s="106" t="s">
        <v>181</v>
      </c>
      <c r="N227" s="6">
        <f t="shared" si="82"/>
        <v>5</v>
      </c>
      <c r="O227" s="74">
        <f t="shared" si="83"/>
        <v>0</v>
      </c>
      <c r="P227" s="74">
        <f t="shared" si="83"/>
        <v>0</v>
      </c>
      <c r="Q227" s="74" t="str">
        <f t="shared" si="83"/>
        <v>BRMCP</v>
      </c>
      <c r="R227" s="99" t="str">
        <f t="shared" si="83"/>
        <v>ZP101</v>
      </c>
      <c r="S227" s="99">
        <f t="shared" si="83"/>
        <v>0</v>
      </c>
      <c r="T227" s="74">
        <f t="shared" si="83"/>
        <v>0</v>
      </c>
      <c r="U227" s="6">
        <f t="shared" si="71"/>
        <v>23</v>
      </c>
      <c r="V227" s="102">
        <f t="shared" si="72"/>
        <v>44704.843590077056</v>
      </c>
      <c r="W227" s="102">
        <f t="shared" si="84"/>
        <v>44710.843590077056</v>
      </c>
      <c r="X227" s="102">
        <f t="shared" si="84"/>
        <v>44711.843590077056</v>
      </c>
      <c r="Y227" s="102">
        <f t="shared" si="84"/>
        <v>44711.885256743721</v>
      </c>
      <c r="Z227" s="102">
        <f t="shared" si="84"/>
        <v>44711.926923410385</v>
      </c>
      <c r="AA227" s="74" t="str">
        <f t="shared" si="85"/>
        <v>BRPEC</v>
      </c>
      <c r="AB227" s="74" t="str">
        <f t="shared" si="85"/>
        <v>BRPECAPM</v>
      </c>
    </row>
    <row r="228" spans="12:28">
      <c r="L228" s="6" t="s">
        <v>12</v>
      </c>
      <c r="M228" s="106" t="s">
        <v>181</v>
      </c>
      <c r="N228" s="6">
        <f t="shared" si="82"/>
        <v>5</v>
      </c>
      <c r="O228" s="74" t="str">
        <f t="shared" si="83"/>
        <v>S</v>
      </c>
      <c r="P228" s="74" t="str">
        <f t="shared" si="83"/>
        <v>N</v>
      </c>
      <c r="Q228" s="74" t="str">
        <f t="shared" si="83"/>
        <v>BRPEC</v>
      </c>
      <c r="R228" s="99" t="str">
        <f t="shared" si="83"/>
        <v>ZP501</v>
      </c>
      <c r="S228" s="99" t="str">
        <f t="shared" si="83"/>
        <v>BRPECTB02</v>
      </c>
      <c r="T228" s="74" t="str">
        <f t="shared" si="83"/>
        <v>BRPECAPM</v>
      </c>
      <c r="U228" s="6">
        <f t="shared" si="71"/>
        <v>23</v>
      </c>
      <c r="V228" s="102">
        <f t="shared" si="72"/>
        <v>44707.073654745254</v>
      </c>
      <c r="W228" s="102">
        <f t="shared" si="84"/>
        <v>44713.073654745254</v>
      </c>
      <c r="X228" s="102">
        <f t="shared" si="84"/>
        <v>44714.073654745254</v>
      </c>
      <c r="Y228" s="102">
        <f t="shared" si="84"/>
        <v>44714.15698807859</v>
      </c>
      <c r="Z228" s="102">
        <f t="shared" si="84"/>
        <v>44714.572265856368</v>
      </c>
      <c r="AA228" s="74" t="str">
        <f t="shared" si="85"/>
        <v>BRSUA</v>
      </c>
      <c r="AB228" s="74" t="str">
        <f t="shared" si="85"/>
        <v>BRSUATCO</v>
      </c>
    </row>
    <row r="229" spans="12:28">
      <c r="L229" s="6" t="s">
        <v>12</v>
      </c>
      <c r="M229" s="106" t="s">
        <v>181</v>
      </c>
      <c r="N229" s="6">
        <f t="shared" si="82"/>
        <v>5</v>
      </c>
      <c r="O229" s="74" t="str">
        <f t="shared" si="83"/>
        <v>S</v>
      </c>
      <c r="P229" s="74" t="str">
        <f t="shared" si="83"/>
        <v>N</v>
      </c>
      <c r="Q229" s="74" t="str">
        <f t="shared" si="83"/>
        <v>BRSUA</v>
      </c>
      <c r="R229" s="99" t="str">
        <f t="shared" si="83"/>
        <v>ZP901</v>
      </c>
      <c r="S229" s="99" t="str">
        <f t="shared" si="83"/>
        <v>BRSUATB02</v>
      </c>
      <c r="T229" s="74" t="str">
        <f t="shared" si="83"/>
        <v>BRSUATCO</v>
      </c>
      <c r="U229" s="6">
        <f t="shared" si="71"/>
        <v>23</v>
      </c>
      <c r="V229" s="102">
        <f t="shared" si="72"/>
        <v>44708.713121195025</v>
      </c>
      <c r="W229" s="102">
        <f t="shared" si="84"/>
        <v>44714.713121195025</v>
      </c>
      <c r="X229" s="102">
        <f t="shared" si="84"/>
        <v>44715.713121195025</v>
      </c>
      <c r="Y229" s="102">
        <f t="shared" si="84"/>
        <v>44715.775621195025</v>
      </c>
      <c r="Z229" s="102">
        <f t="shared" si="84"/>
        <v>44716.546454528354</v>
      </c>
      <c r="AA229" s="74" t="str">
        <f>AA219</f>
        <v>BRSSZ</v>
      </c>
      <c r="AB229" s="74" t="str">
        <f>AB219</f>
        <v>BRSSZTCO</v>
      </c>
    </row>
    <row r="230" spans="12:28">
      <c r="L230" s="6" t="s">
        <v>12</v>
      </c>
      <c r="M230" s="6" t="s">
        <v>182</v>
      </c>
      <c r="N230" s="6">
        <f t="shared" si="82"/>
        <v>5</v>
      </c>
      <c r="O230" s="74" t="str">
        <f t="shared" si="83"/>
        <v>N</v>
      </c>
      <c r="P230" s="74" t="str">
        <f t="shared" si="83"/>
        <v>B</v>
      </c>
      <c r="Q230" s="74" t="str">
        <f t="shared" si="83"/>
        <v>BRSSZ</v>
      </c>
      <c r="R230" s="99" t="str">
        <f t="shared" si="83"/>
        <v>ZP1601</v>
      </c>
      <c r="S230" s="99" t="str">
        <f t="shared" si="83"/>
        <v>BRSSZTB01</v>
      </c>
      <c r="T230" s="74" t="str">
        <f t="shared" si="83"/>
        <v>BRSSZTCO</v>
      </c>
      <c r="U230" s="6">
        <f t="shared" si="71"/>
        <v>21</v>
      </c>
      <c r="V230" s="102">
        <f t="shared" si="72"/>
        <v>44691.791666666664</v>
      </c>
      <c r="W230" s="102">
        <f t="shared" si="84"/>
        <v>44697.791666666664</v>
      </c>
      <c r="X230" s="102">
        <f t="shared" si="84"/>
        <v>44698.791666666664</v>
      </c>
      <c r="Y230" s="102">
        <f t="shared" si="84"/>
        <v>44698.895833333328</v>
      </c>
      <c r="Z230" s="102">
        <f t="shared" si="84"/>
        <v>44700.718518518515</v>
      </c>
      <c r="AA230" s="74" t="str">
        <f t="shared" ref="AA230:AB238" si="86">AA220</f>
        <v>BRIGI</v>
      </c>
      <c r="AB230" s="74" t="str">
        <f t="shared" si="86"/>
        <v>BRIGITCO</v>
      </c>
    </row>
    <row r="231" spans="12:28">
      <c r="L231" s="6" t="s">
        <v>12</v>
      </c>
      <c r="M231" s="6" t="s">
        <v>182</v>
      </c>
      <c r="N231" s="6">
        <f t="shared" si="82"/>
        <v>5</v>
      </c>
      <c r="O231" s="74" t="str">
        <f t="shared" si="83"/>
        <v>N</v>
      </c>
      <c r="P231" s="74" t="str">
        <f t="shared" si="83"/>
        <v>N</v>
      </c>
      <c r="Q231" s="74" t="str">
        <f t="shared" si="83"/>
        <v>BRIGI</v>
      </c>
      <c r="R231" s="99" t="str">
        <f t="shared" si="83"/>
        <v>ZP15A03</v>
      </c>
      <c r="S231" s="99" t="str">
        <f t="shared" si="83"/>
        <v>BRIGITB01</v>
      </c>
      <c r="T231" s="74" t="str">
        <f t="shared" si="83"/>
        <v>BRIGITCO</v>
      </c>
      <c r="U231" s="6">
        <f t="shared" si="71"/>
        <v>21</v>
      </c>
      <c r="V231" s="102">
        <f t="shared" si="72"/>
        <v>44694.094394891508</v>
      </c>
      <c r="W231" s="102">
        <f t="shared" si="84"/>
        <v>44700.094394891508</v>
      </c>
      <c r="X231" s="102">
        <f t="shared" si="84"/>
        <v>44701.094394891508</v>
      </c>
      <c r="Y231" s="102">
        <f t="shared" si="84"/>
        <v>44701.240228224844</v>
      </c>
      <c r="Z231" s="102">
        <f t="shared" si="84"/>
        <v>44702.433283780396</v>
      </c>
      <c r="AA231" s="74" t="str">
        <f t="shared" si="86"/>
        <v>BRSSA</v>
      </c>
      <c r="AB231" s="74" t="str">
        <f t="shared" si="86"/>
        <v>BRSSATCO</v>
      </c>
    </row>
    <row r="232" spans="12:28">
      <c r="L232" s="6" t="s">
        <v>12</v>
      </c>
      <c r="M232" s="6" t="s">
        <v>182</v>
      </c>
      <c r="N232" s="6">
        <f t="shared" si="82"/>
        <v>5</v>
      </c>
      <c r="O232" s="74" t="str">
        <f t="shared" si="83"/>
        <v>N</v>
      </c>
      <c r="P232" s="74" t="str">
        <f t="shared" si="83"/>
        <v>N</v>
      </c>
      <c r="Q232" s="74" t="str">
        <f t="shared" si="83"/>
        <v>BRSSA</v>
      </c>
      <c r="R232" s="99" t="str">
        <f t="shared" si="83"/>
        <v>ZP1202</v>
      </c>
      <c r="S232" s="99" t="str">
        <f t="shared" si="83"/>
        <v>BRSSATB01</v>
      </c>
      <c r="T232" s="74" t="str">
        <f t="shared" si="83"/>
        <v>BRSSATCO</v>
      </c>
      <c r="U232" s="6">
        <f t="shared" si="71"/>
        <v>22</v>
      </c>
      <c r="V232" s="102">
        <f t="shared" si="72"/>
        <v>44697.450297220996</v>
      </c>
      <c r="W232" s="102">
        <f t="shared" si="84"/>
        <v>44703.450297220996</v>
      </c>
      <c r="X232" s="102">
        <f t="shared" si="84"/>
        <v>44704.450297220996</v>
      </c>
      <c r="Y232" s="102">
        <f t="shared" si="84"/>
        <v>44704.533630554331</v>
      </c>
      <c r="Z232" s="102">
        <f t="shared" si="84"/>
        <v>44705.114186109888</v>
      </c>
      <c r="AA232" s="74" t="str">
        <f t="shared" si="86"/>
        <v>BRSUA</v>
      </c>
      <c r="AB232" s="74" t="str">
        <f t="shared" si="86"/>
        <v>BRSUATCO</v>
      </c>
    </row>
    <row r="233" spans="12:28">
      <c r="L233" s="6" t="s">
        <v>12</v>
      </c>
      <c r="M233" s="6" t="s">
        <v>182</v>
      </c>
      <c r="N233" s="6">
        <f t="shared" si="82"/>
        <v>5</v>
      </c>
      <c r="O233" s="74" t="str">
        <f t="shared" si="83"/>
        <v>N</v>
      </c>
      <c r="P233" s="74" t="str">
        <f t="shared" si="83"/>
        <v>N</v>
      </c>
      <c r="Q233" s="74" t="str">
        <f t="shared" si="83"/>
        <v>BRSUA</v>
      </c>
      <c r="R233" s="99" t="str">
        <f t="shared" si="83"/>
        <v>ZP901</v>
      </c>
      <c r="S233" s="99" t="str">
        <f t="shared" si="83"/>
        <v>BRSUATB02</v>
      </c>
      <c r="T233" s="74" t="str">
        <f t="shared" si="83"/>
        <v>BRSUATCO</v>
      </c>
      <c r="U233" s="6">
        <f t="shared" si="71"/>
        <v>22</v>
      </c>
      <c r="V233" s="102">
        <f t="shared" si="72"/>
        <v>44699.077702180381</v>
      </c>
      <c r="W233" s="102">
        <f t="shared" si="84"/>
        <v>44705.077702180381</v>
      </c>
      <c r="X233" s="102">
        <f t="shared" si="84"/>
        <v>44706.077702180381</v>
      </c>
      <c r="Y233" s="102">
        <f t="shared" si="84"/>
        <v>44706.140202180381</v>
      </c>
      <c r="Z233" s="102">
        <f t="shared" si="84"/>
        <v>44708.256868847042</v>
      </c>
      <c r="AA233" s="74" t="str">
        <f t="shared" si="86"/>
        <v>BRPEC</v>
      </c>
      <c r="AB233" s="74" t="str">
        <f t="shared" si="86"/>
        <v>BRPECAPM</v>
      </c>
    </row>
    <row r="234" spans="12:28">
      <c r="L234" s="6" t="s">
        <v>12</v>
      </c>
      <c r="M234" s="6" t="s">
        <v>182</v>
      </c>
      <c r="N234" s="6">
        <f t="shared" si="82"/>
        <v>5</v>
      </c>
      <c r="O234" s="74" t="str">
        <f t="shared" si="83"/>
        <v>N</v>
      </c>
      <c r="P234" s="74" t="str">
        <f t="shared" si="83"/>
        <v>N</v>
      </c>
      <c r="Q234" s="74" t="str">
        <f t="shared" si="83"/>
        <v>BRPEC</v>
      </c>
      <c r="R234" s="99" t="str">
        <f t="shared" si="83"/>
        <v>ZP501</v>
      </c>
      <c r="S234" s="99" t="str">
        <f t="shared" si="83"/>
        <v>BRPECTB01</v>
      </c>
      <c r="T234" s="74" t="str">
        <f t="shared" si="83"/>
        <v>BRPECAPM</v>
      </c>
      <c r="U234" s="6">
        <f t="shared" si="71"/>
        <v>22</v>
      </c>
      <c r="V234" s="102">
        <f t="shared" si="72"/>
        <v>44702.443242792273</v>
      </c>
      <c r="W234" s="102">
        <f t="shared" si="84"/>
        <v>44708.443242792273</v>
      </c>
      <c r="X234" s="102">
        <f t="shared" si="84"/>
        <v>44709.443242792273</v>
      </c>
      <c r="Y234" s="102">
        <f t="shared" si="84"/>
        <v>44709.526576125609</v>
      </c>
      <c r="Z234" s="102">
        <f t="shared" si="84"/>
        <v>44710.211298347829</v>
      </c>
      <c r="AA234" s="74" t="str">
        <f t="shared" si="86"/>
        <v>BRMCP</v>
      </c>
      <c r="AB234" s="74">
        <f t="shared" si="86"/>
        <v>0</v>
      </c>
    </row>
    <row r="235" spans="12:28">
      <c r="L235" s="6" t="s">
        <v>12</v>
      </c>
      <c r="M235" s="6" t="s">
        <v>182</v>
      </c>
      <c r="N235" s="6">
        <f t="shared" si="82"/>
        <v>5</v>
      </c>
      <c r="O235" s="74">
        <f t="shared" si="83"/>
        <v>0</v>
      </c>
      <c r="P235" s="74">
        <f t="shared" si="83"/>
        <v>0</v>
      </c>
      <c r="Q235" s="74" t="str">
        <f t="shared" si="83"/>
        <v>BRMCP</v>
      </c>
      <c r="R235" s="99" t="str">
        <f t="shared" si="83"/>
        <v>ZP101</v>
      </c>
      <c r="S235" s="99">
        <f t="shared" si="83"/>
        <v>0</v>
      </c>
      <c r="T235" s="74">
        <f t="shared" si="83"/>
        <v>0</v>
      </c>
      <c r="U235" s="6">
        <f t="shared" si="71"/>
        <v>23</v>
      </c>
      <c r="V235" s="102">
        <f t="shared" si="72"/>
        <v>44705.358029681898</v>
      </c>
      <c r="W235" s="102">
        <f t="shared" si="84"/>
        <v>44711.358029681898</v>
      </c>
      <c r="X235" s="102">
        <f t="shared" si="84"/>
        <v>44712.358029681898</v>
      </c>
      <c r="Y235" s="102">
        <f t="shared" si="84"/>
        <v>44712.399696348562</v>
      </c>
      <c r="Z235" s="102">
        <f t="shared" si="84"/>
        <v>44712.441363015227</v>
      </c>
      <c r="AA235" s="74" t="str">
        <f t="shared" si="86"/>
        <v>BRMAO</v>
      </c>
      <c r="AB235" s="74" t="str">
        <f t="shared" si="86"/>
        <v>BRMAOCHI</v>
      </c>
    </row>
    <row r="236" spans="12:28">
      <c r="L236" s="6" t="s">
        <v>12</v>
      </c>
      <c r="M236" s="6" t="s">
        <v>182</v>
      </c>
      <c r="N236" s="6">
        <f t="shared" si="82"/>
        <v>5</v>
      </c>
      <c r="O236" s="74" t="str">
        <f t="shared" ref="O236:T251" si="87">O226</f>
        <v>S</v>
      </c>
      <c r="P236" s="74" t="str">
        <f t="shared" si="87"/>
        <v>D</v>
      </c>
      <c r="Q236" s="74" t="str">
        <f t="shared" si="87"/>
        <v>BRMAO</v>
      </c>
      <c r="R236" s="99" t="str">
        <f t="shared" si="87"/>
        <v>ZP201</v>
      </c>
      <c r="S236" s="99" t="str">
        <f t="shared" si="87"/>
        <v>BRMAOTB01</v>
      </c>
      <c r="T236" s="74" t="str">
        <f t="shared" si="87"/>
        <v>BRMAOCHI</v>
      </c>
      <c r="U236" s="6">
        <f t="shared" si="71"/>
        <v>23</v>
      </c>
      <c r="V236" s="102">
        <f t="shared" si="72"/>
        <v>44707.227551957192</v>
      </c>
      <c r="W236" s="102">
        <f t="shared" ref="W236:Z251" si="88">W226+7</f>
        <v>44713.227551957192</v>
      </c>
      <c r="X236" s="102">
        <f t="shared" si="88"/>
        <v>44714.227551957192</v>
      </c>
      <c r="Y236" s="102">
        <f t="shared" si="88"/>
        <v>44714.290051957192</v>
      </c>
      <c r="Z236" s="102">
        <f t="shared" si="88"/>
        <v>44717.380329734966</v>
      </c>
      <c r="AA236" s="74" t="str">
        <f t="shared" si="86"/>
        <v>BRMCP</v>
      </c>
      <c r="AB236" s="74">
        <f t="shared" si="86"/>
        <v>0</v>
      </c>
    </row>
    <row r="237" spans="12:28">
      <c r="L237" s="6" t="s">
        <v>12</v>
      </c>
      <c r="M237" s="6" t="s">
        <v>182</v>
      </c>
      <c r="N237" s="6">
        <f t="shared" si="82"/>
        <v>5</v>
      </c>
      <c r="O237" s="74">
        <f t="shared" si="87"/>
        <v>0</v>
      </c>
      <c r="P237" s="74">
        <f t="shared" si="87"/>
        <v>0</v>
      </c>
      <c r="Q237" s="74" t="str">
        <f t="shared" si="87"/>
        <v>BRMCP</v>
      </c>
      <c r="R237" s="99" t="str">
        <f t="shared" si="87"/>
        <v>ZP101</v>
      </c>
      <c r="S237" s="99">
        <f t="shared" si="87"/>
        <v>0</v>
      </c>
      <c r="T237" s="74">
        <f t="shared" si="87"/>
        <v>0</v>
      </c>
      <c r="U237" s="6">
        <f t="shared" si="71"/>
        <v>24</v>
      </c>
      <c r="V237" s="102">
        <f t="shared" si="72"/>
        <v>44711.843590077056</v>
      </c>
      <c r="W237" s="102">
        <f t="shared" si="88"/>
        <v>44717.843590077056</v>
      </c>
      <c r="X237" s="102">
        <f t="shared" si="88"/>
        <v>44718.843590077056</v>
      </c>
      <c r="Y237" s="102">
        <f t="shared" si="88"/>
        <v>44718.885256743721</v>
      </c>
      <c r="Z237" s="102">
        <f t="shared" si="88"/>
        <v>44718.926923410385</v>
      </c>
      <c r="AA237" s="74" t="str">
        <f t="shared" si="86"/>
        <v>BRPEC</v>
      </c>
      <c r="AB237" s="74" t="str">
        <f t="shared" si="86"/>
        <v>BRPECAPM</v>
      </c>
    </row>
    <row r="238" spans="12:28">
      <c r="L238" s="6" t="s">
        <v>12</v>
      </c>
      <c r="M238" s="6" t="s">
        <v>182</v>
      </c>
      <c r="N238" s="6">
        <f t="shared" si="82"/>
        <v>5</v>
      </c>
      <c r="O238" s="74" t="str">
        <f t="shared" si="87"/>
        <v>S</v>
      </c>
      <c r="P238" s="74" t="str">
        <f t="shared" si="87"/>
        <v>N</v>
      </c>
      <c r="Q238" s="74" t="str">
        <f t="shared" si="87"/>
        <v>BRPEC</v>
      </c>
      <c r="R238" s="99" t="str">
        <f t="shared" si="87"/>
        <v>ZP501</v>
      </c>
      <c r="S238" s="99" t="str">
        <f t="shared" si="87"/>
        <v>BRPECTB02</v>
      </c>
      <c r="T238" s="74" t="str">
        <f t="shared" si="87"/>
        <v>BRPECAPM</v>
      </c>
      <c r="U238" s="6">
        <f t="shared" si="71"/>
        <v>24</v>
      </c>
      <c r="V238" s="102">
        <f t="shared" si="72"/>
        <v>44714.073654745254</v>
      </c>
      <c r="W238" s="102">
        <f t="shared" si="88"/>
        <v>44720.073654745254</v>
      </c>
      <c r="X238" s="102">
        <f t="shared" si="88"/>
        <v>44721.073654745254</v>
      </c>
      <c r="Y238" s="102">
        <f t="shared" si="88"/>
        <v>44721.15698807859</v>
      </c>
      <c r="Z238" s="102">
        <f t="shared" si="88"/>
        <v>44721.572265856368</v>
      </c>
      <c r="AA238" s="74" t="str">
        <f t="shared" si="86"/>
        <v>BRSUA</v>
      </c>
      <c r="AB238" s="74" t="str">
        <f t="shared" si="86"/>
        <v>BRSUATCO</v>
      </c>
    </row>
    <row r="239" spans="12:28">
      <c r="L239" s="6" t="s">
        <v>12</v>
      </c>
      <c r="M239" s="6" t="s">
        <v>182</v>
      </c>
      <c r="N239" s="6">
        <f t="shared" si="82"/>
        <v>5</v>
      </c>
      <c r="O239" s="74" t="str">
        <f t="shared" si="87"/>
        <v>S</v>
      </c>
      <c r="P239" s="74" t="str">
        <f t="shared" si="87"/>
        <v>N</v>
      </c>
      <c r="Q239" s="74" t="str">
        <f t="shared" si="87"/>
        <v>BRSUA</v>
      </c>
      <c r="R239" s="99" t="str">
        <f t="shared" si="87"/>
        <v>ZP901</v>
      </c>
      <c r="S239" s="99" t="str">
        <f t="shared" si="87"/>
        <v>BRSUATB02</v>
      </c>
      <c r="T239" s="74" t="str">
        <f t="shared" si="87"/>
        <v>BRSUATCO</v>
      </c>
      <c r="U239" s="6">
        <f t="shared" si="71"/>
        <v>24</v>
      </c>
      <c r="V239" s="102">
        <f t="shared" si="72"/>
        <v>44715.713121195025</v>
      </c>
      <c r="W239" s="102">
        <f t="shared" si="88"/>
        <v>44721.713121195025</v>
      </c>
      <c r="X239" s="102">
        <f t="shared" si="88"/>
        <v>44722.713121195025</v>
      </c>
      <c r="Y239" s="102">
        <f t="shared" si="88"/>
        <v>44722.775621195025</v>
      </c>
      <c r="Z239" s="102">
        <f t="shared" si="88"/>
        <v>44723.546454528354</v>
      </c>
      <c r="AA239" s="74" t="str">
        <f>AA229</f>
        <v>BRSSZ</v>
      </c>
      <c r="AB239" s="74" t="str">
        <f>AB229</f>
        <v>BRSSZTCO</v>
      </c>
    </row>
    <row r="240" spans="12:28">
      <c r="L240" s="6" t="s">
        <v>12</v>
      </c>
      <c r="M240" s="106" t="s">
        <v>183</v>
      </c>
      <c r="N240" s="6">
        <f t="shared" si="82"/>
        <v>5</v>
      </c>
      <c r="O240" s="74" t="str">
        <f t="shared" si="87"/>
        <v>N</v>
      </c>
      <c r="P240" s="74" t="str">
        <f t="shared" si="87"/>
        <v>B</v>
      </c>
      <c r="Q240" s="74" t="str">
        <f t="shared" si="87"/>
        <v>BRSSZ</v>
      </c>
      <c r="R240" s="99" t="str">
        <f t="shared" si="87"/>
        <v>ZP1601</v>
      </c>
      <c r="S240" s="99" t="str">
        <f t="shared" si="87"/>
        <v>BRSSZTB01</v>
      </c>
      <c r="T240" s="74" t="str">
        <f t="shared" si="87"/>
        <v>BRSSZTCO</v>
      </c>
      <c r="U240" s="6">
        <f t="shared" si="71"/>
        <v>22</v>
      </c>
      <c r="V240" s="102">
        <f t="shared" si="72"/>
        <v>44698.791666666664</v>
      </c>
      <c r="W240" s="102">
        <f t="shared" si="88"/>
        <v>44704.791666666664</v>
      </c>
      <c r="X240" s="102">
        <f t="shared" si="88"/>
        <v>44705.791666666664</v>
      </c>
      <c r="Y240" s="102">
        <f t="shared" si="88"/>
        <v>44705.895833333328</v>
      </c>
      <c r="Z240" s="102">
        <f t="shared" si="88"/>
        <v>44707.718518518515</v>
      </c>
      <c r="AA240" s="74" t="str">
        <f t="shared" ref="AA240:AB248" si="89">AA230</f>
        <v>BRIGI</v>
      </c>
      <c r="AB240" s="74" t="str">
        <f t="shared" si="89"/>
        <v>BRIGITCO</v>
      </c>
    </row>
    <row r="241" spans="12:28">
      <c r="L241" s="6" t="s">
        <v>12</v>
      </c>
      <c r="M241" s="106" t="s">
        <v>183</v>
      </c>
      <c r="N241" s="6">
        <f t="shared" si="82"/>
        <v>5</v>
      </c>
      <c r="O241" s="74" t="str">
        <f t="shared" si="87"/>
        <v>N</v>
      </c>
      <c r="P241" s="74" t="str">
        <f t="shared" si="87"/>
        <v>N</v>
      </c>
      <c r="Q241" s="74" t="str">
        <f t="shared" si="87"/>
        <v>BRIGI</v>
      </c>
      <c r="R241" s="99" t="str">
        <f t="shared" si="87"/>
        <v>ZP15A03</v>
      </c>
      <c r="S241" s="99" t="str">
        <f t="shared" si="87"/>
        <v>BRIGITB01</v>
      </c>
      <c r="T241" s="74" t="str">
        <f t="shared" si="87"/>
        <v>BRIGITCO</v>
      </c>
      <c r="U241" s="6">
        <f t="shared" si="71"/>
        <v>22</v>
      </c>
      <c r="V241" s="102">
        <f t="shared" si="72"/>
        <v>44701.094394891508</v>
      </c>
      <c r="W241" s="102">
        <f t="shared" si="88"/>
        <v>44707.094394891508</v>
      </c>
      <c r="X241" s="102">
        <f t="shared" si="88"/>
        <v>44708.094394891508</v>
      </c>
      <c r="Y241" s="102">
        <f t="shared" si="88"/>
        <v>44708.240228224844</v>
      </c>
      <c r="Z241" s="102">
        <f t="shared" si="88"/>
        <v>44709.433283780396</v>
      </c>
      <c r="AA241" s="74" t="str">
        <f t="shared" si="89"/>
        <v>BRSSA</v>
      </c>
      <c r="AB241" s="74" t="str">
        <f t="shared" si="89"/>
        <v>BRSSATCO</v>
      </c>
    </row>
    <row r="242" spans="12:28">
      <c r="L242" s="6" t="s">
        <v>12</v>
      </c>
      <c r="M242" s="106" t="s">
        <v>183</v>
      </c>
      <c r="N242" s="6">
        <f t="shared" si="82"/>
        <v>5</v>
      </c>
      <c r="O242" s="74" t="str">
        <f t="shared" si="87"/>
        <v>N</v>
      </c>
      <c r="P242" s="74" t="str">
        <f t="shared" si="87"/>
        <v>N</v>
      </c>
      <c r="Q242" s="74" t="str">
        <f t="shared" si="87"/>
        <v>BRSSA</v>
      </c>
      <c r="R242" s="99" t="str">
        <f t="shared" si="87"/>
        <v>ZP1202</v>
      </c>
      <c r="S242" s="99" t="str">
        <f t="shared" si="87"/>
        <v>BRSSATB01</v>
      </c>
      <c r="T242" s="74" t="str">
        <f t="shared" si="87"/>
        <v>BRSSATCO</v>
      </c>
      <c r="U242" s="6">
        <f t="shared" si="71"/>
        <v>23</v>
      </c>
      <c r="V242" s="102">
        <f t="shared" si="72"/>
        <v>44704.450297220996</v>
      </c>
      <c r="W242" s="102">
        <f t="shared" si="88"/>
        <v>44710.450297220996</v>
      </c>
      <c r="X242" s="102">
        <f t="shared" si="88"/>
        <v>44711.450297220996</v>
      </c>
      <c r="Y242" s="102">
        <f t="shared" si="88"/>
        <v>44711.533630554331</v>
      </c>
      <c r="Z242" s="102">
        <f t="shared" si="88"/>
        <v>44712.114186109888</v>
      </c>
      <c r="AA242" s="74" t="str">
        <f t="shared" si="89"/>
        <v>BRSUA</v>
      </c>
      <c r="AB242" s="74" t="str">
        <f t="shared" si="89"/>
        <v>BRSUATCO</v>
      </c>
    </row>
    <row r="243" spans="12:28">
      <c r="L243" s="6" t="s">
        <v>12</v>
      </c>
      <c r="M243" s="106" t="s">
        <v>183</v>
      </c>
      <c r="N243" s="6">
        <f t="shared" si="82"/>
        <v>5</v>
      </c>
      <c r="O243" s="74" t="str">
        <f t="shared" si="87"/>
        <v>N</v>
      </c>
      <c r="P243" s="74" t="str">
        <f t="shared" si="87"/>
        <v>N</v>
      </c>
      <c r="Q243" s="74" t="str">
        <f t="shared" si="87"/>
        <v>BRSUA</v>
      </c>
      <c r="R243" s="99" t="str">
        <f t="shared" si="87"/>
        <v>ZP901</v>
      </c>
      <c r="S243" s="99" t="str">
        <f t="shared" si="87"/>
        <v>BRSUATB02</v>
      </c>
      <c r="T243" s="74" t="str">
        <f t="shared" si="87"/>
        <v>BRSUATCO</v>
      </c>
      <c r="U243" s="6">
        <f t="shared" ref="U243:U306" si="90">WEEKNUM(X243)</f>
        <v>23</v>
      </c>
      <c r="V243" s="102">
        <f t="shared" ref="V243:V306" si="91">X243-7</f>
        <v>44706.077702180381</v>
      </c>
      <c r="W243" s="102">
        <f t="shared" si="88"/>
        <v>44712.077702180381</v>
      </c>
      <c r="X243" s="102">
        <f t="shared" si="88"/>
        <v>44713.077702180381</v>
      </c>
      <c r="Y243" s="102">
        <f t="shared" si="88"/>
        <v>44713.140202180381</v>
      </c>
      <c r="Z243" s="102">
        <f t="shared" si="88"/>
        <v>44715.256868847042</v>
      </c>
      <c r="AA243" s="74" t="str">
        <f t="shared" si="89"/>
        <v>BRPEC</v>
      </c>
      <c r="AB243" s="74" t="str">
        <f t="shared" si="89"/>
        <v>BRPECAPM</v>
      </c>
    </row>
    <row r="244" spans="12:28">
      <c r="L244" s="6" t="s">
        <v>12</v>
      </c>
      <c r="M244" s="106" t="s">
        <v>183</v>
      </c>
      <c r="N244" s="6">
        <f t="shared" si="82"/>
        <v>5</v>
      </c>
      <c r="O244" s="74" t="str">
        <f t="shared" si="87"/>
        <v>N</v>
      </c>
      <c r="P244" s="74" t="str">
        <f t="shared" si="87"/>
        <v>N</v>
      </c>
      <c r="Q244" s="74" t="str">
        <f t="shared" si="87"/>
        <v>BRPEC</v>
      </c>
      <c r="R244" s="99" t="str">
        <f t="shared" si="87"/>
        <v>ZP501</v>
      </c>
      <c r="S244" s="99" t="str">
        <f t="shared" si="87"/>
        <v>BRPECTB01</v>
      </c>
      <c r="T244" s="74" t="str">
        <f t="shared" si="87"/>
        <v>BRPECAPM</v>
      </c>
      <c r="U244" s="6">
        <f t="shared" si="90"/>
        <v>23</v>
      </c>
      <c r="V244" s="102">
        <f t="shared" si="91"/>
        <v>44709.443242792273</v>
      </c>
      <c r="W244" s="102">
        <f t="shared" si="88"/>
        <v>44715.443242792273</v>
      </c>
      <c r="X244" s="102">
        <f t="shared" si="88"/>
        <v>44716.443242792273</v>
      </c>
      <c r="Y244" s="102">
        <f t="shared" si="88"/>
        <v>44716.526576125609</v>
      </c>
      <c r="Z244" s="102">
        <f t="shared" si="88"/>
        <v>44717.211298347829</v>
      </c>
      <c r="AA244" s="74" t="str">
        <f t="shared" si="89"/>
        <v>BRMCP</v>
      </c>
      <c r="AB244" s="74">
        <f t="shared" si="89"/>
        <v>0</v>
      </c>
    </row>
    <row r="245" spans="12:28">
      <c r="L245" s="6" t="s">
        <v>12</v>
      </c>
      <c r="M245" s="106" t="s">
        <v>183</v>
      </c>
      <c r="N245" s="6">
        <f t="shared" si="82"/>
        <v>5</v>
      </c>
      <c r="O245" s="74">
        <f t="shared" si="87"/>
        <v>0</v>
      </c>
      <c r="P245" s="74">
        <f t="shared" si="87"/>
        <v>0</v>
      </c>
      <c r="Q245" s="74" t="str">
        <f t="shared" si="87"/>
        <v>BRMCP</v>
      </c>
      <c r="R245" s="99" t="str">
        <f t="shared" si="87"/>
        <v>ZP101</v>
      </c>
      <c r="S245" s="99">
        <f t="shared" si="87"/>
        <v>0</v>
      </c>
      <c r="T245" s="74">
        <f t="shared" si="87"/>
        <v>0</v>
      </c>
      <c r="U245" s="6">
        <f t="shared" si="90"/>
        <v>24</v>
      </c>
      <c r="V245" s="102">
        <f t="shared" si="91"/>
        <v>44712.358029681898</v>
      </c>
      <c r="W245" s="102">
        <f t="shared" si="88"/>
        <v>44718.358029681898</v>
      </c>
      <c r="X245" s="102">
        <f t="shared" si="88"/>
        <v>44719.358029681898</v>
      </c>
      <c r="Y245" s="102">
        <f t="shared" si="88"/>
        <v>44719.399696348562</v>
      </c>
      <c r="Z245" s="102">
        <f t="shared" si="88"/>
        <v>44719.441363015227</v>
      </c>
      <c r="AA245" s="74" t="str">
        <f t="shared" si="89"/>
        <v>BRMAO</v>
      </c>
      <c r="AB245" s="74" t="str">
        <f t="shared" si="89"/>
        <v>BRMAOCHI</v>
      </c>
    </row>
    <row r="246" spans="12:28">
      <c r="L246" s="6" t="s">
        <v>12</v>
      </c>
      <c r="M246" s="106" t="s">
        <v>183</v>
      </c>
      <c r="N246" s="6">
        <f t="shared" si="82"/>
        <v>5</v>
      </c>
      <c r="O246" s="74" t="str">
        <f t="shared" si="87"/>
        <v>S</v>
      </c>
      <c r="P246" s="74" t="str">
        <f t="shared" si="87"/>
        <v>D</v>
      </c>
      <c r="Q246" s="74" t="str">
        <f>Q236</f>
        <v>BRMAO</v>
      </c>
      <c r="R246" s="99" t="str">
        <f t="shared" si="87"/>
        <v>ZP201</v>
      </c>
      <c r="S246" s="99" t="str">
        <f t="shared" si="87"/>
        <v>BRMAOTB01</v>
      </c>
      <c r="T246" s="74" t="str">
        <f t="shared" si="87"/>
        <v>BRMAOCHI</v>
      </c>
      <c r="U246" s="6">
        <f t="shared" si="90"/>
        <v>24</v>
      </c>
      <c r="V246" s="102">
        <f t="shared" si="91"/>
        <v>44714.227551957192</v>
      </c>
      <c r="W246" s="102">
        <f t="shared" si="88"/>
        <v>44720.227551957192</v>
      </c>
      <c r="X246" s="102">
        <f t="shared" si="88"/>
        <v>44721.227551957192</v>
      </c>
      <c r="Y246" s="102">
        <f t="shared" si="88"/>
        <v>44721.290051957192</v>
      </c>
      <c r="Z246" s="102">
        <f t="shared" si="88"/>
        <v>44724.380329734966</v>
      </c>
      <c r="AA246" s="74" t="str">
        <f t="shared" si="89"/>
        <v>BRMCP</v>
      </c>
      <c r="AB246" s="74">
        <f t="shared" si="89"/>
        <v>0</v>
      </c>
    </row>
    <row r="247" spans="12:28">
      <c r="L247" s="6" t="s">
        <v>12</v>
      </c>
      <c r="M247" s="106" t="s">
        <v>183</v>
      </c>
      <c r="N247" s="6">
        <f t="shared" si="82"/>
        <v>5</v>
      </c>
      <c r="O247" s="74">
        <f t="shared" si="87"/>
        <v>0</v>
      </c>
      <c r="P247" s="74">
        <f t="shared" si="87"/>
        <v>0</v>
      </c>
      <c r="Q247" s="74" t="str">
        <f t="shared" si="87"/>
        <v>BRMCP</v>
      </c>
      <c r="R247" s="99" t="str">
        <f t="shared" si="87"/>
        <v>ZP101</v>
      </c>
      <c r="S247" s="99">
        <f t="shared" si="87"/>
        <v>0</v>
      </c>
      <c r="T247" s="74">
        <f t="shared" si="87"/>
        <v>0</v>
      </c>
      <c r="U247" s="6">
        <f t="shared" si="90"/>
        <v>25</v>
      </c>
      <c r="V247" s="102">
        <f t="shared" si="91"/>
        <v>44718.843590077056</v>
      </c>
      <c r="W247" s="102">
        <f t="shared" si="88"/>
        <v>44724.843590077056</v>
      </c>
      <c r="X247" s="102">
        <f t="shared" si="88"/>
        <v>44725.843590077056</v>
      </c>
      <c r="Y247" s="102">
        <f t="shared" si="88"/>
        <v>44725.885256743721</v>
      </c>
      <c r="Z247" s="102">
        <f t="shared" si="88"/>
        <v>44725.926923410385</v>
      </c>
      <c r="AA247" s="74" t="str">
        <f t="shared" si="89"/>
        <v>BRPEC</v>
      </c>
      <c r="AB247" s="74" t="str">
        <f t="shared" si="89"/>
        <v>BRPECAPM</v>
      </c>
    </row>
    <row r="248" spans="12:28">
      <c r="L248" s="6" t="s">
        <v>12</v>
      </c>
      <c r="M248" s="106" t="s">
        <v>183</v>
      </c>
      <c r="N248" s="6">
        <f t="shared" si="82"/>
        <v>5</v>
      </c>
      <c r="O248" s="74" t="str">
        <f t="shared" si="87"/>
        <v>S</v>
      </c>
      <c r="P248" s="74" t="str">
        <f t="shared" si="87"/>
        <v>N</v>
      </c>
      <c r="Q248" s="74" t="str">
        <f t="shared" si="87"/>
        <v>BRPEC</v>
      </c>
      <c r="R248" s="99" t="str">
        <f t="shared" si="87"/>
        <v>ZP501</v>
      </c>
      <c r="S248" s="99" t="str">
        <f t="shared" si="87"/>
        <v>BRPECTB02</v>
      </c>
      <c r="T248" s="74" t="str">
        <f t="shared" si="87"/>
        <v>BRPECAPM</v>
      </c>
      <c r="U248" s="6">
        <f t="shared" si="90"/>
        <v>25</v>
      </c>
      <c r="V248" s="102">
        <f t="shared" si="91"/>
        <v>44721.073654745254</v>
      </c>
      <c r="W248" s="102">
        <f t="shared" si="88"/>
        <v>44727.073654745254</v>
      </c>
      <c r="X248" s="102">
        <f t="shared" si="88"/>
        <v>44728.073654745254</v>
      </c>
      <c r="Y248" s="102">
        <f t="shared" si="88"/>
        <v>44728.15698807859</v>
      </c>
      <c r="Z248" s="102">
        <f t="shared" si="88"/>
        <v>44728.572265856368</v>
      </c>
      <c r="AA248" s="74" t="str">
        <f t="shared" si="89"/>
        <v>BRSUA</v>
      </c>
      <c r="AB248" s="74" t="str">
        <f t="shared" si="89"/>
        <v>BRSUATCO</v>
      </c>
    </row>
    <row r="249" spans="12:28">
      <c r="L249" s="6" t="s">
        <v>12</v>
      </c>
      <c r="M249" s="106" t="s">
        <v>183</v>
      </c>
      <c r="N249" s="6">
        <f t="shared" si="82"/>
        <v>5</v>
      </c>
      <c r="O249" s="74" t="str">
        <f t="shared" si="87"/>
        <v>S</v>
      </c>
      <c r="P249" s="74" t="str">
        <f t="shared" si="87"/>
        <v>N</v>
      </c>
      <c r="Q249" s="74" t="str">
        <f t="shared" si="87"/>
        <v>BRSUA</v>
      </c>
      <c r="R249" s="99" t="str">
        <f t="shared" si="87"/>
        <v>ZP901</v>
      </c>
      <c r="S249" s="99" t="str">
        <f t="shared" si="87"/>
        <v>BRSUATB02</v>
      </c>
      <c r="T249" s="74" t="str">
        <f t="shared" si="87"/>
        <v>BRSUATCO</v>
      </c>
      <c r="U249" s="6">
        <f t="shared" si="90"/>
        <v>25</v>
      </c>
      <c r="V249" s="102">
        <f t="shared" si="91"/>
        <v>44722.713121195025</v>
      </c>
      <c r="W249" s="102">
        <f t="shared" si="88"/>
        <v>44728.713121195025</v>
      </c>
      <c r="X249" s="102">
        <f t="shared" si="88"/>
        <v>44729.713121195025</v>
      </c>
      <c r="Y249" s="102">
        <f t="shared" si="88"/>
        <v>44729.775621195025</v>
      </c>
      <c r="Z249" s="102">
        <f t="shared" si="88"/>
        <v>44730.546454528354</v>
      </c>
      <c r="AA249" s="74" t="str">
        <f>AA239</f>
        <v>BRSSZ</v>
      </c>
      <c r="AB249" s="74" t="str">
        <f>AB239</f>
        <v>BRSSZTCO</v>
      </c>
    </row>
    <row r="250" spans="12:28">
      <c r="L250" s="6" t="s">
        <v>12</v>
      </c>
      <c r="M250" s="6" t="str">
        <f>$J$2</f>
        <v>SHIP13</v>
      </c>
      <c r="N250" s="6">
        <f t="shared" si="82"/>
        <v>6</v>
      </c>
      <c r="O250" s="74" t="str">
        <f t="shared" si="87"/>
        <v>N</v>
      </c>
      <c r="P250" s="74" t="str">
        <f t="shared" si="87"/>
        <v>B</v>
      </c>
      <c r="Q250" s="74" t="str">
        <f t="shared" si="87"/>
        <v>BRSSZ</v>
      </c>
      <c r="R250" s="99" t="str">
        <f t="shared" si="87"/>
        <v>ZP1601</v>
      </c>
      <c r="S250" s="99" t="str">
        <f t="shared" si="87"/>
        <v>BRSSZTB01</v>
      </c>
      <c r="T250" s="74" t="str">
        <f t="shared" si="87"/>
        <v>BRSSZTCO</v>
      </c>
      <c r="U250" s="6">
        <f t="shared" si="90"/>
        <v>23</v>
      </c>
      <c r="V250" s="102">
        <f t="shared" si="91"/>
        <v>44705.791666666664</v>
      </c>
      <c r="W250" s="102">
        <f t="shared" si="88"/>
        <v>44711.791666666664</v>
      </c>
      <c r="X250" s="102">
        <f t="shared" si="88"/>
        <v>44712.791666666664</v>
      </c>
      <c r="Y250" s="102">
        <f t="shared" si="88"/>
        <v>44712.895833333328</v>
      </c>
      <c r="Z250" s="102">
        <f t="shared" si="88"/>
        <v>44714.718518518515</v>
      </c>
      <c r="AA250" s="74" t="str">
        <f t="shared" ref="AA250:AB258" si="92">AA240</f>
        <v>BRIGI</v>
      </c>
      <c r="AB250" s="74" t="str">
        <f t="shared" si="92"/>
        <v>BRIGITCO</v>
      </c>
    </row>
    <row r="251" spans="12:28">
      <c r="L251" s="6" t="s">
        <v>12</v>
      </c>
      <c r="M251" s="6" t="str">
        <f t="shared" ref="M251:M259" si="93">$J$2</f>
        <v>SHIP13</v>
      </c>
      <c r="N251" s="6">
        <f t="shared" si="82"/>
        <v>6</v>
      </c>
      <c r="O251" s="74" t="str">
        <f t="shared" si="87"/>
        <v>N</v>
      </c>
      <c r="P251" s="74" t="str">
        <f t="shared" si="87"/>
        <v>N</v>
      </c>
      <c r="Q251" s="74" t="str">
        <f t="shared" si="87"/>
        <v>BRIGI</v>
      </c>
      <c r="R251" s="99" t="str">
        <f t="shared" si="87"/>
        <v>ZP15A03</v>
      </c>
      <c r="S251" s="99" t="str">
        <f t="shared" si="87"/>
        <v>BRIGITB01</v>
      </c>
      <c r="T251" s="74" t="str">
        <f t="shared" si="87"/>
        <v>BRIGITCO</v>
      </c>
      <c r="U251" s="6">
        <f t="shared" si="90"/>
        <v>23</v>
      </c>
      <c r="V251" s="102">
        <f t="shared" si="91"/>
        <v>44708.094394891508</v>
      </c>
      <c r="W251" s="102">
        <f t="shared" si="88"/>
        <v>44714.094394891508</v>
      </c>
      <c r="X251" s="102">
        <f t="shared" si="88"/>
        <v>44715.094394891508</v>
      </c>
      <c r="Y251" s="102">
        <f t="shared" si="88"/>
        <v>44715.240228224844</v>
      </c>
      <c r="Z251" s="102">
        <f t="shared" si="88"/>
        <v>44716.433283780396</v>
      </c>
      <c r="AA251" s="74" t="str">
        <f t="shared" si="92"/>
        <v>BRSSA</v>
      </c>
      <c r="AB251" s="74" t="str">
        <f t="shared" si="92"/>
        <v>BRSSATCO</v>
      </c>
    </row>
    <row r="252" spans="12:28">
      <c r="L252" s="6" t="s">
        <v>12</v>
      </c>
      <c r="M252" s="6" t="str">
        <f t="shared" si="93"/>
        <v>SHIP13</v>
      </c>
      <c r="N252" s="6">
        <f t="shared" si="82"/>
        <v>6</v>
      </c>
      <c r="O252" s="74" t="str">
        <f t="shared" ref="O252:T267" si="94">O242</f>
        <v>N</v>
      </c>
      <c r="P252" s="74" t="str">
        <f t="shared" si="94"/>
        <v>N</v>
      </c>
      <c r="Q252" s="74" t="str">
        <f t="shared" si="94"/>
        <v>BRSSA</v>
      </c>
      <c r="R252" s="99" t="str">
        <f t="shared" si="94"/>
        <v>ZP1202</v>
      </c>
      <c r="S252" s="99" t="str">
        <f t="shared" si="94"/>
        <v>BRSSATB01</v>
      </c>
      <c r="T252" s="74" t="str">
        <f t="shared" si="94"/>
        <v>BRSSATCO</v>
      </c>
      <c r="U252" s="6">
        <f t="shared" si="90"/>
        <v>24</v>
      </c>
      <c r="V252" s="102">
        <f t="shared" si="91"/>
        <v>44711.450297220996</v>
      </c>
      <c r="W252" s="102">
        <f t="shared" ref="W252:Z267" si="95">W242+7</f>
        <v>44717.450297220996</v>
      </c>
      <c r="X252" s="102">
        <f t="shared" si="95"/>
        <v>44718.450297220996</v>
      </c>
      <c r="Y252" s="102">
        <f t="shared" si="95"/>
        <v>44718.533630554331</v>
      </c>
      <c r="Z252" s="102">
        <f t="shared" si="95"/>
        <v>44719.114186109888</v>
      </c>
      <c r="AA252" s="74" t="str">
        <f t="shared" si="92"/>
        <v>BRSUA</v>
      </c>
      <c r="AB252" s="74" t="str">
        <f t="shared" si="92"/>
        <v>BRSUATCO</v>
      </c>
    </row>
    <row r="253" spans="12:28">
      <c r="L253" s="6" t="s">
        <v>12</v>
      </c>
      <c r="M253" s="6" t="str">
        <f t="shared" si="93"/>
        <v>SHIP13</v>
      </c>
      <c r="N253" s="6">
        <f t="shared" si="82"/>
        <v>6</v>
      </c>
      <c r="O253" s="74" t="str">
        <f t="shared" si="94"/>
        <v>N</v>
      </c>
      <c r="P253" s="74" t="str">
        <f t="shared" si="94"/>
        <v>N</v>
      </c>
      <c r="Q253" s="74" t="str">
        <f t="shared" si="94"/>
        <v>BRSUA</v>
      </c>
      <c r="R253" s="99" t="str">
        <f t="shared" si="94"/>
        <v>ZP901</v>
      </c>
      <c r="S253" s="99" t="str">
        <f t="shared" si="94"/>
        <v>BRSUATB02</v>
      </c>
      <c r="T253" s="74" t="str">
        <f t="shared" si="94"/>
        <v>BRSUATCO</v>
      </c>
      <c r="U253" s="6">
        <f t="shared" si="90"/>
        <v>24</v>
      </c>
      <c r="V253" s="102">
        <f t="shared" si="91"/>
        <v>44713.077702180381</v>
      </c>
      <c r="W253" s="102">
        <f t="shared" si="95"/>
        <v>44719.077702180381</v>
      </c>
      <c r="X253" s="102">
        <f t="shared" si="95"/>
        <v>44720.077702180381</v>
      </c>
      <c r="Y253" s="102">
        <f t="shared" si="95"/>
        <v>44720.140202180381</v>
      </c>
      <c r="Z253" s="102">
        <f t="shared" si="95"/>
        <v>44722.256868847042</v>
      </c>
      <c r="AA253" s="74" t="str">
        <f t="shared" si="92"/>
        <v>BRPEC</v>
      </c>
      <c r="AB253" s="74" t="str">
        <f t="shared" si="92"/>
        <v>BRPECAPM</v>
      </c>
    </row>
    <row r="254" spans="12:28">
      <c r="L254" s="6" t="s">
        <v>12</v>
      </c>
      <c r="M254" s="6" t="str">
        <f t="shared" si="93"/>
        <v>SHIP13</v>
      </c>
      <c r="N254" s="6">
        <f t="shared" si="82"/>
        <v>6</v>
      </c>
      <c r="O254" s="74" t="str">
        <f t="shared" si="94"/>
        <v>N</v>
      </c>
      <c r="P254" s="74" t="str">
        <f t="shared" si="94"/>
        <v>N</v>
      </c>
      <c r="Q254" s="74" t="str">
        <f t="shared" si="94"/>
        <v>BRPEC</v>
      </c>
      <c r="R254" s="99" t="str">
        <f t="shared" si="94"/>
        <v>ZP501</v>
      </c>
      <c r="S254" s="99" t="str">
        <f t="shared" si="94"/>
        <v>BRPECTB01</v>
      </c>
      <c r="T254" s="74" t="str">
        <f t="shared" si="94"/>
        <v>BRPECAPM</v>
      </c>
      <c r="U254" s="6">
        <f t="shared" si="90"/>
        <v>24</v>
      </c>
      <c r="V254" s="102">
        <f t="shared" si="91"/>
        <v>44716.443242792273</v>
      </c>
      <c r="W254" s="102">
        <f t="shared" si="95"/>
        <v>44722.443242792273</v>
      </c>
      <c r="X254" s="102">
        <f t="shared" si="95"/>
        <v>44723.443242792273</v>
      </c>
      <c r="Y254" s="102">
        <f t="shared" si="95"/>
        <v>44723.526576125609</v>
      </c>
      <c r="Z254" s="102">
        <f t="shared" si="95"/>
        <v>44724.211298347829</v>
      </c>
      <c r="AA254" s="74" t="str">
        <f t="shared" si="92"/>
        <v>BRMCP</v>
      </c>
      <c r="AB254" s="74">
        <f t="shared" si="92"/>
        <v>0</v>
      </c>
    </row>
    <row r="255" spans="12:28">
      <c r="L255" s="6" t="s">
        <v>12</v>
      </c>
      <c r="M255" s="6" t="str">
        <f t="shared" si="93"/>
        <v>SHIP13</v>
      </c>
      <c r="N255" s="6">
        <f t="shared" si="82"/>
        <v>6</v>
      </c>
      <c r="O255" s="74">
        <f t="shared" si="94"/>
        <v>0</v>
      </c>
      <c r="P255" s="74">
        <f t="shared" si="94"/>
        <v>0</v>
      </c>
      <c r="Q255" s="74" t="str">
        <f t="shared" si="94"/>
        <v>BRMCP</v>
      </c>
      <c r="R255" s="99" t="str">
        <f t="shared" si="94"/>
        <v>ZP101</v>
      </c>
      <c r="S255" s="99">
        <f t="shared" si="94"/>
        <v>0</v>
      </c>
      <c r="T255" s="74">
        <f t="shared" si="94"/>
        <v>0</v>
      </c>
      <c r="U255" s="6">
        <f t="shared" si="90"/>
        <v>25</v>
      </c>
      <c r="V255" s="102">
        <f t="shared" si="91"/>
        <v>44719.358029681898</v>
      </c>
      <c r="W255" s="102">
        <f t="shared" si="95"/>
        <v>44725.358029681898</v>
      </c>
      <c r="X255" s="102">
        <f t="shared" si="95"/>
        <v>44726.358029681898</v>
      </c>
      <c r="Y255" s="102">
        <f t="shared" si="95"/>
        <v>44726.399696348562</v>
      </c>
      <c r="Z255" s="102">
        <f t="shared" si="95"/>
        <v>44726.441363015227</v>
      </c>
      <c r="AA255" s="74" t="str">
        <f t="shared" si="92"/>
        <v>BRMAO</v>
      </c>
      <c r="AB255" s="74" t="str">
        <f t="shared" si="92"/>
        <v>BRMAOCHI</v>
      </c>
    </row>
    <row r="256" spans="12:28">
      <c r="L256" s="6" t="s">
        <v>12</v>
      </c>
      <c r="M256" s="6" t="str">
        <f t="shared" si="93"/>
        <v>SHIP13</v>
      </c>
      <c r="N256" s="6">
        <f t="shared" si="82"/>
        <v>6</v>
      </c>
      <c r="O256" s="74" t="str">
        <f t="shared" si="94"/>
        <v>S</v>
      </c>
      <c r="P256" s="74" t="str">
        <f t="shared" si="94"/>
        <v>D</v>
      </c>
      <c r="Q256" s="74" t="str">
        <f t="shared" si="94"/>
        <v>BRMAO</v>
      </c>
      <c r="R256" s="99" t="str">
        <f t="shared" si="94"/>
        <v>ZP201</v>
      </c>
      <c r="S256" s="99" t="str">
        <f t="shared" si="94"/>
        <v>BRMAOTB01</v>
      </c>
      <c r="T256" s="74" t="str">
        <f t="shared" si="94"/>
        <v>BRMAOCHI</v>
      </c>
      <c r="U256" s="6">
        <f t="shared" si="90"/>
        <v>25</v>
      </c>
      <c r="V256" s="102">
        <f t="shared" si="91"/>
        <v>44721.227551957192</v>
      </c>
      <c r="W256" s="102">
        <f t="shared" si="95"/>
        <v>44727.227551957192</v>
      </c>
      <c r="X256" s="102">
        <f t="shared" si="95"/>
        <v>44728.227551957192</v>
      </c>
      <c r="Y256" s="102">
        <f t="shared" si="95"/>
        <v>44728.290051957192</v>
      </c>
      <c r="Z256" s="102">
        <f t="shared" si="95"/>
        <v>44731.380329734966</v>
      </c>
      <c r="AA256" s="74" t="str">
        <f t="shared" si="92"/>
        <v>BRMCP</v>
      </c>
      <c r="AB256" s="74">
        <f t="shared" si="92"/>
        <v>0</v>
      </c>
    </row>
    <row r="257" spans="12:28">
      <c r="L257" s="6" t="s">
        <v>12</v>
      </c>
      <c r="M257" s="6" t="str">
        <f t="shared" si="93"/>
        <v>SHIP13</v>
      </c>
      <c r="N257" s="6">
        <f t="shared" si="82"/>
        <v>6</v>
      </c>
      <c r="O257" s="74">
        <f t="shared" si="94"/>
        <v>0</v>
      </c>
      <c r="P257" s="74">
        <f t="shared" si="94"/>
        <v>0</v>
      </c>
      <c r="Q257" s="74" t="str">
        <f t="shared" si="94"/>
        <v>BRMCP</v>
      </c>
      <c r="R257" s="99" t="str">
        <f t="shared" si="94"/>
        <v>ZP101</v>
      </c>
      <c r="S257" s="99">
        <f t="shared" si="94"/>
        <v>0</v>
      </c>
      <c r="T257" s="74">
        <f t="shared" si="94"/>
        <v>0</v>
      </c>
      <c r="U257" s="6">
        <f t="shared" si="90"/>
        <v>26</v>
      </c>
      <c r="V257" s="102">
        <f t="shared" si="91"/>
        <v>44725.843590077056</v>
      </c>
      <c r="W257" s="102">
        <f t="shared" si="95"/>
        <v>44731.843590077056</v>
      </c>
      <c r="X257" s="102">
        <f t="shared" si="95"/>
        <v>44732.843590077056</v>
      </c>
      <c r="Y257" s="102">
        <f t="shared" si="95"/>
        <v>44732.885256743721</v>
      </c>
      <c r="Z257" s="102">
        <f t="shared" si="95"/>
        <v>44732.926923410385</v>
      </c>
      <c r="AA257" s="74" t="str">
        <f t="shared" si="92"/>
        <v>BRPEC</v>
      </c>
      <c r="AB257" s="74" t="str">
        <f t="shared" si="92"/>
        <v>BRPECAPM</v>
      </c>
    </row>
    <row r="258" spans="12:28">
      <c r="L258" s="6" t="s">
        <v>12</v>
      </c>
      <c r="M258" s="6" t="str">
        <f t="shared" si="93"/>
        <v>SHIP13</v>
      </c>
      <c r="N258" s="6">
        <f t="shared" si="82"/>
        <v>6</v>
      </c>
      <c r="O258" s="74" t="str">
        <f t="shared" si="94"/>
        <v>S</v>
      </c>
      <c r="P258" s="74" t="str">
        <f t="shared" si="94"/>
        <v>N</v>
      </c>
      <c r="Q258" s="74" t="str">
        <f t="shared" si="94"/>
        <v>BRPEC</v>
      </c>
      <c r="R258" s="99" t="str">
        <f t="shared" si="94"/>
        <v>ZP501</v>
      </c>
      <c r="S258" s="99" t="str">
        <f t="shared" si="94"/>
        <v>BRPECTB02</v>
      </c>
      <c r="T258" s="74" t="str">
        <f t="shared" si="94"/>
        <v>BRPECAPM</v>
      </c>
      <c r="U258" s="6">
        <f t="shared" si="90"/>
        <v>26</v>
      </c>
      <c r="V258" s="102">
        <f t="shared" si="91"/>
        <v>44728.073654745254</v>
      </c>
      <c r="W258" s="102">
        <f t="shared" si="95"/>
        <v>44734.073654745254</v>
      </c>
      <c r="X258" s="102">
        <f t="shared" si="95"/>
        <v>44735.073654745254</v>
      </c>
      <c r="Y258" s="102">
        <f t="shared" si="95"/>
        <v>44735.15698807859</v>
      </c>
      <c r="Z258" s="102">
        <f t="shared" si="95"/>
        <v>44735.572265856368</v>
      </c>
      <c r="AA258" s="74" t="str">
        <f t="shared" si="92"/>
        <v>BRSUA</v>
      </c>
      <c r="AB258" s="74" t="str">
        <f t="shared" si="92"/>
        <v>BRSUATCO</v>
      </c>
    </row>
    <row r="259" spans="12:28">
      <c r="L259" s="6" t="s">
        <v>12</v>
      </c>
      <c r="M259" s="6" t="str">
        <f t="shared" si="93"/>
        <v>SHIP13</v>
      </c>
      <c r="N259" s="6">
        <f t="shared" si="82"/>
        <v>6</v>
      </c>
      <c r="O259" s="74" t="str">
        <f t="shared" si="94"/>
        <v>S</v>
      </c>
      <c r="P259" s="74" t="str">
        <f t="shared" si="94"/>
        <v>N</v>
      </c>
      <c r="Q259" s="74" t="str">
        <f t="shared" si="94"/>
        <v>BRSUA</v>
      </c>
      <c r="R259" s="99" t="str">
        <f t="shared" si="94"/>
        <v>ZP901</v>
      </c>
      <c r="S259" s="99" t="str">
        <f t="shared" si="94"/>
        <v>BRSUATB02</v>
      </c>
      <c r="T259" s="74" t="str">
        <f t="shared" si="94"/>
        <v>BRSUATCO</v>
      </c>
      <c r="U259" s="6">
        <f t="shared" si="90"/>
        <v>26</v>
      </c>
      <c r="V259" s="102">
        <f t="shared" si="91"/>
        <v>44729.713121195025</v>
      </c>
      <c r="W259" s="102">
        <f t="shared" si="95"/>
        <v>44735.713121195025</v>
      </c>
      <c r="X259" s="102">
        <f t="shared" si="95"/>
        <v>44736.713121195025</v>
      </c>
      <c r="Y259" s="102">
        <f t="shared" si="95"/>
        <v>44736.775621195025</v>
      </c>
      <c r="Z259" s="102">
        <f t="shared" si="95"/>
        <v>44737.546454528354</v>
      </c>
      <c r="AA259" s="74" t="str">
        <f>AA249</f>
        <v>BRSSZ</v>
      </c>
      <c r="AB259" s="74" t="str">
        <f>AB249</f>
        <v>BRSSZTCO</v>
      </c>
    </row>
    <row r="260" spans="12:28">
      <c r="L260" s="6" t="s">
        <v>12</v>
      </c>
      <c r="M260" s="106" t="s">
        <v>181</v>
      </c>
      <c r="N260" s="6">
        <f t="shared" si="82"/>
        <v>6</v>
      </c>
      <c r="O260" s="74" t="str">
        <f t="shared" si="94"/>
        <v>N</v>
      </c>
      <c r="P260" s="74" t="str">
        <f t="shared" si="94"/>
        <v>B</v>
      </c>
      <c r="Q260" s="74" t="str">
        <f t="shared" si="94"/>
        <v>BRSSZ</v>
      </c>
      <c r="R260" s="99" t="str">
        <f t="shared" si="94"/>
        <v>ZP1601</v>
      </c>
      <c r="S260" s="99" t="str">
        <f t="shared" si="94"/>
        <v>BRSSZTB01</v>
      </c>
      <c r="T260" s="74" t="str">
        <f t="shared" si="94"/>
        <v>BRSSZTCO</v>
      </c>
      <c r="U260" s="6">
        <f t="shared" si="90"/>
        <v>24</v>
      </c>
      <c r="V260" s="102">
        <f t="shared" si="91"/>
        <v>44712.791666666664</v>
      </c>
      <c r="W260" s="102">
        <f t="shared" si="95"/>
        <v>44718.791666666664</v>
      </c>
      <c r="X260" s="102">
        <f t="shared" si="95"/>
        <v>44719.791666666664</v>
      </c>
      <c r="Y260" s="102">
        <f t="shared" si="95"/>
        <v>44719.895833333328</v>
      </c>
      <c r="Z260" s="102">
        <f t="shared" si="95"/>
        <v>44721.718518518515</v>
      </c>
      <c r="AA260" s="74" t="str">
        <f t="shared" ref="AA260:AB268" si="96">AA250</f>
        <v>BRIGI</v>
      </c>
      <c r="AB260" s="74" t="str">
        <f t="shared" si="96"/>
        <v>BRIGITCO</v>
      </c>
    </row>
    <row r="261" spans="12:28">
      <c r="L261" s="6" t="s">
        <v>12</v>
      </c>
      <c r="M261" s="106" t="s">
        <v>181</v>
      </c>
      <c r="N261" s="6">
        <f t="shared" si="82"/>
        <v>6</v>
      </c>
      <c r="O261" s="74" t="str">
        <f t="shared" si="94"/>
        <v>N</v>
      </c>
      <c r="P261" s="74" t="str">
        <f t="shared" si="94"/>
        <v>N</v>
      </c>
      <c r="Q261" s="74" t="str">
        <f t="shared" si="94"/>
        <v>BRIGI</v>
      </c>
      <c r="R261" s="99" t="str">
        <f t="shared" si="94"/>
        <v>ZP15A03</v>
      </c>
      <c r="S261" s="99" t="str">
        <f t="shared" si="94"/>
        <v>BRIGITB01</v>
      </c>
      <c r="T261" s="74" t="str">
        <f t="shared" si="94"/>
        <v>BRIGITCO</v>
      </c>
      <c r="U261" s="6">
        <f t="shared" si="90"/>
        <v>24</v>
      </c>
      <c r="V261" s="102">
        <f t="shared" si="91"/>
        <v>44715.094394891508</v>
      </c>
      <c r="W261" s="102">
        <f t="shared" si="95"/>
        <v>44721.094394891508</v>
      </c>
      <c r="X261" s="102">
        <f t="shared" si="95"/>
        <v>44722.094394891508</v>
      </c>
      <c r="Y261" s="102">
        <f t="shared" si="95"/>
        <v>44722.240228224844</v>
      </c>
      <c r="Z261" s="102">
        <f t="shared" si="95"/>
        <v>44723.433283780396</v>
      </c>
      <c r="AA261" s="74" t="str">
        <f t="shared" si="96"/>
        <v>BRSSA</v>
      </c>
      <c r="AB261" s="74" t="str">
        <f t="shared" si="96"/>
        <v>BRSSATCO</v>
      </c>
    </row>
    <row r="262" spans="12:28">
      <c r="L262" s="6" t="s">
        <v>12</v>
      </c>
      <c r="M262" s="106" t="s">
        <v>181</v>
      </c>
      <c r="N262" s="6">
        <f t="shared" si="82"/>
        <v>6</v>
      </c>
      <c r="O262" s="74" t="str">
        <f t="shared" si="94"/>
        <v>N</v>
      </c>
      <c r="P262" s="74" t="str">
        <f t="shared" si="94"/>
        <v>N</v>
      </c>
      <c r="Q262" s="74" t="str">
        <f t="shared" si="94"/>
        <v>BRSSA</v>
      </c>
      <c r="R262" s="99" t="str">
        <f t="shared" si="94"/>
        <v>ZP1202</v>
      </c>
      <c r="S262" s="99" t="str">
        <f t="shared" si="94"/>
        <v>BRSSATB01</v>
      </c>
      <c r="T262" s="74" t="str">
        <f t="shared" si="94"/>
        <v>BRSSATCO</v>
      </c>
      <c r="U262" s="6">
        <f t="shared" si="90"/>
        <v>25</v>
      </c>
      <c r="V262" s="102">
        <f t="shared" si="91"/>
        <v>44718.450297220996</v>
      </c>
      <c r="W262" s="102">
        <f t="shared" si="95"/>
        <v>44724.450297220996</v>
      </c>
      <c r="X262" s="102">
        <f t="shared" si="95"/>
        <v>44725.450297220996</v>
      </c>
      <c r="Y262" s="102">
        <f t="shared" si="95"/>
        <v>44725.533630554331</v>
      </c>
      <c r="Z262" s="102">
        <f t="shared" si="95"/>
        <v>44726.114186109888</v>
      </c>
      <c r="AA262" s="74" t="str">
        <f t="shared" si="96"/>
        <v>BRSUA</v>
      </c>
      <c r="AB262" s="74" t="str">
        <f t="shared" si="96"/>
        <v>BRSUATCO</v>
      </c>
    </row>
    <row r="263" spans="12:28">
      <c r="L263" s="6" t="s">
        <v>12</v>
      </c>
      <c r="M263" s="106" t="s">
        <v>181</v>
      </c>
      <c r="N263" s="6">
        <f t="shared" si="82"/>
        <v>6</v>
      </c>
      <c r="O263" s="74" t="str">
        <f t="shared" si="94"/>
        <v>N</v>
      </c>
      <c r="P263" s="74" t="str">
        <f t="shared" si="94"/>
        <v>N</v>
      </c>
      <c r="Q263" s="74" t="str">
        <f t="shared" si="94"/>
        <v>BRSUA</v>
      </c>
      <c r="R263" s="99" t="str">
        <f t="shared" si="94"/>
        <v>ZP901</v>
      </c>
      <c r="S263" s="99" t="str">
        <f t="shared" si="94"/>
        <v>BRSUATB02</v>
      </c>
      <c r="T263" s="74" t="str">
        <f t="shared" si="94"/>
        <v>BRSUATCO</v>
      </c>
      <c r="U263" s="6">
        <f t="shared" si="90"/>
        <v>25</v>
      </c>
      <c r="V263" s="102">
        <f t="shared" si="91"/>
        <v>44720.077702180381</v>
      </c>
      <c r="W263" s="102">
        <f t="shared" si="95"/>
        <v>44726.077702180381</v>
      </c>
      <c r="X263" s="102">
        <f t="shared" si="95"/>
        <v>44727.077702180381</v>
      </c>
      <c r="Y263" s="102">
        <f t="shared" si="95"/>
        <v>44727.140202180381</v>
      </c>
      <c r="Z263" s="102">
        <f t="shared" si="95"/>
        <v>44729.256868847042</v>
      </c>
      <c r="AA263" s="74" t="str">
        <f t="shared" si="96"/>
        <v>BRPEC</v>
      </c>
      <c r="AB263" s="74" t="str">
        <f t="shared" si="96"/>
        <v>BRPECAPM</v>
      </c>
    </row>
    <row r="264" spans="12:28">
      <c r="L264" s="6" t="s">
        <v>12</v>
      </c>
      <c r="M264" s="106" t="s">
        <v>181</v>
      </c>
      <c r="N264" s="6">
        <f t="shared" si="82"/>
        <v>6</v>
      </c>
      <c r="O264" s="74" t="str">
        <f t="shared" si="94"/>
        <v>N</v>
      </c>
      <c r="P264" s="74" t="str">
        <f t="shared" si="94"/>
        <v>N</v>
      </c>
      <c r="Q264" s="74" t="str">
        <f t="shared" si="94"/>
        <v>BRPEC</v>
      </c>
      <c r="R264" s="99" t="str">
        <f t="shared" si="94"/>
        <v>ZP501</v>
      </c>
      <c r="S264" s="99" t="str">
        <f t="shared" si="94"/>
        <v>BRPECTB01</v>
      </c>
      <c r="T264" s="74" t="str">
        <f t="shared" si="94"/>
        <v>BRPECAPM</v>
      </c>
      <c r="U264" s="6">
        <f t="shared" si="90"/>
        <v>25</v>
      </c>
      <c r="V264" s="102">
        <f t="shared" si="91"/>
        <v>44723.443242792273</v>
      </c>
      <c r="W264" s="102">
        <f t="shared" si="95"/>
        <v>44729.443242792273</v>
      </c>
      <c r="X264" s="102">
        <f t="shared" si="95"/>
        <v>44730.443242792273</v>
      </c>
      <c r="Y264" s="102">
        <f t="shared" si="95"/>
        <v>44730.526576125609</v>
      </c>
      <c r="Z264" s="102">
        <f t="shared" si="95"/>
        <v>44731.211298347829</v>
      </c>
      <c r="AA264" s="74" t="str">
        <f t="shared" si="96"/>
        <v>BRMCP</v>
      </c>
      <c r="AB264" s="74">
        <f t="shared" si="96"/>
        <v>0</v>
      </c>
    </row>
    <row r="265" spans="12:28">
      <c r="L265" s="6" t="s">
        <v>12</v>
      </c>
      <c r="M265" s="106" t="s">
        <v>181</v>
      </c>
      <c r="N265" s="6">
        <f t="shared" si="82"/>
        <v>6</v>
      </c>
      <c r="O265" s="74">
        <f t="shared" si="94"/>
        <v>0</v>
      </c>
      <c r="P265" s="74">
        <f t="shared" si="94"/>
        <v>0</v>
      </c>
      <c r="Q265" s="74" t="str">
        <f t="shared" si="94"/>
        <v>BRMCP</v>
      </c>
      <c r="R265" s="99" t="str">
        <f t="shared" si="94"/>
        <v>ZP101</v>
      </c>
      <c r="S265" s="99">
        <f t="shared" si="94"/>
        <v>0</v>
      </c>
      <c r="T265" s="74">
        <f t="shared" si="94"/>
        <v>0</v>
      </c>
      <c r="U265" s="6">
        <f t="shared" si="90"/>
        <v>26</v>
      </c>
      <c r="V265" s="102">
        <f t="shared" si="91"/>
        <v>44726.358029681898</v>
      </c>
      <c r="W265" s="102">
        <f t="shared" si="95"/>
        <v>44732.358029681898</v>
      </c>
      <c r="X265" s="102">
        <f t="shared" si="95"/>
        <v>44733.358029681898</v>
      </c>
      <c r="Y265" s="102">
        <f t="shared" si="95"/>
        <v>44733.399696348562</v>
      </c>
      <c r="Z265" s="102">
        <f t="shared" si="95"/>
        <v>44733.441363015227</v>
      </c>
      <c r="AA265" s="74" t="str">
        <f t="shared" si="96"/>
        <v>BRMAO</v>
      </c>
      <c r="AB265" s="74" t="str">
        <f t="shared" si="96"/>
        <v>BRMAOCHI</v>
      </c>
    </row>
    <row r="266" spans="12:28">
      <c r="L266" s="6" t="s">
        <v>12</v>
      </c>
      <c r="M266" s="106" t="s">
        <v>181</v>
      </c>
      <c r="N266" s="6">
        <f t="shared" si="82"/>
        <v>6</v>
      </c>
      <c r="O266" s="74" t="str">
        <f t="shared" si="94"/>
        <v>S</v>
      </c>
      <c r="P266" s="74" t="str">
        <f t="shared" si="94"/>
        <v>D</v>
      </c>
      <c r="Q266" s="74" t="str">
        <f>Q256</f>
        <v>BRMAO</v>
      </c>
      <c r="R266" s="99" t="str">
        <f t="shared" si="94"/>
        <v>ZP201</v>
      </c>
      <c r="S266" s="99" t="str">
        <f t="shared" si="94"/>
        <v>BRMAOTB01</v>
      </c>
      <c r="T266" s="74" t="str">
        <f t="shared" si="94"/>
        <v>BRMAOCHI</v>
      </c>
      <c r="U266" s="6">
        <f t="shared" si="90"/>
        <v>26</v>
      </c>
      <c r="V266" s="102">
        <f t="shared" si="91"/>
        <v>44728.227551957192</v>
      </c>
      <c r="W266" s="102">
        <f t="shared" si="95"/>
        <v>44734.227551957192</v>
      </c>
      <c r="X266" s="102">
        <f t="shared" si="95"/>
        <v>44735.227551957192</v>
      </c>
      <c r="Y266" s="102">
        <f t="shared" si="95"/>
        <v>44735.290051957192</v>
      </c>
      <c r="Z266" s="102">
        <f t="shared" si="95"/>
        <v>44738.380329734966</v>
      </c>
      <c r="AA266" s="74" t="str">
        <f t="shared" si="96"/>
        <v>BRMCP</v>
      </c>
      <c r="AB266" s="74">
        <f t="shared" si="96"/>
        <v>0</v>
      </c>
    </row>
    <row r="267" spans="12:28">
      <c r="L267" s="6" t="s">
        <v>12</v>
      </c>
      <c r="M267" s="106" t="s">
        <v>181</v>
      </c>
      <c r="N267" s="6">
        <f t="shared" si="82"/>
        <v>6</v>
      </c>
      <c r="O267" s="74">
        <f t="shared" si="94"/>
        <v>0</v>
      </c>
      <c r="P267" s="74">
        <f t="shared" si="94"/>
        <v>0</v>
      </c>
      <c r="Q267" s="74" t="str">
        <f t="shared" si="94"/>
        <v>BRMCP</v>
      </c>
      <c r="R267" s="99" t="str">
        <f t="shared" si="94"/>
        <v>ZP101</v>
      </c>
      <c r="S267" s="99">
        <f t="shared" si="94"/>
        <v>0</v>
      </c>
      <c r="T267" s="74">
        <f t="shared" si="94"/>
        <v>0</v>
      </c>
      <c r="U267" s="6">
        <f t="shared" si="90"/>
        <v>27</v>
      </c>
      <c r="V267" s="102">
        <f t="shared" si="91"/>
        <v>44732.843590077056</v>
      </c>
      <c r="W267" s="102">
        <f t="shared" si="95"/>
        <v>44738.843590077056</v>
      </c>
      <c r="X267" s="102">
        <f t="shared" si="95"/>
        <v>44739.843590077056</v>
      </c>
      <c r="Y267" s="102">
        <f t="shared" si="95"/>
        <v>44739.885256743721</v>
      </c>
      <c r="Z267" s="102">
        <f t="shared" si="95"/>
        <v>44739.926923410385</v>
      </c>
      <c r="AA267" s="74" t="str">
        <f t="shared" si="96"/>
        <v>BRPEC</v>
      </c>
      <c r="AB267" s="74" t="str">
        <f t="shared" si="96"/>
        <v>BRPECAPM</v>
      </c>
    </row>
    <row r="268" spans="12:28">
      <c r="L268" s="6" t="s">
        <v>12</v>
      </c>
      <c r="M268" s="106" t="s">
        <v>181</v>
      </c>
      <c r="N268" s="6">
        <f t="shared" si="82"/>
        <v>6</v>
      </c>
      <c r="O268" s="74" t="str">
        <f t="shared" ref="O268:T283" si="97">O258</f>
        <v>S</v>
      </c>
      <c r="P268" s="74" t="str">
        <f t="shared" si="97"/>
        <v>N</v>
      </c>
      <c r="Q268" s="74" t="str">
        <f t="shared" si="97"/>
        <v>BRPEC</v>
      </c>
      <c r="R268" s="99" t="str">
        <f t="shared" si="97"/>
        <v>ZP501</v>
      </c>
      <c r="S268" s="99" t="str">
        <f t="shared" si="97"/>
        <v>BRPECTB02</v>
      </c>
      <c r="T268" s="74" t="str">
        <f t="shared" si="97"/>
        <v>BRPECAPM</v>
      </c>
      <c r="U268" s="6">
        <f t="shared" si="90"/>
        <v>27</v>
      </c>
      <c r="V268" s="102">
        <f t="shared" si="91"/>
        <v>44735.073654745254</v>
      </c>
      <c r="W268" s="102">
        <f t="shared" ref="W268:Z283" si="98">W258+7</f>
        <v>44741.073654745254</v>
      </c>
      <c r="X268" s="102">
        <f t="shared" si="98"/>
        <v>44742.073654745254</v>
      </c>
      <c r="Y268" s="102">
        <f t="shared" si="98"/>
        <v>44742.15698807859</v>
      </c>
      <c r="Z268" s="102">
        <f t="shared" si="98"/>
        <v>44742.572265856368</v>
      </c>
      <c r="AA268" s="74" t="str">
        <f t="shared" si="96"/>
        <v>BRSUA</v>
      </c>
      <c r="AB268" s="74" t="str">
        <f t="shared" si="96"/>
        <v>BRSUATCO</v>
      </c>
    </row>
    <row r="269" spans="12:28">
      <c r="L269" s="6" t="s">
        <v>12</v>
      </c>
      <c r="M269" s="106" t="s">
        <v>181</v>
      </c>
      <c r="N269" s="6">
        <f t="shared" si="82"/>
        <v>6</v>
      </c>
      <c r="O269" s="74" t="str">
        <f t="shared" si="97"/>
        <v>S</v>
      </c>
      <c r="P269" s="74" t="str">
        <f t="shared" si="97"/>
        <v>N</v>
      </c>
      <c r="Q269" s="74" t="str">
        <f t="shared" si="97"/>
        <v>BRSUA</v>
      </c>
      <c r="R269" s="99" t="str">
        <f t="shared" si="97"/>
        <v>ZP901</v>
      </c>
      <c r="S269" s="99" t="str">
        <f t="shared" si="97"/>
        <v>BRSUATB02</v>
      </c>
      <c r="T269" s="74" t="str">
        <f t="shared" si="97"/>
        <v>BRSUATCO</v>
      </c>
      <c r="U269" s="6">
        <f t="shared" si="90"/>
        <v>27</v>
      </c>
      <c r="V269" s="102">
        <f t="shared" si="91"/>
        <v>44736.713121195025</v>
      </c>
      <c r="W269" s="102">
        <f t="shared" si="98"/>
        <v>44742.713121195025</v>
      </c>
      <c r="X269" s="102">
        <f t="shared" si="98"/>
        <v>44743.713121195025</v>
      </c>
      <c r="Y269" s="102">
        <f t="shared" si="98"/>
        <v>44743.775621195025</v>
      </c>
      <c r="Z269" s="102">
        <f t="shared" si="98"/>
        <v>44744.546454528354</v>
      </c>
      <c r="AA269" s="74" t="str">
        <f>AA259</f>
        <v>BRSSZ</v>
      </c>
      <c r="AB269" s="74" t="str">
        <f>AB259</f>
        <v>BRSSZTCO</v>
      </c>
    </row>
    <row r="270" spans="12:28">
      <c r="L270" s="6" t="s">
        <v>12</v>
      </c>
      <c r="M270" s="6" t="s">
        <v>182</v>
      </c>
      <c r="N270" s="6">
        <f t="shared" si="82"/>
        <v>6</v>
      </c>
      <c r="O270" s="74" t="str">
        <f t="shared" si="97"/>
        <v>N</v>
      </c>
      <c r="P270" s="74" t="str">
        <f t="shared" si="97"/>
        <v>B</v>
      </c>
      <c r="Q270" s="74" t="str">
        <f t="shared" si="97"/>
        <v>BRSSZ</v>
      </c>
      <c r="R270" s="99" t="str">
        <f t="shared" si="97"/>
        <v>ZP1601</v>
      </c>
      <c r="S270" s="99" t="str">
        <f t="shared" si="97"/>
        <v>BRSSZTB01</v>
      </c>
      <c r="T270" s="74" t="str">
        <f t="shared" si="97"/>
        <v>BRSSZTCO</v>
      </c>
      <c r="U270" s="6">
        <f t="shared" si="90"/>
        <v>25</v>
      </c>
      <c r="V270" s="102">
        <f t="shared" si="91"/>
        <v>44719.791666666664</v>
      </c>
      <c r="W270" s="102">
        <f t="shared" si="98"/>
        <v>44725.791666666664</v>
      </c>
      <c r="X270" s="102">
        <f t="shared" si="98"/>
        <v>44726.791666666664</v>
      </c>
      <c r="Y270" s="102">
        <f t="shared" si="98"/>
        <v>44726.895833333328</v>
      </c>
      <c r="Z270" s="102">
        <f t="shared" si="98"/>
        <v>44728.718518518515</v>
      </c>
      <c r="AA270" s="74" t="str">
        <f t="shared" ref="AA270:AB278" si="99">AA260</f>
        <v>BRIGI</v>
      </c>
      <c r="AB270" s="74" t="str">
        <f t="shared" si="99"/>
        <v>BRIGITCO</v>
      </c>
    </row>
    <row r="271" spans="12:28">
      <c r="L271" s="6" t="s">
        <v>12</v>
      </c>
      <c r="M271" s="6" t="s">
        <v>182</v>
      </c>
      <c r="N271" s="6">
        <f t="shared" si="82"/>
        <v>6</v>
      </c>
      <c r="O271" s="74" t="str">
        <f t="shared" si="97"/>
        <v>N</v>
      </c>
      <c r="P271" s="74" t="str">
        <f t="shared" si="97"/>
        <v>N</v>
      </c>
      <c r="Q271" s="74" t="str">
        <f t="shared" si="97"/>
        <v>BRIGI</v>
      </c>
      <c r="R271" s="99" t="str">
        <f t="shared" si="97"/>
        <v>ZP15A03</v>
      </c>
      <c r="S271" s="99" t="str">
        <f t="shared" si="97"/>
        <v>BRIGITB01</v>
      </c>
      <c r="T271" s="74" t="str">
        <f t="shared" si="97"/>
        <v>BRIGITCO</v>
      </c>
      <c r="U271" s="6">
        <f t="shared" si="90"/>
        <v>25</v>
      </c>
      <c r="V271" s="102">
        <f t="shared" si="91"/>
        <v>44722.094394891508</v>
      </c>
      <c r="W271" s="102">
        <f t="shared" si="98"/>
        <v>44728.094394891508</v>
      </c>
      <c r="X271" s="102">
        <f t="shared" si="98"/>
        <v>44729.094394891508</v>
      </c>
      <c r="Y271" s="102">
        <f t="shared" si="98"/>
        <v>44729.240228224844</v>
      </c>
      <c r="Z271" s="102">
        <f t="shared" si="98"/>
        <v>44730.433283780396</v>
      </c>
      <c r="AA271" s="74" t="str">
        <f t="shared" si="99"/>
        <v>BRSSA</v>
      </c>
      <c r="AB271" s="74" t="str">
        <f t="shared" si="99"/>
        <v>BRSSATCO</v>
      </c>
    </row>
    <row r="272" spans="12:28">
      <c r="L272" s="6" t="s">
        <v>12</v>
      </c>
      <c r="M272" s="6" t="s">
        <v>182</v>
      </c>
      <c r="N272" s="6">
        <f t="shared" si="82"/>
        <v>6</v>
      </c>
      <c r="O272" s="74" t="str">
        <f t="shared" si="97"/>
        <v>N</v>
      </c>
      <c r="P272" s="74" t="str">
        <f t="shared" si="97"/>
        <v>N</v>
      </c>
      <c r="Q272" s="74" t="str">
        <f t="shared" si="97"/>
        <v>BRSSA</v>
      </c>
      <c r="R272" s="99" t="str">
        <f t="shared" si="97"/>
        <v>ZP1202</v>
      </c>
      <c r="S272" s="99" t="str">
        <f t="shared" si="97"/>
        <v>BRSSATB01</v>
      </c>
      <c r="T272" s="74" t="str">
        <f t="shared" si="97"/>
        <v>BRSSATCO</v>
      </c>
      <c r="U272" s="6">
        <f t="shared" si="90"/>
        <v>26</v>
      </c>
      <c r="V272" s="102">
        <f t="shared" si="91"/>
        <v>44725.450297220996</v>
      </c>
      <c r="W272" s="102">
        <f t="shared" si="98"/>
        <v>44731.450297220996</v>
      </c>
      <c r="X272" s="102">
        <f t="shared" si="98"/>
        <v>44732.450297220996</v>
      </c>
      <c r="Y272" s="102">
        <f t="shared" si="98"/>
        <v>44732.533630554331</v>
      </c>
      <c r="Z272" s="102">
        <f t="shared" si="98"/>
        <v>44733.114186109888</v>
      </c>
      <c r="AA272" s="74" t="str">
        <f t="shared" si="99"/>
        <v>BRSUA</v>
      </c>
      <c r="AB272" s="74" t="str">
        <f t="shared" si="99"/>
        <v>BRSUATCO</v>
      </c>
    </row>
    <row r="273" spans="12:28">
      <c r="L273" s="6" t="s">
        <v>12</v>
      </c>
      <c r="M273" s="6" t="s">
        <v>182</v>
      </c>
      <c r="N273" s="6">
        <f t="shared" si="82"/>
        <v>6</v>
      </c>
      <c r="O273" s="74" t="str">
        <f t="shared" si="97"/>
        <v>N</v>
      </c>
      <c r="P273" s="74" t="str">
        <f t="shared" si="97"/>
        <v>N</v>
      </c>
      <c r="Q273" s="74" t="str">
        <f t="shared" si="97"/>
        <v>BRSUA</v>
      </c>
      <c r="R273" s="99" t="str">
        <f t="shared" si="97"/>
        <v>ZP901</v>
      </c>
      <c r="S273" s="99" t="str">
        <f t="shared" si="97"/>
        <v>BRSUATB02</v>
      </c>
      <c r="T273" s="74" t="str">
        <f t="shared" si="97"/>
        <v>BRSUATCO</v>
      </c>
      <c r="U273" s="6">
        <f t="shared" si="90"/>
        <v>26</v>
      </c>
      <c r="V273" s="102">
        <f t="shared" si="91"/>
        <v>44727.077702180381</v>
      </c>
      <c r="W273" s="102">
        <f t="shared" si="98"/>
        <v>44733.077702180381</v>
      </c>
      <c r="X273" s="102">
        <f t="shared" si="98"/>
        <v>44734.077702180381</v>
      </c>
      <c r="Y273" s="102">
        <f t="shared" si="98"/>
        <v>44734.140202180381</v>
      </c>
      <c r="Z273" s="102">
        <f t="shared" si="98"/>
        <v>44736.256868847042</v>
      </c>
      <c r="AA273" s="74" t="str">
        <f t="shared" si="99"/>
        <v>BRPEC</v>
      </c>
      <c r="AB273" s="74" t="str">
        <f t="shared" si="99"/>
        <v>BRPECAPM</v>
      </c>
    </row>
    <row r="274" spans="12:28">
      <c r="L274" s="6" t="s">
        <v>12</v>
      </c>
      <c r="M274" s="6" t="s">
        <v>182</v>
      </c>
      <c r="N274" s="6">
        <f t="shared" si="82"/>
        <v>6</v>
      </c>
      <c r="O274" s="74" t="str">
        <f t="shared" si="97"/>
        <v>N</v>
      </c>
      <c r="P274" s="74" t="str">
        <f t="shared" si="97"/>
        <v>N</v>
      </c>
      <c r="Q274" s="74" t="str">
        <f t="shared" si="97"/>
        <v>BRPEC</v>
      </c>
      <c r="R274" s="99" t="str">
        <f t="shared" si="97"/>
        <v>ZP501</v>
      </c>
      <c r="S274" s="99" t="str">
        <f t="shared" si="97"/>
        <v>BRPECTB01</v>
      </c>
      <c r="T274" s="74" t="str">
        <f t="shared" si="97"/>
        <v>BRPECAPM</v>
      </c>
      <c r="U274" s="6">
        <f t="shared" si="90"/>
        <v>26</v>
      </c>
      <c r="V274" s="102">
        <f t="shared" si="91"/>
        <v>44730.443242792273</v>
      </c>
      <c r="W274" s="102">
        <f t="shared" si="98"/>
        <v>44736.443242792273</v>
      </c>
      <c r="X274" s="102">
        <f t="shared" si="98"/>
        <v>44737.443242792273</v>
      </c>
      <c r="Y274" s="102">
        <f t="shared" si="98"/>
        <v>44737.526576125609</v>
      </c>
      <c r="Z274" s="102">
        <f t="shared" si="98"/>
        <v>44738.211298347829</v>
      </c>
      <c r="AA274" s="74" t="str">
        <f t="shared" si="99"/>
        <v>BRMCP</v>
      </c>
      <c r="AB274" s="74">
        <f t="shared" si="99"/>
        <v>0</v>
      </c>
    </row>
    <row r="275" spans="12:28">
      <c r="L275" s="6" t="s">
        <v>12</v>
      </c>
      <c r="M275" s="6" t="s">
        <v>182</v>
      </c>
      <c r="N275" s="6">
        <f t="shared" si="82"/>
        <v>6</v>
      </c>
      <c r="O275" s="74">
        <f t="shared" si="97"/>
        <v>0</v>
      </c>
      <c r="P275" s="74">
        <f t="shared" si="97"/>
        <v>0</v>
      </c>
      <c r="Q275" s="74" t="str">
        <f t="shared" si="97"/>
        <v>BRMCP</v>
      </c>
      <c r="R275" s="99" t="str">
        <f t="shared" si="97"/>
        <v>ZP101</v>
      </c>
      <c r="S275" s="99">
        <f t="shared" si="97"/>
        <v>0</v>
      </c>
      <c r="T275" s="74">
        <f t="shared" si="97"/>
        <v>0</v>
      </c>
      <c r="U275" s="6">
        <f t="shared" si="90"/>
        <v>27</v>
      </c>
      <c r="V275" s="102">
        <f t="shared" si="91"/>
        <v>44733.358029681898</v>
      </c>
      <c r="W275" s="102">
        <f t="shared" si="98"/>
        <v>44739.358029681898</v>
      </c>
      <c r="X275" s="102">
        <f t="shared" si="98"/>
        <v>44740.358029681898</v>
      </c>
      <c r="Y275" s="102">
        <f t="shared" si="98"/>
        <v>44740.399696348562</v>
      </c>
      <c r="Z275" s="102">
        <f t="shared" si="98"/>
        <v>44740.441363015227</v>
      </c>
      <c r="AA275" s="74" t="str">
        <f t="shared" si="99"/>
        <v>BRMAO</v>
      </c>
      <c r="AB275" s="74" t="str">
        <f t="shared" si="99"/>
        <v>BRMAOCHI</v>
      </c>
    </row>
    <row r="276" spans="12:28">
      <c r="L276" s="6" t="s">
        <v>12</v>
      </c>
      <c r="M276" s="6" t="s">
        <v>182</v>
      </c>
      <c r="N276" s="6">
        <f t="shared" si="82"/>
        <v>6</v>
      </c>
      <c r="O276" s="74" t="str">
        <f t="shared" si="97"/>
        <v>S</v>
      </c>
      <c r="P276" s="74" t="str">
        <f t="shared" si="97"/>
        <v>D</v>
      </c>
      <c r="Q276" s="74" t="str">
        <f t="shared" si="97"/>
        <v>BRMAO</v>
      </c>
      <c r="R276" s="99" t="str">
        <f t="shared" si="97"/>
        <v>ZP201</v>
      </c>
      <c r="S276" s="99" t="str">
        <f t="shared" si="97"/>
        <v>BRMAOTB01</v>
      </c>
      <c r="T276" s="74" t="str">
        <f t="shared" si="97"/>
        <v>BRMAOCHI</v>
      </c>
      <c r="U276" s="6">
        <f t="shared" si="90"/>
        <v>27</v>
      </c>
      <c r="V276" s="102">
        <f t="shared" si="91"/>
        <v>44735.227551957192</v>
      </c>
      <c r="W276" s="102">
        <f t="shared" si="98"/>
        <v>44741.227551957192</v>
      </c>
      <c r="X276" s="102">
        <f t="shared" si="98"/>
        <v>44742.227551957192</v>
      </c>
      <c r="Y276" s="102">
        <f t="shared" si="98"/>
        <v>44742.290051957192</v>
      </c>
      <c r="Z276" s="102">
        <f t="shared" si="98"/>
        <v>44745.380329734966</v>
      </c>
      <c r="AA276" s="74" t="str">
        <f t="shared" si="99"/>
        <v>BRMCP</v>
      </c>
      <c r="AB276" s="74">
        <f t="shared" si="99"/>
        <v>0</v>
      </c>
    </row>
    <row r="277" spans="12:28">
      <c r="L277" s="6" t="s">
        <v>12</v>
      </c>
      <c r="M277" s="6" t="s">
        <v>182</v>
      </c>
      <c r="N277" s="6">
        <f t="shared" si="82"/>
        <v>6</v>
      </c>
      <c r="O277" s="74">
        <f t="shared" si="97"/>
        <v>0</v>
      </c>
      <c r="P277" s="74">
        <f t="shared" si="97"/>
        <v>0</v>
      </c>
      <c r="Q277" s="74" t="str">
        <f t="shared" si="97"/>
        <v>BRMCP</v>
      </c>
      <c r="R277" s="99" t="str">
        <f t="shared" si="97"/>
        <v>ZP101</v>
      </c>
      <c r="S277" s="99">
        <f t="shared" si="97"/>
        <v>0</v>
      </c>
      <c r="T277" s="74">
        <f t="shared" si="97"/>
        <v>0</v>
      </c>
      <c r="U277" s="6">
        <f t="shared" si="90"/>
        <v>28</v>
      </c>
      <c r="V277" s="102">
        <f t="shared" si="91"/>
        <v>44739.843590077056</v>
      </c>
      <c r="W277" s="102">
        <f t="shared" si="98"/>
        <v>44745.843590077056</v>
      </c>
      <c r="X277" s="102">
        <f t="shared" si="98"/>
        <v>44746.843590077056</v>
      </c>
      <c r="Y277" s="102">
        <f t="shared" si="98"/>
        <v>44746.885256743721</v>
      </c>
      <c r="Z277" s="102">
        <f t="shared" si="98"/>
        <v>44746.926923410385</v>
      </c>
      <c r="AA277" s="74" t="str">
        <f t="shared" si="99"/>
        <v>BRPEC</v>
      </c>
      <c r="AB277" s="74" t="str">
        <f t="shared" si="99"/>
        <v>BRPECAPM</v>
      </c>
    </row>
    <row r="278" spans="12:28">
      <c r="L278" s="6" t="s">
        <v>12</v>
      </c>
      <c r="M278" s="6" t="s">
        <v>182</v>
      </c>
      <c r="N278" s="6">
        <f t="shared" si="82"/>
        <v>6</v>
      </c>
      <c r="O278" s="74" t="str">
        <f t="shared" si="97"/>
        <v>S</v>
      </c>
      <c r="P278" s="74" t="str">
        <f t="shared" si="97"/>
        <v>N</v>
      </c>
      <c r="Q278" s="74" t="str">
        <f t="shared" si="97"/>
        <v>BRPEC</v>
      </c>
      <c r="R278" s="99" t="str">
        <f t="shared" si="97"/>
        <v>ZP501</v>
      </c>
      <c r="S278" s="99" t="str">
        <f t="shared" si="97"/>
        <v>BRPECTB02</v>
      </c>
      <c r="T278" s="74" t="str">
        <f t="shared" si="97"/>
        <v>BRPECAPM</v>
      </c>
      <c r="U278" s="6">
        <f t="shared" si="90"/>
        <v>28</v>
      </c>
      <c r="V278" s="102">
        <f t="shared" si="91"/>
        <v>44742.073654745254</v>
      </c>
      <c r="W278" s="102">
        <f t="shared" si="98"/>
        <v>44748.073654745254</v>
      </c>
      <c r="X278" s="102">
        <f t="shared" si="98"/>
        <v>44749.073654745254</v>
      </c>
      <c r="Y278" s="102">
        <f t="shared" si="98"/>
        <v>44749.15698807859</v>
      </c>
      <c r="Z278" s="102">
        <f t="shared" si="98"/>
        <v>44749.572265856368</v>
      </c>
      <c r="AA278" s="74" t="str">
        <f t="shared" si="99"/>
        <v>BRSUA</v>
      </c>
      <c r="AB278" s="74" t="str">
        <f t="shared" si="99"/>
        <v>BRSUATCO</v>
      </c>
    </row>
    <row r="279" spans="12:28">
      <c r="L279" s="6" t="s">
        <v>12</v>
      </c>
      <c r="M279" s="6" t="s">
        <v>182</v>
      </c>
      <c r="N279" s="6">
        <f t="shared" si="82"/>
        <v>6</v>
      </c>
      <c r="O279" s="74" t="str">
        <f t="shared" si="97"/>
        <v>S</v>
      </c>
      <c r="P279" s="74" t="str">
        <f t="shared" si="97"/>
        <v>N</v>
      </c>
      <c r="Q279" s="74" t="str">
        <f t="shared" si="97"/>
        <v>BRSUA</v>
      </c>
      <c r="R279" s="99" t="str">
        <f t="shared" si="97"/>
        <v>ZP901</v>
      </c>
      <c r="S279" s="99" t="str">
        <f t="shared" si="97"/>
        <v>BRSUATB02</v>
      </c>
      <c r="T279" s="74" t="str">
        <f t="shared" si="97"/>
        <v>BRSUATCO</v>
      </c>
      <c r="U279" s="6">
        <f t="shared" si="90"/>
        <v>28</v>
      </c>
      <c r="V279" s="102">
        <f t="shared" si="91"/>
        <v>44743.713121195025</v>
      </c>
      <c r="W279" s="102">
        <f t="shared" si="98"/>
        <v>44749.713121195025</v>
      </c>
      <c r="X279" s="102">
        <f t="shared" si="98"/>
        <v>44750.713121195025</v>
      </c>
      <c r="Y279" s="102">
        <f t="shared" si="98"/>
        <v>44750.775621195025</v>
      </c>
      <c r="Z279" s="102">
        <f t="shared" si="98"/>
        <v>44751.546454528354</v>
      </c>
      <c r="AA279" s="74" t="str">
        <f>AA269</f>
        <v>BRSSZ</v>
      </c>
      <c r="AB279" s="74" t="str">
        <f>AB269</f>
        <v>BRSSZTCO</v>
      </c>
    </row>
    <row r="280" spans="12:28">
      <c r="L280" s="6" t="s">
        <v>12</v>
      </c>
      <c r="M280" s="106" t="s">
        <v>183</v>
      </c>
      <c r="N280" s="6">
        <f t="shared" si="82"/>
        <v>6</v>
      </c>
      <c r="O280" s="74" t="str">
        <f t="shared" si="97"/>
        <v>N</v>
      </c>
      <c r="P280" s="74" t="str">
        <f t="shared" si="97"/>
        <v>B</v>
      </c>
      <c r="Q280" s="74" t="str">
        <f t="shared" si="97"/>
        <v>BRSSZ</v>
      </c>
      <c r="R280" s="99" t="str">
        <f t="shared" si="97"/>
        <v>ZP1601</v>
      </c>
      <c r="S280" s="99" t="str">
        <f t="shared" si="97"/>
        <v>BRSSZTB01</v>
      </c>
      <c r="T280" s="74" t="str">
        <f t="shared" si="97"/>
        <v>BRSSZTCO</v>
      </c>
      <c r="U280" s="6">
        <f t="shared" si="90"/>
        <v>26</v>
      </c>
      <c r="V280" s="102">
        <f t="shared" si="91"/>
        <v>44726.791666666664</v>
      </c>
      <c r="W280" s="102">
        <f t="shared" si="98"/>
        <v>44732.791666666664</v>
      </c>
      <c r="X280" s="102">
        <f t="shared" si="98"/>
        <v>44733.791666666664</v>
      </c>
      <c r="Y280" s="102">
        <f t="shared" si="98"/>
        <v>44733.895833333328</v>
      </c>
      <c r="Z280" s="102">
        <f t="shared" si="98"/>
        <v>44735.718518518515</v>
      </c>
      <c r="AA280" s="74" t="str">
        <f t="shared" ref="AA280:AB288" si="100">AA270</f>
        <v>BRIGI</v>
      </c>
      <c r="AB280" s="74" t="str">
        <f t="shared" si="100"/>
        <v>BRIGITCO</v>
      </c>
    </row>
    <row r="281" spans="12:28">
      <c r="L281" s="6" t="s">
        <v>12</v>
      </c>
      <c r="M281" s="106" t="s">
        <v>183</v>
      </c>
      <c r="N281" s="6">
        <f t="shared" si="82"/>
        <v>6</v>
      </c>
      <c r="O281" s="74" t="str">
        <f t="shared" si="97"/>
        <v>N</v>
      </c>
      <c r="P281" s="74" t="str">
        <f t="shared" si="97"/>
        <v>N</v>
      </c>
      <c r="Q281" s="74" t="str">
        <f t="shared" si="97"/>
        <v>BRIGI</v>
      </c>
      <c r="R281" s="99" t="str">
        <f t="shared" si="97"/>
        <v>ZP15A03</v>
      </c>
      <c r="S281" s="99" t="str">
        <f t="shared" si="97"/>
        <v>BRIGITB01</v>
      </c>
      <c r="T281" s="74" t="str">
        <f t="shared" si="97"/>
        <v>BRIGITCO</v>
      </c>
      <c r="U281" s="6">
        <f t="shared" si="90"/>
        <v>26</v>
      </c>
      <c r="V281" s="102">
        <f t="shared" si="91"/>
        <v>44729.094394891508</v>
      </c>
      <c r="W281" s="102">
        <f t="shared" si="98"/>
        <v>44735.094394891508</v>
      </c>
      <c r="X281" s="102">
        <f t="shared" si="98"/>
        <v>44736.094394891508</v>
      </c>
      <c r="Y281" s="102">
        <f t="shared" si="98"/>
        <v>44736.240228224844</v>
      </c>
      <c r="Z281" s="102">
        <f t="shared" si="98"/>
        <v>44737.433283780396</v>
      </c>
      <c r="AA281" s="74" t="str">
        <f t="shared" si="100"/>
        <v>BRSSA</v>
      </c>
      <c r="AB281" s="74" t="str">
        <f t="shared" si="100"/>
        <v>BRSSATCO</v>
      </c>
    </row>
    <row r="282" spans="12:28">
      <c r="L282" s="6" t="s">
        <v>12</v>
      </c>
      <c r="M282" s="106" t="s">
        <v>183</v>
      </c>
      <c r="N282" s="6">
        <f t="shared" si="82"/>
        <v>6</v>
      </c>
      <c r="O282" s="74" t="str">
        <f t="shared" si="97"/>
        <v>N</v>
      </c>
      <c r="P282" s="74" t="str">
        <f t="shared" si="97"/>
        <v>N</v>
      </c>
      <c r="Q282" s="74" t="str">
        <f t="shared" si="97"/>
        <v>BRSSA</v>
      </c>
      <c r="R282" s="99" t="str">
        <f t="shared" si="97"/>
        <v>ZP1202</v>
      </c>
      <c r="S282" s="99" t="str">
        <f t="shared" si="97"/>
        <v>BRSSATB01</v>
      </c>
      <c r="T282" s="74" t="str">
        <f t="shared" si="97"/>
        <v>BRSSATCO</v>
      </c>
      <c r="U282" s="6">
        <f t="shared" si="90"/>
        <v>27</v>
      </c>
      <c r="V282" s="102">
        <f t="shared" si="91"/>
        <v>44732.450297220996</v>
      </c>
      <c r="W282" s="102">
        <f t="shared" si="98"/>
        <v>44738.450297220996</v>
      </c>
      <c r="X282" s="102">
        <f t="shared" si="98"/>
        <v>44739.450297220996</v>
      </c>
      <c r="Y282" s="102">
        <f t="shared" si="98"/>
        <v>44739.533630554331</v>
      </c>
      <c r="Z282" s="102">
        <f t="shared" si="98"/>
        <v>44740.114186109888</v>
      </c>
      <c r="AA282" s="74" t="str">
        <f t="shared" si="100"/>
        <v>BRSUA</v>
      </c>
      <c r="AB282" s="74" t="str">
        <f t="shared" si="100"/>
        <v>BRSUATCO</v>
      </c>
    </row>
    <row r="283" spans="12:28">
      <c r="L283" s="6" t="s">
        <v>12</v>
      </c>
      <c r="M283" s="106" t="s">
        <v>183</v>
      </c>
      <c r="N283" s="6">
        <f t="shared" ref="N283:N346" si="101">N243+1</f>
        <v>6</v>
      </c>
      <c r="O283" s="74" t="str">
        <f t="shared" si="97"/>
        <v>N</v>
      </c>
      <c r="P283" s="74" t="str">
        <f t="shared" si="97"/>
        <v>N</v>
      </c>
      <c r="Q283" s="74" t="str">
        <f t="shared" si="97"/>
        <v>BRSUA</v>
      </c>
      <c r="R283" s="99" t="str">
        <f t="shared" si="97"/>
        <v>ZP901</v>
      </c>
      <c r="S283" s="99" t="str">
        <f t="shared" si="97"/>
        <v>BRSUATB02</v>
      </c>
      <c r="T283" s="74" t="str">
        <f t="shared" si="97"/>
        <v>BRSUATCO</v>
      </c>
      <c r="U283" s="6">
        <f t="shared" si="90"/>
        <v>27</v>
      </c>
      <c r="V283" s="102">
        <f t="shared" si="91"/>
        <v>44734.077702180381</v>
      </c>
      <c r="W283" s="102">
        <f t="shared" si="98"/>
        <v>44740.077702180381</v>
      </c>
      <c r="X283" s="102">
        <f t="shared" si="98"/>
        <v>44741.077702180381</v>
      </c>
      <c r="Y283" s="102">
        <f t="shared" si="98"/>
        <v>44741.140202180381</v>
      </c>
      <c r="Z283" s="102">
        <f t="shared" si="98"/>
        <v>44743.256868847042</v>
      </c>
      <c r="AA283" s="74" t="str">
        <f t="shared" si="100"/>
        <v>BRPEC</v>
      </c>
      <c r="AB283" s="74" t="str">
        <f t="shared" si="100"/>
        <v>BRPECAPM</v>
      </c>
    </row>
    <row r="284" spans="12:28">
      <c r="L284" s="6" t="s">
        <v>12</v>
      </c>
      <c r="M284" s="106" t="s">
        <v>183</v>
      </c>
      <c r="N284" s="6">
        <f t="shared" si="101"/>
        <v>6</v>
      </c>
      <c r="O284" s="74" t="str">
        <f t="shared" ref="O284:T299" si="102">O274</f>
        <v>N</v>
      </c>
      <c r="P284" s="74" t="str">
        <f t="shared" si="102"/>
        <v>N</v>
      </c>
      <c r="Q284" s="74" t="str">
        <f t="shared" si="102"/>
        <v>BRPEC</v>
      </c>
      <c r="R284" s="99" t="str">
        <f t="shared" si="102"/>
        <v>ZP501</v>
      </c>
      <c r="S284" s="99" t="str">
        <f t="shared" si="102"/>
        <v>BRPECTB01</v>
      </c>
      <c r="T284" s="74" t="str">
        <f t="shared" si="102"/>
        <v>BRPECAPM</v>
      </c>
      <c r="U284" s="6">
        <f t="shared" si="90"/>
        <v>27</v>
      </c>
      <c r="V284" s="102">
        <f t="shared" si="91"/>
        <v>44737.443242792273</v>
      </c>
      <c r="W284" s="102">
        <f t="shared" ref="W284:Z299" si="103">W274+7</f>
        <v>44743.443242792273</v>
      </c>
      <c r="X284" s="102">
        <f t="shared" si="103"/>
        <v>44744.443242792273</v>
      </c>
      <c r="Y284" s="102">
        <f t="shared" si="103"/>
        <v>44744.526576125609</v>
      </c>
      <c r="Z284" s="102">
        <f t="shared" si="103"/>
        <v>44745.211298347829</v>
      </c>
      <c r="AA284" s="74" t="str">
        <f t="shared" si="100"/>
        <v>BRMCP</v>
      </c>
      <c r="AB284" s="74">
        <f t="shared" si="100"/>
        <v>0</v>
      </c>
    </row>
    <row r="285" spans="12:28">
      <c r="L285" s="6" t="s">
        <v>12</v>
      </c>
      <c r="M285" s="106" t="s">
        <v>183</v>
      </c>
      <c r="N285" s="6">
        <f t="shared" si="101"/>
        <v>6</v>
      </c>
      <c r="O285" s="74">
        <f t="shared" si="102"/>
        <v>0</v>
      </c>
      <c r="P285" s="74">
        <f t="shared" si="102"/>
        <v>0</v>
      </c>
      <c r="Q285" s="74" t="str">
        <f t="shared" si="102"/>
        <v>BRMCP</v>
      </c>
      <c r="R285" s="99" t="str">
        <f t="shared" si="102"/>
        <v>ZP101</v>
      </c>
      <c r="S285" s="99">
        <f t="shared" si="102"/>
        <v>0</v>
      </c>
      <c r="T285" s="74">
        <f t="shared" si="102"/>
        <v>0</v>
      </c>
      <c r="U285" s="6">
        <f t="shared" si="90"/>
        <v>28</v>
      </c>
      <c r="V285" s="102">
        <f t="shared" si="91"/>
        <v>44740.358029681898</v>
      </c>
      <c r="W285" s="102">
        <f t="shared" si="103"/>
        <v>44746.358029681898</v>
      </c>
      <c r="X285" s="102">
        <f t="shared" si="103"/>
        <v>44747.358029681898</v>
      </c>
      <c r="Y285" s="102">
        <f t="shared" si="103"/>
        <v>44747.399696348562</v>
      </c>
      <c r="Z285" s="102">
        <f t="shared" si="103"/>
        <v>44747.441363015227</v>
      </c>
      <c r="AA285" s="74" t="str">
        <f t="shared" si="100"/>
        <v>BRMAO</v>
      </c>
      <c r="AB285" s="74" t="str">
        <f t="shared" si="100"/>
        <v>BRMAOCHI</v>
      </c>
    </row>
    <row r="286" spans="12:28">
      <c r="L286" s="6" t="s">
        <v>12</v>
      </c>
      <c r="M286" s="106" t="s">
        <v>183</v>
      </c>
      <c r="N286" s="6">
        <f t="shared" si="101"/>
        <v>6</v>
      </c>
      <c r="O286" s="74" t="str">
        <f t="shared" si="102"/>
        <v>S</v>
      </c>
      <c r="P286" s="74" t="str">
        <f t="shared" si="102"/>
        <v>D</v>
      </c>
      <c r="Q286" s="74" t="str">
        <f>Q276</f>
        <v>BRMAO</v>
      </c>
      <c r="R286" s="99" t="str">
        <f t="shared" si="102"/>
        <v>ZP201</v>
      </c>
      <c r="S286" s="99" t="str">
        <f t="shared" si="102"/>
        <v>BRMAOTB01</v>
      </c>
      <c r="T286" s="74" t="str">
        <f t="shared" si="102"/>
        <v>BRMAOCHI</v>
      </c>
      <c r="U286" s="6">
        <f t="shared" si="90"/>
        <v>28</v>
      </c>
      <c r="V286" s="102">
        <f t="shared" si="91"/>
        <v>44742.227551957192</v>
      </c>
      <c r="W286" s="102">
        <f t="shared" si="103"/>
        <v>44748.227551957192</v>
      </c>
      <c r="X286" s="102">
        <f t="shared" si="103"/>
        <v>44749.227551957192</v>
      </c>
      <c r="Y286" s="102">
        <f t="shared" si="103"/>
        <v>44749.290051957192</v>
      </c>
      <c r="Z286" s="102">
        <f t="shared" si="103"/>
        <v>44752.380329734966</v>
      </c>
      <c r="AA286" s="74" t="str">
        <f t="shared" si="100"/>
        <v>BRMCP</v>
      </c>
      <c r="AB286" s="74">
        <f t="shared" si="100"/>
        <v>0</v>
      </c>
    </row>
    <row r="287" spans="12:28">
      <c r="L287" s="6" t="s">
        <v>12</v>
      </c>
      <c r="M287" s="106" t="s">
        <v>183</v>
      </c>
      <c r="N287" s="6">
        <f t="shared" si="101"/>
        <v>6</v>
      </c>
      <c r="O287" s="74">
        <f t="shared" si="102"/>
        <v>0</v>
      </c>
      <c r="P287" s="74">
        <f t="shared" si="102"/>
        <v>0</v>
      </c>
      <c r="Q287" s="74" t="str">
        <f t="shared" si="102"/>
        <v>BRMCP</v>
      </c>
      <c r="R287" s="99" t="str">
        <f t="shared" si="102"/>
        <v>ZP101</v>
      </c>
      <c r="S287" s="99">
        <f t="shared" si="102"/>
        <v>0</v>
      </c>
      <c r="T287" s="74">
        <f t="shared" si="102"/>
        <v>0</v>
      </c>
      <c r="U287" s="6">
        <f t="shared" si="90"/>
        <v>29</v>
      </c>
      <c r="V287" s="102">
        <f t="shared" si="91"/>
        <v>44746.843590077056</v>
      </c>
      <c r="W287" s="102">
        <f t="shared" si="103"/>
        <v>44752.843590077056</v>
      </c>
      <c r="X287" s="102">
        <f t="shared" si="103"/>
        <v>44753.843590077056</v>
      </c>
      <c r="Y287" s="102">
        <f t="shared" si="103"/>
        <v>44753.885256743721</v>
      </c>
      <c r="Z287" s="102">
        <f t="shared" si="103"/>
        <v>44753.926923410385</v>
      </c>
      <c r="AA287" s="74" t="str">
        <f t="shared" si="100"/>
        <v>BRPEC</v>
      </c>
      <c r="AB287" s="74" t="str">
        <f t="shared" si="100"/>
        <v>BRPECAPM</v>
      </c>
    </row>
    <row r="288" spans="12:28">
      <c r="L288" s="6" t="s">
        <v>12</v>
      </c>
      <c r="M288" s="106" t="s">
        <v>183</v>
      </c>
      <c r="N288" s="6">
        <f t="shared" si="101"/>
        <v>6</v>
      </c>
      <c r="O288" s="74" t="str">
        <f t="shared" si="102"/>
        <v>S</v>
      </c>
      <c r="P288" s="74" t="str">
        <f t="shared" si="102"/>
        <v>N</v>
      </c>
      <c r="Q288" s="74" t="str">
        <f t="shared" si="102"/>
        <v>BRPEC</v>
      </c>
      <c r="R288" s="99" t="str">
        <f t="shared" si="102"/>
        <v>ZP501</v>
      </c>
      <c r="S288" s="99" t="str">
        <f t="shared" si="102"/>
        <v>BRPECTB02</v>
      </c>
      <c r="T288" s="74" t="str">
        <f t="shared" si="102"/>
        <v>BRPECAPM</v>
      </c>
      <c r="U288" s="6">
        <f t="shared" si="90"/>
        <v>29</v>
      </c>
      <c r="V288" s="102">
        <f t="shared" si="91"/>
        <v>44749.073654745254</v>
      </c>
      <c r="W288" s="102">
        <f t="shared" si="103"/>
        <v>44755.073654745254</v>
      </c>
      <c r="X288" s="102">
        <f t="shared" si="103"/>
        <v>44756.073654745254</v>
      </c>
      <c r="Y288" s="102">
        <f t="shared" si="103"/>
        <v>44756.15698807859</v>
      </c>
      <c r="Z288" s="102">
        <f t="shared" si="103"/>
        <v>44756.572265856368</v>
      </c>
      <c r="AA288" s="74" t="str">
        <f t="shared" si="100"/>
        <v>BRSUA</v>
      </c>
      <c r="AB288" s="74" t="str">
        <f t="shared" si="100"/>
        <v>BRSUATCO</v>
      </c>
    </row>
    <row r="289" spans="12:28">
      <c r="L289" s="6" t="s">
        <v>12</v>
      </c>
      <c r="M289" s="106" t="s">
        <v>183</v>
      </c>
      <c r="N289" s="6">
        <f t="shared" si="101"/>
        <v>6</v>
      </c>
      <c r="O289" s="74" t="str">
        <f t="shared" si="102"/>
        <v>S</v>
      </c>
      <c r="P289" s="74" t="str">
        <f t="shared" si="102"/>
        <v>N</v>
      </c>
      <c r="Q289" s="74" t="str">
        <f t="shared" si="102"/>
        <v>BRSUA</v>
      </c>
      <c r="R289" s="99" t="str">
        <f t="shared" si="102"/>
        <v>ZP901</v>
      </c>
      <c r="S289" s="99" t="str">
        <f t="shared" si="102"/>
        <v>BRSUATB02</v>
      </c>
      <c r="T289" s="74" t="str">
        <f t="shared" si="102"/>
        <v>BRSUATCO</v>
      </c>
      <c r="U289" s="6">
        <f t="shared" si="90"/>
        <v>29</v>
      </c>
      <c r="V289" s="102">
        <f t="shared" si="91"/>
        <v>44750.713121195025</v>
      </c>
      <c r="W289" s="102">
        <f t="shared" si="103"/>
        <v>44756.713121195025</v>
      </c>
      <c r="X289" s="102">
        <f t="shared" si="103"/>
        <v>44757.713121195025</v>
      </c>
      <c r="Y289" s="102">
        <f t="shared" si="103"/>
        <v>44757.775621195025</v>
      </c>
      <c r="Z289" s="102">
        <f t="shared" si="103"/>
        <v>44758.546454528354</v>
      </c>
      <c r="AA289" s="74" t="str">
        <f>AA279</f>
        <v>BRSSZ</v>
      </c>
      <c r="AB289" s="74" t="str">
        <f>AB279</f>
        <v>BRSSZTCO</v>
      </c>
    </row>
    <row r="290" spans="12:28">
      <c r="L290" s="6" t="s">
        <v>12</v>
      </c>
      <c r="M290" s="6" t="str">
        <f>$J$2</f>
        <v>SHIP13</v>
      </c>
      <c r="N290" s="6">
        <f t="shared" si="101"/>
        <v>7</v>
      </c>
      <c r="O290" s="74" t="str">
        <f t="shared" si="102"/>
        <v>N</v>
      </c>
      <c r="P290" s="74" t="str">
        <f t="shared" si="102"/>
        <v>B</v>
      </c>
      <c r="Q290" s="74" t="str">
        <f t="shared" si="102"/>
        <v>BRSSZ</v>
      </c>
      <c r="R290" s="99" t="str">
        <f t="shared" si="102"/>
        <v>ZP1601</v>
      </c>
      <c r="S290" s="99" t="str">
        <f t="shared" si="102"/>
        <v>BRSSZTB01</v>
      </c>
      <c r="T290" s="74" t="str">
        <f t="shared" si="102"/>
        <v>BRSSZTCO</v>
      </c>
      <c r="U290" s="6">
        <f t="shared" si="90"/>
        <v>27</v>
      </c>
      <c r="V290" s="102">
        <f t="shared" si="91"/>
        <v>44733.791666666664</v>
      </c>
      <c r="W290" s="102">
        <f t="shared" si="103"/>
        <v>44739.791666666664</v>
      </c>
      <c r="X290" s="102">
        <f t="shared" si="103"/>
        <v>44740.791666666664</v>
      </c>
      <c r="Y290" s="102">
        <f t="shared" si="103"/>
        <v>44740.895833333328</v>
      </c>
      <c r="Z290" s="102">
        <f t="shared" si="103"/>
        <v>44742.718518518515</v>
      </c>
      <c r="AA290" s="74" t="str">
        <f t="shared" ref="AA290:AB298" si="104">AA280</f>
        <v>BRIGI</v>
      </c>
      <c r="AB290" s="74" t="str">
        <f t="shared" si="104"/>
        <v>BRIGITCO</v>
      </c>
    </row>
    <row r="291" spans="12:28">
      <c r="L291" s="6" t="s">
        <v>12</v>
      </c>
      <c r="M291" s="6" t="str">
        <f t="shared" ref="M291:M299" si="105">$J$2</f>
        <v>SHIP13</v>
      </c>
      <c r="N291" s="6">
        <f t="shared" si="101"/>
        <v>7</v>
      </c>
      <c r="O291" s="74" t="str">
        <f t="shared" si="102"/>
        <v>N</v>
      </c>
      <c r="P291" s="74" t="str">
        <f t="shared" si="102"/>
        <v>N</v>
      </c>
      <c r="Q291" s="74" t="str">
        <f t="shared" si="102"/>
        <v>BRIGI</v>
      </c>
      <c r="R291" s="99" t="str">
        <f t="shared" si="102"/>
        <v>ZP15A03</v>
      </c>
      <c r="S291" s="99" t="str">
        <f t="shared" si="102"/>
        <v>BRIGITB01</v>
      </c>
      <c r="T291" s="74" t="str">
        <f t="shared" si="102"/>
        <v>BRIGITCO</v>
      </c>
      <c r="U291" s="6">
        <f t="shared" si="90"/>
        <v>27</v>
      </c>
      <c r="V291" s="102">
        <f t="shared" si="91"/>
        <v>44736.094394891508</v>
      </c>
      <c r="W291" s="102">
        <f t="shared" si="103"/>
        <v>44742.094394891508</v>
      </c>
      <c r="X291" s="102">
        <f t="shared" si="103"/>
        <v>44743.094394891508</v>
      </c>
      <c r="Y291" s="102">
        <f t="shared" si="103"/>
        <v>44743.240228224844</v>
      </c>
      <c r="Z291" s="102">
        <f t="shared" si="103"/>
        <v>44744.433283780396</v>
      </c>
      <c r="AA291" s="74" t="str">
        <f t="shared" si="104"/>
        <v>BRSSA</v>
      </c>
      <c r="AB291" s="74" t="str">
        <f t="shared" si="104"/>
        <v>BRSSATCO</v>
      </c>
    </row>
    <row r="292" spans="12:28">
      <c r="L292" s="6" t="s">
        <v>12</v>
      </c>
      <c r="M292" s="6" t="str">
        <f t="shared" si="105"/>
        <v>SHIP13</v>
      </c>
      <c r="N292" s="6">
        <f t="shared" si="101"/>
        <v>7</v>
      </c>
      <c r="O292" s="74" t="str">
        <f t="shared" si="102"/>
        <v>N</v>
      </c>
      <c r="P292" s="74" t="str">
        <f t="shared" si="102"/>
        <v>N</v>
      </c>
      <c r="Q292" s="74" t="str">
        <f t="shared" si="102"/>
        <v>BRSSA</v>
      </c>
      <c r="R292" s="99" t="str">
        <f t="shared" si="102"/>
        <v>ZP1202</v>
      </c>
      <c r="S292" s="99" t="str">
        <f t="shared" si="102"/>
        <v>BRSSATB01</v>
      </c>
      <c r="T292" s="74" t="str">
        <f t="shared" si="102"/>
        <v>BRSSATCO</v>
      </c>
      <c r="U292" s="6">
        <f t="shared" si="90"/>
        <v>28</v>
      </c>
      <c r="V292" s="102">
        <f t="shared" si="91"/>
        <v>44739.450297220996</v>
      </c>
      <c r="W292" s="102">
        <f t="shared" si="103"/>
        <v>44745.450297220996</v>
      </c>
      <c r="X292" s="102">
        <f t="shared" si="103"/>
        <v>44746.450297220996</v>
      </c>
      <c r="Y292" s="102">
        <f t="shared" si="103"/>
        <v>44746.533630554331</v>
      </c>
      <c r="Z292" s="102">
        <f t="shared" si="103"/>
        <v>44747.114186109888</v>
      </c>
      <c r="AA292" s="74" t="str">
        <f t="shared" si="104"/>
        <v>BRSUA</v>
      </c>
      <c r="AB292" s="74" t="str">
        <f t="shared" si="104"/>
        <v>BRSUATCO</v>
      </c>
    </row>
    <row r="293" spans="12:28">
      <c r="L293" s="6" t="s">
        <v>12</v>
      </c>
      <c r="M293" s="6" t="str">
        <f t="shared" si="105"/>
        <v>SHIP13</v>
      </c>
      <c r="N293" s="6">
        <f t="shared" si="101"/>
        <v>7</v>
      </c>
      <c r="O293" s="74" t="str">
        <f t="shared" si="102"/>
        <v>N</v>
      </c>
      <c r="P293" s="74" t="str">
        <f t="shared" si="102"/>
        <v>N</v>
      </c>
      <c r="Q293" s="74" t="str">
        <f t="shared" si="102"/>
        <v>BRSUA</v>
      </c>
      <c r="R293" s="99" t="str">
        <f t="shared" si="102"/>
        <v>ZP901</v>
      </c>
      <c r="S293" s="99" t="str">
        <f t="shared" si="102"/>
        <v>BRSUATB02</v>
      </c>
      <c r="T293" s="74" t="str">
        <f t="shared" si="102"/>
        <v>BRSUATCO</v>
      </c>
      <c r="U293" s="6">
        <f t="shared" si="90"/>
        <v>28</v>
      </c>
      <c r="V293" s="102">
        <f t="shared" si="91"/>
        <v>44741.077702180381</v>
      </c>
      <c r="W293" s="102">
        <f t="shared" si="103"/>
        <v>44747.077702180381</v>
      </c>
      <c r="X293" s="102">
        <f t="shared" si="103"/>
        <v>44748.077702180381</v>
      </c>
      <c r="Y293" s="102">
        <f t="shared" si="103"/>
        <v>44748.140202180381</v>
      </c>
      <c r="Z293" s="102">
        <f t="shared" si="103"/>
        <v>44750.256868847042</v>
      </c>
      <c r="AA293" s="74" t="str">
        <f t="shared" si="104"/>
        <v>BRPEC</v>
      </c>
      <c r="AB293" s="74" t="str">
        <f t="shared" si="104"/>
        <v>BRPECAPM</v>
      </c>
    </row>
    <row r="294" spans="12:28">
      <c r="L294" s="6" t="s">
        <v>12</v>
      </c>
      <c r="M294" s="6" t="str">
        <f t="shared" si="105"/>
        <v>SHIP13</v>
      </c>
      <c r="N294" s="6">
        <f t="shared" si="101"/>
        <v>7</v>
      </c>
      <c r="O294" s="74" t="str">
        <f t="shared" si="102"/>
        <v>N</v>
      </c>
      <c r="P294" s="74" t="str">
        <f t="shared" si="102"/>
        <v>N</v>
      </c>
      <c r="Q294" s="74" t="str">
        <f t="shared" si="102"/>
        <v>BRPEC</v>
      </c>
      <c r="R294" s="99" t="str">
        <f t="shared" si="102"/>
        <v>ZP501</v>
      </c>
      <c r="S294" s="99" t="str">
        <f t="shared" si="102"/>
        <v>BRPECTB01</v>
      </c>
      <c r="T294" s="74" t="str">
        <f t="shared" si="102"/>
        <v>BRPECAPM</v>
      </c>
      <c r="U294" s="6">
        <f t="shared" si="90"/>
        <v>28</v>
      </c>
      <c r="V294" s="102">
        <f t="shared" si="91"/>
        <v>44744.443242792273</v>
      </c>
      <c r="W294" s="102">
        <f t="shared" si="103"/>
        <v>44750.443242792273</v>
      </c>
      <c r="X294" s="102">
        <f t="shared" si="103"/>
        <v>44751.443242792273</v>
      </c>
      <c r="Y294" s="102">
        <f t="shared" si="103"/>
        <v>44751.526576125609</v>
      </c>
      <c r="Z294" s="102">
        <f t="shared" si="103"/>
        <v>44752.211298347829</v>
      </c>
      <c r="AA294" s="74" t="str">
        <f t="shared" si="104"/>
        <v>BRMCP</v>
      </c>
      <c r="AB294" s="74">
        <f t="shared" si="104"/>
        <v>0</v>
      </c>
    </row>
    <row r="295" spans="12:28">
      <c r="L295" s="6" t="s">
        <v>12</v>
      </c>
      <c r="M295" s="6" t="str">
        <f t="shared" si="105"/>
        <v>SHIP13</v>
      </c>
      <c r="N295" s="6">
        <f t="shared" si="101"/>
        <v>7</v>
      </c>
      <c r="O295" s="74">
        <f t="shared" si="102"/>
        <v>0</v>
      </c>
      <c r="P295" s="74">
        <f t="shared" si="102"/>
        <v>0</v>
      </c>
      <c r="Q295" s="74" t="str">
        <f t="shared" si="102"/>
        <v>BRMCP</v>
      </c>
      <c r="R295" s="99" t="str">
        <f t="shared" si="102"/>
        <v>ZP101</v>
      </c>
      <c r="S295" s="99">
        <f t="shared" si="102"/>
        <v>0</v>
      </c>
      <c r="T295" s="74">
        <f t="shared" si="102"/>
        <v>0</v>
      </c>
      <c r="U295" s="6">
        <f t="shared" si="90"/>
        <v>29</v>
      </c>
      <c r="V295" s="102">
        <f t="shared" si="91"/>
        <v>44747.358029681898</v>
      </c>
      <c r="W295" s="102">
        <f t="shared" si="103"/>
        <v>44753.358029681898</v>
      </c>
      <c r="X295" s="102">
        <f t="shared" si="103"/>
        <v>44754.358029681898</v>
      </c>
      <c r="Y295" s="102">
        <f t="shared" si="103"/>
        <v>44754.399696348562</v>
      </c>
      <c r="Z295" s="102">
        <f t="shared" si="103"/>
        <v>44754.441363015227</v>
      </c>
      <c r="AA295" s="74" t="str">
        <f t="shared" si="104"/>
        <v>BRMAO</v>
      </c>
      <c r="AB295" s="74" t="str">
        <f t="shared" si="104"/>
        <v>BRMAOCHI</v>
      </c>
    </row>
    <row r="296" spans="12:28">
      <c r="L296" s="6" t="s">
        <v>12</v>
      </c>
      <c r="M296" s="6" t="str">
        <f t="shared" si="105"/>
        <v>SHIP13</v>
      </c>
      <c r="N296" s="6">
        <f t="shared" si="101"/>
        <v>7</v>
      </c>
      <c r="O296" s="74" t="str">
        <f t="shared" si="102"/>
        <v>S</v>
      </c>
      <c r="P296" s="74" t="str">
        <f t="shared" si="102"/>
        <v>D</v>
      </c>
      <c r="Q296" s="74" t="str">
        <f t="shared" si="102"/>
        <v>BRMAO</v>
      </c>
      <c r="R296" s="99" t="str">
        <f t="shared" si="102"/>
        <v>ZP201</v>
      </c>
      <c r="S296" s="99" t="str">
        <f t="shared" si="102"/>
        <v>BRMAOTB01</v>
      </c>
      <c r="T296" s="74" t="str">
        <f t="shared" si="102"/>
        <v>BRMAOCHI</v>
      </c>
      <c r="U296" s="6">
        <f t="shared" si="90"/>
        <v>29</v>
      </c>
      <c r="V296" s="102">
        <f t="shared" si="91"/>
        <v>44749.227551957192</v>
      </c>
      <c r="W296" s="102">
        <f t="shared" si="103"/>
        <v>44755.227551957192</v>
      </c>
      <c r="X296" s="102">
        <f t="shared" si="103"/>
        <v>44756.227551957192</v>
      </c>
      <c r="Y296" s="102">
        <f t="shared" si="103"/>
        <v>44756.290051957192</v>
      </c>
      <c r="Z296" s="102">
        <f t="shared" si="103"/>
        <v>44759.380329734966</v>
      </c>
      <c r="AA296" s="74" t="str">
        <f t="shared" si="104"/>
        <v>BRMCP</v>
      </c>
      <c r="AB296" s="74">
        <f t="shared" si="104"/>
        <v>0</v>
      </c>
    </row>
    <row r="297" spans="12:28">
      <c r="L297" s="6" t="s">
        <v>12</v>
      </c>
      <c r="M297" s="6" t="str">
        <f t="shared" si="105"/>
        <v>SHIP13</v>
      </c>
      <c r="N297" s="6">
        <f t="shared" si="101"/>
        <v>7</v>
      </c>
      <c r="O297" s="74">
        <f t="shared" si="102"/>
        <v>0</v>
      </c>
      <c r="P297" s="74">
        <f t="shared" si="102"/>
        <v>0</v>
      </c>
      <c r="Q297" s="74" t="str">
        <f t="shared" si="102"/>
        <v>BRMCP</v>
      </c>
      <c r="R297" s="99" t="str">
        <f t="shared" si="102"/>
        <v>ZP101</v>
      </c>
      <c r="S297" s="99">
        <f t="shared" si="102"/>
        <v>0</v>
      </c>
      <c r="T297" s="74">
        <f t="shared" si="102"/>
        <v>0</v>
      </c>
      <c r="U297" s="6">
        <f t="shared" si="90"/>
        <v>30</v>
      </c>
      <c r="V297" s="102">
        <f t="shared" si="91"/>
        <v>44753.843590077056</v>
      </c>
      <c r="W297" s="102">
        <f t="shared" si="103"/>
        <v>44759.843590077056</v>
      </c>
      <c r="X297" s="102">
        <f t="shared" si="103"/>
        <v>44760.843590077056</v>
      </c>
      <c r="Y297" s="102">
        <f t="shared" si="103"/>
        <v>44760.885256743721</v>
      </c>
      <c r="Z297" s="102">
        <f t="shared" si="103"/>
        <v>44760.926923410385</v>
      </c>
      <c r="AA297" s="74" t="str">
        <f t="shared" si="104"/>
        <v>BRPEC</v>
      </c>
      <c r="AB297" s="74" t="str">
        <f t="shared" si="104"/>
        <v>BRPECAPM</v>
      </c>
    </row>
    <row r="298" spans="12:28">
      <c r="L298" s="6" t="s">
        <v>12</v>
      </c>
      <c r="M298" s="6" t="str">
        <f t="shared" si="105"/>
        <v>SHIP13</v>
      </c>
      <c r="N298" s="6">
        <f t="shared" si="101"/>
        <v>7</v>
      </c>
      <c r="O298" s="74" t="str">
        <f t="shared" si="102"/>
        <v>S</v>
      </c>
      <c r="P298" s="74" t="str">
        <f t="shared" si="102"/>
        <v>N</v>
      </c>
      <c r="Q298" s="74" t="str">
        <f t="shared" si="102"/>
        <v>BRPEC</v>
      </c>
      <c r="R298" s="99" t="str">
        <f t="shared" si="102"/>
        <v>ZP501</v>
      </c>
      <c r="S298" s="99" t="str">
        <f t="shared" si="102"/>
        <v>BRPECTB02</v>
      </c>
      <c r="T298" s="74" t="str">
        <f t="shared" si="102"/>
        <v>BRPECAPM</v>
      </c>
      <c r="U298" s="6">
        <f t="shared" si="90"/>
        <v>30</v>
      </c>
      <c r="V298" s="102">
        <f t="shared" si="91"/>
        <v>44756.073654745254</v>
      </c>
      <c r="W298" s="102">
        <f t="shared" si="103"/>
        <v>44762.073654745254</v>
      </c>
      <c r="X298" s="102">
        <f t="shared" si="103"/>
        <v>44763.073654745254</v>
      </c>
      <c r="Y298" s="102">
        <f t="shared" si="103"/>
        <v>44763.15698807859</v>
      </c>
      <c r="Z298" s="102">
        <f t="shared" si="103"/>
        <v>44763.572265856368</v>
      </c>
      <c r="AA298" s="74" t="str">
        <f t="shared" si="104"/>
        <v>BRSUA</v>
      </c>
      <c r="AB298" s="74" t="str">
        <f t="shared" si="104"/>
        <v>BRSUATCO</v>
      </c>
    </row>
    <row r="299" spans="12:28">
      <c r="L299" s="6" t="s">
        <v>12</v>
      </c>
      <c r="M299" s="6" t="str">
        <f t="shared" si="105"/>
        <v>SHIP13</v>
      </c>
      <c r="N299" s="6">
        <f t="shared" si="101"/>
        <v>7</v>
      </c>
      <c r="O299" s="74" t="str">
        <f t="shared" si="102"/>
        <v>S</v>
      </c>
      <c r="P299" s="74" t="str">
        <f t="shared" si="102"/>
        <v>N</v>
      </c>
      <c r="Q299" s="74" t="str">
        <f t="shared" si="102"/>
        <v>BRSUA</v>
      </c>
      <c r="R299" s="99" t="str">
        <f t="shared" si="102"/>
        <v>ZP901</v>
      </c>
      <c r="S299" s="99" t="str">
        <f t="shared" si="102"/>
        <v>BRSUATB02</v>
      </c>
      <c r="T299" s="74" t="str">
        <f t="shared" si="102"/>
        <v>BRSUATCO</v>
      </c>
      <c r="U299" s="6">
        <f t="shared" si="90"/>
        <v>30</v>
      </c>
      <c r="V299" s="102">
        <f t="shared" si="91"/>
        <v>44757.713121195025</v>
      </c>
      <c r="W299" s="102">
        <f t="shared" si="103"/>
        <v>44763.713121195025</v>
      </c>
      <c r="X299" s="102">
        <f t="shared" si="103"/>
        <v>44764.713121195025</v>
      </c>
      <c r="Y299" s="102">
        <f t="shared" si="103"/>
        <v>44764.775621195025</v>
      </c>
      <c r="Z299" s="102">
        <f t="shared" si="103"/>
        <v>44765.546454528354</v>
      </c>
      <c r="AA299" s="74" t="str">
        <f>AA289</f>
        <v>BRSSZ</v>
      </c>
      <c r="AB299" s="74" t="str">
        <f>AB289</f>
        <v>BRSSZTCO</v>
      </c>
    </row>
    <row r="300" spans="12:28">
      <c r="L300" s="6" t="s">
        <v>12</v>
      </c>
      <c r="M300" s="106" t="s">
        <v>181</v>
      </c>
      <c r="N300" s="6">
        <f t="shared" si="101"/>
        <v>7</v>
      </c>
      <c r="O300" s="74" t="str">
        <f t="shared" ref="O300:T315" si="106">O290</f>
        <v>N</v>
      </c>
      <c r="P300" s="74" t="str">
        <f t="shared" si="106"/>
        <v>B</v>
      </c>
      <c r="Q300" s="74" t="str">
        <f t="shared" si="106"/>
        <v>BRSSZ</v>
      </c>
      <c r="R300" s="99" t="str">
        <f t="shared" si="106"/>
        <v>ZP1601</v>
      </c>
      <c r="S300" s="99" t="str">
        <f t="shared" si="106"/>
        <v>BRSSZTB01</v>
      </c>
      <c r="T300" s="74" t="str">
        <f t="shared" si="106"/>
        <v>BRSSZTCO</v>
      </c>
      <c r="U300" s="6">
        <f t="shared" si="90"/>
        <v>28</v>
      </c>
      <c r="V300" s="102">
        <f t="shared" si="91"/>
        <v>44740.791666666664</v>
      </c>
      <c r="W300" s="102">
        <f t="shared" ref="W300:Z315" si="107">W290+7</f>
        <v>44746.791666666664</v>
      </c>
      <c r="X300" s="102">
        <f t="shared" si="107"/>
        <v>44747.791666666664</v>
      </c>
      <c r="Y300" s="102">
        <f t="shared" si="107"/>
        <v>44747.895833333328</v>
      </c>
      <c r="Z300" s="102">
        <f t="shared" si="107"/>
        <v>44749.718518518515</v>
      </c>
      <c r="AA300" s="74" t="str">
        <f t="shared" ref="AA300:AB308" si="108">AA290</f>
        <v>BRIGI</v>
      </c>
      <c r="AB300" s="74" t="str">
        <f t="shared" si="108"/>
        <v>BRIGITCO</v>
      </c>
    </row>
    <row r="301" spans="12:28">
      <c r="L301" s="6" t="s">
        <v>12</v>
      </c>
      <c r="M301" s="106" t="s">
        <v>181</v>
      </c>
      <c r="N301" s="6">
        <f t="shared" si="101"/>
        <v>7</v>
      </c>
      <c r="O301" s="74" t="str">
        <f t="shared" si="106"/>
        <v>N</v>
      </c>
      <c r="P301" s="74" t="str">
        <f t="shared" si="106"/>
        <v>N</v>
      </c>
      <c r="Q301" s="74" t="str">
        <f t="shared" si="106"/>
        <v>BRIGI</v>
      </c>
      <c r="R301" s="99" t="str">
        <f t="shared" si="106"/>
        <v>ZP15A03</v>
      </c>
      <c r="S301" s="99" t="str">
        <f t="shared" si="106"/>
        <v>BRIGITB01</v>
      </c>
      <c r="T301" s="74" t="str">
        <f t="shared" si="106"/>
        <v>BRIGITCO</v>
      </c>
      <c r="U301" s="6">
        <f t="shared" si="90"/>
        <v>28</v>
      </c>
      <c r="V301" s="102">
        <f t="shared" si="91"/>
        <v>44743.094394891508</v>
      </c>
      <c r="W301" s="102">
        <f t="shared" si="107"/>
        <v>44749.094394891508</v>
      </c>
      <c r="X301" s="102">
        <f t="shared" si="107"/>
        <v>44750.094394891508</v>
      </c>
      <c r="Y301" s="102">
        <f t="shared" si="107"/>
        <v>44750.240228224844</v>
      </c>
      <c r="Z301" s="102">
        <f t="shared" si="107"/>
        <v>44751.433283780396</v>
      </c>
      <c r="AA301" s="74" t="str">
        <f t="shared" si="108"/>
        <v>BRSSA</v>
      </c>
      <c r="AB301" s="74" t="str">
        <f t="shared" si="108"/>
        <v>BRSSATCO</v>
      </c>
    </row>
    <row r="302" spans="12:28">
      <c r="L302" s="6" t="s">
        <v>12</v>
      </c>
      <c r="M302" s="106" t="s">
        <v>181</v>
      </c>
      <c r="N302" s="6">
        <f t="shared" si="101"/>
        <v>7</v>
      </c>
      <c r="O302" s="74" t="str">
        <f t="shared" si="106"/>
        <v>N</v>
      </c>
      <c r="P302" s="74" t="str">
        <f t="shared" si="106"/>
        <v>N</v>
      </c>
      <c r="Q302" s="74" t="str">
        <f t="shared" si="106"/>
        <v>BRSSA</v>
      </c>
      <c r="R302" s="99" t="str">
        <f t="shared" si="106"/>
        <v>ZP1202</v>
      </c>
      <c r="S302" s="99" t="str">
        <f t="shared" si="106"/>
        <v>BRSSATB01</v>
      </c>
      <c r="T302" s="74" t="str">
        <f t="shared" si="106"/>
        <v>BRSSATCO</v>
      </c>
      <c r="U302" s="6">
        <f t="shared" si="90"/>
        <v>29</v>
      </c>
      <c r="V302" s="102">
        <f t="shared" si="91"/>
        <v>44746.450297220996</v>
      </c>
      <c r="W302" s="102">
        <f t="shared" si="107"/>
        <v>44752.450297220996</v>
      </c>
      <c r="X302" s="102">
        <f t="shared" si="107"/>
        <v>44753.450297220996</v>
      </c>
      <c r="Y302" s="102">
        <f t="shared" si="107"/>
        <v>44753.533630554331</v>
      </c>
      <c r="Z302" s="102">
        <f t="shared" si="107"/>
        <v>44754.114186109888</v>
      </c>
      <c r="AA302" s="74" t="str">
        <f t="shared" si="108"/>
        <v>BRSUA</v>
      </c>
      <c r="AB302" s="74" t="str">
        <f t="shared" si="108"/>
        <v>BRSUATCO</v>
      </c>
    </row>
    <row r="303" spans="12:28">
      <c r="L303" s="6" t="s">
        <v>12</v>
      </c>
      <c r="M303" s="106" t="s">
        <v>181</v>
      </c>
      <c r="N303" s="6">
        <f t="shared" si="101"/>
        <v>7</v>
      </c>
      <c r="O303" s="74" t="str">
        <f t="shared" si="106"/>
        <v>N</v>
      </c>
      <c r="P303" s="74" t="str">
        <f t="shared" si="106"/>
        <v>N</v>
      </c>
      <c r="Q303" s="74" t="str">
        <f t="shared" si="106"/>
        <v>BRSUA</v>
      </c>
      <c r="R303" s="99" t="str">
        <f t="shared" si="106"/>
        <v>ZP901</v>
      </c>
      <c r="S303" s="99" t="str">
        <f t="shared" si="106"/>
        <v>BRSUATB02</v>
      </c>
      <c r="T303" s="74" t="str">
        <f t="shared" si="106"/>
        <v>BRSUATCO</v>
      </c>
      <c r="U303" s="6">
        <f t="shared" si="90"/>
        <v>29</v>
      </c>
      <c r="V303" s="102">
        <f t="shared" si="91"/>
        <v>44748.077702180381</v>
      </c>
      <c r="W303" s="102">
        <f t="shared" si="107"/>
        <v>44754.077702180381</v>
      </c>
      <c r="X303" s="102">
        <f t="shared" si="107"/>
        <v>44755.077702180381</v>
      </c>
      <c r="Y303" s="102">
        <f t="shared" si="107"/>
        <v>44755.140202180381</v>
      </c>
      <c r="Z303" s="102">
        <f t="shared" si="107"/>
        <v>44757.256868847042</v>
      </c>
      <c r="AA303" s="74" t="str">
        <f t="shared" si="108"/>
        <v>BRPEC</v>
      </c>
      <c r="AB303" s="74" t="str">
        <f t="shared" si="108"/>
        <v>BRPECAPM</v>
      </c>
    </row>
    <row r="304" spans="12:28">
      <c r="L304" s="6" t="s">
        <v>12</v>
      </c>
      <c r="M304" s="106" t="s">
        <v>181</v>
      </c>
      <c r="N304" s="6">
        <f t="shared" si="101"/>
        <v>7</v>
      </c>
      <c r="O304" s="74" t="str">
        <f t="shared" si="106"/>
        <v>N</v>
      </c>
      <c r="P304" s="74" t="str">
        <f t="shared" si="106"/>
        <v>N</v>
      </c>
      <c r="Q304" s="74" t="str">
        <f t="shared" si="106"/>
        <v>BRPEC</v>
      </c>
      <c r="R304" s="99" t="str">
        <f t="shared" si="106"/>
        <v>ZP501</v>
      </c>
      <c r="S304" s="99" t="str">
        <f t="shared" si="106"/>
        <v>BRPECTB01</v>
      </c>
      <c r="T304" s="74" t="str">
        <f t="shared" si="106"/>
        <v>BRPECAPM</v>
      </c>
      <c r="U304" s="6">
        <f t="shared" si="90"/>
        <v>29</v>
      </c>
      <c r="V304" s="102">
        <f t="shared" si="91"/>
        <v>44751.443242792273</v>
      </c>
      <c r="W304" s="102">
        <f t="shared" si="107"/>
        <v>44757.443242792273</v>
      </c>
      <c r="X304" s="102">
        <f t="shared" si="107"/>
        <v>44758.443242792273</v>
      </c>
      <c r="Y304" s="102">
        <f t="shared" si="107"/>
        <v>44758.526576125609</v>
      </c>
      <c r="Z304" s="102">
        <f t="shared" si="107"/>
        <v>44759.211298347829</v>
      </c>
      <c r="AA304" s="74" t="str">
        <f t="shared" si="108"/>
        <v>BRMCP</v>
      </c>
      <c r="AB304" s="74">
        <f t="shared" si="108"/>
        <v>0</v>
      </c>
    </row>
    <row r="305" spans="12:28">
      <c r="L305" s="6" t="s">
        <v>12</v>
      </c>
      <c r="M305" s="106" t="s">
        <v>181</v>
      </c>
      <c r="N305" s="6">
        <f t="shared" si="101"/>
        <v>7</v>
      </c>
      <c r="O305" s="74">
        <f t="shared" si="106"/>
        <v>0</v>
      </c>
      <c r="P305" s="74">
        <f t="shared" si="106"/>
        <v>0</v>
      </c>
      <c r="Q305" s="74" t="str">
        <f t="shared" si="106"/>
        <v>BRMCP</v>
      </c>
      <c r="R305" s="99" t="str">
        <f t="shared" si="106"/>
        <v>ZP101</v>
      </c>
      <c r="S305" s="99">
        <f t="shared" si="106"/>
        <v>0</v>
      </c>
      <c r="T305" s="74">
        <f t="shared" si="106"/>
        <v>0</v>
      </c>
      <c r="U305" s="6">
        <f t="shared" si="90"/>
        <v>30</v>
      </c>
      <c r="V305" s="102">
        <f t="shared" si="91"/>
        <v>44754.358029681898</v>
      </c>
      <c r="W305" s="102">
        <f t="shared" si="107"/>
        <v>44760.358029681898</v>
      </c>
      <c r="X305" s="102">
        <f t="shared" si="107"/>
        <v>44761.358029681898</v>
      </c>
      <c r="Y305" s="102">
        <f t="shared" si="107"/>
        <v>44761.399696348562</v>
      </c>
      <c r="Z305" s="102">
        <f t="shared" si="107"/>
        <v>44761.441363015227</v>
      </c>
      <c r="AA305" s="74" t="str">
        <f t="shared" si="108"/>
        <v>BRMAO</v>
      </c>
      <c r="AB305" s="74" t="str">
        <f t="shared" si="108"/>
        <v>BRMAOCHI</v>
      </c>
    </row>
    <row r="306" spans="12:28">
      <c r="L306" s="6" t="s">
        <v>12</v>
      </c>
      <c r="M306" s="106" t="s">
        <v>181</v>
      </c>
      <c r="N306" s="6">
        <f t="shared" si="101"/>
        <v>7</v>
      </c>
      <c r="O306" s="74" t="str">
        <f t="shared" si="106"/>
        <v>S</v>
      </c>
      <c r="P306" s="74" t="str">
        <f t="shared" si="106"/>
        <v>D</v>
      </c>
      <c r="Q306" s="74" t="str">
        <f>Q296</f>
        <v>BRMAO</v>
      </c>
      <c r="R306" s="99" t="str">
        <f t="shared" si="106"/>
        <v>ZP201</v>
      </c>
      <c r="S306" s="99" t="str">
        <f t="shared" si="106"/>
        <v>BRMAOTB01</v>
      </c>
      <c r="T306" s="74" t="str">
        <f t="shared" si="106"/>
        <v>BRMAOCHI</v>
      </c>
      <c r="U306" s="6">
        <f t="shared" si="90"/>
        <v>30</v>
      </c>
      <c r="V306" s="102">
        <f t="shared" si="91"/>
        <v>44756.227551957192</v>
      </c>
      <c r="W306" s="102">
        <f t="shared" si="107"/>
        <v>44762.227551957192</v>
      </c>
      <c r="X306" s="102">
        <f t="shared" si="107"/>
        <v>44763.227551957192</v>
      </c>
      <c r="Y306" s="102">
        <f t="shared" si="107"/>
        <v>44763.290051957192</v>
      </c>
      <c r="Z306" s="102">
        <f t="shared" si="107"/>
        <v>44766.380329734966</v>
      </c>
      <c r="AA306" s="74" t="str">
        <f t="shared" si="108"/>
        <v>BRMCP</v>
      </c>
      <c r="AB306" s="74">
        <f t="shared" si="108"/>
        <v>0</v>
      </c>
    </row>
    <row r="307" spans="12:28">
      <c r="L307" s="6" t="s">
        <v>12</v>
      </c>
      <c r="M307" s="106" t="s">
        <v>181</v>
      </c>
      <c r="N307" s="6">
        <f t="shared" si="101"/>
        <v>7</v>
      </c>
      <c r="O307" s="74">
        <f t="shared" si="106"/>
        <v>0</v>
      </c>
      <c r="P307" s="74">
        <f t="shared" si="106"/>
        <v>0</v>
      </c>
      <c r="Q307" s="74" t="str">
        <f t="shared" si="106"/>
        <v>BRMCP</v>
      </c>
      <c r="R307" s="99" t="str">
        <f t="shared" si="106"/>
        <v>ZP101</v>
      </c>
      <c r="S307" s="99">
        <f t="shared" si="106"/>
        <v>0</v>
      </c>
      <c r="T307" s="74">
        <f t="shared" si="106"/>
        <v>0</v>
      </c>
      <c r="U307" s="6">
        <f t="shared" ref="U307:U370" si="109">WEEKNUM(X307)</f>
        <v>31</v>
      </c>
      <c r="V307" s="102">
        <f t="shared" ref="V307:V370" si="110">X307-7</f>
        <v>44760.843590077056</v>
      </c>
      <c r="W307" s="102">
        <f t="shared" si="107"/>
        <v>44766.843590077056</v>
      </c>
      <c r="X307" s="102">
        <f t="shared" si="107"/>
        <v>44767.843590077056</v>
      </c>
      <c r="Y307" s="102">
        <f t="shared" si="107"/>
        <v>44767.885256743721</v>
      </c>
      <c r="Z307" s="102">
        <f t="shared" si="107"/>
        <v>44767.926923410385</v>
      </c>
      <c r="AA307" s="74" t="str">
        <f t="shared" si="108"/>
        <v>BRPEC</v>
      </c>
      <c r="AB307" s="74" t="str">
        <f t="shared" si="108"/>
        <v>BRPECAPM</v>
      </c>
    </row>
    <row r="308" spans="12:28">
      <c r="L308" s="6" t="s">
        <v>12</v>
      </c>
      <c r="M308" s="106" t="s">
        <v>181</v>
      </c>
      <c r="N308" s="6">
        <f t="shared" si="101"/>
        <v>7</v>
      </c>
      <c r="O308" s="74" t="str">
        <f t="shared" si="106"/>
        <v>S</v>
      </c>
      <c r="P308" s="74" t="str">
        <f t="shared" si="106"/>
        <v>N</v>
      </c>
      <c r="Q308" s="74" t="str">
        <f t="shared" si="106"/>
        <v>BRPEC</v>
      </c>
      <c r="R308" s="99" t="str">
        <f t="shared" si="106"/>
        <v>ZP501</v>
      </c>
      <c r="S308" s="99" t="str">
        <f t="shared" si="106"/>
        <v>BRPECTB02</v>
      </c>
      <c r="T308" s="74" t="str">
        <f t="shared" si="106"/>
        <v>BRPECAPM</v>
      </c>
      <c r="U308" s="6">
        <f t="shared" si="109"/>
        <v>31</v>
      </c>
      <c r="V308" s="102">
        <f t="shared" si="110"/>
        <v>44763.073654745254</v>
      </c>
      <c r="W308" s="102">
        <f t="shared" si="107"/>
        <v>44769.073654745254</v>
      </c>
      <c r="X308" s="102">
        <f t="shared" si="107"/>
        <v>44770.073654745254</v>
      </c>
      <c r="Y308" s="102">
        <f t="shared" si="107"/>
        <v>44770.15698807859</v>
      </c>
      <c r="Z308" s="102">
        <f t="shared" si="107"/>
        <v>44770.572265856368</v>
      </c>
      <c r="AA308" s="74" t="str">
        <f t="shared" si="108"/>
        <v>BRSUA</v>
      </c>
      <c r="AB308" s="74" t="str">
        <f t="shared" si="108"/>
        <v>BRSUATCO</v>
      </c>
    </row>
    <row r="309" spans="12:28">
      <c r="L309" s="6" t="s">
        <v>12</v>
      </c>
      <c r="M309" s="106" t="s">
        <v>181</v>
      </c>
      <c r="N309" s="6">
        <f t="shared" si="101"/>
        <v>7</v>
      </c>
      <c r="O309" s="74" t="str">
        <f t="shared" si="106"/>
        <v>S</v>
      </c>
      <c r="P309" s="74" t="str">
        <f t="shared" si="106"/>
        <v>N</v>
      </c>
      <c r="Q309" s="74" t="str">
        <f t="shared" si="106"/>
        <v>BRSUA</v>
      </c>
      <c r="R309" s="99" t="str">
        <f t="shared" si="106"/>
        <v>ZP901</v>
      </c>
      <c r="S309" s="99" t="str">
        <f t="shared" si="106"/>
        <v>BRSUATB02</v>
      </c>
      <c r="T309" s="74" t="str">
        <f t="shared" si="106"/>
        <v>BRSUATCO</v>
      </c>
      <c r="U309" s="6">
        <f t="shared" si="109"/>
        <v>31</v>
      </c>
      <c r="V309" s="102">
        <f t="shared" si="110"/>
        <v>44764.713121195025</v>
      </c>
      <c r="W309" s="102">
        <f t="shared" si="107"/>
        <v>44770.713121195025</v>
      </c>
      <c r="X309" s="102">
        <f t="shared" si="107"/>
        <v>44771.713121195025</v>
      </c>
      <c r="Y309" s="102">
        <f t="shared" si="107"/>
        <v>44771.775621195025</v>
      </c>
      <c r="Z309" s="102">
        <f t="shared" si="107"/>
        <v>44772.546454528354</v>
      </c>
      <c r="AA309" s="74" t="str">
        <f>AA299</f>
        <v>BRSSZ</v>
      </c>
      <c r="AB309" s="74" t="str">
        <f>AB299</f>
        <v>BRSSZTCO</v>
      </c>
    </row>
    <row r="310" spans="12:28">
      <c r="L310" s="6" t="s">
        <v>12</v>
      </c>
      <c r="M310" s="6" t="s">
        <v>182</v>
      </c>
      <c r="N310" s="6">
        <f t="shared" si="101"/>
        <v>7</v>
      </c>
      <c r="O310" s="74" t="str">
        <f t="shared" si="106"/>
        <v>N</v>
      </c>
      <c r="P310" s="74" t="str">
        <f t="shared" si="106"/>
        <v>B</v>
      </c>
      <c r="Q310" s="74" t="str">
        <f t="shared" si="106"/>
        <v>BRSSZ</v>
      </c>
      <c r="R310" s="99" t="str">
        <f t="shared" si="106"/>
        <v>ZP1601</v>
      </c>
      <c r="S310" s="99" t="str">
        <f t="shared" si="106"/>
        <v>BRSSZTB01</v>
      </c>
      <c r="T310" s="74" t="str">
        <f t="shared" si="106"/>
        <v>BRSSZTCO</v>
      </c>
      <c r="U310" s="6">
        <f t="shared" si="109"/>
        <v>29</v>
      </c>
      <c r="V310" s="102">
        <f t="shared" si="110"/>
        <v>44747.791666666664</v>
      </c>
      <c r="W310" s="102">
        <f t="shared" si="107"/>
        <v>44753.791666666664</v>
      </c>
      <c r="X310" s="102">
        <f t="shared" si="107"/>
        <v>44754.791666666664</v>
      </c>
      <c r="Y310" s="102">
        <f t="shared" si="107"/>
        <v>44754.895833333328</v>
      </c>
      <c r="Z310" s="102">
        <f t="shared" si="107"/>
        <v>44756.718518518515</v>
      </c>
      <c r="AA310" s="74" t="str">
        <f t="shared" ref="AA310:AB318" si="111">AA300</f>
        <v>BRIGI</v>
      </c>
      <c r="AB310" s="74" t="str">
        <f t="shared" si="111"/>
        <v>BRIGITCO</v>
      </c>
    </row>
    <row r="311" spans="12:28">
      <c r="L311" s="6" t="s">
        <v>12</v>
      </c>
      <c r="M311" s="6" t="s">
        <v>182</v>
      </c>
      <c r="N311" s="6">
        <f t="shared" si="101"/>
        <v>7</v>
      </c>
      <c r="O311" s="74" t="str">
        <f t="shared" si="106"/>
        <v>N</v>
      </c>
      <c r="P311" s="74" t="str">
        <f t="shared" si="106"/>
        <v>N</v>
      </c>
      <c r="Q311" s="74" t="str">
        <f t="shared" si="106"/>
        <v>BRIGI</v>
      </c>
      <c r="R311" s="99" t="str">
        <f t="shared" si="106"/>
        <v>ZP15A03</v>
      </c>
      <c r="S311" s="99" t="str">
        <f t="shared" si="106"/>
        <v>BRIGITB01</v>
      </c>
      <c r="T311" s="74" t="str">
        <f t="shared" si="106"/>
        <v>BRIGITCO</v>
      </c>
      <c r="U311" s="6">
        <f t="shared" si="109"/>
        <v>29</v>
      </c>
      <c r="V311" s="102">
        <f t="shared" si="110"/>
        <v>44750.094394891508</v>
      </c>
      <c r="W311" s="102">
        <f t="shared" si="107"/>
        <v>44756.094394891508</v>
      </c>
      <c r="X311" s="102">
        <f t="shared" si="107"/>
        <v>44757.094394891508</v>
      </c>
      <c r="Y311" s="102">
        <f t="shared" si="107"/>
        <v>44757.240228224844</v>
      </c>
      <c r="Z311" s="102">
        <f t="shared" si="107"/>
        <v>44758.433283780396</v>
      </c>
      <c r="AA311" s="74" t="str">
        <f t="shared" si="111"/>
        <v>BRSSA</v>
      </c>
      <c r="AB311" s="74" t="str">
        <f t="shared" si="111"/>
        <v>BRSSATCO</v>
      </c>
    </row>
    <row r="312" spans="12:28">
      <c r="L312" s="6" t="s">
        <v>12</v>
      </c>
      <c r="M312" s="6" t="s">
        <v>182</v>
      </c>
      <c r="N312" s="6">
        <f t="shared" si="101"/>
        <v>7</v>
      </c>
      <c r="O312" s="74" t="str">
        <f t="shared" si="106"/>
        <v>N</v>
      </c>
      <c r="P312" s="74" t="str">
        <f t="shared" si="106"/>
        <v>N</v>
      </c>
      <c r="Q312" s="74" t="str">
        <f t="shared" si="106"/>
        <v>BRSSA</v>
      </c>
      <c r="R312" s="99" t="str">
        <f t="shared" si="106"/>
        <v>ZP1202</v>
      </c>
      <c r="S312" s="99" t="str">
        <f t="shared" si="106"/>
        <v>BRSSATB01</v>
      </c>
      <c r="T312" s="74" t="str">
        <f t="shared" si="106"/>
        <v>BRSSATCO</v>
      </c>
      <c r="U312" s="6">
        <f t="shared" si="109"/>
        <v>30</v>
      </c>
      <c r="V312" s="102">
        <f t="shared" si="110"/>
        <v>44753.450297220996</v>
      </c>
      <c r="W312" s="102">
        <f t="shared" si="107"/>
        <v>44759.450297220996</v>
      </c>
      <c r="X312" s="102">
        <f t="shared" si="107"/>
        <v>44760.450297220996</v>
      </c>
      <c r="Y312" s="102">
        <f t="shared" si="107"/>
        <v>44760.533630554331</v>
      </c>
      <c r="Z312" s="102">
        <f t="shared" si="107"/>
        <v>44761.114186109888</v>
      </c>
      <c r="AA312" s="74" t="str">
        <f t="shared" si="111"/>
        <v>BRSUA</v>
      </c>
      <c r="AB312" s="74" t="str">
        <f t="shared" si="111"/>
        <v>BRSUATCO</v>
      </c>
    </row>
    <row r="313" spans="12:28">
      <c r="L313" s="6" t="s">
        <v>12</v>
      </c>
      <c r="M313" s="6" t="s">
        <v>182</v>
      </c>
      <c r="N313" s="6">
        <f t="shared" si="101"/>
        <v>7</v>
      </c>
      <c r="O313" s="74" t="str">
        <f t="shared" si="106"/>
        <v>N</v>
      </c>
      <c r="P313" s="74" t="str">
        <f t="shared" si="106"/>
        <v>N</v>
      </c>
      <c r="Q313" s="74" t="str">
        <f t="shared" si="106"/>
        <v>BRSUA</v>
      </c>
      <c r="R313" s="99" t="str">
        <f t="shared" si="106"/>
        <v>ZP901</v>
      </c>
      <c r="S313" s="99" t="str">
        <f t="shared" si="106"/>
        <v>BRSUATB02</v>
      </c>
      <c r="T313" s="74" t="str">
        <f t="shared" si="106"/>
        <v>BRSUATCO</v>
      </c>
      <c r="U313" s="6">
        <f t="shared" si="109"/>
        <v>30</v>
      </c>
      <c r="V313" s="102">
        <f t="shared" si="110"/>
        <v>44755.077702180381</v>
      </c>
      <c r="W313" s="102">
        <f t="shared" si="107"/>
        <v>44761.077702180381</v>
      </c>
      <c r="X313" s="102">
        <f t="shared" si="107"/>
        <v>44762.077702180381</v>
      </c>
      <c r="Y313" s="102">
        <f t="shared" si="107"/>
        <v>44762.140202180381</v>
      </c>
      <c r="Z313" s="102">
        <f t="shared" si="107"/>
        <v>44764.256868847042</v>
      </c>
      <c r="AA313" s="74" t="str">
        <f t="shared" si="111"/>
        <v>BRPEC</v>
      </c>
      <c r="AB313" s="74" t="str">
        <f t="shared" si="111"/>
        <v>BRPECAPM</v>
      </c>
    </row>
    <row r="314" spans="12:28">
      <c r="L314" s="6" t="s">
        <v>12</v>
      </c>
      <c r="M314" s="6" t="s">
        <v>182</v>
      </c>
      <c r="N314" s="6">
        <f t="shared" si="101"/>
        <v>7</v>
      </c>
      <c r="O314" s="74" t="str">
        <f t="shared" si="106"/>
        <v>N</v>
      </c>
      <c r="P314" s="74" t="str">
        <f t="shared" si="106"/>
        <v>N</v>
      </c>
      <c r="Q314" s="74" t="str">
        <f t="shared" si="106"/>
        <v>BRPEC</v>
      </c>
      <c r="R314" s="99" t="str">
        <f t="shared" si="106"/>
        <v>ZP501</v>
      </c>
      <c r="S314" s="99" t="str">
        <f t="shared" si="106"/>
        <v>BRPECTB01</v>
      </c>
      <c r="T314" s="74" t="str">
        <f t="shared" si="106"/>
        <v>BRPECAPM</v>
      </c>
      <c r="U314" s="6">
        <f t="shared" si="109"/>
        <v>30</v>
      </c>
      <c r="V314" s="102">
        <f t="shared" si="110"/>
        <v>44758.443242792273</v>
      </c>
      <c r="W314" s="102">
        <f t="shared" si="107"/>
        <v>44764.443242792273</v>
      </c>
      <c r="X314" s="102">
        <f t="shared" si="107"/>
        <v>44765.443242792273</v>
      </c>
      <c r="Y314" s="102">
        <f t="shared" si="107"/>
        <v>44765.526576125609</v>
      </c>
      <c r="Z314" s="102">
        <f t="shared" si="107"/>
        <v>44766.211298347829</v>
      </c>
      <c r="AA314" s="74" t="str">
        <f t="shared" si="111"/>
        <v>BRMCP</v>
      </c>
      <c r="AB314" s="74">
        <f t="shared" si="111"/>
        <v>0</v>
      </c>
    </row>
    <row r="315" spans="12:28">
      <c r="L315" s="6" t="s">
        <v>12</v>
      </c>
      <c r="M315" s="6" t="s">
        <v>182</v>
      </c>
      <c r="N315" s="6">
        <f t="shared" si="101"/>
        <v>7</v>
      </c>
      <c r="O315" s="74">
        <f t="shared" si="106"/>
        <v>0</v>
      </c>
      <c r="P315" s="74">
        <f t="shared" si="106"/>
        <v>0</v>
      </c>
      <c r="Q315" s="74" t="str">
        <f t="shared" si="106"/>
        <v>BRMCP</v>
      </c>
      <c r="R315" s="99" t="str">
        <f t="shared" si="106"/>
        <v>ZP101</v>
      </c>
      <c r="S315" s="99">
        <f t="shared" si="106"/>
        <v>0</v>
      </c>
      <c r="T315" s="74">
        <f t="shared" si="106"/>
        <v>0</v>
      </c>
      <c r="U315" s="6">
        <f t="shared" si="109"/>
        <v>31</v>
      </c>
      <c r="V315" s="102">
        <f t="shared" si="110"/>
        <v>44761.358029681898</v>
      </c>
      <c r="W315" s="102">
        <f t="shared" si="107"/>
        <v>44767.358029681898</v>
      </c>
      <c r="X315" s="102">
        <f t="shared" si="107"/>
        <v>44768.358029681898</v>
      </c>
      <c r="Y315" s="102">
        <f t="shared" si="107"/>
        <v>44768.399696348562</v>
      </c>
      <c r="Z315" s="102">
        <f t="shared" si="107"/>
        <v>44768.441363015227</v>
      </c>
      <c r="AA315" s="74" t="str">
        <f t="shared" si="111"/>
        <v>BRMAO</v>
      </c>
      <c r="AB315" s="74" t="str">
        <f t="shared" si="111"/>
        <v>BRMAOCHI</v>
      </c>
    </row>
    <row r="316" spans="12:28">
      <c r="L316" s="6" t="s">
        <v>12</v>
      </c>
      <c r="M316" s="6" t="s">
        <v>182</v>
      </c>
      <c r="N316" s="6">
        <f t="shared" si="101"/>
        <v>7</v>
      </c>
      <c r="O316" s="74" t="str">
        <f t="shared" ref="O316:T331" si="112">O306</f>
        <v>S</v>
      </c>
      <c r="P316" s="74" t="str">
        <f t="shared" si="112"/>
        <v>D</v>
      </c>
      <c r="Q316" s="74" t="str">
        <f t="shared" si="112"/>
        <v>BRMAO</v>
      </c>
      <c r="R316" s="99" t="str">
        <f t="shared" si="112"/>
        <v>ZP201</v>
      </c>
      <c r="S316" s="99" t="str">
        <f t="shared" si="112"/>
        <v>BRMAOTB01</v>
      </c>
      <c r="T316" s="74" t="str">
        <f t="shared" si="112"/>
        <v>BRMAOCHI</v>
      </c>
      <c r="U316" s="6">
        <f t="shared" si="109"/>
        <v>31</v>
      </c>
      <c r="V316" s="102">
        <f t="shared" si="110"/>
        <v>44763.227551957192</v>
      </c>
      <c r="W316" s="102">
        <f t="shared" ref="W316:Z331" si="113">W306+7</f>
        <v>44769.227551957192</v>
      </c>
      <c r="X316" s="102">
        <f t="shared" si="113"/>
        <v>44770.227551957192</v>
      </c>
      <c r="Y316" s="102">
        <f t="shared" si="113"/>
        <v>44770.290051957192</v>
      </c>
      <c r="Z316" s="102">
        <f t="shared" si="113"/>
        <v>44773.380329734966</v>
      </c>
      <c r="AA316" s="74" t="str">
        <f t="shared" si="111"/>
        <v>BRMCP</v>
      </c>
      <c r="AB316" s="74">
        <f t="shared" si="111"/>
        <v>0</v>
      </c>
    </row>
    <row r="317" spans="12:28">
      <c r="L317" s="6" t="s">
        <v>12</v>
      </c>
      <c r="M317" s="6" t="s">
        <v>182</v>
      </c>
      <c r="N317" s="6">
        <f t="shared" si="101"/>
        <v>7</v>
      </c>
      <c r="O317" s="74">
        <f t="shared" si="112"/>
        <v>0</v>
      </c>
      <c r="P317" s="74">
        <f t="shared" si="112"/>
        <v>0</v>
      </c>
      <c r="Q317" s="74" t="str">
        <f t="shared" si="112"/>
        <v>BRMCP</v>
      </c>
      <c r="R317" s="99" t="str">
        <f t="shared" si="112"/>
        <v>ZP101</v>
      </c>
      <c r="S317" s="99">
        <f t="shared" si="112"/>
        <v>0</v>
      </c>
      <c r="T317" s="74">
        <f t="shared" si="112"/>
        <v>0</v>
      </c>
      <c r="U317" s="6">
        <f t="shared" si="109"/>
        <v>32</v>
      </c>
      <c r="V317" s="102">
        <f t="shared" si="110"/>
        <v>44767.843590077056</v>
      </c>
      <c r="W317" s="102">
        <f t="shared" si="113"/>
        <v>44773.843590077056</v>
      </c>
      <c r="X317" s="102">
        <f t="shared" si="113"/>
        <v>44774.843590077056</v>
      </c>
      <c r="Y317" s="102">
        <f t="shared" si="113"/>
        <v>44774.885256743721</v>
      </c>
      <c r="Z317" s="102">
        <f t="shared" si="113"/>
        <v>44774.926923410385</v>
      </c>
      <c r="AA317" s="74" t="str">
        <f t="shared" si="111"/>
        <v>BRPEC</v>
      </c>
      <c r="AB317" s="74" t="str">
        <f t="shared" si="111"/>
        <v>BRPECAPM</v>
      </c>
    </row>
    <row r="318" spans="12:28">
      <c r="L318" s="6" t="s">
        <v>12</v>
      </c>
      <c r="M318" s="6" t="s">
        <v>182</v>
      </c>
      <c r="N318" s="6">
        <f t="shared" si="101"/>
        <v>7</v>
      </c>
      <c r="O318" s="74" t="str">
        <f t="shared" si="112"/>
        <v>S</v>
      </c>
      <c r="P318" s="74" t="str">
        <f t="shared" si="112"/>
        <v>N</v>
      </c>
      <c r="Q318" s="74" t="str">
        <f t="shared" si="112"/>
        <v>BRPEC</v>
      </c>
      <c r="R318" s="99" t="str">
        <f t="shared" si="112"/>
        <v>ZP501</v>
      </c>
      <c r="S318" s="99" t="str">
        <f t="shared" si="112"/>
        <v>BRPECTB02</v>
      </c>
      <c r="T318" s="74" t="str">
        <f t="shared" si="112"/>
        <v>BRPECAPM</v>
      </c>
      <c r="U318" s="6">
        <f t="shared" si="109"/>
        <v>32</v>
      </c>
      <c r="V318" s="102">
        <f t="shared" si="110"/>
        <v>44770.073654745254</v>
      </c>
      <c r="W318" s="102">
        <f t="shared" si="113"/>
        <v>44776.073654745254</v>
      </c>
      <c r="X318" s="102">
        <f t="shared" si="113"/>
        <v>44777.073654745254</v>
      </c>
      <c r="Y318" s="102">
        <f t="shared" si="113"/>
        <v>44777.15698807859</v>
      </c>
      <c r="Z318" s="102">
        <f t="shared" si="113"/>
        <v>44777.572265856368</v>
      </c>
      <c r="AA318" s="74" t="str">
        <f t="shared" si="111"/>
        <v>BRSUA</v>
      </c>
      <c r="AB318" s="74" t="str">
        <f t="shared" si="111"/>
        <v>BRSUATCO</v>
      </c>
    </row>
    <row r="319" spans="12:28">
      <c r="L319" s="6" t="s">
        <v>12</v>
      </c>
      <c r="M319" s="6" t="s">
        <v>182</v>
      </c>
      <c r="N319" s="6">
        <f t="shared" si="101"/>
        <v>7</v>
      </c>
      <c r="O319" s="74" t="str">
        <f t="shared" si="112"/>
        <v>S</v>
      </c>
      <c r="P319" s="74" t="str">
        <f t="shared" si="112"/>
        <v>N</v>
      </c>
      <c r="Q319" s="74" t="str">
        <f t="shared" si="112"/>
        <v>BRSUA</v>
      </c>
      <c r="R319" s="99" t="str">
        <f t="shared" si="112"/>
        <v>ZP901</v>
      </c>
      <c r="S319" s="99" t="str">
        <f t="shared" si="112"/>
        <v>BRSUATB02</v>
      </c>
      <c r="T319" s="74" t="str">
        <f t="shared" si="112"/>
        <v>BRSUATCO</v>
      </c>
      <c r="U319" s="6">
        <f t="shared" si="109"/>
        <v>32</v>
      </c>
      <c r="V319" s="102">
        <f t="shared" si="110"/>
        <v>44771.713121195025</v>
      </c>
      <c r="W319" s="102">
        <f t="shared" si="113"/>
        <v>44777.713121195025</v>
      </c>
      <c r="X319" s="102">
        <f t="shared" si="113"/>
        <v>44778.713121195025</v>
      </c>
      <c r="Y319" s="102">
        <f t="shared" si="113"/>
        <v>44778.775621195025</v>
      </c>
      <c r="Z319" s="102">
        <f t="shared" si="113"/>
        <v>44779.546454528354</v>
      </c>
      <c r="AA319" s="74" t="str">
        <f>AA309</f>
        <v>BRSSZ</v>
      </c>
      <c r="AB319" s="74" t="str">
        <f>AB309</f>
        <v>BRSSZTCO</v>
      </c>
    </row>
    <row r="320" spans="12:28">
      <c r="L320" s="6" t="s">
        <v>12</v>
      </c>
      <c r="M320" s="106" t="s">
        <v>183</v>
      </c>
      <c r="N320" s="6">
        <f t="shared" si="101"/>
        <v>7</v>
      </c>
      <c r="O320" s="74" t="str">
        <f t="shared" si="112"/>
        <v>N</v>
      </c>
      <c r="P320" s="74" t="str">
        <f t="shared" si="112"/>
        <v>B</v>
      </c>
      <c r="Q320" s="74" t="str">
        <f t="shared" si="112"/>
        <v>BRSSZ</v>
      </c>
      <c r="R320" s="99" t="str">
        <f t="shared" si="112"/>
        <v>ZP1601</v>
      </c>
      <c r="S320" s="99" t="str">
        <f t="shared" si="112"/>
        <v>BRSSZTB01</v>
      </c>
      <c r="T320" s="74" t="str">
        <f t="shared" si="112"/>
        <v>BRSSZTCO</v>
      </c>
      <c r="U320" s="6">
        <f t="shared" si="109"/>
        <v>30</v>
      </c>
      <c r="V320" s="102">
        <f t="shared" si="110"/>
        <v>44754.791666666664</v>
      </c>
      <c r="W320" s="102">
        <f t="shared" si="113"/>
        <v>44760.791666666664</v>
      </c>
      <c r="X320" s="102">
        <f t="shared" si="113"/>
        <v>44761.791666666664</v>
      </c>
      <c r="Y320" s="102">
        <f t="shared" si="113"/>
        <v>44761.895833333328</v>
      </c>
      <c r="Z320" s="102">
        <f t="shared" si="113"/>
        <v>44763.718518518515</v>
      </c>
      <c r="AA320" s="74" t="str">
        <f t="shared" ref="AA320:AB328" si="114">AA310</f>
        <v>BRIGI</v>
      </c>
      <c r="AB320" s="74" t="str">
        <f t="shared" si="114"/>
        <v>BRIGITCO</v>
      </c>
    </row>
    <row r="321" spans="12:28">
      <c r="L321" s="6" t="s">
        <v>12</v>
      </c>
      <c r="M321" s="106" t="s">
        <v>183</v>
      </c>
      <c r="N321" s="6">
        <f t="shared" si="101"/>
        <v>7</v>
      </c>
      <c r="O321" s="74" t="str">
        <f t="shared" si="112"/>
        <v>N</v>
      </c>
      <c r="P321" s="74" t="str">
        <f t="shared" si="112"/>
        <v>N</v>
      </c>
      <c r="Q321" s="74" t="str">
        <f t="shared" si="112"/>
        <v>BRIGI</v>
      </c>
      <c r="R321" s="99" t="str">
        <f t="shared" si="112"/>
        <v>ZP15A03</v>
      </c>
      <c r="S321" s="99" t="str">
        <f t="shared" si="112"/>
        <v>BRIGITB01</v>
      </c>
      <c r="T321" s="74" t="str">
        <f t="shared" si="112"/>
        <v>BRIGITCO</v>
      </c>
      <c r="U321" s="6">
        <f t="shared" si="109"/>
        <v>30</v>
      </c>
      <c r="V321" s="102">
        <f t="shared" si="110"/>
        <v>44757.094394891508</v>
      </c>
      <c r="W321" s="102">
        <f t="shared" si="113"/>
        <v>44763.094394891508</v>
      </c>
      <c r="X321" s="102">
        <f t="shared" si="113"/>
        <v>44764.094394891508</v>
      </c>
      <c r="Y321" s="102">
        <f t="shared" si="113"/>
        <v>44764.240228224844</v>
      </c>
      <c r="Z321" s="102">
        <f t="shared" si="113"/>
        <v>44765.433283780396</v>
      </c>
      <c r="AA321" s="74" t="str">
        <f t="shared" si="114"/>
        <v>BRSSA</v>
      </c>
      <c r="AB321" s="74" t="str">
        <f t="shared" si="114"/>
        <v>BRSSATCO</v>
      </c>
    </row>
    <row r="322" spans="12:28">
      <c r="L322" s="6" t="s">
        <v>12</v>
      </c>
      <c r="M322" s="106" t="s">
        <v>183</v>
      </c>
      <c r="N322" s="6">
        <f t="shared" si="101"/>
        <v>7</v>
      </c>
      <c r="O322" s="74" t="str">
        <f t="shared" si="112"/>
        <v>N</v>
      </c>
      <c r="P322" s="74" t="str">
        <f t="shared" si="112"/>
        <v>N</v>
      </c>
      <c r="Q322" s="74" t="str">
        <f t="shared" si="112"/>
        <v>BRSSA</v>
      </c>
      <c r="R322" s="99" t="str">
        <f t="shared" si="112"/>
        <v>ZP1202</v>
      </c>
      <c r="S322" s="99" t="str">
        <f t="shared" si="112"/>
        <v>BRSSATB01</v>
      </c>
      <c r="T322" s="74" t="str">
        <f t="shared" si="112"/>
        <v>BRSSATCO</v>
      </c>
      <c r="U322" s="6">
        <f t="shared" si="109"/>
        <v>31</v>
      </c>
      <c r="V322" s="102">
        <f t="shared" si="110"/>
        <v>44760.450297220996</v>
      </c>
      <c r="W322" s="102">
        <f t="shared" si="113"/>
        <v>44766.450297220996</v>
      </c>
      <c r="X322" s="102">
        <f t="shared" si="113"/>
        <v>44767.450297220996</v>
      </c>
      <c r="Y322" s="102">
        <f t="shared" si="113"/>
        <v>44767.533630554331</v>
      </c>
      <c r="Z322" s="102">
        <f t="shared" si="113"/>
        <v>44768.114186109888</v>
      </c>
      <c r="AA322" s="74" t="str">
        <f t="shared" si="114"/>
        <v>BRSUA</v>
      </c>
      <c r="AB322" s="74" t="str">
        <f t="shared" si="114"/>
        <v>BRSUATCO</v>
      </c>
    </row>
    <row r="323" spans="12:28">
      <c r="L323" s="6" t="s">
        <v>12</v>
      </c>
      <c r="M323" s="106" t="s">
        <v>183</v>
      </c>
      <c r="N323" s="6">
        <f t="shared" si="101"/>
        <v>7</v>
      </c>
      <c r="O323" s="74" t="str">
        <f t="shared" si="112"/>
        <v>N</v>
      </c>
      <c r="P323" s="74" t="str">
        <f t="shared" si="112"/>
        <v>N</v>
      </c>
      <c r="Q323" s="74" t="str">
        <f t="shared" si="112"/>
        <v>BRSUA</v>
      </c>
      <c r="R323" s="99" t="str">
        <f t="shared" si="112"/>
        <v>ZP901</v>
      </c>
      <c r="S323" s="99" t="str">
        <f t="shared" si="112"/>
        <v>BRSUATB02</v>
      </c>
      <c r="T323" s="74" t="str">
        <f t="shared" si="112"/>
        <v>BRSUATCO</v>
      </c>
      <c r="U323" s="6">
        <f t="shared" si="109"/>
        <v>31</v>
      </c>
      <c r="V323" s="102">
        <f t="shared" si="110"/>
        <v>44762.077702180381</v>
      </c>
      <c r="W323" s="102">
        <f t="shared" si="113"/>
        <v>44768.077702180381</v>
      </c>
      <c r="X323" s="102">
        <f t="shared" si="113"/>
        <v>44769.077702180381</v>
      </c>
      <c r="Y323" s="102">
        <f t="shared" si="113"/>
        <v>44769.140202180381</v>
      </c>
      <c r="Z323" s="102">
        <f t="shared" si="113"/>
        <v>44771.256868847042</v>
      </c>
      <c r="AA323" s="74" t="str">
        <f t="shared" si="114"/>
        <v>BRPEC</v>
      </c>
      <c r="AB323" s="74" t="str">
        <f t="shared" si="114"/>
        <v>BRPECAPM</v>
      </c>
    </row>
    <row r="324" spans="12:28">
      <c r="L324" s="6" t="s">
        <v>12</v>
      </c>
      <c r="M324" s="106" t="s">
        <v>183</v>
      </c>
      <c r="N324" s="6">
        <f t="shared" si="101"/>
        <v>7</v>
      </c>
      <c r="O324" s="74" t="str">
        <f t="shared" si="112"/>
        <v>N</v>
      </c>
      <c r="P324" s="74" t="str">
        <f t="shared" si="112"/>
        <v>N</v>
      </c>
      <c r="Q324" s="74" t="str">
        <f t="shared" si="112"/>
        <v>BRPEC</v>
      </c>
      <c r="R324" s="99" t="str">
        <f t="shared" si="112"/>
        <v>ZP501</v>
      </c>
      <c r="S324" s="99" t="str">
        <f t="shared" si="112"/>
        <v>BRPECTB01</v>
      </c>
      <c r="T324" s="74" t="str">
        <f t="shared" si="112"/>
        <v>BRPECAPM</v>
      </c>
      <c r="U324" s="6">
        <f t="shared" si="109"/>
        <v>31</v>
      </c>
      <c r="V324" s="102">
        <f t="shared" si="110"/>
        <v>44765.443242792273</v>
      </c>
      <c r="W324" s="102">
        <f t="shared" si="113"/>
        <v>44771.443242792273</v>
      </c>
      <c r="X324" s="102">
        <f t="shared" si="113"/>
        <v>44772.443242792273</v>
      </c>
      <c r="Y324" s="102">
        <f t="shared" si="113"/>
        <v>44772.526576125609</v>
      </c>
      <c r="Z324" s="102">
        <f t="shared" si="113"/>
        <v>44773.211298347829</v>
      </c>
      <c r="AA324" s="74" t="str">
        <f t="shared" si="114"/>
        <v>BRMCP</v>
      </c>
      <c r="AB324" s="74">
        <f t="shared" si="114"/>
        <v>0</v>
      </c>
    </row>
    <row r="325" spans="12:28">
      <c r="L325" s="6" t="s">
        <v>12</v>
      </c>
      <c r="M325" s="106" t="s">
        <v>183</v>
      </c>
      <c r="N325" s="6">
        <f t="shared" si="101"/>
        <v>7</v>
      </c>
      <c r="O325" s="74">
        <f t="shared" si="112"/>
        <v>0</v>
      </c>
      <c r="P325" s="74">
        <f t="shared" si="112"/>
        <v>0</v>
      </c>
      <c r="Q325" s="74" t="str">
        <f t="shared" si="112"/>
        <v>BRMCP</v>
      </c>
      <c r="R325" s="99" t="str">
        <f t="shared" si="112"/>
        <v>ZP101</v>
      </c>
      <c r="S325" s="99">
        <f t="shared" si="112"/>
        <v>0</v>
      </c>
      <c r="T325" s="74">
        <f t="shared" si="112"/>
        <v>0</v>
      </c>
      <c r="U325" s="6">
        <f t="shared" si="109"/>
        <v>32</v>
      </c>
      <c r="V325" s="102">
        <f t="shared" si="110"/>
        <v>44768.358029681898</v>
      </c>
      <c r="W325" s="102">
        <f t="shared" si="113"/>
        <v>44774.358029681898</v>
      </c>
      <c r="X325" s="102">
        <f t="shared" si="113"/>
        <v>44775.358029681898</v>
      </c>
      <c r="Y325" s="102">
        <f t="shared" si="113"/>
        <v>44775.399696348562</v>
      </c>
      <c r="Z325" s="102">
        <f t="shared" si="113"/>
        <v>44775.441363015227</v>
      </c>
      <c r="AA325" s="74" t="str">
        <f t="shared" si="114"/>
        <v>BRMAO</v>
      </c>
      <c r="AB325" s="74" t="str">
        <f t="shared" si="114"/>
        <v>BRMAOCHI</v>
      </c>
    </row>
    <row r="326" spans="12:28">
      <c r="L326" s="6" t="s">
        <v>12</v>
      </c>
      <c r="M326" s="106" t="s">
        <v>183</v>
      </c>
      <c r="N326" s="6">
        <f t="shared" si="101"/>
        <v>7</v>
      </c>
      <c r="O326" s="74" t="str">
        <f t="shared" si="112"/>
        <v>S</v>
      </c>
      <c r="P326" s="74" t="str">
        <f t="shared" si="112"/>
        <v>D</v>
      </c>
      <c r="Q326" s="74" t="str">
        <f>Q316</f>
        <v>BRMAO</v>
      </c>
      <c r="R326" s="99" t="str">
        <f t="shared" si="112"/>
        <v>ZP201</v>
      </c>
      <c r="S326" s="99" t="str">
        <f t="shared" si="112"/>
        <v>BRMAOTB01</v>
      </c>
      <c r="T326" s="74" t="str">
        <f t="shared" si="112"/>
        <v>BRMAOCHI</v>
      </c>
      <c r="U326" s="6">
        <f t="shared" si="109"/>
        <v>32</v>
      </c>
      <c r="V326" s="102">
        <f t="shared" si="110"/>
        <v>44770.227551957192</v>
      </c>
      <c r="W326" s="102">
        <f t="shared" si="113"/>
        <v>44776.227551957192</v>
      </c>
      <c r="X326" s="102">
        <f t="shared" si="113"/>
        <v>44777.227551957192</v>
      </c>
      <c r="Y326" s="102">
        <f t="shared" si="113"/>
        <v>44777.290051957192</v>
      </c>
      <c r="Z326" s="102">
        <f t="shared" si="113"/>
        <v>44780.380329734966</v>
      </c>
      <c r="AA326" s="74" t="str">
        <f t="shared" si="114"/>
        <v>BRMCP</v>
      </c>
      <c r="AB326" s="74">
        <f t="shared" si="114"/>
        <v>0</v>
      </c>
    </row>
    <row r="327" spans="12:28">
      <c r="L327" s="6" t="s">
        <v>12</v>
      </c>
      <c r="M327" s="106" t="s">
        <v>183</v>
      </c>
      <c r="N327" s="6">
        <f t="shared" si="101"/>
        <v>7</v>
      </c>
      <c r="O327" s="74">
        <f t="shared" si="112"/>
        <v>0</v>
      </c>
      <c r="P327" s="74">
        <f t="shared" si="112"/>
        <v>0</v>
      </c>
      <c r="Q327" s="74" t="str">
        <f t="shared" si="112"/>
        <v>BRMCP</v>
      </c>
      <c r="R327" s="99" t="str">
        <f t="shared" si="112"/>
        <v>ZP101</v>
      </c>
      <c r="S327" s="99">
        <f t="shared" si="112"/>
        <v>0</v>
      </c>
      <c r="T327" s="74">
        <f t="shared" si="112"/>
        <v>0</v>
      </c>
      <c r="U327" s="6">
        <f t="shared" si="109"/>
        <v>33</v>
      </c>
      <c r="V327" s="102">
        <f t="shared" si="110"/>
        <v>44774.843590077056</v>
      </c>
      <c r="W327" s="102">
        <f t="shared" si="113"/>
        <v>44780.843590077056</v>
      </c>
      <c r="X327" s="102">
        <f t="shared" si="113"/>
        <v>44781.843590077056</v>
      </c>
      <c r="Y327" s="102">
        <f t="shared" si="113"/>
        <v>44781.885256743721</v>
      </c>
      <c r="Z327" s="102">
        <f t="shared" si="113"/>
        <v>44781.926923410385</v>
      </c>
      <c r="AA327" s="74" t="str">
        <f t="shared" si="114"/>
        <v>BRPEC</v>
      </c>
      <c r="AB327" s="74" t="str">
        <f t="shared" si="114"/>
        <v>BRPECAPM</v>
      </c>
    </row>
    <row r="328" spans="12:28">
      <c r="L328" s="6" t="s">
        <v>12</v>
      </c>
      <c r="M328" s="106" t="s">
        <v>183</v>
      </c>
      <c r="N328" s="6">
        <f t="shared" si="101"/>
        <v>7</v>
      </c>
      <c r="O328" s="74" t="str">
        <f t="shared" si="112"/>
        <v>S</v>
      </c>
      <c r="P328" s="74" t="str">
        <f t="shared" si="112"/>
        <v>N</v>
      </c>
      <c r="Q328" s="74" t="str">
        <f t="shared" si="112"/>
        <v>BRPEC</v>
      </c>
      <c r="R328" s="99" t="str">
        <f t="shared" si="112"/>
        <v>ZP501</v>
      </c>
      <c r="S328" s="99" t="str">
        <f t="shared" si="112"/>
        <v>BRPECTB02</v>
      </c>
      <c r="T328" s="74" t="str">
        <f t="shared" si="112"/>
        <v>BRPECAPM</v>
      </c>
      <c r="U328" s="6">
        <f t="shared" si="109"/>
        <v>33</v>
      </c>
      <c r="V328" s="102">
        <f t="shared" si="110"/>
        <v>44777.073654745254</v>
      </c>
      <c r="W328" s="102">
        <f t="shared" si="113"/>
        <v>44783.073654745254</v>
      </c>
      <c r="X328" s="102">
        <f t="shared" si="113"/>
        <v>44784.073654745254</v>
      </c>
      <c r="Y328" s="102">
        <f t="shared" si="113"/>
        <v>44784.15698807859</v>
      </c>
      <c r="Z328" s="102">
        <f t="shared" si="113"/>
        <v>44784.572265856368</v>
      </c>
      <c r="AA328" s="74" t="str">
        <f t="shared" si="114"/>
        <v>BRSUA</v>
      </c>
      <c r="AB328" s="74" t="str">
        <f t="shared" si="114"/>
        <v>BRSUATCO</v>
      </c>
    </row>
    <row r="329" spans="12:28">
      <c r="L329" s="6" t="s">
        <v>12</v>
      </c>
      <c r="M329" s="106" t="s">
        <v>183</v>
      </c>
      <c r="N329" s="6">
        <f t="shared" si="101"/>
        <v>7</v>
      </c>
      <c r="O329" s="74" t="str">
        <f t="shared" si="112"/>
        <v>S</v>
      </c>
      <c r="P329" s="74" t="str">
        <f t="shared" si="112"/>
        <v>N</v>
      </c>
      <c r="Q329" s="74" t="str">
        <f t="shared" si="112"/>
        <v>BRSUA</v>
      </c>
      <c r="R329" s="99" t="str">
        <f t="shared" si="112"/>
        <v>ZP901</v>
      </c>
      <c r="S329" s="99" t="str">
        <f t="shared" si="112"/>
        <v>BRSUATB02</v>
      </c>
      <c r="T329" s="74" t="str">
        <f t="shared" si="112"/>
        <v>BRSUATCO</v>
      </c>
      <c r="U329" s="6">
        <f t="shared" si="109"/>
        <v>33</v>
      </c>
      <c r="V329" s="102">
        <f t="shared" si="110"/>
        <v>44778.713121195025</v>
      </c>
      <c r="W329" s="102">
        <f t="shared" si="113"/>
        <v>44784.713121195025</v>
      </c>
      <c r="X329" s="102">
        <f t="shared" si="113"/>
        <v>44785.713121195025</v>
      </c>
      <c r="Y329" s="102">
        <f t="shared" si="113"/>
        <v>44785.775621195025</v>
      </c>
      <c r="Z329" s="102">
        <f t="shared" si="113"/>
        <v>44786.546454528354</v>
      </c>
      <c r="AA329" s="74" t="str">
        <f>AA319</f>
        <v>BRSSZ</v>
      </c>
      <c r="AB329" s="74" t="str">
        <f>AB319</f>
        <v>BRSSZTCO</v>
      </c>
    </row>
    <row r="330" spans="12:28">
      <c r="L330" s="6" t="s">
        <v>12</v>
      </c>
      <c r="M330" s="6" t="str">
        <f>$J$2</f>
        <v>SHIP13</v>
      </c>
      <c r="N330" s="6">
        <f t="shared" si="101"/>
        <v>8</v>
      </c>
      <c r="O330" s="74" t="str">
        <f t="shared" si="112"/>
        <v>N</v>
      </c>
      <c r="P330" s="74" t="str">
        <f t="shared" si="112"/>
        <v>B</v>
      </c>
      <c r="Q330" s="74" t="str">
        <f t="shared" si="112"/>
        <v>BRSSZ</v>
      </c>
      <c r="R330" s="99" t="str">
        <f t="shared" si="112"/>
        <v>ZP1601</v>
      </c>
      <c r="S330" s="99" t="str">
        <f t="shared" si="112"/>
        <v>BRSSZTB01</v>
      </c>
      <c r="T330" s="74" t="str">
        <f t="shared" si="112"/>
        <v>BRSSZTCO</v>
      </c>
      <c r="U330" s="6">
        <f t="shared" si="109"/>
        <v>31</v>
      </c>
      <c r="V330" s="102">
        <f t="shared" si="110"/>
        <v>44761.791666666664</v>
      </c>
      <c r="W330" s="102">
        <f t="shared" si="113"/>
        <v>44767.791666666664</v>
      </c>
      <c r="X330" s="102">
        <f t="shared" si="113"/>
        <v>44768.791666666664</v>
      </c>
      <c r="Y330" s="102">
        <f t="shared" si="113"/>
        <v>44768.895833333328</v>
      </c>
      <c r="Z330" s="102">
        <f t="shared" si="113"/>
        <v>44770.718518518515</v>
      </c>
      <c r="AA330" s="74" t="str">
        <f t="shared" ref="AA330:AB338" si="115">AA320</f>
        <v>BRIGI</v>
      </c>
      <c r="AB330" s="74" t="str">
        <f t="shared" si="115"/>
        <v>BRIGITCO</v>
      </c>
    </row>
    <row r="331" spans="12:28">
      <c r="L331" s="6" t="s">
        <v>12</v>
      </c>
      <c r="M331" s="6" t="str">
        <f t="shared" ref="M331:M339" si="116">$J$2</f>
        <v>SHIP13</v>
      </c>
      <c r="N331" s="6">
        <f t="shared" si="101"/>
        <v>8</v>
      </c>
      <c r="O331" s="74" t="str">
        <f t="shared" si="112"/>
        <v>N</v>
      </c>
      <c r="P331" s="74" t="str">
        <f t="shared" si="112"/>
        <v>N</v>
      </c>
      <c r="Q331" s="74" t="str">
        <f t="shared" si="112"/>
        <v>BRIGI</v>
      </c>
      <c r="R331" s="99" t="str">
        <f t="shared" si="112"/>
        <v>ZP15A03</v>
      </c>
      <c r="S331" s="99" t="str">
        <f t="shared" si="112"/>
        <v>BRIGITB01</v>
      </c>
      <c r="T331" s="74" t="str">
        <f t="shared" si="112"/>
        <v>BRIGITCO</v>
      </c>
      <c r="U331" s="6">
        <f t="shared" si="109"/>
        <v>31</v>
      </c>
      <c r="V331" s="102">
        <f t="shared" si="110"/>
        <v>44764.094394891508</v>
      </c>
      <c r="W331" s="102">
        <f t="shared" si="113"/>
        <v>44770.094394891508</v>
      </c>
      <c r="X331" s="102">
        <f t="shared" si="113"/>
        <v>44771.094394891508</v>
      </c>
      <c r="Y331" s="102">
        <f t="shared" si="113"/>
        <v>44771.240228224844</v>
      </c>
      <c r="Z331" s="102">
        <f t="shared" si="113"/>
        <v>44772.433283780396</v>
      </c>
      <c r="AA331" s="74" t="str">
        <f t="shared" si="115"/>
        <v>BRSSA</v>
      </c>
      <c r="AB331" s="74" t="str">
        <f t="shared" si="115"/>
        <v>BRSSATCO</v>
      </c>
    </row>
    <row r="332" spans="12:28">
      <c r="L332" s="6" t="s">
        <v>12</v>
      </c>
      <c r="M332" s="6" t="str">
        <f t="shared" si="116"/>
        <v>SHIP13</v>
      </c>
      <c r="N332" s="6">
        <f t="shared" si="101"/>
        <v>8</v>
      </c>
      <c r="O332" s="74" t="str">
        <f t="shared" ref="O332:T347" si="117">O322</f>
        <v>N</v>
      </c>
      <c r="P332" s="74" t="str">
        <f t="shared" si="117"/>
        <v>N</v>
      </c>
      <c r="Q332" s="74" t="str">
        <f t="shared" si="117"/>
        <v>BRSSA</v>
      </c>
      <c r="R332" s="99" t="str">
        <f t="shared" si="117"/>
        <v>ZP1202</v>
      </c>
      <c r="S332" s="99" t="str">
        <f t="shared" si="117"/>
        <v>BRSSATB01</v>
      </c>
      <c r="T332" s="74" t="str">
        <f t="shared" si="117"/>
        <v>BRSSATCO</v>
      </c>
      <c r="U332" s="6">
        <f t="shared" si="109"/>
        <v>32</v>
      </c>
      <c r="V332" s="102">
        <f t="shared" si="110"/>
        <v>44767.450297220996</v>
      </c>
      <c r="W332" s="102">
        <f t="shared" ref="W332:Z347" si="118">W322+7</f>
        <v>44773.450297220996</v>
      </c>
      <c r="X332" s="102">
        <f t="shared" si="118"/>
        <v>44774.450297220996</v>
      </c>
      <c r="Y332" s="102">
        <f t="shared" si="118"/>
        <v>44774.533630554331</v>
      </c>
      <c r="Z332" s="102">
        <f t="shared" si="118"/>
        <v>44775.114186109888</v>
      </c>
      <c r="AA332" s="74" t="str">
        <f t="shared" si="115"/>
        <v>BRSUA</v>
      </c>
      <c r="AB332" s="74" t="str">
        <f t="shared" si="115"/>
        <v>BRSUATCO</v>
      </c>
    </row>
    <row r="333" spans="12:28">
      <c r="L333" s="6" t="s">
        <v>12</v>
      </c>
      <c r="M333" s="6" t="str">
        <f t="shared" si="116"/>
        <v>SHIP13</v>
      </c>
      <c r="N333" s="6">
        <f t="shared" si="101"/>
        <v>8</v>
      </c>
      <c r="O333" s="74" t="str">
        <f t="shared" si="117"/>
        <v>N</v>
      </c>
      <c r="P333" s="74" t="str">
        <f t="shared" si="117"/>
        <v>N</v>
      </c>
      <c r="Q333" s="74" t="str">
        <f t="shared" si="117"/>
        <v>BRSUA</v>
      </c>
      <c r="R333" s="99" t="str">
        <f t="shared" si="117"/>
        <v>ZP901</v>
      </c>
      <c r="S333" s="99" t="str">
        <f t="shared" si="117"/>
        <v>BRSUATB02</v>
      </c>
      <c r="T333" s="74" t="str">
        <f t="shared" si="117"/>
        <v>BRSUATCO</v>
      </c>
      <c r="U333" s="6">
        <f t="shared" si="109"/>
        <v>32</v>
      </c>
      <c r="V333" s="102">
        <f t="shared" si="110"/>
        <v>44769.077702180381</v>
      </c>
      <c r="W333" s="102">
        <f t="shared" si="118"/>
        <v>44775.077702180381</v>
      </c>
      <c r="X333" s="102">
        <f t="shared" si="118"/>
        <v>44776.077702180381</v>
      </c>
      <c r="Y333" s="102">
        <f t="shared" si="118"/>
        <v>44776.140202180381</v>
      </c>
      <c r="Z333" s="102">
        <f t="shared" si="118"/>
        <v>44778.256868847042</v>
      </c>
      <c r="AA333" s="74" t="str">
        <f t="shared" si="115"/>
        <v>BRPEC</v>
      </c>
      <c r="AB333" s="74" t="str">
        <f t="shared" si="115"/>
        <v>BRPECAPM</v>
      </c>
    </row>
    <row r="334" spans="12:28">
      <c r="L334" s="6" t="s">
        <v>12</v>
      </c>
      <c r="M334" s="6" t="str">
        <f t="shared" si="116"/>
        <v>SHIP13</v>
      </c>
      <c r="N334" s="6">
        <f t="shared" si="101"/>
        <v>8</v>
      </c>
      <c r="O334" s="74" t="str">
        <f t="shared" si="117"/>
        <v>N</v>
      </c>
      <c r="P334" s="74" t="str">
        <f t="shared" si="117"/>
        <v>N</v>
      </c>
      <c r="Q334" s="74" t="str">
        <f t="shared" si="117"/>
        <v>BRPEC</v>
      </c>
      <c r="R334" s="99" t="str">
        <f t="shared" si="117"/>
        <v>ZP501</v>
      </c>
      <c r="S334" s="99" t="str">
        <f t="shared" si="117"/>
        <v>BRPECTB01</v>
      </c>
      <c r="T334" s="74" t="str">
        <f t="shared" si="117"/>
        <v>BRPECAPM</v>
      </c>
      <c r="U334" s="6">
        <f t="shared" si="109"/>
        <v>32</v>
      </c>
      <c r="V334" s="102">
        <f t="shared" si="110"/>
        <v>44772.443242792273</v>
      </c>
      <c r="W334" s="102">
        <f t="shared" si="118"/>
        <v>44778.443242792273</v>
      </c>
      <c r="X334" s="102">
        <f t="shared" si="118"/>
        <v>44779.443242792273</v>
      </c>
      <c r="Y334" s="102">
        <f t="shared" si="118"/>
        <v>44779.526576125609</v>
      </c>
      <c r="Z334" s="102">
        <f t="shared" si="118"/>
        <v>44780.211298347829</v>
      </c>
      <c r="AA334" s="74" t="str">
        <f t="shared" si="115"/>
        <v>BRMCP</v>
      </c>
      <c r="AB334" s="74">
        <f t="shared" si="115"/>
        <v>0</v>
      </c>
    </row>
    <row r="335" spans="12:28">
      <c r="L335" s="6" t="s">
        <v>12</v>
      </c>
      <c r="M335" s="6" t="str">
        <f t="shared" si="116"/>
        <v>SHIP13</v>
      </c>
      <c r="N335" s="6">
        <f t="shared" si="101"/>
        <v>8</v>
      </c>
      <c r="O335" s="74">
        <f t="shared" si="117"/>
        <v>0</v>
      </c>
      <c r="P335" s="74">
        <f t="shared" si="117"/>
        <v>0</v>
      </c>
      <c r="Q335" s="74" t="str">
        <f t="shared" si="117"/>
        <v>BRMCP</v>
      </c>
      <c r="R335" s="99" t="str">
        <f t="shared" si="117"/>
        <v>ZP101</v>
      </c>
      <c r="S335" s="99">
        <f t="shared" si="117"/>
        <v>0</v>
      </c>
      <c r="T335" s="74">
        <f t="shared" si="117"/>
        <v>0</v>
      </c>
      <c r="U335" s="6">
        <f t="shared" si="109"/>
        <v>33</v>
      </c>
      <c r="V335" s="102">
        <f t="shared" si="110"/>
        <v>44775.358029681898</v>
      </c>
      <c r="W335" s="102">
        <f t="shared" si="118"/>
        <v>44781.358029681898</v>
      </c>
      <c r="X335" s="102">
        <f t="shared" si="118"/>
        <v>44782.358029681898</v>
      </c>
      <c r="Y335" s="102">
        <f t="shared" si="118"/>
        <v>44782.399696348562</v>
      </c>
      <c r="Z335" s="102">
        <f t="shared" si="118"/>
        <v>44782.441363015227</v>
      </c>
      <c r="AA335" s="74" t="str">
        <f t="shared" si="115"/>
        <v>BRMAO</v>
      </c>
      <c r="AB335" s="74" t="str">
        <f t="shared" si="115"/>
        <v>BRMAOCHI</v>
      </c>
    </row>
    <row r="336" spans="12:28">
      <c r="L336" s="6" t="s">
        <v>12</v>
      </c>
      <c r="M336" s="6" t="str">
        <f t="shared" si="116"/>
        <v>SHIP13</v>
      </c>
      <c r="N336" s="6">
        <f t="shared" si="101"/>
        <v>8</v>
      </c>
      <c r="O336" s="74" t="str">
        <f t="shared" si="117"/>
        <v>S</v>
      </c>
      <c r="P336" s="74" t="str">
        <f t="shared" si="117"/>
        <v>D</v>
      </c>
      <c r="Q336" s="74" t="str">
        <f t="shared" si="117"/>
        <v>BRMAO</v>
      </c>
      <c r="R336" s="99" t="str">
        <f t="shared" si="117"/>
        <v>ZP201</v>
      </c>
      <c r="S336" s="99" t="str">
        <f t="shared" si="117"/>
        <v>BRMAOTB01</v>
      </c>
      <c r="T336" s="74" t="str">
        <f t="shared" si="117"/>
        <v>BRMAOCHI</v>
      </c>
      <c r="U336" s="6">
        <f t="shared" si="109"/>
        <v>33</v>
      </c>
      <c r="V336" s="102">
        <f t="shared" si="110"/>
        <v>44777.227551957192</v>
      </c>
      <c r="W336" s="102">
        <f t="shared" si="118"/>
        <v>44783.227551957192</v>
      </c>
      <c r="X336" s="102">
        <f t="shared" si="118"/>
        <v>44784.227551957192</v>
      </c>
      <c r="Y336" s="102">
        <f t="shared" si="118"/>
        <v>44784.290051957192</v>
      </c>
      <c r="Z336" s="102">
        <f t="shared" si="118"/>
        <v>44787.380329734966</v>
      </c>
      <c r="AA336" s="74" t="str">
        <f t="shared" si="115"/>
        <v>BRMCP</v>
      </c>
      <c r="AB336" s="74">
        <f t="shared" si="115"/>
        <v>0</v>
      </c>
    </row>
    <row r="337" spans="12:28">
      <c r="L337" s="6" t="s">
        <v>12</v>
      </c>
      <c r="M337" s="6" t="str">
        <f t="shared" si="116"/>
        <v>SHIP13</v>
      </c>
      <c r="N337" s="6">
        <f t="shared" si="101"/>
        <v>8</v>
      </c>
      <c r="O337" s="74">
        <f t="shared" si="117"/>
        <v>0</v>
      </c>
      <c r="P337" s="74">
        <f t="shared" si="117"/>
        <v>0</v>
      </c>
      <c r="Q337" s="74" t="str">
        <f t="shared" si="117"/>
        <v>BRMCP</v>
      </c>
      <c r="R337" s="99" t="str">
        <f t="shared" si="117"/>
        <v>ZP101</v>
      </c>
      <c r="S337" s="99">
        <f t="shared" si="117"/>
        <v>0</v>
      </c>
      <c r="T337" s="74">
        <f t="shared" si="117"/>
        <v>0</v>
      </c>
      <c r="U337" s="6">
        <f t="shared" si="109"/>
        <v>34</v>
      </c>
      <c r="V337" s="102">
        <f t="shared" si="110"/>
        <v>44781.843590077056</v>
      </c>
      <c r="W337" s="102">
        <f t="shared" si="118"/>
        <v>44787.843590077056</v>
      </c>
      <c r="X337" s="102">
        <f t="shared" si="118"/>
        <v>44788.843590077056</v>
      </c>
      <c r="Y337" s="102">
        <f t="shared" si="118"/>
        <v>44788.885256743721</v>
      </c>
      <c r="Z337" s="102">
        <f t="shared" si="118"/>
        <v>44788.926923410385</v>
      </c>
      <c r="AA337" s="74" t="str">
        <f t="shared" si="115"/>
        <v>BRPEC</v>
      </c>
      <c r="AB337" s="74" t="str">
        <f t="shared" si="115"/>
        <v>BRPECAPM</v>
      </c>
    </row>
    <row r="338" spans="12:28">
      <c r="L338" s="6" t="s">
        <v>12</v>
      </c>
      <c r="M338" s="6" t="str">
        <f t="shared" si="116"/>
        <v>SHIP13</v>
      </c>
      <c r="N338" s="6">
        <f t="shared" si="101"/>
        <v>8</v>
      </c>
      <c r="O338" s="74" t="str">
        <f t="shared" si="117"/>
        <v>S</v>
      </c>
      <c r="P338" s="74" t="str">
        <f t="shared" si="117"/>
        <v>N</v>
      </c>
      <c r="Q338" s="74" t="str">
        <f t="shared" si="117"/>
        <v>BRPEC</v>
      </c>
      <c r="R338" s="99" t="str">
        <f t="shared" si="117"/>
        <v>ZP501</v>
      </c>
      <c r="S338" s="99" t="str">
        <f t="shared" si="117"/>
        <v>BRPECTB02</v>
      </c>
      <c r="T338" s="74" t="str">
        <f t="shared" si="117"/>
        <v>BRPECAPM</v>
      </c>
      <c r="U338" s="6">
        <f t="shared" si="109"/>
        <v>34</v>
      </c>
      <c r="V338" s="102">
        <f t="shared" si="110"/>
        <v>44784.073654745254</v>
      </c>
      <c r="W338" s="102">
        <f t="shared" si="118"/>
        <v>44790.073654745254</v>
      </c>
      <c r="X338" s="102">
        <f t="shared" si="118"/>
        <v>44791.073654745254</v>
      </c>
      <c r="Y338" s="102">
        <f t="shared" si="118"/>
        <v>44791.15698807859</v>
      </c>
      <c r="Z338" s="102">
        <f t="shared" si="118"/>
        <v>44791.572265856368</v>
      </c>
      <c r="AA338" s="74" t="str">
        <f t="shared" si="115"/>
        <v>BRSUA</v>
      </c>
      <c r="AB338" s="74" t="str">
        <f t="shared" si="115"/>
        <v>BRSUATCO</v>
      </c>
    </row>
    <row r="339" spans="12:28">
      <c r="L339" s="6" t="s">
        <v>12</v>
      </c>
      <c r="M339" s="6" t="str">
        <f t="shared" si="116"/>
        <v>SHIP13</v>
      </c>
      <c r="N339" s="6">
        <f t="shared" si="101"/>
        <v>8</v>
      </c>
      <c r="O339" s="74" t="str">
        <f t="shared" si="117"/>
        <v>S</v>
      </c>
      <c r="P339" s="74" t="str">
        <f t="shared" si="117"/>
        <v>N</v>
      </c>
      <c r="Q339" s="74" t="str">
        <f t="shared" si="117"/>
        <v>BRSUA</v>
      </c>
      <c r="R339" s="99" t="str">
        <f t="shared" si="117"/>
        <v>ZP901</v>
      </c>
      <c r="S339" s="99" t="str">
        <f t="shared" si="117"/>
        <v>BRSUATB02</v>
      </c>
      <c r="T339" s="74" t="str">
        <f t="shared" si="117"/>
        <v>BRSUATCO</v>
      </c>
      <c r="U339" s="6">
        <f t="shared" si="109"/>
        <v>34</v>
      </c>
      <c r="V339" s="102">
        <f t="shared" si="110"/>
        <v>44785.713121195025</v>
      </c>
      <c r="W339" s="102">
        <f t="shared" si="118"/>
        <v>44791.713121195025</v>
      </c>
      <c r="X339" s="102">
        <f t="shared" si="118"/>
        <v>44792.713121195025</v>
      </c>
      <c r="Y339" s="102">
        <f t="shared" si="118"/>
        <v>44792.775621195025</v>
      </c>
      <c r="Z339" s="102">
        <f t="shared" si="118"/>
        <v>44793.546454528354</v>
      </c>
      <c r="AA339" s="74" t="str">
        <f>AA329</f>
        <v>BRSSZ</v>
      </c>
      <c r="AB339" s="74" t="str">
        <f>AB329</f>
        <v>BRSSZTCO</v>
      </c>
    </row>
    <row r="340" spans="12:28">
      <c r="L340" s="6" t="s">
        <v>12</v>
      </c>
      <c r="M340" s="106" t="s">
        <v>181</v>
      </c>
      <c r="N340" s="6">
        <f t="shared" si="101"/>
        <v>8</v>
      </c>
      <c r="O340" s="74" t="str">
        <f t="shared" si="117"/>
        <v>N</v>
      </c>
      <c r="P340" s="74" t="str">
        <f t="shared" si="117"/>
        <v>B</v>
      </c>
      <c r="Q340" s="74" t="str">
        <f t="shared" si="117"/>
        <v>BRSSZ</v>
      </c>
      <c r="R340" s="99" t="str">
        <f t="shared" si="117"/>
        <v>ZP1601</v>
      </c>
      <c r="S340" s="99" t="str">
        <f t="shared" si="117"/>
        <v>BRSSZTB01</v>
      </c>
      <c r="T340" s="74" t="str">
        <f t="shared" si="117"/>
        <v>BRSSZTCO</v>
      </c>
      <c r="U340" s="6">
        <f t="shared" si="109"/>
        <v>32</v>
      </c>
      <c r="V340" s="102">
        <f t="shared" si="110"/>
        <v>44768.791666666664</v>
      </c>
      <c r="W340" s="102">
        <f t="shared" si="118"/>
        <v>44774.791666666664</v>
      </c>
      <c r="X340" s="102">
        <f t="shared" si="118"/>
        <v>44775.791666666664</v>
      </c>
      <c r="Y340" s="102">
        <f t="shared" si="118"/>
        <v>44775.895833333328</v>
      </c>
      <c r="Z340" s="102">
        <f t="shared" si="118"/>
        <v>44777.718518518515</v>
      </c>
      <c r="AA340" s="74" t="str">
        <f t="shared" ref="AA340:AB348" si="119">AA330</f>
        <v>BRIGI</v>
      </c>
      <c r="AB340" s="74" t="str">
        <f t="shared" si="119"/>
        <v>BRIGITCO</v>
      </c>
    </row>
    <row r="341" spans="12:28">
      <c r="L341" s="6" t="s">
        <v>12</v>
      </c>
      <c r="M341" s="106" t="s">
        <v>181</v>
      </c>
      <c r="N341" s="6">
        <f t="shared" si="101"/>
        <v>8</v>
      </c>
      <c r="O341" s="74" t="str">
        <f t="shared" si="117"/>
        <v>N</v>
      </c>
      <c r="P341" s="74" t="str">
        <f t="shared" si="117"/>
        <v>N</v>
      </c>
      <c r="Q341" s="74" t="str">
        <f t="shared" si="117"/>
        <v>BRIGI</v>
      </c>
      <c r="R341" s="99" t="str">
        <f t="shared" si="117"/>
        <v>ZP15A03</v>
      </c>
      <c r="S341" s="99" t="str">
        <f t="shared" si="117"/>
        <v>BRIGITB01</v>
      </c>
      <c r="T341" s="74" t="str">
        <f t="shared" si="117"/>
        <v>BRIGITCO</v>
      </c>
      <c r="U341" s="6">
        <f t="shared" si="109"/>
        <v>32</v>
      </c>
      <c r="V341" s="102">
        <f t="shared" si="110"/>
        <v>44771.094394891508</v>
      </c>
      <c r="W341" s="102">
        <f t="shared" si="118"/>
        <v>44777.094394891508</v>
      </c>
      <c r="X341" s="102">
        <f t="shared" si="118"/>
        <v>44778.094394891508</v>
      </c>
      <c r="Y341" s="102">
        <f t="shared" si="118"/>
        <v>44778.240228224844</v>
      </c>
      <c r="Z341" s="102">
        <f t="shared" si="118"/>
        <v>44779.433283780396</v>
      </c>
      <c r="AA341" s="74" t="str">
        <f t="shared" si="119"/>
        <v>BRSSA</v>
      </c>
      <c r="AB341" s="74" t="str">
        <f t="shared" si="119"/>
        <v>BRSSATCO</v>
      </c>
    </row>
    <row r="342" spans="12:28">
      <c r="L342" s="6" t="s">
        <v>12</v>
      </c>
      <c r="M342" s="106" t="s">
        <v>181</v>
      </c>
      <c r="N342" s="6">
        <f t="shared" si="101"/>
        <v>8</v>
      </c>
      <c r="O342" s="74" t="str">
        <f t="shared" si="117"/>
        <v>N</v>
      </c>
      <c r="P342" s="74" t="str">
        <f t="shared" si="117"/>
        <v>N</v>
      </c>
      <c r="Q342" s="74" t="str">
        <f t="shared" si="117"/>
        <v>BRSSA</v>
      </c>
      <c r="R342" s="99" t="str">
        <f t="shared" si="117"/>
        <v>ZP1202</v>
      </c>
      <c r="S342" s="99" t="str">
        <f t="shared" si="117"/>
        <v>BRSSATB01</v>
      </c>
      <c r="T342" s="74" t="str">
        <f t="shared" si="117"/>
        <v>BRSSATCO</v>
      </c>
      <c r="U342" s="6">
        <f t="shared" si="109"/>
        <v>33</v>
      </c>
      <c r="V342" s="102">
        <f t="shared" si="110"/>
        <v>44774.450297220996</v>
      </c>
      <c r="W342" s="102">
        <f t="shared" si="118"/>
        <v>44780.450297220996</v>
      </c>
      <c r="X342" s="102">
        <f t="shared" si="118"/>
        <v>44781.450297220996</v>
      </c>
      <c r="Y342" s="102">
        <f t="shared" si="118"/>
        <v>44781.533630554331</v>
      </c>
      <c r="Z342" s="102">
        <f t="shared" si="118"/>
        <v>44782.114186109888</v>
      </c>
      <c r="AA342" s="74" t="str">
        <f t="shared" si="119"/>
        <v>BRSUA</v>
      </c>
      <c r="AB342" s="74" t="str">
        <f t="shared" si="119"/>
        <v>BRSUATCO</v>
      </c>
    </row>
    <row r="343" spans="12:28">
      <c r="L343" s="6" t="s">
        <v>12</v>
      </c>
      <c r="M343" s="106" t="s">
        <v>181</v>
      </c>
      <c r="N343" s="6">
        <f t="shared" si="101"/>
        <v>8</v>
      </c>
      <c r="O343" s="74" t="str">
        <f t="shared" si="117"/>
        <v>N</v>
      </c>
      <c r="P343" s="74" t="str">
        <f t="shared" si="117"/>
        <v>N</v>
      </c>
      <c r="Q343" s="74" t="str">
        <f t="shared" si="117"/>
        <v>BRSUA</v>
      </c>
      <c r="R343" s="99" t="str">
        <f t="shared" si="117"/>
        <v>ZP901</v>
      </c>
      <c r="S343" s="99" t="str">
        <f t="shared" si="117"/>
        <v>BRSUATB02</v>
      </c>
      <c r="T343" s="74" t="str">
        <f t="shared" si="117"/>
        <v>BRSUATCO</v>
      </c>
      <c r="U343" s="6">
        <f t="shared" si="109"/>
        <v>33</v>
      </c>
      <c r="V343" s="102">
        <f t="shared" si="110"/>
        <v>44776.077702180381</v>
      </c>
      <c r="W343" s="102">
        <f t="shared" si="118"/>
        <v>44782.077702180381</v>
      </c>
      <c r="X343" s="102">
        <f t="shared" si="118"/>
        <v>44783.077702180381</v>
      </c>
      <c r="Y343" s="102">
        <f t="shared" si="118"/>
        <v>44783.140202180381</v>
      </c>
      <c r="Z343" s="102">
        <f t="shared" si="118"/>
        <v>44785.256868847042</v>
      </c>
      <c r="AA343" s="74" t="str">
        <f t="shared" si="119"/>
        <v>BRPEC</v>
      </c>
      <c r="AB343" s="74" t="str">
        <f t="shared" si="119"/>
        <v>BRPECAPM</v>
      </c>
    </row>
    <row r="344" spans="12:28">
      <c r="L344" s="6" t="s">
        <v>12</v>
      </c>
      <c r="M344" s="106" t="s">
        <v>181</v>
      </c>
      <c r="N344" s="6">
        <f t="shared" si="101"/>
        <v>8</v>
      </c>
      <c r="O344" s="74" t="str">
        <f t="shared" si="117"/>
        <v>N</v>
      </c>
      <c r="P344" s="74" t="str">
        <f t="shared" si="117"/>
        <v>N</v>
      </c>
      <c r="Q344" s="74" t="str">
        <f t="shared" si="117"/>
        <v>BRPEC</v>
      </c>
      <c r="R344" s="99" t="str">
        <f t="shared" si="117"/>
        <v>ZP501</v>
      </c>
      <c r="S344" s="99" t="str">
        <f t="shared" si="117"/>
        <v>BRPECTB01</v>
      </c>
      <c r="T344" s="74" t="str">
        <f t="shared" si="117"/>
        <v>BRPECAPM</v>
      </c>
      <c r="U344" s="6">
        <f t="shared" si="109"/>
        <v>33</v>
      </c>
      <c r="V344" s="102">
        <f t="shared" si="110"/>
        <v>44779.443242792273</v>
      </c>
      <c r="W344" s="102">
        <f t="shared" si="118"/>
        <v>44785.443242792273</v>
      </c>
      <c r="X344" s="102">
        <f t="shared" si="118"/>
        <v>44786.443242792273</v>
      </c>
      <c r="Y344" s="102">
        <f t="shared" si="118"/>
        <v>44786.526576125609</v>
      </c>
      <c r="Z344" s="102">
        <f t="shared" si="118"/>
        <v>44787.211298347829</v>
      </c>
      <c r="AA344" s="74" t="str">
        <f t="shared" si="119"/>
        <v>BRMCP</v>
      </c>
      <c r="AB344" s="74">
        <f t="shared" si="119"/>
        <v>0</v>
      </c>
    </row>
    <row r="345" spans="12:28">
      <c r="L345" s="6" t="s">
        <v>12</v>
      </c>
      <c r="M345" s="106" t="s">
        <v>181</v>
      </c>
      <c r="N345" s="6">
        <f t="shared" si="101"/>
        <v>8</v>
      </c>
      <c r="O345" s="74">
        <f t="shared" si="117"/>
        <v>0</v>
      </c>
      <c r="P345" s="74">
        <f t="shared" si="117"/>
        <v>0</v>
      </c>
      <c r="Q345" s="74" t="str">
        <f t="shared" si="117"/>
        <v>BRMCP</v>
      </c>
      <c r="R345" s="99" t="str">
        <f t="shared" si="117"/>
        <v>ZP101</v>
      </c>
      <c r="S345" s="99">
        <f t="shared" si="117"/>
        <v>0</v>
      </c>
      <c r="T345" s="74">
        <f t="shared" si="117"/>
        <v>0</v>
      </c>
      <c r="U345" s="6">
        <f t="shared" si="109"/>
        <v>34</v>
      </c>
      <c r="V345" s="102">
        <f t="shared" si="110"/>
        <v>44782.358029681898</v>
      </c>
      <c r="W345" s="102">
        <f t="shared" si="118"/>
        <v>44788.358029681898</v>
      </c>
      <c r="X345" s="102">
        <f t="shared" si="118"/>
        <v>44789.358029681898</v>
      </c>
      <c r="Y345" s="102">
        <f t="shared" si="118"/>
        <v>44789.399696348562</v>
      </c>
      <c r="Z345" s="102">
        <f t="shared" si="118"/>
        <v>44789.441363015227</v>
      </c>
      <c r="AA345" s="74" t="str">
        <f t="shared" si="119"/>
        <v>BRMAO</v>
      </c>
      <c r="AB345" s="74" t="str">
        <f t="shared" si="119"/>
        <v>BRMAOCHI</v>
      </c>
    </row>
    <row r="346" spans="12:28">
      <c r="L346" s="6" t="s">
        <v>12</v>
      </c>
      <c r="M346" s="106" t="s">
        <v>181</v>
      </c>
      <c r="N346" s="6">
        <f t="shared" si="101"/>
        <v>8</v>
      </c>
      <c r="O346" s="74" t="str">
        <f t="shared" si="117"/>
        <v>S</v>
      </c>
      <c r="P346" s="74" t="str">
        <f t="shared" si="117"/>
        <v>D</v>
      </c>
      <c r="Q346" s="74" t="str">
        <f>Q336</f>
        <v>BRMAO</v>
      </c>
      <c r="R346" s="99" t="str">
        <f t="shared" si="117"/>
        <v>ZP201</v>
      </c>
      <c r="S346" s="99" t="str">
        <f t="shared" si="117"/>
        <v>BRMAOTB01</v>
      </c>
      <c r="T346" s="74" t="str">
        <f t="shared" si="117"/>
        <v>BRMAOCHI</v>
      </c>
      <c r="U346" s="6">
        <f t="shared" si="109"/>
        <v>34</v>
      </c>
      <c r="V346" s="102">
        <f t="shared" si="110"/>
        <v>44784.227551957192</v>
      </c>
      <c r="W346" s="102">
        <f t="shared" si="118"/>
        <v>44790.227551957192</v>
      </c>
      <c r="X346" s="102">
        <f t="shared" si="118"/>
        <v>44791.227551957192</v>
      </c>
      <c r="Y346" s="102">
        <f t="shared" si="118"/>
        <v>44791.290051957192</v>
      </c>
      <c r="Z346" s="102">
        <f t="shared" si="118"/>
        <v>44794.380329734966</v>
      </c>
      <c r="AA346" s="74" t="str">
        <f t="shared" si="119"/>
        <v>BRMCP</v>
      </c>
      <c r="AB346" s="74">
        <f t="shared" si="119"/>
        <v>0</v>
      </c>
    </row>
    <row r="347" spans="12:28">
      <c r="L347" s="6" t="s">
        <v>12</v>
      </c>
      <c r="M347" s="106" t="s">
        <v>181</v>
      </c>
      <c r="N347" s="6">
        <f t="shared" ref="N347:N410" si="120">N307+1</f>
        <v>8</v>
      </c>
      <c r="O347" s="74">
        <f t="shared" si="117"/>
        <v>0</v>
      </c>
      <c r="P347" s="74">
        <f t="shared" si="117"/>
        <v>0</v>
      </c>
      <c r="Q347" s="74" t="str">
        <f t="shared" si="117"/>
        <v>BRMCP</v>
      </c>
      <c r="R347" s="99" t="str">
        <f t="shared" si="117"/>
        <v>ZP101</v>
      </c>
      <c r="S347" s="99">
        <f t="shared" si="117"/>
        <v>0</v>
      </c>
      <c r="T347" s="74">
        <f t="shared" si="117"/>
        <v>0</v>
      </c>
      <c r="U347" s="6">
        <f t="shared" si="109"/>
        <v>35</v>
      </c>
      <c r="V347" s="102">
        <f t="shared" si="110"/>
        <v>44788.843590077056</v>
      </c>
      <c r="W347" s="102">
        <f t="shared" si="118"/>
        <v>44794.843590077056</v>
      </c>
      <c r="X347" s="102">
        <f t="shared" si="118"/>
        <v>44795.843590077056</v>
      </c>
      <c r="Y347" s="102">
        <f t="shared" si="118"/>
        <v>44795.885256743721</v>
      </c>
      <c r="Z347" s="102">
        <f t="shared" si="118"/>
        <v>44795.926923410385</v>
      </c>
      <c r="AA347" s="74" t="str">
        <f t="shared" si="119"/>
        <v>BRPEC</v>
      </c>
      <c r="AB347" s="74" t="str">
        <f t="shared" si="119"/>
        <v>BRPECAPM</v>
      </c>
    </row>
    <row r="348" spans="12:28">
      <c r="L348" s="6" t="s">
        <v>12</v>
      </c>
      <c r="M348" s="106" t="s">
        <v>181</v>
      </c>
      <c r="N348" s="6">
        <f t="shared" si="120"/>
        <v>8</v>
      </c>
      <c r="O348" s="74" t="str">
        <f t="shared" ref="O348:T363" si="121">O338</f>
        <v>S</v>
      </c>
      <c r="P348" s="74" t="str">
        <f t="shared" si="121"/>
        <v>N</v>
      </c>
      <c r="Q348" s="74" t="str">
        <f t="shared" si="121"/>
        <v>BRPEC</v>
      </c>
      <c r="R348" s="99" t="str">
        <f t="shared" si="121"/>
        <v>ZP501</v>
      </c>
      <c r="S348" s="99" t="str">
        <f t="shared" si="121"/>
        <v>BRPECTB02</v>
      </c>
      <c r="T348" s="74" t="str">
        <f t="shared" si="121"/>
        <v>BRPECAPM</v>
      </c>
      <c r="U348" s="6">
        <f t="shared" si="109"/>
        <v>35</v>
      </c>
      <c r="V348" s="102">
        <f t="shared" si="110"/>
        <v>44791.073654745254</v>
      </c>
      <c r="W348" s="102">
        <f t="shared" ref="W348:Z363" si="122">W338+7</f>
        <v>44797.073654745254</v>
      </c>
      <c r="X348" s="102">
        <f t="shared" si="122"/>
        <v>44798.073654745254</v>
      </c>
      <c r="Y348" s="102">
        <f t="shared" si="122"/>
        <v>44798.15698807859</v>
      </c>
      <c r="Z348" s="102">
        <f t="shared" si="122"/>
        <v>44798.572265856368</v>
      </c>
      <c r="AA348" s="74" t="str">
        <f t="shared" si="119"/>
        <v>BRSUA</v>
      </c>
      <c r="AB348" s="74" t="str">
        <f t="shared" si="119"/>
        <v>BRSUATCO</v>
      </c>
    </row>
    <row r="349" spans="12:28">
      <c r="L349" s="6" t="s">
        <v>12</v>
      </c>
      <c r="M349" s="106" t="s">
        <v>181</v>
      </c>
      <c r="N349" s="6">
        <f t="shared" si="120"/>
        <v>8</v>
      </c>
      <c r="O349" s="74" t="str">
        <f t="shared" si="121"/>
        <v>S</v>
      </c>
      <c r="P349" s="74" t="str">
        <f t="shared" si="121"/>
        <v>N</v>
      </c>
      <c r="Q349" s="74" t="str">
        <f t="shared" si="121"/>
        <v>BRSUA</v>
      </c>
      <c r="R349" s="99" t="str">
        <f t="shared" si="121"/>
        <v>ZP901</v>
      </c>
      <c r="S349" s="99" t="str">
        <f t="shared" si="121"/>
        <v>BRSUATB02</v>
      </c>
      <c r="T349" s="74" t="str">
        <f t="shared" si="121"/>
        <v>BRSUATCO</v>
      </c>
      <c r="U349" s="6">
        <f t="shared" si="109"/>
        <v>35</v>
      </c>
      <c r="V349" s="102">
        <f t="shared" si="110"/>
        <v>44792.713121195025</v>
      </c>
      <c r="W349" s="102">
        <f t="shared" si="122"/>
        <v>44798.713121195025</v>
      </c>
      <c r="X349" s="102">
        <f t="shared" si="122"/>
        <v>44799.713121195025</v>
      </c>
      <c r="Y349" s="102">
        <f t="shared" si="122"/>
        <v>44799.775621195025</v>
      </c>
      <c r="Z349" s="102">
        <f t="shared" si="122"/>
        <v>44800.546454528354</v>
      </c>
      <c r="AA349" s="74" t="str">
        <f>AA339</f>
        <v>BRSSZ</v>
      </c>
      <c r="AB349" s="74" t="str">
        <f>AB339</f>
        <v>BRSSZTCO</v>
      </c>
    </row>
    <row r="350" spans="12:28">
      <c r="L350" s="6" t="s">
        <v>12</v>
      </c>
      <c r="M350" s="6" t="s">
        <v>182</v>
      </c>
      <c r="N350" s="6">
        <f t="shared" si="120"/>
        <v>8</v>
      </c>
      <c r="O350" s="74" t="str">
        <f t="shared" si="121"/>
        <v>N</v>
      </c>
      <c r="P350" s="74" t="str">
        <f t="shared" si="121"/>
        <v>B</v>
      </c>
      <c r="Q350" s="74" t="str">
        <f t="shared" si="121"/>
        <v>BRSSZ</v>
      </c>
      <c r="R350" s="99" t="str">
        <f t="shared" si="121"/>
        <v>ZP1601</v>
      </c>
      <c r="S350" s="99" t="str">
        <f t="shared" si="121"/>
        <v>BRSSZTB01</v>
      </c>
      <c r="T350" s="74" t="str">
        <f t="shared" si="121"/>
        <v>BRSSZTCO</v>
      </c>
      <c r="U350" s="6">
        <f t="shared" si="109"/>
        <v>33</v>
      </c>
      <c r="V350" s="102">
        <f t="shared" si="110"/>
        <v>44775.791666666664</v>
      </c>
      <c r="W350" s="102">
        <f t="shared" si="122"/>
        <v>44781.791666666664</v>
      </c>
      <c r="X350" s="102">
        <f t="shared" si="122"/>
        <v>44782.791666666664</v>
      </c>
      <c r="Y350" s="102">
        <f t="shared" si="122"/>
        <v>44782.895833333328</v>
      </c>
      <c r="Z350" s="102">
        <f t="shared" si="122"/>
        <v>44784.718518518515</v>
      </c>
      <c r="AA350" s="74" t="str">
        <f t="shared" ref="AA350:AB358" si="123">AA340</f>
        <v>BRIGI</v>
      </c>
      <c r="AB350" s="74" t="str">
        <f t="shared" si="123"/>
        <v>BRIGITCO</v>
      </c>
    </row>
    <row r="351" spans="12:28">
      <c r="L351" s="6" t="s">
        <v>12</v>
      </c>
      <c r="M351" s="6" t="s">
        <v>182</v>
      </c>
      <c r="N351" s="6">
        <f t="shared" si="120"/>
        <v>8</v>
      </c>
      <c r="O351" s="74" t="str">
        <f t="shared" si="121"/>
        <v>N</v>
      </c>
      <c r="P351" s="74" t="str">
        <f t="shared" si="121"/>
        <v>N</v>
      </c>
      <c r="Q351" s="74" t="str">
        <f t="shared" si="121"/>
        <v>BRIGI</v>
      </c>
      <c r="R351" s="99" t="str">
        <f t="shared" si="121"/>
        <v>ZP15A03</v>
      </c>
      <c r="S351" s="99" t="str">
        <f t="shared" si="121"/>
        <v>BRIGITB01</v>
      </c>
      <c r="T351" s="74" t="str">
        <f t="shared" si="121"/>
        <v>BRIGITCO</v>
      </c>
      <c r="U351" s="6">
        <f t="shared" si="109"/>
        <v>33</v>
      </c>
      <c r="V351" s="102">
        <f t="shared" si="110"/>
        <v>44778.094394891508</v>
      </c>
      <c r="W351" s="102">
        <f t="shared" si="122"/>
        <v>44784.094394891508</v>
      </c>
      <c r="X351" s="102">
        <f t="shared" si="122"/>
        <v>44785.094394891508</v>
      </c>
      <c r="Y351" s="102">
        <f t="shared" si="122"/>
        <v>44785.240228224844</v>
      </c>
      <c r="Z351" s="102">
        <f t="shared" si="122"/>
        <v>44786.433283780396</v>
      </c>
      <c r="AA351" s="74" t="str">
        <f t="shared" si="123"/>
        <v>BRSSA</v>
      </c>
      <c r="AB351" s="74" t="str">
        <f t="shared" si="123"/>
        <v>BRSSATCO</v>
      </c>
    </row>
    <row r="352" spans="12:28">
      <c r="L352" s="6" t="s">
        <v>12</v>
      </c>
      <c r="M352" s="6" t="s">
        <v>182</v>
      </c>
      <c r="N352" s="6">
        <f t="shared" si="120"/>
        <v>8</v>
      </c>
      <c r="O352" s="74" t="str">
        <f t="shared" si="121"/>
        <v>N</v>
      </c>
      <c r="P352" s="74" t="str">
        <f t="shared" si="121"/>
        <v>N</v>
      </c>
      <c r="Q352" s="74" t="str">
        <f t="shared" si="121"/>
        <v>BRSSA</v>
      </c>
      <c r="R352" s="99" t="str">
        <f t="shared" si="121"/>
        <v>ZP1202</v>
      </c>
      <c r="S352" s="99" t="str">
        <f t="shared" si="121"/>
        <v>BRSSATB01</v>
      </c>
      <c r="T352" s="74" t="str">
        <f t="shared" si="121"/>
        <v>BRSSATCO</v>
      </c>
      <c r="U352" s="6">
        <f t="shared" si="109"/>
        <v>34</v>
      </c>
      <c r="V352" s="102">
        <f t="shared" si="110"/>
        <v>44781.450297220996</v>
      </c>
      <c r="W352" s="102">
        <f t="shared" si="122"/>
        <v>44787.450297220996</v>
      </c>
      <c r="X352" s="102">
        <f t="shared" si="122"/>
        <v>44788.450297220996</v>
      </c>
      <c r="Y352" s="102">
        <f t="shared" si="122"/>
        <v>44788.533630554331</v>
      </c>
      <c r="Z352" s="102">
        <f t="shared" si="122"/>
        <v>44789.114186109888</v>
      </c>
      <c r="AA352" s="74" t="str">
        <f t="shared" si="123"/>
        <v>BRSUA</v>
      </c>
      <c r="AB352" s="74" t="str">
        <f t="shared" si="123"/>
        <v>BRSUATCO</v>
      </c>
    </row>
    <row r="353" spans="12:28">
      <c r="L353" s="6" t="s">
        <v>12</v>
      </c>
      <c r="M353" s="6" t="s">
        <v>182</v>
      </c>
      <c r="N353" s="6">
        <f t="shared" si="120"/>
        <v>8</v>
      </c>
      <c r="O353" s="74" t="str">
        <f t="shared" si="121"/>
        <v>N</v>
      </c>
      <c r="P353" s="74" t="str">
        <f t="shared" si="121"/>
        <v>N</v>
      </c>
      <c r="Q353" s="74" t="str">
        <f t="shared" si="121"/>
        <v>BRSUA</v>
      </c>
      <c r="R353" s="99" t="str">
        <f t="shared" si="121"/>
        <v>ZP901</v>
      </c>
      <c r="S353" s="99" t="str">
        <f t="shared" si="121"/>
        <v>BRSUATB02</v>
      </c>
      <c r="T353" s="74" t="str">
        <f t="shared" si="121"/>
        <v>BRSUATCO</v>
      </c>
      <c r="U353" s="6">
        <f t="shared" si="109"/>
        <v>34</v>
      </c>
      <c r="V353" s="102">
        <f t="shared" si="110"/>
        <v>44783.077702180381</v>
      </c>
      <c r="W353" s="102">
        <f t="shared" si="122"/>
        <v>44789.077702180381</v>
      </c>
      <c r="X353" s="102">
        <f t="shared" si="122"/>
        <v>44790.077702180381</v>
      </c>
      <c r="Y353" s="102">
        <f t="shared" si="122"/>
        <v>44790.140202180381</v>
      </c>
      <c r="Z353" s="102">
        <f t="shared" si="122"/>
        <v>44792.256868847042</v>
      </c>
      <c r="AA353" s="74" t="str">
        <f t="shared" si="123"/>
        <v>BRPEC</v>
      </c>
      <c r="AB353" s="74" t="str">
        <f t="shared" si="123"/>
        <v>BRPECAPM</v>
      </c>
    </row>
    <row r="354" spans="12:28">
      <c r="L354" s="6" t="s">
        <v>12</v>
      </c>
      <c r="M354" s="6" t="s">
        <v>182</v>
      </c>
      <c r="N354" s="6">
        <f t="shared" si="120"/>
        <v>8</v>
      </c>
      <c r="O354" s="74" t="str">
        <f t="shared" si="121"/>
        <v>N</v>
      </c>
      <c r="P354" s="74" t="str">
        <f t="shared" si="121"/>
        <v>N</v>
      </c>
      <c r="Q354" s="74" t="str">
        <f t="shared" si="121"/>
        <v>BRPEC</v>
      </c>
      <c r="R354" s="99" t="str">
        <f t="shared" si="121"/>
        <v>ZP501</v>
      </c>
      <c r="S354" s="99" t="str">
        <f t="shared" si="121"/>
        <v>BRPECTB01</v>
      </c>
      <c r="T354" s="74" t="str">
        <f t="shared" si="121"/>
        <v>BRPECAPM</v>
      </c>
      <c r="U354" s="6">
        <f t="shared" si="109"/>
        <v>34</v>
      </c>
      <c r="V354" s="102">
        <f t="shared" si="110"/>
        <v>44786.443242792273</v>
      </c>
      <c r="W354" s="102">
        <f t="shared" si="122"/>
        <v>44792.443242792273</v>
      </c>
      <c r="X354" s="102">
        <f t="shared" si="122"/>
        <v>44793.443242792273</v>
      </c>
      <c r="Y354" s="102">
        <f t="shared" si="122"/>
        <v>44793.526576125609</v>
      </c>
      <c r="Z354" s="102">
        <f t="shared" si="122"/>
        <v>44794.211298347829</v>
      </c>
      <c r="AA354" s="74" t="str">
        <f t="shared" si="123"/>
        <v>BRMCP</v>
      </c>
      <c r="AB354" s="74">
        <f t="shared" si="123"/>
        <v>0</v>
      </c>
    </row>
    <row r="355" spans="12:28">
      <c r="L355" s="6" t="s">
        <v>12</v>
      </c>
      <c r="M355" s="6" t="s">
        <v>182</v>
      </c>
      <c r="N355" s="6">
        <f t="shared" si="120"/>
        <v>8</v>
      </c>
      <c r="O355" s="74">
        <f t="shared" si="121"/>
        <v>0</v>
      </c>
      <c r="P355" s="74">
        <f t="shared" si="121"/>
        <v>0</v>
      </c>
      <c r="Q355" s="74" t="str">
        <f t="shared" si="121"/>
        <v>BRMCP</v>
      </c>
      <c r="R355" s="99" t="str">
        <f t="shared" si="121"/>
        <v>ZP101</v>
      </c>
      <c r="S355" s="99">
        <f t="shared" si="121"/>
        <v>0</v>
      </c>
      <c r="T355" s="74">
        <f t="shared" si="121"/>
        <v>0</v>
      </c>
      <c r="U355" s="6">
        <f t="shared" si="109"/>
        <v>35</v>
      </c>
      <c r="V355" s="102">
        <f t="shared" si="110"/>
        <v>44789.358029681898</v>
      </c>
      <c r="W355" s="102">
        <f t="shared" si="122"/>
        <v>44795.358029681898</v>
      </c>
      <c r="X355" s="102">
        <f t="shared" si="122"/>
        <v>44796.358029681898</v>
      </c>
      <c r="Y355" s="102">
        <f t="shared" si="122"/>
        <v>44796.399696348562</v>
      </c>
      <c r="Z355" s="102">
        <f t="shared" si="122"/>
        <v>44796.441363015227</v>
      </c>
      <c r="AA355" s="74" t="str">
        <f t="shared" si="123"/>
        <v>BRMAO</v>
      </c>
      <c r="AB355" s="74" t="str">
        <f t="shared" si="123"/>
        <v>BRMAOCHI</v>
      </c>
    </row>
    <row r="356" spans="12:28">
      <c r="L356" s="6" t="s">
        <v>12</v>
      </c>
      <c r="M356" s="6" t="s">
        <v>182</v>
      </c>
      <c r="N356" s="6">
        <f t="shared" si="120"/>
        <v>8</v>
      </c>
      <c r="O356" s="74" t="str">
        <f t="shared" si="121"/>
        <v>S</v>
      </c>
      <c r="P356" s="74" t="str">
        <f t="shared" si="121"/>
        <v>D</v>
      </c>
      <c r="Q356" s="74" t="str">
        <f t="shared" si="121"/>
        <v>BRMAO</v>
      </c>
      <c r="R356" s="99" t="str">
        <f t="shared" si="121"/>
        <v>ZP201</v>
      </c>
      <c r="S356" s="99" t="str">
        <f t="shared" si="121"/>
        <v>BRMAOTB01</v>
      </c>
      <c r="T356" s="74" t="str">
        <f t="shared" si="121"/>
        <v>BRMAOCHI</v>
      </c>
      <c r="U356" s="6">
        <f t="shared" si="109"/>
        <v>35</v>
      </c>
      <c r="V356" s="102">
        <f t="shared" si="110"/>
        <v>44791.227551957192</v>
      </c>
      <c r="W356" s="102">
        <f t="shared" si="122"/>
        <v>44797.227551957192</v>
      </c>
      <c r="X356" s="102">
        <f t="shared" si="122"/>
        <v>44798.227551957192</v>
      </c>
      <c r="Y356" s="102">
        <f t="shared" si="122"/>
        <v>44798.290051957192</v>
      </c>
      <c r="Z356" s="102">
        <f t="shared" si="122"/>
        <v>44801.380329734966</v>
      </c>
      <c r="AA356" s="74" t="str">
        <f t="shared" si="123"/>
        <v>BRMCP</v>
      </c>
      <c r="AB356" s="74">
        <f t="shared" si="123"/>
        <v>0</v>
      </c>
    </row>
    <row r="357" spans="12:28">
      <c r="L357" s="6" t="s">
        <v>12</v>
      </c>
      <c r="M357" s="6" t="s">
        <v>182</v>
      </c>
      <c r="N357" s="6">
        <f t="shared" si="120"/>
        <v>8</v>
      </c>
      <c r="O357" s="74">
        <f t="shared" si="121"/>
        <v>0</v>
      </c>
      <c r="P357" s="74">
        <f t="shared" si="121"/>
        <v>0</v>
      </c>
      <c r="Q357" s="74" t="str">
        <f t="shared" si="121"/>
        <v>BRMCP</v>
      </c>
      <c r="R357" s="99" t="str">
        <f t="shared" si="121"/>
        <v>ZP101</v>
      </c>
      <c r="S357" s="99">
        <f t="shared" si="121"/>
        <v>0</v>
      </c>
      <c r="T357" s="74">
        <f t="shared" si="121"/>
        <v>0</v>
      </c>
      <c r="U357" s="6">
        <f t="shared" si="109"/>
        <v>36</v>
      </c>
      <c r="V357" s="102">
        <f t="shared" si="110"/>
        <v>44795.843590077056</v>
      </c>
      <c r="W357" s="102">
        <f t="shared" si="122"/>
        <v>44801.843590077056</v>
      </c>
      <c r="X357" s="102">
        <f t="shared" si="122"/>
        <v>44802.843590077056</v>
      </c>
      <c r="Y357" s="102">
        <f t="shared" si="122"/>
        <v>44802.885256743721</v>
      </c>
      <c r="Z357" s="102">
        <f t="shared" si="122"/>
        <v>44802.926923410385</v>
      </c>
      <c r="AA357" s="74" t="str">
        <f t="shared" si="123"/>
        <v>BRPEC</v>
      </c>
      <c r="AB357" s="74" t="str">
        <f t="shared" si="123"/>
        <v>BRPECAPM</v>
      </c>
    </row>
    <row r="358" spans="12:28">
      <c r="L358" s="6" t="s">
        <v>12</v>
      </c>
      <c r="M358" s="6" t="s">
        <v>182</v>
      </c>
      <c r="N358" s="6">
        <f t="shared" si="120"/>
        <v>8</v>
      </c>
      <c r="O358" s="74" t="str">
        <f t="shared" si="121"/>
        <v>S</v>
      </c>
      <c r="P358" s="74" t="str">
        <f t="shared" si="121"/>
        <v>N</v>
      </c>
      <c r="Q358" s="74" t="str">
        <f t="shared" si="121"/>
        <v>BRPEC</v>
      </c>
      <c r="R358" s="99" t="str">
        <f t="shared" si="121"/>
        <v>ZP501</v>
      </c>
      <c r="S358" s="99" t="str">
        <f t="shared" si="121"/>
        <v>BRPECTB02</v>
      </c>
      <c r="T358" s="74" t="str">
        <f t="shared" si="121"/>
        <v>BRPECAPM</v>
      </c>
      <c r="U358" s="6">
        <f t="shared" si="109"/>
        <v>36</v>
      </c>
      <c r="V358" s="102">
        <f t="shared" si="110"/>
        <v>44798.073654745254</v>
      </c>
      <c r="W358" s="102">
        <f t="shared" si="122"/>
        <v>44804.073654745254</v>
      </c>
      <c r="X358" s="102">
        <f t="shared" si="122"/>
        <v>44805.073654745254</v>
      </c>
      <c r="Y358" s="102">
        <f t="shared" si="122"/>
        <v>44805.15698807859</v>
      </c>
      <c r="Z358" s="102">
        <f t="shared" si="122"/>
        <v>44805.572265856368</v>
      </c>
      <c r="AA358" s="74" t="str">
        <f t="shared" si="123"/>
        <v>BRSUA</v>
      </c>
      <c r="AB358" s="74" t="str">
        <f t="shared" si="123"/>
        <v>BRSUATCO</v>
      </c>
    </row>
    <row r="359" spans="12:28">
      <c r="L359" s="6" t="s">
        <v>12</v>
      </c>
      <c r="M359" s="6" t="s">
        <v>182</v>
      </c>
      <c r="N359" s="6">
        <f t="shared" si="120"/>
        <v>8</v>
      </c>
      <c r="O359" s="74" t="str">
        <f t="shared" si="121"/>
        <v>S</v>
      </c>
      <c r="P359" s="74" t="str">
        <f t="shared" si="121"/>
        <v>N</v>
      </c>
      <c r="Q359" s="74" t="str">
        <f t="shared" si="121"/>
        <v>BRSUA</v>
      </c>
      <c r="R359" s="99" t="str">
        <f t="shared" si="121"/>
        <v>ZP901</v>
      </c>
      <c r="S359" s="99" t="str">
        <f t="shared" si="121"/>
        <v>BRSUATB02</v>
      </c>
      <c r="T359" s="74" t="str">
        <f t="shared" si="121"/>
        <v>BRSUATCO</v>
      </c>
      <c r="U359" s="6">
        <f t="shared" si="109"/>
        <v>36</v>
      </c>
      <c r="V359" s="102">
        <f t="shared" si="110"/>
        <v>44799.713121195025</v>
      </c>
      <c r="W359" s="102">
        <f t="shared" si="122"/>
        <v>44805.713121195025</v>
      </c>
      <c r="X359" s="102">
        <f t="shared" si="122"/>
        <v>44806.713121195025</v>
      </c>
      <c r="Y359" s="102">
        <f t="shared" si="122"/>
        <v>44806.775621195025</v>
      </c>
      <c r="Z359" s="102">
        <f t="shared" si="122"/>
        <v>44807.546454528354</v>
      </c>
      <c r="AA359" s="74" t="str">
        <f>AA349</f>
        <v>BRSSZ</v>
      </c>
      <c r="AB359" s="74" t="str">
        <f>AB349</f>
        <v>BRSSZTCO</v>
      </c>
    </row>
    <row r="360" spans="12:28">
      <c r="L360" s="6" t="s">
        <v>12</v>
      </c>
      <c r="M360" s="106" t="s">
        <v>183</v>
      </c>
      <c r="N360" s="6">
        <f t="shared" si="120"/>
        <v>8</v>
      </c>
      <c r="O360" s="74" t="str">
        <f t="shared" si="121"/>
        <v>N</v>
      </c>
      <c r="P360" s="74" t="str">
        <f t="shared" si="121"/>
        <v>B</v>
      </c>
      <c r="Q360" s="74" t="str">
        <f t="shared" si="121"/>
        <v>BRSSZ</v>
      </c>
      <c r="R360" s="99" t="str">
        <f t="shared" si="121"/>
        <v>ZP1601</v>
      </c>
      <c r="S360" s="99" t="str">
        <f t="shared" si="121"/>
        <v>BRSSZTB01</v>
      </c>
      <c r="T360" s="74" t="str">
        <f t="shared" si="121"/>
        <v>BRSSZTCO</v>
      </c>
      <c r="U360" s="6">
        <f t="shared" si="109"/>
        <v>34</v>
      </c>
      <c r="V360" s="102">
        <f t="shared" si="110"/>
        <v>44782.791666666664</v>
      </c>
      <c r="W360" s="102">
        <f t="shared" si="122"/>
        <v>44788.791666666664</v>
      </c>
      <c r="X360" s="102">
        <f t="shared" si="122"/>
        <v>44789.791666666664</v>
      </c>
      <c r="Y360" s="102">
        <f t="shared" si="122"/>
        <v>44789.895833333328</v>
      </c>
      <c r="Z360" s="102">
        <f t="shared" si="122"/>
        <v>44791.718518518515</v>
      </c>
      <c r="AA360" s="74" t="str">
        <f t="shared" ref="AA360:AB368" si="124">AA350</f>
        <v>BRIGI</v>
      </c>
      <c r="AB360" s="74" t="str">
        <f t="shared" si="124"/>
        <v>BRIGITCO</v>
      </c>
    </row>
    <row r="361" spans="12:28">
      <c r="L361" s="6" t="s">
        <v>12</v>
      </c>
      <c r="M361" s="106" t="s">
        <v>183</v>
      </c>
      <c r="N361" s="6">
        <f t="shared" si="120"/>
        <v>8</v>
      </c>
      <c r="O361" s="74" t="str">
        <f t="shared" si="121"/>
        <v>N</v>
      </c>
      <c r="P361" s="74" t="str">
        <f t="shared" si="121"/>
        <v>N</v>
      </c>
      <c r="Q361" s="74" t="str">
        <f t="shared" si="121"/>
        <v>BRIGI</v>
      </c>
      <c r="R361" s="99" t="str">
        <f t="shared" si="121"/>
        <v>ZP15A03</v>
      </c>
      <c r="S361" s="99" t="str">
        <f t="shared" si="121"/>
        <v>BRIGITB01</v>
      </c>
      <c r="T361" s="74" t="str">
        <f t="shared" si="121"/>
        <v>BRIGITCO</v>
      </c>
      <c r="U361" s="6">
        <f t="shared" si="109"/>
        <v>34</v>
      </c>
      <c r="V361" s="102">
        <f t="shared" si="110"/>
        <v>44785.094394891508</v>
      </c>
      <c r="W361" s="102">
        <f t="shared" si="122"/>
        <v>44791.094394891508</v>
      </c>
      <c r="X361" s="102">
        <f t="shared" si="122"/>
        <v>44792.094394891508</v>
      </c>
      <c r="Y361" s="102">
        <f t="shared" si="122"/>
        <v>44792.240228224844</v>
      </c>
      <c r="Z361" s="102">
        <f t="shared" si="122"/>
        <v>44793.433283780396</v>
      </c>
      <c r="AA361" s="74" t="str">
        <f t="shared" si="124"/>
        <v>BRSSA</v>
      </c>
      <c r="AB361" s="74" t="str">
        <f t="shared" si="124"/>
        <v>BRSSATCO</v>
      </c>
    </row>
    <row r="362" spans="12:28">
      <c r="L362" s="6" t="s">
        <v>12</v>
      </c>
      <c r="M362" s="106" t="s">
        <v>183</v>
      </c>
      <c r="N362" s="6">
        <f t="shared" si="120"/>
        <v>8</v>
      </c>
      <c r="O362" s="74" t="str">
        <f t="shared" si="121"/>
        <v>N</v>
      </c>
      <c r="P362" s="74" t="str">
        <f t="shared" si="121"/>
        <v>N</v>
      </c>
      <c r="Q362" s="74" t="str">
        <f t="shared" si="121"/>
        <v>BRSSA</v>
      </c>
      <c r="R362" s="99" t="str">
        <f t="shared" si="121"/>
        <v>ZP1202</v>
      </c>
      <c r="S362" s="99" t="str">
        <f t="shared" si="121"/>
        <v>BRSSATB01</v>
      </c>
      <c r="T362" s="74" t="str">
        <f t="shared" si="121"/>
        <v>BRSSATCO</v>
      </c>
      <c r="U362" s="6">
        <f t="shared" si="109"/>
        <v>35</v>
      </c>
      <c r="V362" s="102">
        <f t="shared" si="110"/>
        <v>44788.450297220996</v>
      </c>
      <c r="W362" s="102">
        <f t="shared" si="122"/>
        <v>44794.450297220996</v>
      </c>
      <c r="X362" s="102">
        <f t="shared" si="122"/>
        <v>44795.450297220996</v>
      </c>
      <c r="Y362" s="102">
        <f t="shared" si="122"/>
        <v>44795.533630554331</v>
      </c>
      <c r="Z362" s="102">
        <f t="shared" si="122"/>
        <v>44796.114186109888</v>
      </c>
      <c r="AA362" s="74" t="str">
        <f t="shared" si="124"/>
        <v>BRSUA</v>
      </c>
      <c r="AB362" s="74" t="str">
        <f t="shared" si="124"/>
        <v>BRSUATCO</v>
      </c>
    </row>
    <row r="363" spans="12:28">
      <c r="L363" s="6" t="s">
        <v>12</v>
      </c>
      <c r="M363" s="106" t="s">
        <v>183</v>
      </c>
      <c r="N363" s="6">
        <f t="shared" si="120"/>
        <v>8</v>
      </c>
      <c r="O363" s="74" t="str">
        <f t="shared" si="121"/>
        <v>N</v>
      </c>
      <c r="P363" s="74" t="str">
        <f t="shared" si="121"/>
        <v>N</v>
      </c>
      <c r="Q363" s="74" t="str">
        <f t="shared" si="121"/>
        <v>BRSUA</v>
      </c>
      <c r="R363" s="99" t="str">
        <f t="shared" si="121"/>
        <v>ZP901</v>
      </c>
      <c r="S363" s="99" t="str">
        <f t="shared" si="121"/>
        <v>BRSUATB02</v>
      </c>
      <c r="T363" s="74" t="str">
        <f t="shared" si="121"/>
        <v>BRSUATCO</v>
      </c>
      <c r="U363" s="6">
        <f t="shared" si="109"/>
        <v>35</v>
      </c>
      <c r="V363" s="102">
        <f t="shared" si="110"/>
        <v>44790.077702180381</v>
      </c>
      <c r="W363" s="102">
        <f t="shared" si="122"/>
        <v>44796.077702180381</v>
      </c>
      <c r="X363" s="102">
        <f t="shared" si="122"/>
        <v>44797.077702180381</v>
      </c>
      <c r="Y363" s="102">
        <f t="shared" si="122"/>
        <v>44797.140202180381</v>
      </c>
      <c r="Z363" s="102">
        <f t="shared" si="122"/>
        <v>44799.256868847042</v>
      </c>
      <c r="AA363" s="74" t="str">
        <f t="shared" si="124"/>
        <v>BRPEC</v>
      </c>
      <c r="AB363" s="74" t="str">
        <f t="shared" si="124"/>
        <v>BRPECAPM</v>
      </c>
    </row>
    <row r="364" spans="12:28">
      <c r="L364" s="6" t="s">
        <v>12</v>
      </c>
      <c r="M364" s="106" t="s">
        <v>183</v>
      </c>
      <c r="N364" s="6">
        <f t="shared" si="120"/>
        <v>8</v>
      </c>
      <c r="O364" s="74" t="str">
        <f t="shared" ref="O364:T379" si="125">O354</f>
        <v>N</v>
      </c>
      <c r="P364" s="74" t="str">
        <f t="shared" si="125"/>
        <v>N</v>
      </c>
      <c r="Q364" s="74" t="str">
        <f t="shared" si="125"/>
        <v>BRPEC</v>
      </c>
      <c r="R364" s="99" t="str">
        <f t="shared" si="125"/>
        <v>ZP501</v>
      </c>
      <c r="S364" s="99" t="str">
        <f t="shared" si="125"/>
        <v>BRPECTB01</v>
      </c>
      <c r="T364" s="74" t="str">
        <f t="shared" si="125"/>
        <v>BRPECAPM</v>
      </c>
      <c r="U364" s="6">
        <f t="shared" si="109"/>
        <v>35</v>
      </c>
      <c r="V364" s="102">
        <f t="shared" si="110"/>
        <v>44793.443242792273</v>
      </c>
      <c r="W364" s="102">
        <f t="shared" ref="W364:Z379" si="126">W354+7</f>
        <v>44799.443242792273</v>
      </c>
      <c r="X364" s="102">
        <f t="shared" si="126"/>
        <v>44800.443242792273</v>
      </c>
      <c r="Y364" s="102">
        <f t="shared" si="126"/>
        <v>44800.526576125609</v>
      </c>
      <c r="Z364" s="102">
        <f t="shared" si="126"/>
        <v>44801.211298347829</v>
      </c>
      <c r="AA364" s="74" t="str">
        <f t="shared" si="124"/>
        <v>BRMCP</v>
      </c>
      <c r="AB364" s="74">
        <f t="shared" si="124"/>
        <v>0</v>
      </c>
    </row>
    <row r="365" spans="12:28">
      <c r="L365" s="6" t="s">
        <v>12</v>
      </c>
      <c r="M365" s="106" t="s">
        <v>183</v>
      </c>
      <c r="N365" s="6">
        <f t="shared" si="120"/>
        <v>8</v>
      </c>
      <c r="O365" s="74">
        <f t="shared" si="125"/>
        <v>0</v>
      </c>
      <c r="P365" s="74">
        <f t="shared" si="125"/>
        <v>0</v>
      </c>
      <c r="Q365" s="74" t="str">
        <f t="shared" si="125"/>
        <v>BRMCP</v>
      </c>
      <c r="R365" s="99" t="str">
        <f t="shared" si="125"/>
        <v>ZP101</v>
      </c>
      <c r="S365" s="99">
        <f t="shared" si="125"/>
        <v>0</v>
      </c>
      <c r="T365" s="74">
        <f t="shared" si="125"/>
        <v>0</v>
      </c>
      <c r="U365" s="6">
        <f t="shared" si="109"/>
        <v>36</v>
      </c>
      <c r="V365" s="102">
        <f t="shared" si="110"/>
        <v>44796.358029681898</v>
      </c>
      <c r="W365" s="102">
        <f t="shared" si="126"/>
        <v>44802.358029681898</v>
      </c>
      <c r="X365" s="102">
        <f t="shared" si="126"/>
        <v>44803.358029681898</v>
      </c>
      <c r="Y365" s="102">
        <f t="shared" si="126"/>
        <v>44803.399696348562</v>
      </c>
      <c r="Z365" s="102">
        <f t="shared" si="126"/>
        <v>44803.441363015227</v>
      </c>
      <c r="AA365" s="74" t="str">
        <f t="shared" si="124"/>
        <v>BRMAO</v>
      </c>
      <c r="AB365" s="74" t="str">
        <f t="shared" si="124"/>
        <v>BRMAOCHI</v>
      </c>
    </row>
    <row r="366" spans="12:28">
      <c r="L366" s="6" t="s">
        <v>12</v>
      </c>
      <c r="M366" s="106" t="s">
        <v>183</v>
      </c>
      <c r="N366" s="6">
        <f t="shared" si="120"/>
        <v>8</v>
      </c>
      <c r="O366" s="74" t="str">
        <f t="shared" si="125"/>
        <v>S</v>
      </c>
      <c r="P366" s="74" t="str">
        <f t="shared" si="125"/>
        <v>D</v>
      </c>
      <c r="Q366" s="74" t="str">
        <f>Q356</f>
        <v>BRMAO</v>
      </c>
      <c r="R366" s="99" t="str">
        <f t="shared" si="125"/>
        <v>ZP201</v>
      </c>
      <c r="S366" s="99" t="str">
        <f t="shared" si="125"/>
        <v>BRMAOTB01</v>
      </c>
      <c r="T366" s="74" t="str">
        <f t="shared" si="125"/>
        <v>BRMAOCHI</v>
      </c>
      <c r="U366" s="6">
        <f t="shared" si="109"/>
        <v>36</v>
      </c>
      <c r="V366" s="102">
        <f t="shared" si="110"/>
        <v>44798.227551957192</v>
      </c>
      <c r="W366" s="102">
        <f t="shared" si="126"/>
        <v>44804.227551957192</v>
      </c>
      <c r="X366" s="102">
        <f t="shared" si="126"/>
        <v>44805.227551957192</v>
      </c>
      <c r="Y366" s="102">
        <f t="shared" si="126"/>
        <v>44805.290051957192</v>
      </c>
      <c r="Z366" s="102">
        <f t="shared" si="126"/>
        <v>44808.380329734966</v>
      </c>
      <c r="AA366" s="74" t="str">
        <f t="shared" si="124"/>
        <v>BRMCP</v>
      </c>
      <c r="AB366" s="74">
        <f t="shared" si="124"/>
        <v>0</v>
      </c>
    </row>
    <row r="367" spans="12:28">
      <c r="L367" s="6" t="s">
        <v>12</v>
      </c>
      <c r="M367" s="106" t="s">
        <v>183</v>
      </c>
      <c r="N367" s="6">
        <f t="shared" si="120"/>
        <v>8</v>
      </c>
      <c r="O367" s="74">
        <f t="shared" si="125"/>
        <v>0</v>
      </c>
      <c r="P367" s="74">
        <f t="shared" si="125"/>
        <v>0</v>
      </c>
      <c r="Q367" s="74" t="str">
        <f t="shared" si="125"/>
        <v>BRMCP</v>
      </c>
      <c r="R367" s="99" t="str">
        <f t="shared" si="125"/>
        <v>ZP101</v>
      </c>
      <c r="S367" s="99">
        <f t="shared" si="125"/>
        <v>0</v>
      </c>
      <c r="T367" s="74">
        <f t="shared" si="125"/>
        <v>0</v>
      </c>
      <c r="U367" s="6">
        <f t="shared" si="109"/>
        <v>37</v>
      </c>
      <c r="V367" s="102">
        <f t="shared" si="110"/>
        <v>44802.843590077056</v>
      </c>
      <c r="W367" s="102">
        <f t="shared" si="126"/>
        <v>44808.843590077056</v>
      </c>
      <c r="X367" s="102">
        <f t="shared" si="126"/>
        <v>44809.843590077056</v>
      </c>
      <c r="Y367" s="102">
        <f t="shared" si="126"/>
        <v>44809.885256743721</v>
      </c>
      <c r="Z367" s="102">
        <f t="shared" si="126"/>
        <v>44809.926923410385</v>
      </c>
      <c r="AA367" s="74" t="str">
        <f t="shared" si="124"/>
        <v>BRPEC</v>
      </c>
      <c r="AB367" s="74" t="str">
        <f t="shared" si="124"/>
        <v>BRPECAPM</v>
      </c>
    </row>
    <row r="368" spans="12:28">
      <c r="L368" s="6" t="s">
        <v>12</v>
      </c>
      <c r="M368" s="106" t="s">
        <v>183</v>
      </c>
      <c r="N368" s="6">
        <f t="shared" si="120"/>
        <v>8</v>
      </c>
      <c r="O368" s="74" t="str">
        <f t="shared" si="125"/>
        <v>S</v>
      </c>
      <c r="P368" s="74" t="str">
        <f t="shared" si="125"/>
        <v>N</v>
      </c>
      <c r="Q368" s="74" t="str">
        <f t="shared" si="125"/>
        <v>BRPEC</v>
      </c>
      <c r="R368" s="99" t="str">
        <f t="shared" si="125"/>
        <v>ZP501</v>
      </c>
      <c r="S368" s="99" t="str">
        <f t="shared" si="125"/>
        <v>BRPECTB02</v>
      </c>
      <c r="T368" s="74" t="str">
        <f t="shared" si="125"/>
        <v>BRPECAPM</v>
      </c>
      <c r="U368" s="6">
        <f t="shared" si="109"/>
        <v>37</v>
      </c>
      <c r="V368" s="102">
        <f t="shared" si="110"/>
        <v>44805.073654745254</v>
      </c>
      <c r="W368" s="102">
        <f t="shared" si="126"/>
        <v>44811.073654745254</v>
      </c>
      <c r="X368" s="102">
        <f t="shared" si="126"/>
        <v>44812.073654745254</v>
      </c>
      <c r="Y368" s="102">
        <f t="shared" si="126"/>
        <v>44812.15698807859</v>
      </c>
      <c r="Z368" s="102">
        <f t="shared" si="126"/>
        <v>44812.572265856368</v>
      </c>
      <c r="AA368" s="74" t="str">
        <f t="shared" si="124"/>
        <v>BRSUA</v>
      </c>
      <c r="AB368" s="74" t="str">
        <f t="shared" si="124"/>
        <v>BRSUATCO</v>
      </c>
    </row>
    <row r="369" spans="12:28">
      <c r="L369" s="6" t="s">
        <v>12</v>
      </c>
      <c r="M369" s="106" t="s">
        <v>183</v>
      </c>
      <c r="N369" s="6">
        <f t="shared" si="120"/>
        <v>8</v>
      </c>
      <c r="O369" s="74" t="str">
        <f t="shared" si="125"/>
        <v>S</v>
      </c>
      <c r="P369" s="74" t="str">
        <f t="shared" si="125"/>
        <v>N</v>
      </c>
      <c r="Q369" s="74" t="str">
        <f t="shared" si="125"/>
        <v>BRSUA</v>
      </c>
      <c r="R369" s="99" t="str">
        <f t="shared" si="125"/>
        <v>ZP901</v>
      </c>
      <c r="S369" s="99" t="str">
        <f t="shared" si="125"/>
        <v>BRSUATB02</v>
      </c>
      <c r="T369" s="74" t="str">
        <f t="shared" si="125"/>
        <v>BRSUATCO</v>
      </c>
      <c r="U369" s="6">
        <f t="shared" si="109"/>
        <v>37</v>
      </c>
      <c r="V369" s="102">
        <f t="shared" si="110"/>
        <v>44806.713121195025</v>
      </c>
      <c r="W369" s="102">
        <f t="shared" si="126"/>
        <v>44812.713121195025</v>
      </c>
      <c r="X369" s="102">
        <f t="shared" si="126"/>
        <v>44813.713121195025</v>
      </c>
      <c r="Y369" s="102">
        <f t="shared" si="126"/>
        <v>44813.775621195025</v>
      </c>
      <c r="Z369" s="102">
        <f t="shared" si="126"/>
        <v>44814.546454528354</v>
      </c>
      <c r="AA369" s="74" t="str">
        <f>AA359</f>
        <v>BRSSZ</v>
      </c>
      <c r="AB369" s="74" t="str">
        <f>AB359</f>
        <v>BRSSZTCO</v>
      </c>
    </row>
    <row r="370" spans="12:28">
      <c r="L370" s="6" t="s">
        <v>12</v>
      </c>
      <c r="M370" s="6" t="str">
        <f>$J$2</f>
        <v>SHIP13</v>
      </c>
      <c r="N370" s="6">
        <f t="shared" si="120"/>
        <v>9</v>
      </c>
      <c r="O370" s="74" t="str">
        <f t="shared" si="125"/>
        <v>N</v>
      </c>
      <c r="P370" s="74" t="str">
        <f t="shared" si="125"/>
        <v>B</v>
      </c>
      <c r="Q370" s="74" t="str">
        <f t="shared" si="125"/>
        <v>BRSSZ</v>
      </c>
      <c r="R370" s="99" t="str">
        <f t="shared" si="125"/>
        <v>ZP1601</v>
      </c>
      <c r="S370" s="99" t="str">
        <f t="shared" si="125"/>
        <v>BRSSZTB01</v>
      </c>
      <c r="T370" s="74" t="str">
        <f t="shared" si="125"/>
        <v>BRSSZTCO</v>
      </c>
      <c r="U370" s="6">
        <f t="shared" si="109"/>
        <v>35</v>
      </c>
      <c r="V370" s="102">
        <f t="shared" si="110"/>
        <v>44789.791666666664</v>
      </c>
      <c r="W370" s="102">
        <f t="shared" si="126"/>
        <v>44795.791666666664</v>
      </c>
      <c r="X370" s="102">
        <f t="shared" si="126"/>
        <v>44796.791666666664</v>
      </c>
      <c r="Y370" s="102">
        <f t="shared" si="126"/>
        <v>44796.895833333328</v>
      </c>
      <c r="Z370" s="102">
        <f t="shared" si="126"/>
        <v>44798.718518518515</v>
      </c>
      <c r="AA370" s="74" t="str">
        <f t="shared" ref="AA370:AB378" si="127">AA360</f>
        <v>BRIGI</v>
      </c>
      <c r="AB370" s="74" t="str">
        <f t="shared" si="127"/>
        <v>BRIGITCO</v>
      </c>
    </row>
    <row r="371" spans="12:28">
      <c r="L371" s="6" t="s">
        <v>12</v>
      </c>
      <c r="M371" s="6" t="str">
        <f t="shared" ref="M371:M379" si="128">$J$2</f>
        <v>SHIP13</v>
      </c>
      <c r="N371" s="6">
        <f t="shared" si="120"/>
        <v>9</v>
      </c>
      <c r="O371" s="74" t="str">
        <f t="shared" si="125"/>
        <v>N</v>
      </c>
      <c r="P371" s="74" t="str">
        <f t="shared" si="125"/>
        <v>N</v>
      </c>
      <c r="Q371" s="74" t="str">
        <f t="shared" si="125"/>
        <v>BRIGI</v>
      </c>
      <c r="R371" s="99" t="str">
        <f t="shared" si="125"/>
        <v>ZP15A03</v>
      </c>
      <c r="S371" s="99" t="str">
        <f t="shared" si="125"/>
        <v>BRIGITB01</v>
      </c>
      <c r="T371" s="74" t="str">
        <f t="shared" si="125"/>
        <v>BRIGITCO</v>
      </c>
      <c r="U371" s="6">
        <f t="shared" ref="U371:U434" si="129">WEEKNUM(X371)</f>
        <v>35</v>
      </c>
      <c r="V371" s="102">
        <f t="shared" ref="V371:V434" si="130">X371-7</f>
        <v>44792.094394891508</v>
      </c>
      <c r="W371" s="102">
        <f t="shared" si="126"/>
        <v>44798.094394891508</v>
      </c>
      <c r="X371" s="102">
        <f t="shared" si="126"/>
        <v>44799.094394891508</v>
      </c>
      <c r="Y371" s="102">
        <f t="shared" si="126"/>
        <v>44799.240228224844</v>
      </c>
      <c r="Z371" s="102">
        <f t="shared" si="126"/>
        <v>44800.433283780396</v>
      </c>
      <c r="AA371" s="74" t="str">
        <f t="shared" si="127"/>
        <v>BRSSA</v>
      </c>
      <c r="AB371" s="74" t="str">
        <f t="shared" si="127"/>
        <v>BRSSATCO</v>
      </c>
    </row>
    <row r="372" spans="12:28">
      <c r="L372" s="6" t="s">
        <v>12</v>
      </c>
      <c r="M372" s="6" t="str">
        <f t="shared" si="128"/>
        <v>SHIP13</v>
      </c>
      <c r="N372" s="6">
        <f t="shared" si="120"/>
        <v>9</v>
      </c>
      <c r="O372" s="74" t="str">
        <f t="shared" si="125"/>
        <v>N</v>
      </c>
      <c r="P372" s="74" t="str">
        <f t="shared" si="125"/>
        <v>N</v>
      </c>
      <c r="Q372" s="74" t="str">
        <f t="shared" si="125"/>
        <v>BRSSA</v>
      </c>
      <c r="R372" s="99" t="str">
        <f t="shared" si="125"/>
        <v>ZP1202</v>
      </c>
      <c r="S372" s="99" t="str">
        <f t="shared" si="125"/>
        <v>BRSSATB01</v>
      </c>
      <c r="T372" s="74" t="str">
        <f t="shared" si="125"/>
        <v>BRSSATCO</v>
      </c>
      <c r="U372" s="6">
        <f t="shared" si="129"/>
        <v>36</v>
      </c>
      <c r="V372" s="102">
        <f t="shared" si="130"/>
        <v>44795.450297220996</v>
      </c>
      <c r="W372" s="102">
        <f t="shared" si="126"/>
        <v>44801.450297220996</v>
      </c>
      <c r="X372" s="102">
        <f t="shared" si="126"/>
        <v>44802.450297220996</v>
      </c>
      <c r="Y372" s="102">
        <f t="shared" si="126"/>
        <v>44802.533630554331</v>
      </c>
      <c r="Z372" s="102">
        <f t="shared" si="126"/>
        <v>44803.114186109888</v>
      </c>
      <c r="AA372" s="74" t="str">
        <f t="shared" si="127"/>
        <v>BRSUA</v>
      </c>
      <c r="AB372" s="74" t="str">
        <f t="shared" si="127"/>
        <v>BRSUATCO</v>
      </c>
    </row>
    <row r="373" spans="12:28">
      <c r="L373" s="6" t="s">
        <v>12</v>
      </c>
      <c r="M373" s="6" t="str">
        <f t="shared" si="128"/>
        <v>SHIP13</v>
      </c>
      <c r="N373" s="6">
        <f t="shared" si="120"/>
        <v>9</v>
      </c>
      <c r="O373" s="74" t="str">
        <f t="shared" si="125"/>
        <v>N</v>
      </c>
      <c r="P373" s="74" t="str">
        <f t="shared" si="125"/>
        <v>N</v>
      </c>
      <c r="Q373" s="74" t="str">
        <f t="shared" si="125"/>
        <v>BRSUA</v>
      </c>
      <c r="R373" s="99" t="str">
        <f t="shared" si="125"/>
        <v>ZP901</v>
      </c>
      <c r="S373" s="99" t="str">
        <f t="shared" si="125"/>
        <v>BRSUATB02</v>
      </c>
      <c r="T373" s="74" t="str">
        <f t="shared" si="125"/>
        <v>BRSUATCO</v>
      </c>
      <c r="U373" s="6">
        <f t="shared" si="129"/>
        <v>36</v>
      </c>
      <c r="V373" s="102">
        <f t="shared" si="130"/>
        <v>44797.077702180381</v>
      </c>
      <c r="W373" s="102">
        <f t="shared" si="126"/>
        <v>44803.077702180381</v>
      </c>
      <c r="X373" s="102">
        <f t="shared" si="126"/>
        <v>44804.077702180381</v>
      </c>
      <c r="Y373" s="102">
        <f t="shared" si="126"/>
        <v>44804.140202180381</v>
      </c>
      <c r="Z373" s="102">
        <f t="shared" si="126"/>
        <v>44806.256868847042</v>
      </c>
      <c r="AA373" s="74" t="str">
        <f t="shared" si="127"/>
        <v>BRPEC</v>
      </c>
      <c r="AB373" s="74" t="str">
        <f t="shared" si="127"/>
        <v>BRPECAPM</v>
      </c>
    </row>
    <row r="374" spans="12:28">
      <c r="L374" s="6" t="s">
        <v>12</v>
      </c>
      <c r="M374" s="6" t="str">
        <f t="shared" si="128"/>
        <v>SHIP13</v>
      </c>
      <c r="N374" s="6">
        <f t="shared" si="120"/>
        <v>9</v>
      </c>
      <c r="O374" s="74" t="str">
        <f t="shared" si="125"/>
        <v>N</v>
      </c>
      <c r="P374" s="74" t="str">
        <f t="shared" si="125"/>
        <v>N</v>
      </c>
      <c r="Q374" s="74" t="str">
        <f t="shared" si="125"/>
        <v>BRPEC</v>
      </c>
      <c r="R374" s="99" t="str">
        <f t="shared" si="125"/>
        <v>ZP501</v>
      </c>
      <c r="S374" s="99" t="str">
        <f t="shared" si="125"/>
        <v>BRPECTB01</v>
      </c>
      <c r="T374" s="74" t="str">
        <f t="shared" si="125"/>
        <v>BRPECAPM</v>
      </c>
      <c r="U374" s="6">
        <f t="shared" si="129"/>
        <v>36</v>
      </c>
      <c r="V374" s="102">
        <f t="shared" si="130"/>
        <v>44800.443242792273</v>
      </c>
      <c r="W374" s="102">
        <f t="shared" si="126"/>
        <v>44806.443242792273</v>
      </c>
      <c r="X374" s="102">
        <f t="shared" si="126"/>
        <v>44807.443242792273</v>
      </c>
      <c r="Y374" s="102">
        <f t="shared" si="126"/>
        <v>44807.526576125609</v>
      </c>
      <c r="Z374" s="102">
        <f t="shared" si="126"/>
        <v>44808.211298347829</v>
      </c>
      <c r="AA374" s="74" t="str">
        <f t="shared" si="127"/>
        <v>BRMCP</v>
      </c>
      <c r="AB374" s="74">
        <f t="shared" si="127"/>
        <v>0</v>
      </c>
    </row>
    <row r="375" spans="12:28">
      <c r="L375" s="6" t="s">
        <v>12</v>
      </c>
      <c r="M375" s="6" t="str">
        <f t="shared" si="128"/>
        <v>SHIP13</v>
      </c>
      <c r="N375" s="6">
        <f t="shared" si="120"/>
        <v>9</v>
      </c>
      <c r="O375" s="74">
        <f t="shared" si="125"/>
        <v>0</v>
      </c>
      <c r="P375" s="74">
        <f t="shared" si="125"/>
        <v>0</v>
      </c>
      <c r="Q375" s="74" t="str">
        <f t="shared" si="125"/>
        <v>BRMCP</v>
      </c>
      <c r="R375" s="99" t="str">
        <f t="shared" si="125"/>
        <v>ZP101</v>
      </c>
      <c r="S375" s="99">
        <f t="shared" si="125"/>
        <v>0</v>
      </c>
      <c r="T375" s="74">
        <f t="shared" si="125"/>
        <v>0</v>
      </c>
      <c r="U375" s="6">
        <f t="shared" si="129"/>
        <v>37</v>
      </c>
      <c r="V375" s="102">
        <f t="shared" si="130"/>
        <v>44803.358029681898</v>
      </c>
      <c r="W375" s="102">
        <f t="shared" si="126"/>
        <v>44809.358029681898</v>
      </c>
      <c r="X375" s="102">
        <f t="shared" si="126"/>
        <v>44810.358029681898</v>
      </c>
      <c r="Y375" s="102">
        <f t="shared" si="126"/>
        <v>44810.399696348562</v>
      </c>
      <c r="Z375" s="102">
        <f t="shared" si="126"/>
        <v>44810.441363015227</v>
      </c>
      <c r="AA375" s="74" t="str">
        <f t="shared" si="127"/>
        <v>BRMAO</v>
      </c>
      <c r="AB375" s="74" t="str">
        <f t="shared" si="127"/>
        <v>BRMAOCHI</v>
      </c>
    </row>
    <row r="376" spans="12:28">
      <c r="L376" s="6" t="s">
        <v>12</v>
      </c>
      <c r="M376" s="6" t="str">
        <f t="shared" si="128"/>
        <v>SHIP13</v>
      </c>
      <c r="N376" s="6">
        <f t="shared" si="120"/>
        <v>9</v>
      </c>
      <c r="O376" s="74" t="str">
        <f t="shared" si="125"/>
        <v>S</v>
      </c>
      <c r="P376" s="74" t="str">
        <f t="shared" si="125"/>
        <v>D</v>
      </c>
      <c r="Q376" s="74" t="str">
        <f t="shared" si="125"/>
        <v>BRMAO</v>
      </c>
      <c r="R376" s="99" t="str">
        <f t="shared" si="125"/>
        <v>ZP201</v>
      </c>
      <c r="S376" s="99" t="str">
        <f t="shared" si="125"/>
        <v>BRMAOTB01</v>
      </c>
      <c r="T376" s="74" t="str">
        <f t="shared" si="125"/>
        <v>BRMAOCHI</v>
      </c>
      <c r="U376" s="6">
        <f t="shared" si="129"/>
        <v>37</v>
      </c>
      <c r="V376" s="102">
        <f t="shared" si="130"/>
        <v>44805.227551957192</v>
      </c>
      <c r="W376" s="102">
        <f t="shared" si="126"/>
        <v>44811.227551957192</v>
      </c>
      <c r="X376" s="102">
        <f t="shared" si="126"/>
        <v>44812.227551957192</v>
      </c>
      <c r="Y376" s="102">
        <f t="shared" si="126"/>
        <v>44812.290051957192</v>
      </c>
      <c r="Z376" s="102">
        <f t="shared" si="126"/>
        <v>44815.380329734966</v>
      </c>
      <c r="AA376" s="74" t="str">
        <f t="shared" si="127"/>
        <v>BRMCP</v>
      </c>
      <c r="AB376" s="74">
        <f t="shared" si="127"/>
        <v>0</v>
      </c>
    </row>
    <row r="377" spans="12:28">
      <c r="L377" s="6" t="s">
        <v>12</v>
      </c>
      <c r="M377" s="6" t="str">
        <f t="shared" si="128"/>
        <v>SHIP13</v>
      </c>
      <c r="N377" s="6">
        <f t="shared" si="120"/>
        <v>9</v>
      </c>
      <c r="O377" s="74">
        <f t="shared" si="125"/>
        <v>0</v>
      </c>
      <c r="P377" s="74">
        <f t="shared" si="125"/>
        <v>0</v>
      </c>
      <c r="Q377" s="74" t="str">
        <f t="shared" si="125"/>
        <v>BRMCP</v>
      </c>
      <c r="R377" s="99" t="str">
        <f t="shared" si="125"/>
        <v>ZP101</v>
      </c>
      <c r="S377" s="99">
        <f t="shared" si="125"/>
        <v>0</v>
      </c>
      <c r="T377" s="74">
        <f t="shared" si="125"/>
        <v>0</v>
      </c>
      <c r="U377" s="6">
        <f t="shared" si="129"/>
        <v>38</v>
      </c>
      <c r="V377" s="102">
        <f t="shared" si="130"/>
        <v>44809.843590077056</v>
      </c>
      <c r="W377" s="102">
        <f t="shared" si="126"/>
        <v>44815.843590077056</v>
      </c>
      <c r="X377" s="102">
        <f t="shared" si="126"/>
        <v>44816.843590077056</v>
      </c>
      <c r="Y377" s="102">
        <f t="shared" si="126"/>
        <v>44816.885256743721</v>
      </c>
      <c r="Z377" s="102">
        <f t="shared" si="126"/>
        <v>44816.926923410385</v>
      </c>
      <c r="AA377" s="74" t="str">
        <f t="shared" si="127"/>
        <v>BRPEC</v>
      </c>
      <c r="AB377" s="74" t="str">
        <f t="shared" si="127"/>
        <v>BRPECAPM</v>
      </c>
    </row>
    <row r="378" spans="12:28">
      <c r="L378" s="6" t="s">
        <v>12</v>
      </c>
      <c r="M378" s="6" t="str">
        <f t="shared" si="128"/>
        <v>SHIP13</v>
      </c>
      <c r="N378" s="6">
        <f t="shared" si="120"/>
        <v>9</v>
      </c>
      <c r="O378" s="74" t="str">
        <f t="shared" si="125"/>
        <v>S</v>
      </c>
      <c r="P378" s="74" t="str">
        <f t="shared" si="125"/>
        <v>N</v>
      </c>
      <c r="Q378" s="74" t="str">
        <f t="shared" si="125"/>
        <v>BRPEC</v>
      </c>
      <c r="R378" s="99" t="str">
        <f t="shared" si="125"/>
        <v>ZP501</v>
      </c>
      <c r="S378" s="99" t="str">
        <f t="shared" si="125"/>
        <v>BRPECTB02</v>
      </c>
      <c r="T378" s="74" t="str">
        <f t="shared" si="125"/>
        <v>BRPECAPM</v>
      </c>
      <c r="U378" s="6">
        <f t="shared" si="129"/>
        <v>38</v>
      </c>
      <c r="V378" s="102">
        <f t="shared" si="130"/>
        <v>44812.073654745254</v>
      </c>
      <c r="W378" s="102">
        <f t="shared" si="126"/>
        <v>44818.073654745254</v>
      </c>
      <c r="X378" s="102">
        <f t="shared" si="126"/>
        <v>44819.073654745254</v>
      </c>
      <c r="Y378" s="102">
        <f t="shared" si="126"/>
        <v>44819.15698807859</v>
      </c>
      <c r="Z378" s="102">
        <f t="shared" si="126"/>
        <v>44819.572265856368</v>
      </c>
      <c r="AA378" s="74" t="str">
        <f t="shared" si="127"/>
        <v>BRSUA</v>
      </c>
      <c r="AB378" s="74" t="str">
        <f t="shared" si="127"/>
        <v>BRSUATCO</v>
      </c>
    </row>
    <row r="379" spans="12:28">
      <c r="L379" s="6" t="s">
        <v>12</v>
      </c>
      <c r="M379" s="6" t="str">
        <f t="shared" si="128"/>
        <v>SHIP13</v>
      </c>
      <c r="N379" s="6">
        <f t="shared" si="120"/>
        <v>9</v>
      </c>
      <c r="O379" s="74" t="str">
        <f t="shared" si="125"/>
        <v>S</v>
      </c>
      <c r="P379" s="74" t="str">
        <f t="shared" si="125"/>
        <v>N</v>
      </c>
      <c r="Q379" s="74" t="str">
        <f t="shared" si="125"/>
        <v>BRSUA</v>
      </c>
      <c r="R379" s="99" t="str">
        <f t="shared" si="125"/>
        <v>ZP901</v>
      </c>
      <c r="S379" s="99" t="str">
        <f t="shared" si="125"/>
        <v>BRSUATB02</v>
      </c>
      <c r="T379" s="74" t="str">
        <f t="shared" si="125"/>
        <v>BRSUATCO</v>
      </c>
      <c r="U379" s="6">
        <f t="shared" si="129"/>
        <v>38</v>
      </c>
      <c r="V379" s="102">
        <f t="shared" si="130"/>
        <v>44813.713121195025</v>
      </c>
      <c r="W379" s="102">
        <f t="shared" si="126"/>
        <v>44819.713121195025</v>
      </c>
      <c r="X379" s="102">
        <f t="shared" si="126"/>
        <v>44820.713121195025</v>
      </c>
      <c r="Y379" s="102">
        <f t="shared" si="126"/>
        <v>44820.775621195025</v>
      </c>
      <c r="Z379" s="102">
        <f t="shared" si="126"/>
        <v>44821.546454528354</v>
      </c>
      <c r="AA379" s="74" t="str">
        <f>AA369</f>
        <v>BRSSZ</v>
      </c>
      <c r="AB379" s="74" t="str">
        <f>AB369</f>
        <v>BRSSZTCO</v>
      </c>
    </row>
    <row r="380" spans="12:28">
      <c r="L380" s="6" t="s">
        <v>12</v>
      </c>
      <c r="M380" s="106" t="s">
        <v>181</v>
      </c>
      <c r="N380" s="6">
        <f t="shared" si="120"/>
        <v>9</v>
      </c>
      <c r="O380" s="74" t="str">
        <f t="shared" ref="O380:T395" si="131">O370</f>
        <v>N</v>
      </c>
      <c r="P380" s="74" t="str">
        <f t="shared" si="131"/>
        <v>B</v>
      </c>
      <c r="Q380" s="74" t="str">
        <f t="shared" si="131"/>
        <v>BRSSZ</v>
      </c>
      <c r="R380" s="99" t="str">
        <f t="shared" si="131"/>
        <v>ZP1601</v>
      </c>
      <c r="S380" s="99" t="str">
        <f t="shared" si="131"/>
        <v>BRSSZTB01</v>
      </c>
      <c r="T380" s="74" t="str">
        <f t="shared" si="131"/>
        <v>BRSSZTCO</v>
      </c>
      <c r="U380" s="6">
        <f t="shared" si="129"/>
        <v>36</v>
      </c>
      <c r="V380" s="102">
        <f t="shared" si="130"/>
        <v>44796.791666666664</v>
      </c>
      <c r="W380" s="102">
        <f t="shared" ref="W380:Z395" si="132">W370+7</f>
        <v>44802.791666666664</v>
      </c>
      <c r="X380" s="102">
        <f t="shared" si="132"/>
        <v>44803.791666666664</v>
      </c>
      <c r="Y380" s="102">
        <f t="shared" si="132"/>
        <v>44803.895833333328</v>
      </c>
      <c r="Z380" s="102">
        <f t="shared" si="132"/>
        <v>44805.718518518515</v>
      </c>
      <c r="AA380" s="74" t="str">
        <f t="shared" ref="AA380:AB388" si="133">AA370</f>
        <v>BRIGI</v>
      </c>
      <c r="AB380" s="74" t="str">
        <f t="shared" si="133"/>
        <v>BRIGITCO</v>
      </c>
    </row>
    <row r="381" spans="12:28">
      <c r="L381" s="6" t="s">
        <v>12</v>
      </c>
      <c r="M381" s="106" t="s">
        <v>181</v>
      </c>
      <c r="N381" s="6">
        <f t="shared" si="120"/>
        <v>9</v>
      </c>
      <c r="O381" s="74" t="str">
        <f t="shared" si="131"/>
        <v>N</v>
      </c>
      <c r="P381" s="74" t="str">
        <f t="shared" si="131"/>
        <v>N</v>
      </c>
      <c r="Q381" s="74" t="str">
        <f t="shared" si="131"/>
        <v>BRIGI</v>
      </c>
      <c r="R381" s="99" t="str">
        <f t="shared" si="131"/>
        <v>ZP15A03</v>
      </c>
      <c r="S381" s="99" t="str">
        <f t="shared" si="131"/>
        <v>BRIGITB01</v>
      </c>
      <c r="T381" s="74" t="str">
        <f t="shared" si="131"/>
        <v>BRIGITCO</v>
      </c>
      <c r="U381" s="6">
        <f t="shared" si="129"/>
        <v>36</v>
      </c>
      <c r="V381" s="102">
        <f t="shared" si="130"/>
        <v>44799.094394891508</v>
      </c>
      <c r="W381" s="102">
        <f t="shared" si="132"/>
        <v>44805.094394891508</v>
      </c>
      <c r="X381" s="102">
        <f t="shared" si="132"/>
        <v>44806.094394891508</v>
      </c>
      <c r="Y381" s="102">
        <f t="shared" si="132"/>
        <v>44806.240228224844</v>
      </c>
      <c r="Z381" s="102">
        <f t="shared" si="132"/>
        <v>44807.433283780396</v>
      </c>
      <c r="AA381" s="74" t="str">
        <f t="shared" si="133"/>
        <v>BRSSA</v>
      </c>
      <c r="AB381" s="74" t="str">
        <f t="shared" si="133"/>
        <v>BRSSATCO</v>
      </c>
    </row>
    <row r="382" spans="12:28">
      <c r="L382" s="6" t="s">
        <v>12</v>
      </c>
      <c r="M382" s="106" t="s">
        <v>181</v>
      </c>
      <c r="N382" s="6">
        <f t="shared" si="120"/>
        <v>9</v>
      </c>
      <c r="O382" s="74" t="str">
        <f t="shared" si="131"/>
        <v>N</v>
      </c>
      <c r="P382" s="74" t="str">
        <f t="shared" si="131"/>
        <v>N</v>
      </c>
      <c r="Q382" s="74" t="str">
        <f t="shared" si="131"/>
        <v>BRSSA</v>
      </c>
      <c r="R382" s="99" t="str">
        <f t="shared" si="131"/>
        <v>ZP1202</v>
      </c>
      <c r="S382" s="99" t="str">
        <f t="shared" si="131"/>
        <v>BRSSATB01</v>
      </c>
      <c r="T382" s="74" t="str">
        <f t="shared" si="131"/>
        <v>BRSSATCO</v>
      </c>
      <c r="U382" s="6">
        <f t="shared" si="129"/>
        <v>37</v>
      </c>
      <c r="V382" s="102">
        <f t="shared" si="130"/>
        <v>44802.450297220996</v>
      </c>
      <c r="W382" s="102">
        <f t="shared" si="132"/>
        <v>44808.450297220996</v>
      </c>
      <c r="X382" s="102">
        <f t="shared" si="132"/>
        <v>44809.450297220996</v>
      </c>
      <c r="Y382" s="102">
        <f t="shared" si="132"/>
        <v>44809.533630554331</v>
      </c>
      <c r="Z382" s="102">
        <f t="shared" si="132"/>
        <v>44810.114186109888</v>
      </c>
      <c r="AA382" s="74" t="str">
        <f t="shared" si="133"/>
        <v>BRSUA</v>
      </c>
      <c r="AB382" s="74" t="str">
        <f t="shared" si="133"/>
        <v>BRSUATCO</v>
      </c>
    </row>
    <row r="383" spans="12:28">
      <c r="L383" s="6" t="s">
        <v>12</v>
      </c>
      <c r="M383" s="106" t="s">
        <v>181</v>
      </c>
      <c r="N383" s="6">
        <f t="shared" si="120"/>
        <v>9</v>
      </c>
      <c r="O383" s="74" t="str">
        <f t="shared" si="131"/>
        <v>N</v>
      </c>
      <c r="P383" s="74" t="str">
        <f t="shared" si="131"/>
        <v>N</v>
      </c>
      <c r="Q383" s="74" t="str">
        <f t="shared" si="131"/>
        <v>BRSUA</v>
      </c>
      <c r="R383" s="99" t="str">
        <f t="shared" si="131"/>
        <v>ZP901</v>
      </c>
      <c r="S383" s="99" t="str">
        <f t="shared" si="131"/>
        <v>BRSUATB02</v>
      </c>
      <c r="T383" s="74" t="str">
        <f t="shared" si="131"/>
        <v>BRSUATCO</v>
      </c>
      <c r="U383" s="6">
        <f t="shared" si="129"/>
        <v>37</v>
      </c>
      <c r="V383" s="102">
        <f t="shared" si="130"/>
        <v>44804.077702180381</v>
      </c>
      <c r="W383" s="102">
        <f t="shared" si="132"/>
        <v>44810.077702180381</v>
      </c>
      <c r="X383" s="102">
        <f t="shared" si="132"/>
        <v>44811.077702180381</v>
      </c>
      <c r="Y383" s="102">
        <f t="shared" si="132"/>
        <v>44811.140202180381</v>
      </c>
      <c r="Z383" s="102">
        <f t="shared" si="132"/>
        <v>44813.256868847042</v>
      </c>
      <c r="AA383" s="74" t="str">
        <f t="shared" si="133"/>
        <v>BRPEC</v>
      </c>
      <c r="AB383" s="74" t="str">
        <f t="shared" si="133"/>
        <v>BRPECAPM</v>
      </c>
    </row>
    <row r="384" spans="12:28">
      <c r="L384" s="6" t="s">
        <v>12</v>
      </c>
      <c r="M384" s="106" t="s">
        <v>181</v>
      </c>
      <c r="N384" s="6">
        <f t="shared" si="120"/>
        <v>9</v>
      </c>
      <c r="O384" s="74" t="str">
        <f t="shared" si="131"/>
        <v>N</v>
      </c>
      <c r="P384" s="74" t="str">
        <f t="shared" si="131"/>
        <v>N</v>
      </c>
      <c r="Q384" s="74" t="str">
        <f t="shared" si="131"/>
        <v>BRPEC</v>
      </c>
      <c r="R384" s="99" t="str">
        <f t="shared" si="131"/>
        <v>ZP501</v>
      </c>
      <c r="S384" s="99" t="str">
        <f t="shared" si="131"/>
        <v>BRPECTB01</v>
      </c>
      <c r="T384" s="74" t="str">
        <f t="shared" si="131"/>
        <v>BRPECAPM</v>
      </c>
      <c r="U384" s="6">
        <f t="shared" si="129"/>
        <v>37</v>
      </c>
      <c r="V384" s="102">
        <f t="shared" si="130"/>
        <v>44807.443242792273</v>
      </c>
      <c r="W384" s="102">
        <f t="shared" si="132"/>
        <v>44813.443242792273</v>
      </c>
      <c r="X384" s="102">
        <f t="shared" si="132"/>
        <v>44814.443242792273</v>
      </c>
      <c r="Y384" s="102">
        <f t="shared" si="132"/>
        <v>44814.526576125609</v>
      </c>
      <c r="Z384" s="102">
        <f t="shared" si="132"/>
        <v>44815.211298347829</v>
      </c>
      <c r="AA384" s="74" t="str">
        <f t="shared" si="133"/>
        <v>BRMCP</v>
      </c>
      <c r="AB384" s="74">
        <f t="shared" si="133"/>
        <v>0</v>
      </c>
    </row>
    <row r="385" spans="12:28">
      <c r="L385" s="6" t="s">
        <v>12</v>
      </c>
      <c r="M385" s="106" t="s">
        <v>181</v>
      </c>
      <c r="N385" s="6">
        <f t="shared" si="120"/>
        <v>9</v>
      </c>
      <c r="O385" s="74">
        <f t="shared" si="131"/>
        <v>0</v>
      </c>
      <c r="P385" s="74">
        <f t="shared" si="131"/>
        <v>0</v>
      </c>
      <c r="Q385" s="74" t="str">
        <f t="shared" si="131"/>
        <v>BRMCP</v>
      </c>
      <c r="R385" s="99" t="str">
        <f t="shared" si="131"/>
        <v>ZP101</v>
      </c>
      <c r="S385" s="99">
        <f t="shared" si="131"/>
        <v>0</v>
      </c>
      <c r="T385" s="74">
        <f t="shared" si="131"/>
        <v>0</v>
      </c>
      <c r="U385" s="6">
        <f t="shared" si="129"/>
        <v>38</v>
      </c>
      <c r="V385" s="102">
        <f t="shared" si="130"/>
        <v>44810.358029681898</v>
      </c>
      <c r="W385" s="102">
        <f t="shared" si="132"/>
        <v>44816.358029681898</v>
      </c>
      <c r="X385" s="102">
        <f t="shared" si="132"/>
        <v>44817.358029681898</v>
      </c>
      <c r="Y385" s="102">
        <f t="shared" si="132"/>
        <v>44817.399696348562</v>
      </c>
      <c r="Z385" s="102">
        <f t="shared" si="132"/>
        <v>44817.441363015227</v>
      </c>
      <c r="AA385" s="74" t="str">
        <f t="shared" si="133"/>
        <v>BRMAO</v>
      </c>
      <c r="AB385" s="74" t="str">
        <f t="shared" si="133"/>
        <v>BRMAOCHI</v>
      </c>
    </row>
    <row r="386" spans="12:28">
      <c r="L386" s="6" t="s">
        <v>12</v>
      </c>
      <c r="M386" s="106" t="s">
        <v>181</v>
      </c>
      <c r="N386" s="6">
        <f t="shared" si="120"/>
        <v>9</v>
      </c>
      <c r="O386" s="74" t="str">
        <f t="shared" si="131"/>
        <v>S</v>
      </c>
      <c r="P386" s="74" t="str">
        <f t="shared" si="131"/>
        <v>D</v>
      </c>
      <c r="Q386" s="74" t="str">
        <f>Q376</f>
        <v>BRMAO</v>
      </c>
      <c r="R386" s="99" t="str">
        <f t="shared" si="131"/>
        <v>ZP201</v>
      </c>
      <c r="S386" s="99" t="str">
        <f t="shared" si="131"/>
        <v>BRMAOTB01</v>
      </c>
      <c r="T386" s="74" t="str">
        <f t="shared" si="131"/>
        <v>BRMAOCHI</v>
      </c>
      <c r="U386" s="6">
        <f t="shared" si="129"/>
        <v>38</v>
      </c>
      <c r="V386" s="102">
        <f t="shared" si="130"/>
        <v>44812.227551957192</v>
      </c>
      <c r="W386" s="102">
        <f t="shared" si="132"/>
        <v>44818.227551957192</v>
      </c>
      <c r="X386" s="102">
        <f t="shared" si="132"/>
        <v>44819.227551957192</v>
      </c>
      <c r="Y386" s="102">
        <f t="shared" si="132"/>
        <v>44819.290051957192</v>
      </c>
      <c r="Z386" s="102">
        <f t="shared" si="132"/>
        <v>44822.380329734966</v>
      </c>
      <c r="AA386" s="74" t="str">
        <f t="shared" si="133"/>
        <v>BRMCP</v>
      </c>
      <c r="AB386" s="74">
        <f t="shared" si="133"/>
        <v>0</v>
      </c>
    </row>
    <row r="387" spans="12:28">
      <c r="L387" s="6" t="s">
        <v>12</v>
      </c>
      <c r="M387" s="106" t="s">
        <v>181</v>
      </c>
      <c r="N387" s="6">
        <f t="shared" si="120"/>
        <v>9</v>
      </c>
      <c r="O387" s="74">
        <f t="shared" si="131"/>
        <v>0</v>
      </c>
      <c r="P387" s="74">
        <f t="shared" si="131"/>
        <v>0</v>
      </c>
      <c r="Q387" s="74" t="str">
        <f t="shared" si="131"/>
        <v>BRMCP</v>
      </c>
      <c r="R387" s="99" t="str">
        <f t="shared" si="131"/>
        <v>ZP101</v>
      </c>
      <c r="S387" s="99">
        <f t="shared" si="131"/>
        <v>0</v>
      </c>
      <c r="T387" s="74">
        <f t="shared" si="131"/>
        <v>0</v>
      </c>
      <c r="U387" s="6">
        <f t="shared" si="129"/>
        <v>39</v>
      </c>
      <c r="V387" s="102">
        <f t="shared" si="130"/>
        <v>44816.843590077056</v>
      </c>
      <c r="W387" s="102">
        <f t="shared" si="132"/>
        <v>44822.843590077056</v>
      </c>
      <c r="X387" s="102">
        <f t="shared" si="132"/>
        <v>44823.843590077056</v>
      </c>
      <c r="Y387" s="102">
        <f t="shared" si="132"/>
        <v>44823.885256743721</v>
      </c>
      <c r="Z387" s="102">
        <f t="shared" si="132"/>
        <v>44823.926923410385</v>
      </c>
      <c r="AA387" s="74" t="str">
        <f t="shared" si="133"/>
        <v>BRPEC</v>
      </c>
      <c r="AB387" s="74" t="str">
        <f t="shared" si="133"/>
        <v>BRPECAPM</v>
      </c>
    </row>
    <row r="388" spans="12:28">
      <c r="L388" s="6" t="s">
        <v>12</v>
      </c>
      <c r="M388" s="106" t="s">
        <v>181</v>
      </c>
      <c r="N388" s="6">
        <f t="shared" si="120"/>
        <v>9</v>
      </c>
      <c r="O388" s="74" t="str">
        <f t="shared" si="131"/>
        <v>S</v>
      </c>
      <c r="P388" s="74" t="str">
        <f t="shared" si="131"/>
        <v>N</v>
      </c>
      <c r="Q388" s="74" t="str">
        <f t="shared" si="131"/>
        <v>BRPEC</v>
      </c>
      <c r="R388" s="99" t="str">
        <f t="shared" si="131"/>
        <v>ZP501</v>
      </c>
      <c r="S388" s="99" t="str">
        <f t="shared" si="131"/>
        <v>BRPECTB02</v>
      </c>
      <c r="T388" s="74" t="str">
        <f t="shared" si="131"/>
        <v>BRPECAPM</v>
      </c>
      <c r="U388" s="6">
        <f t="shared" si="129"/>
        <v>39</v>
      </c>
      <c r="V388" s="102">
        <f t="shared" si="130"/>
        <v>44819.073654745254</v>
      </c>
      <c r="W388" s="102">
        <f t="shared" si="132"/>
        <v>44825.073654745254</v>
      </c>
      <c r="X388" s="102">
        <f t="shared" si="132"/>
        <v>44826.073654745254</v>
      </c>
      <c r="Y388" s="102">
        <f t="shared" si="132"/>
        <v>44826.15698807859</v>
      </c>
      <c r="Z388" s="102">
        <f t="shared" si="132"/>
        <v>44826.572265856368</v>
      </c>
      <c r="AA388" s="74" t="str">
        <f t="shared" si="133"/>
        <v>BRSUA</v>
      </c>
      <c r="AB388" s="74" t="str">
        <f t="shared" si="133"/>
        <v>BRSUATCO</v>
      </c>
    </row>
    <row r="389" spans="12:28">
      <c r="L389" s="6" t="s">
        <v>12</v>
      </c>
      <c r="M389" s="106" t="s">
        <v>181</v>
      </c>
      <c r="N389" s="6">
        <f t="shared" si="120"/>
        <v>9</v>
      </c>
      <c r="O389" s="74" t="str">
        <f t="shared" si="131"/>
        <v>S</v>
      </c>
      <c r="P389" s="74" t="str">
        <f t="shared" si="131"/>
        <v>N</v>
      </c>
      <c r="Q389" s="74" t="str">
        <f t="shared" si="131"/>
        <v>BRSUA</v>
      </c>
      <c r="R389" s="99" t="str">
        <f t="shared" si="131"/>
        <v>ZP901</v>
      </c>
      <c r="S389" s="99" t="str">
        <f t="shared" si="131"/>
        <v>BRSUATB02</v>
      </c>
      <c r="T389" s="74" t="str">
        <f t="shared" si="131"/>
        <v>BRSUATCO</v>
      </c>
      <c r="U389" s="6">
        <f t="shared" si="129"/>
        <v>39</v>
      </c>
      <c r="V389" s="102">
        <f t="shared" si="130"/>
        <v>44820.713121195025</v>
      </c>
      <c r="W389" s="102">
        <f t="shared" si="132"/>
        <v>44826.713121195025</v>
      </c>
      <c r="X389" s="102">
        <f t="shared" si="132"/>
        <v>44827.713121195025</v>
      </c>
      <c r="Y389" s="102">
        <f t="shared" si="132"/>
        <v>44827.775621195025</v>
      </c>
      <c r="Z389" s="102">
        <f t="shared" si="132"/>
        <v>44828.546454528354</v>
      </c>
      <c r="AA389" s="74" t="str">
        <f>AA379</f>
        <v>BRSSZ</v>
      </c>
      <c r="AB389" s="74" t="str">
        <f>AB379</f>
        <v>BRSSZTCO</v>
      </c>
    </row>
    <row r="390" spans="12:28">
      <c r="L390" s="6" t="s">
        <v>12</v>
      </c>
      <c r="M390" s="6" t="s">
        <v>182</v>
      </c>
      <c r="N390" s="6">
        <f t="shared" si="120"/>
        <v>9</v>
      </c>
      <c r="O390" s="74" t="str">
        <f t="shared" si="131"/>
        <v>N</v>
      </c>
      <c r="P390" s="74" t="str">
        <f t="shared" si="131"/>
        <v>B</v>
      </c>
      <c r="Q390" s="74" t="str">
        <f t="shared" si="131"/>
        <v>BRSSZ</v>
      </c>
      <c r="R390" s="99" t="str">
        <f t="shared" si="131"/>
        <v>ZP1601</v>
      </c>
      <c r="S390" s="99" t="str">
        <f t="shared" si="131"/>
        <v>BRSSZTB01</v>
      </c>
      <c r="T390" s="74" t="str">
        <f t="shared" si="131"/>
        <v>BRSSZTCO</v>
      </c>
      <c r="U390" s="6">
        <f t="shared" si="129"/>
        <v>37</v>
      </c>
      <c r="V390" s="102">
        <f t="shared" si="130"/>
        <v>44803.791666666664</v>
      </c>
      <c r="W390" s="102">
        <f t="shared" si="132"/>
        <v>44809.791666666664</v>
      </c>
      <c r="X390" s="102">
        <f t="shared" si="132"/>
        <v>44810.791666666664</v>
      </c>
      <c r="Y390" s="102">
        <f t="shared" si="132"/>
        <v>44810.895833333328</v>
      </c>
      <c r="Z390" s="102">
        <f t="shared" si="132"/>
        <v>44812.718518518515</v>
      </c>
      <c r="AA390" s="74" t="str">
        <f t="shared" ref="AA390:AB398" si="134">AA380</f>
        <v>BRIGI</v>
      </c>
      <c r="AB390" s="74" t="str">
        <f t="shared" si="134"/>
        <v>BRIGITCO</v>
      </c>
    </row>
    <row r="391" spans="12:28">
      <c r="L391" s="6" t="s">
        <v>12</v>
      </c>
      <c r="M391" s="6" t="s">
        <v>182</v>
      </c>
      <c r="N391" s="6">
        <f t="shared" si="120"/>
        <v>9</v>
      </c>
      <c r="O391" s="74" t="str">
        <f t="shared" si="131"/>
        <v>N</v>
      </c>
      <c r="P391" s="74" t="str">
        <f t="shared" si="131"/>
        <v>N</v>
      </c>
      <c r="Q391" s="74" t="str">
        <f t="shared" si="131"/>
        <v>BRIGI</v>
      </c>
      <c r="R391" s="99" t="str">
        <f t="shared" si="131"/>
        <v>ZP15A03</v>
      </c>
      <c r="S391" s="99" t="str">
        <f t="shared" si="131"/>
        <v>BRIGITB01</v>
      </c>
      <c r="T391" s="74" t="str">
        <f t="shared" si="131"/>
        <v>BRIGITCO</v>
      </c>
      <c r="U391" s="6">
        <f t="shared" si="129"/>
        <v>37</v>
      </c>
      <c r="V391" s="102">
        <f t="shared" si="130"/>
        <v>44806.094394891508</v>
      </c>
      <c r="W391" s="102">
        <f t="shared" si="132"/>
        <v>44812.094394891508</v>
      </c>
      <c r="X391" s="102">
        <f t="shared" si="132"/>
        <v>44813.094394891508</v>
      </c>
      <c r="Y391" s="102">
        <f t="shared" si="132"/>
        <v>44813.240228224844</v>
      </c>
      <c r="Z391" s="102">
        <f t="shared" si="132"/>
        <v>44814.433283780396</v>
      </c>
      <c r="AA391" s="74" t="str">
        <f t="shared" si="134"/>
        <v>BRSSA</v>
      </c>
      <c r="AB391" s="74" t="str">
        <f t="shared" si="134"/>
        <v>BRSSATCO</v>
      </c>
    </row>
    <row r="392" spans="12:28">
      <c r="L392" s="6" t="s">
        <v>12</v>
      </c>
      <c r="M392" s="6" t="s">
        <v>182</v>
      </c>
      <c r="N392" s="6">
        <f t="shared" si="120"/>
        <v>9</v>
      </c>
      <c r="O392" s="74" t="str">
        <f t="shared" si="131"/>
        <v>N</v>
      </c>
      <c r="P392" s="74" t="str">
        <f t="shared" si="131"/>
        <v>N</v>
      </c>
      <c r="Q392" s="74" t="str">
        <f t="shared" si="131"/>
        <v>BRSSA</v>
      </c>
      <c r="R392" s="99" t="str">
        <f t="shared" si="131"/>
        <v>ZP1202</v>
      </c>
      <c r="S392" s="99" t="str">
        <f t="shared" si="131"/>
        <v>BRSSATB01</v>
      </c>
      <c r="T392" s="74" t="str">
        <f t="shared" si="131"/>
        <v>BRSSATCO</v>
      </c>
      <c r="U392" s="6">
        <f t="shared" si="129"/>
        <v>38</v>
      </c>
      <c r="V392" s="102">
        <f t="shared" si="130"/>
        <v>44809.450297220996</v>
      </c>
      <c r="W392" s="102">
        <f t="shared" si="132"/>
        <v>44815.450297220996</v>
      </c>
      <c r="X392" s="102">
        <f t="shared" si="132"/>
        <v>44816.450297220996</v>
      </c>
      <c r="Y392" s="102">
        <f t="shared" si="132"/>
        <v>44816.533630554331</v>
      </c>
      <c r="Z392" s="102">
        <f t="shared" si="132"/>
        <v>44817.114186109888</v>
      </c>
      <c r="AA392" s="74" t="str">
        <f t="shared" si="134"/>
        <v>BRSUA</v>
      </c>
      <c r="AB392" s="74" t="str">
        <f t="shared" si="134"/>
        <v>BRSUATCO</v>
      </c>
    </row>
    <row r="393" spans="12:28">
      <c r="L393" s="6" t="s">
        <v>12</v>
      </c>
      <c r="M393" s="6" t="s">
        <v>182</v>
      </c>
      <c r="N393" s="6">
        <f t="shared" si="120"/>
        <v>9</v>
      </c>
      <c r="O393" s="74" t="str">
        <f t="shared" si="131"/>
        <v>N</v>
      </c>
      <c r="P393" s="74" t="str">
        <f t="shared" si="131"/>
        <v>N</v>
      </c>
      <c r="Q393" s="74" t="str">
        <f t="shared" si="131"/>
        <v>BRSUA</v>
      </c>
      <c r="R393" s="99" t="str">
        <f t="shared" si="131"/>
        <v>ZP901</v>
      </c>
      <c r="S393" s="99" t="str">
        <f t="shared" si="131"/>
        <v>BRSUATB02</v>
      </c>
      <c r="T393" s="74" t="str">
        <f t="shared" si="131"/>
        <v>BRSUATCO</v>
      </c>
      <c r="U393" s="6">
        <f t="shared" si="129"/>
        <v>38</v>
      </c>
      <c r="V393" s="102">
        <f t="shared" si="130"/>
        <v>44811.077702180381</v>
      </c>
      <c r="W393" s="102">
        <f t="shared" si="132"/>
        <v>44817.077702180381</v>
      </c>
      <c r="X393" s="102">
        <f t="shared" si="132"/>
        <v>44818.077702180381</v>
      </c>
      <c r="Y393" s="102">
        <f t="shared" si="132"/>
        <v>44818.140202180381</v>
      </c>
      <c r="Z393" s="102">
        <f t="shared" si="132"/>
        <v>44820.256868847042</v>
      </c>
      <c r="AA393" s="74" t="str">
        <f t="shared" si="134"/>
        <v>BRPEC</v>
      </c>
      <c r="AB393" s="74" t="str">
        <f t="shared" si="134"/>
        <v>BRPECAPM</v>
      </c>
    </row>
    <row r="394" spans="12:28">
      <c r="L394" s="6" t="s">
        <v>12</v>
      </c>
      <c r="M394" s="6" t="s">
        <v>182</v>
      </c>
      <c r="N394" s="6">
        <f t="shared" si="120"/>
        <v>9</v>
      </c>
      <c r="O394" s="74" t="str">
        <f t="shared" si="131"/>
        <v>N</v>
      </c>
      <c r="P394" s="74" t="str">
        <f t="shared" si="131"/>
        <v>N</v>
      </c>
      <c r="Q394" s="74" t="str">
        <f t="shared" si="131"/>
        <v>BRPEC</v>
      </c>
      <c r="R394" s="99" t="str">
        <f t="shared" si="131"/>
        <v>ZP501</v>
      </c>
      <c r="S394" s="99" t="str">
        <f t="shared" si="131"/>
        <v>BRPECTB01</v>
      </c>
      <c r="T394" s="74" t="str">
        <f t="shared" si="131"/>
        <v>BRPECAPM</v>
      </c>
      <c r="U394" s="6">
        <f t="shared" si="129"/>
        <v>38</v>
      </c>
      <c r="V394" s="102">
        <f t="shared" si="130"/>
        <v>44814.443242792273</v>
      </c>
      <c r="W394" s="102">
        <f t="shared" si="132"/>
        <v>44820.443242792273</v>
      </c>
      <c r="X394" s="102">
        <f t="shared" si="132"/>
        <v>44821.443242792273</v>
      </c>
      <c r="Y394" s="102">
        <f t="shared" si="132"/>
        <v>44821.526576125609</v>
      </c>
      <c r="Z394" s="102">
        <f t="shared" si="132"/>
        <v>44822.211298347829</v>
      </c>
      <c r="AA394" s="74" t="str">
        <f t="shared" si="134"/>
        <v>BRMCP</v>
      </c>
      <c r="AB394" s="74">
        <f t="shared" si="134"/>
        <v>0</v>
      </c>
    </row>
    <row r="395" spans="12:28">
      <c r="L395" s="6" t="s">
        <v>12</v>
      </c>
      <c r="M395" s="6" t="s">
        <v>182</v>
      </c>
      <c r="N395" s="6">
        <f t="shared" si="120"/>
        <v>9</v>
      </c>
      <c r="O395" s="74">
        <f t="shared" si="131"/>
        <v>0</v>
      </c>
      <c r="P395" s="74">
        <f t="shared" si="131"/>
        <v>0</v>
      </c>
      <c r="Q395" s="74" t="str">
        <f t="shared" si="131"/>
        <v>BRMCP</v>
      </c>
      <c r="R395" s="99" t="str">
        <f t="shared" si="131"/>
        <v>ZP101</v>
      </c>
      <c r="S395" s="99">
        <f t="shared" si="131"/>
        <v>0</v>
      </c>
      <c r="T395" s="74">
        <f t="shared" si="131"/>
        <v>0</v>
      </c>
      <c r="U395" s="6">
        <f t="shared" si="129"/>
        <v>39</v>
      </c>
      <c r="V395" s="102">
        <f t="shared" si="130"/>
        <v>44817.358029681898</v>
      </c>
      <c r="W395" s="102">
        <f t="shared" si="132"/>
        <v>44823.358029681898</v>
      </c>
      <c r="X395" s="102">
        <f t="shared" si="132"/>
        <v>44824.358029681898</v>
      </c>
      <c r="Y395" s="102">
        <f t="shared" si="132"/>
        <v>44824.399696348562</v>
      </c>
      <c r="Z395" s="102">
        <f t="shared" si="132"/>
        <v>44824.441363015227</v>
      </c>
      <c r="AA395" s="74" t="str">
        <f t="shared" si="134"/>
        <v>BRMAO</v>
      </c>
      <c r="AB395" s="74" t="str">
        <f t="shared" si="134"/>
        <v>BRMAOCHI</v>
      </c>
    </row>
    <row r="396" spans="12:28">
      <c r="L396" s="6" t="s">
        <v>12</v>
      </c>
      <c r="M396" s="6" t="s">
        <v>182</v>
      </c>
      <c r="N396" s="6">
        <f t="shared" si="120"/>
        <v>9</v>
      </c>
      <c r="O396" s="74" t="str">
        <f t="shared" ref="O396:T411" si="135">O386</f>
        <v>S</v>
      </c>
      <c r="P396" s="74" t="str">
        <f t="shared" si="135"/>
        <v>D</v>
      </c>
      <c r="Q396" s="74" t="str">
        <f t="shared" si="135"/>
        <v>BRMAO</v>
      </c>
      <c r="R396" s="99" t="str">
        <f t="shared" si="135"/>
        <v>ZP201</v>
      </c>
      <c r="S396" s="99" t="str">
        <f t="shared" si="135"/>
        <v>BRMAOTB01</v>
      </c>
      <c r="T396" s="74" t="str">
        <f t="shared" si="135"/>
        <v>BRMAOCHI</v>
      </c>
      <c r="U396" s="6">
        <f t="shared" si="129"/>
        <v>39</v>
      </c>
      <c r="V396" s="102">
        <f t="shared" si="130"/>
        <v>44819.227551957192</v>
      </c>
      <c r="W396" s="102">
        <f t="shared" ref="W396:Z411" si="136">W386+7</f>
        <v>44825.227551957192</v>
      </c>
      <c r="X396" s="102">
        <f t="shared" si="136"/>
        <v>44826.227551957192</v>
      </c>
      <c r="Y396" s="102">
        <f t="shared" si="136"/>
        <v>44826.290051957192</v>
      </c>
      <c r="Z396" s="102">
        <f t="shared" si="136"/>
        <v>44829.380329734966</v>
      </c>
      <c r="AA396" s="74" t="str">
        <f t="shared" si="134"/>
        <v>BRMCP</v>
      </c>
      <c r="AB396" s="74">
        <f t="shared" si="134"/>
        <v>0</v>
      </c>
    </row>
    <row r="397" spans="12:28">
      <c r="L397" s="6" t="s">
        <v>12</v>
      </c>
      <c r="M397" s="6" t="s">
        <v>182</v>
      </c>
      <c r="N397" s="6">
        <f t="shared" si="120"/>
        <v>9</v>
      </c>
      <c r="O397" s="74">
        <f t="shared" si="135"/>
        <v>0</v>
      </c>
      <c r="P397" s="74">
        <f t="shared" si="135"/>
        <v>0</v>
      </c>
      <c r="Q397" s="74" t="str">
        <f t="shared" si="135"/>
        <v>BRMCP</v>
      </c>
      <c r="R397" s="99" t="str">
        <f t="shared" si="135"/>
        <v>ZP101</v>
      </c>
      <c r="S397" s="99">
        <f t="shared" si="135"/>
        <v>0</v>
      </c>
      <c r="T397" s="74">
        <f t="shared" si="135"/>
        <v>0</v>
      </c>
      <c r="U397" s="6">
        <f t="shared" si="129"/>
        <v>40</v>
      </c>
      <c r="V397" s="102">
        <f t="shared" si="130"/>
        <v>44823.843590077056</v>
      </c>
      <c r="W397" s="102">
        <f t="shared" si="136"/>
        <v>44829.843590077056</v>
      </c>
      <c r="X397" s="102">
        <f t="shared" si="136"/>
        <v>44830.843590077056</v>
      </c>
      <c r="Y397" s="102">
        <f t="shared" si="136"/>
        <v>44830.885256743721</v>
      </c>
      <c r="Z397" s="102">
        <f t="shared" si="136"/>
        <v>44830.926923410385</v>
      </c>
      <c r="AA397" s="74" t="str">
        <f t="shared" si="134"/>
        <v>BRPEC</v>
      </c>
      <c r="AB397" s="74" t="str">
        <f t="shared" si="134"/>
        <v>BRPECAPM</v>
      </c>
    </row>
    <row r="398" spans="12:28">
      <c r="L398" s="6" t="s">
        <v>12</v>
      </c>
      <c r="M398" s="6" t="s">
        <v>182</v>
      </c>
      <c r="N398" s="6">
        <f t="shared" si="120"/>
        <v>9</v>
      </c>
      <c r="O398" s="74" t="str">
        <f t="shared" si="135"/>
        <v>S</v>
      </c>
      <c r="P398" s="74" t="str">
        <f t="shared" si="135"/>
        <v>N</v>
      </c>
      <c r="Q398" s="74" t="str">
        <f t="shared" si="135"/>
        <v>BRPEC</v>
      </c>
      <c r="R398" s="99" t="str">
        <f t="shared" si="135"/>
        <v>ZP501</v>
      </c>
      <c r="S398" s="99" t="str">
        <f t="shared" si="135"/>
        <v>BRPECTB02</v>
      </c>
      <c r="T398" s="74" t="str">
        <f t="shared" si="135"/>
        <v>BRPECAPM</v>
      </c>
      <c r="U398" s="6">
        <f t="shared" si="129"/>
        <v>40</v>
      </c>
      <c r="V398" s="102">
        <f t="shared" si="130"/>
        <v>44826.073654745254</v>
      </c>
      <c r="W398" s="102">
        <f t="shared" si="136"/>
        <v>44832.073654745254</v>
      </c>
      <c r="X398" s="102">
        <f t="shared" si="136"/>
        <v>44833.073654745254</v>
      </c>
      <c r="Y398" s="102">
        <f t="shared" si="136"/>
        <v>44833.15698807859</v>
      </c>
      <c r="Z398" s="102">
        <f t="shared" si="136"/>
        <v>44833.572265856368</v>
      </c>
      <c r="AA398" s="74" t="str">
        <f t="shared" si="134"/>
        <v>BRSUA</v>
      </c>
      <c r="AB398" s="74" t="str">
        <f t="shared" si="134"/>
        <v>BRSUATCO</v>
      </c>
    </row>
    <row r="399" spans="12:28">
      <c r="L399" s="6" t="s">
        <v>12</v>
      </c>
      <c r="M399" s="6" t="s">
        <v>182</v>
      </c>
      <c r="N399" s="6">
        <f t="shared" si="120"/>
        <v>9</v>
      </c>
      <c r="O399" s="74" t="str">
        <f t="shared" si="135"/>
        <v>S</v>
      </c>
      <c r="P399" s="74" t="str">
        <f t="shared" si="135"/>
        <v>N</v>
      </c>
      <c r="Q399" s="74" t="str">
        <f t="shared" si="135"/>
        <v>BRSUA</v>
      </c>
      <c r="R399" s="99" t="str">
        <f t="shared" si="135"/>
        <v>ZP901</v>
      </c>
      <c r="S399" s="99" t="str">
        <f t="shared" si="135"/>
        <v>BRSUATB02</v>
      </c>
      <c r="T399" s="74" t="str">
        <f t="shared" si="135"/>
        <v>BRSUATCO</v>
      </c>
      <c r="U399" s="6">
        <f t="shared" si="129"/>
        <v>40</v>
      </c>
      <c r="V399" s="102">
        <f t="shared" si="130"/>
        <v>44827.713121195025</v>
      </c>
      <c r="W399" s="102">
        <f t="shared" si="136"/>
        <v>44833.713121195025</v>
      </c>
      <c r="X399" s="102">
        <f t="shared" si="136"/>
        <v>44834.713121195025</v>
      </c>
      <c r="Y399" s="102">
        <f t="shared" si="136"/>
        <v>44834.775621195025</v>
      </c>
      <c r="Z399" s="102">
        <f t="shared" si="136"/>
        <v>44835.546454528354</v>
      </c>
      <c r="AA399" s="74" t="str">
        <f>AA389</f>
        <v>BRSSZ</v>
      </c>
      <c r="AB399" s="74" t="str">
        <f>AB389</f>
        <v>BRSSZTCO</v>
      </c>
    </row>
    <row r="400" spans="12:28">
      <c r="L400" s="6" t="s">
        <v>12</v>
      </c>
      <c r="M400" s="106" t="s">
        <v>183</v>
      </c>
      <c r="N400" s="6">
        <f t="shared" si="120"/>
        <v>9</v>
      </c>
      <c r="O400" s="74" t="str">
        <f t="shared" si="135"/>
        <v>N</v>
      </c>
      <c r="P400" s="74" t="str">
        <f t="shared" si="135"/>
        <v>B</v>
      </c>
      <c r="Q400" s="74" t="str">
        <f t="shared" si="135"/>
        <v>BRSSZ</v>
      </c>
      <c r="R400" s="99" t="str">
        <f t="shared" si="135"/>
        <v>ZP1601</v>
      </c>
      <c r="S400" s="99" t="str">
        <f t="shared" si="135"/>
        <v>BRSSZTB01</v>
      </c>
      <c r="T400" s="74" t="str">
        <f t="shared" si="135"/>
        <v>BRSSZTCO</v>
      </c>
      <c r="U400" s="6">
        <f t="shared" si="129"/>
        <v>38</v>
      </c>
      <c r="V400" s="102">
        <f t="shared" si="130"/>
        <v>44810.791666666664</v>
      </c>
      <c r="W400" s="102">
        <f t="shared" si="136"/>
        <v>44816.791666666664</v>
      </c>
      <c r="X400" s="102">
        <f t="shared" si="136"/>
        <v>44817.791666666664</v>
      </c>
      <c r="Y400" s="102">
        <f t="shared" si="136"/>
        <v>44817.895833333328</v>
      </c>
      <c r="Z400" s="102">
        <f t="shared" si="136"/>
        <v>44819.718518518515</v>
      </c>
      <c r="AA400" s="74" t="str">
        <f t="shared" ref="AA400:AB408" si="137">AA390</f>
        <v>BRIGI</v>
      </c>
      <c r="AB400" s="74" t="str">
        <f t="shared" si="137"/>
        <v>BRIGITCO</v>
      </c>
    </row>
    <row r="401" spans="12:28">
      <c r="L401" s="6" t="s">
        <v>12</v>
      </c>
      <c r="M401" s="106" t="s">
        <v>183</v>
      </c>
      <c r="N401" s="6">
        <f t="shared" si="120"/>
        <v>9</v>
      </c>
      <c r="O401" s="74" t="str">
        <f t="shared" si="135"/>
        <v>N</v>
      </c>
      <c r="P401" s="74" t="str">
        <f t="shared" si="135"/>
        <v>N</v>
      </c>
      <c r="Q401" s="74" t="str">
        <f t="shared" si="135"/>
        <v>BRIGI</v>
      </c>
      <c r="R401" s="99" t="str">
        <f t="shared" si="135"/>
        <v>ZP15A03</v>
      </c>
      <c r="S401" s="99" t="str">
        <f t="shared" si="135"/>
        <v>BRIGITB01</v>
      </c>
      <c r="T401" s="74" t="str">
        <f t="shared" si="135"/>
        <v>BRIGITCO</v>
      </c>
      <c r="U401" s="6">
        <f t="shared" si="129"/>
        <v>38</v>
      </c>
      <c r="V401" s="102">
        <f t="shared" si="130"/>
        <v>44813.094394891508</v>
      </c>
      <c r="W401" s="102">
        <f t="shared" si="136"/>
        <v>44819.094394891508</v>
      </c>
      <c r="X401" s="102">
        <f t="shared" si="136"/>
        <v>44820.094394891508</v>
      </c>
      <c r="Y401" s="102">
        <f t="shared" si="136"/>
        <v>44820.240228224844</v>
      </c>
      <c r="Z401" s="102">
        <f t="shared" si="136"/>
        <v>44821.433283780396</v>
      </c>
      <c r="AA401" s="74" t="str">
        <f t="shared" si="137"/>
        <v>BRSSA</v>
      </c>
      <c r="AB401" s="74" t="str">
        <f t="shared" si="137"/>
        <v>BRSSATCO</v>
      </c>
    </row>
    <row r="402" spans="12:28">
      <c r="L402" s="6" t="s">
        <v>12</v>
      </c>
      <c r="M402" s="106" t="s">
        <v>183</v>
      </c>
      <c r="N402" s="6">
        <f t="shared" si="120"/>
        <v>9</v>
      </c>
      <c r="O402" s="74" t="str">
        <f t="shared" si="135"/>
        <v>N</v>
      </c>
      <c r="P402" s="74" t="str">
        <f t="shared" si="135"/>
        <v>N</v>
      </c>
      <c r="Q402" s="74" t="str">
        <f t="shared" si="135"/>
        <v>BRSSA</v>
      </c>
      <c r="R402" s="99" t="str">
        <f t="shared" si="135"/>
        <v>ZP1202</v>
      </c>
      <c r="S402" s="99" t="str">
        <f t="shared" si="135"/>
        <v>BRSSATB01</v>
      </c>
      <c r="T402" s="74" t="str">
        <f t="shared" si="135"/>
        <v>BRSSATCO</v>
      </c>
      <c r="U402" s="6">
        <f t="shared" si="129"/>
        <v>39</v>
      </c>
      <c r="V402" s="102">
        <f t="shared" si="130"/>
        <v>44816.450297220996</v>
      </c>
      <c r="W402" s="102">
        <f t="shared" si="136"/>
        <v>44822.450297220996</v>
      </c>
      <c r="X402" s="102">
        <f t="shared" si="136"/>
        <v>44823.450297220996</v>
      </c>
      <c r="Y402" s="102">
        <f t="shared" si="136"/>
        <v>44823.533630554331</v>
      </c>
      <c r="Z402" s="102">
        <f t="shared" si="136"/>
        <v>44824.114186109888</v>
      </c>
      <c r="AA402" s="74" t="str">
        <f t="shared" si="137"/>
        <v>BRSUA</v>
      </c>
      <c r="AB402" s="74" t="str">
        <f t="shared" si="137"/>
        <v>BRSUATCO</v>
      </c>
    </row>
    <row r="403" spans="12:28">
      <c r="L403" s="6" t="s">
        <v>12</v>
      </c>
      <c r="M403" s="106" t="s">
        <v>183</v>
      </c>
      <c r="N403" s="6">
        <f t="shared" si="120"/>
        <v>9</v>
      </c>
      <c r="O403" s="74" t="str">
        <f t="shared" si="135"/>
        <v>N</v>
      </c>
      <c r="P403" s="74" t="str">
        <f t="shared" si="135"/>
        <v>N</v>
      </c>
      <c r="Q403" s="74" t="str">
        <f t="shared" si="135"/>
        <v>BRSUA</v>
      </c>
      <c r="R403" s="99" t="str">
        <f t="shared" si="135"/>
        <v>ZP901</v>
      </c>
      <c r="S403" s="99" t="str">
        <f t="shared" si="135"/>
        <v>BRSUATB02</v>
      </c>
      <c r="T403" s="74" t="str">
        <f t="shared" si="135"/>
        <v>BRSUATCO</v>
      </c>
      <c r="U403" s="6">
        <f t="shared" si="129"/>
        <v>39</v>
      </c>
      <c r="V403" s="102">
        <f t="shared" si="130"/>
        <v>44818.077702180381</v>
      </c>
      <c r="W403" s="102">
        <f t="shared" si="136"/>
        <v>44824.077702180381</v>
      </c>
      <c r="X403" s="102">
        <f t="shared" si="136"/>
        <v>44825.077702180381</v>
      </c>
      <c r="Y403" s="102">
        <f t="shared" si="136"/>
        <v>44825.140202180381</v>
      </c>
      <c r="Z403" s="102">
        <f t="shared" si="136"/>
        <v>44827.256868847042</v>
      </c>
      <c r="AA403" s="74" t="str">
        <f t="shared" si="137"/>
        <v>BRPEC</v>
      </c>
      <c r="AB403" s="74" t="str">
        <f t="shared" si="137"/>
        <v>BRPECAPM</v>
      </c>
    </row>
    <row r="404" spans="12:28">
      <c r="L404" s="6" t="s">
        <v>12</v>
      </c>
      <c r="M404" s="106" t="s">
        <v>183</v>
      </c>
      <c r="N404" s="6">
        <f t="shared" si="120"/>
        <v>9</v>
      </c>
      <c r="O404" s="74" t="str">
        <f t="shared" si="135"/>
        <v>N</v>
      </c>
      <c r="P404" s="74" t="str">
        <f t="shared" si="135"/>
        <v>N</v>
      </c>
      <c r="Q404" s="74" t="str">
        <f t="shared" si="135"/>
        <v>BRPEC</v>
      </c>
      <c r="R404" s="99" t="str">
        <f t="shared" si="135"/>
        <v>ZP501</v>
      </c>
      <c r="S404" s="99" t="str">
        <f t="shared" si="135"/>
        <v>BRPECTB01</v>
      </c>
      <c r="T404" s="74" t="str">
        <f t="shared" si="135"/>
        <v>BRPECAPM</v>
      </c>
      <c r="U404" s="6">
        <f t="shared" si="129"/>
        <v>39</v>
      </c>
      <c r="V404" s="102">
        <f t="shared" si="130"/>
        <v>44821.443242792273</v>
      </c>
      <c r="W404" s="102">
        <f t="shared" si="136"/>
        <v>44827.443242792273</v>
      </c>
      <c r="X404" s="102">
        <f t="shared" si="136"/>
        <v>44828.443242792273</v>
      </c>
      <c r="Y404" s="102">
        <f t="shared" si="136"/>
        <v>44828.526576125609</v>
      </c>
      <c r="Z404" s="102">
        <f t="shared" si="136"/>
        <v>44829.211298347829</v>
      </c>
      <c r="AA404" s="74" t="str">
        <f t="shared" si="137"/>
        <v>BRMCP</v>
      </c>
      <c r="AB404" s="74">
        <f t="shared" si="137"/>
        <v>0</v>
      </c>
    </row>
    <row r="405" spans="12:28">
      <c r="L405" s="6" t="s">
        <v>12</v>
      </c>
      <c r="M405" s="106" t="s">
        <v>183</v>
      </c>
      <c r="N405" s="6">
        <f t="shared" si="120"/>
        <v>9</v>
      </c>
      <c r="O405" s="74">
        <f t="shared" si="135"/>
        <v>0</v>
      </c>
      <c r="P405" s="74">
        <f t="shared" si="135"/>
        <v>0</v>
      </c>
      <c r="Q405" s="74" t="str">
        <f t="shared" si="135"/>
        <v>BRMCP</v>
      </c>
      <c r="R405" s="99" t="str">
        <f t="shared" si="135"/>
        <v>ZP101</v>
      </c>
      <c r="S405" s="99">
        <f t="shared" si="135"/>
        <v>0</v>
      </c>
      <c r="T405" s="74">
        <f t="shared" si="135"/>
        <v>0</v>
      </c>
      <c r="U405" s="6">
        <f t="shared" si="129"/>
        <v>40</v>
      </c>
      <c r="V405" s="102">
        <f t="shared" si="130"/>
        <v>44824.358029681898</v>
      </c>
      <c r="W405" s="102">
        <f t="shared" si="136"/>
        <v>44830.358029681898</v>
      </c>
      <c r="X405" s="102">
        <f t="shared" si="136"/>
        <v>44831.358029681898</v>
      </c>
      <c r="Y405" s="102">
        <f t="shared" si="136"/>
        <v>44831.399696348562</v>
      </c>
      <c r="Z405" s="102">
        <f t="shared" si="136"/>
        <v>44831.441363015227</v>
      </c>
      <c r="AA405" s="74" t="str">
        <f t="shared" si="137"/>
        <v>BRMAO</v>
      </c>
      <c r="AB405" s="74" t="str">
        <f t="shared" si="137"/>
        <v>BRMAOCHI</v>
      </c>
    </row>
    <row r="406" spans="12:28">
      <c r="L406" s="6" t="s">
        <v>12</v>
      </c>
      <c r="M406" s="106" t="s">
        <v>183</v>
      </c>
      <c r="N406" s="6">
        <f t="shared" si="120"/>
        <v>9</v>
      </c>
      <c r="O406" s="74" t="str">
        <f t="shared" si="135"/>
        <v>S</v>
      </c>
      <c r="P406" s="74" t="str">
        <f t="shared" si="135"/>
        <v>D</v>
      </c>
      <c r="Q406" s="74" t="str">
        <f>Q396</f>
        <v>BRMAO</v>
      </c>
      <c r="R406" s="99" t="str">
        <f t="shared" si="135"/>
        <v>ZP201</v>
      </c>
      <c r="S406" s="99" t="str">
        <f t="shared" si="135"/>
        <v>BRMAOTB01</v>
      </c>
      <c r="T406" s="74" t="str">
        <f t="shared" si="135"/>
        <v>BRMAOCHI</v>
      </c>
      <c r="U406" s="6">
        <f t="shared" si="129"/>
        <v>40</v>
      </c>
      <c r="V406" s="102">
        <f t="shared" si="130"/>
        <v>44826.227551957192</v>
      </c>
      <c r="W406" s="102">
        <f t="shared" si="136"/>
        <v>44832.227551957192</v>
      </c>
      <c r="X406" s="102">
        <f t="shared" si="136"/>
        <v>44833.227551957192</v>
      </c>
      <c r="Y406" s="102">
        <f t="shared" si="136"/>
        <v>44833.290051957192</v>
      </c>
      <c r="Z406" s="102">
        <f t="shared" si="136"/>
        <v>44836.380329734966</v>
      </c>
      <c r="AA406" s="74" t="str">
        <f t="shared" si="137"/>
        <v>BRMCP</v>
      </c>
      <c r="AB406" s="74">
        <f t="shared" si="137"/>
        <v>0</v>
      </c>
    </row>
    <row r="407" spans="12:28">
      <c r="L407" s="6" t="s">
        <v>12</v>
      </c>
      <c r="M407" s="106" t="s">
        <v>183</v>
      </c>
      <c r="N407" s="6">
        <f t="shared" si="120"/>
        <v>9</v>
      </c>
      <c r="O407" s="74">
        <f t="shared" si="135"/>
        <v>0</v>
      </c>
      <c r="P407" s="74">
        <f t="shared" si="135"/>
        <v>0</v>
      </c>
      <c r="Q407" s="74" t="str">
        <f t="shared" si="135"/>
        <v>BRMCP</v>
      </c>
      <c r="R407" s="99" t="str">
        <f t="shared" si="135"/>
        <v>ZP101</v>
      </c>
      <c r="S407" s="99">
        <f t="shared" si="135"/>
        <v>0</v>
      </c>
      <c r="T407" s="74">
        <f t="shared" si="135"/>
        <v>0</v>
      </c>
      <c r="U407" s="6">
        <f t="shared" si="129"/>
        <v>41</v>
      </c>
      <c r="V407" s="102">
        <f t="shared" si="130"/>
        <v>44830.843590077056</v>
      </c>
      <c r="W407" s="102">
        <f t="shared" si="136"/>
        <v>44836.843590077056</v>
      </c>
      <c r="X407" s="102">
        <f t="shared" si="136"/>
        <v>44837.843590077056</v>
      </c>
      <c r="Y407" s="102">
        <f t="shared" si="136"/>
        <v>44837.885256743721</v>
      </c>
      <c r="Z407" s="102">
        <f t="shared" si="136"/>
        <v>44837.926923410385</v>
      </c>
      <c r="AA407" s="74" t="str">
        <f t="shared" si="137"/>
        <v>BRPEC</v>
      </c>
      <c r="AB407" s="74" t="str">
        <f t="shared" si="137"/>
        <v>BRPECAPM</v>
      </c>
    </row>
    <row r="408" spans="12:28">
      <c r="L408" s="6" t="s">
        <v>12</v>
      </c>
      <c r="M408" s="106" t="s">
        <v>183</v>
      </c>
      <c r="N408" s="6">
        <f t="shared" si="120"/>
        <v>9</v>
      </c>
      <c r="O408" s="74" t="str">
        <f t="shared" si="135"/>
        <v>S</v>
      </c>
      <c r="P408" s="74" t="str">
        <f t="shared" si="135"/>
        <v>N</v>
      </c>
      <c r="Q408" s="74" t="str">
        <f t="shared" si="135"/>
        <v>BRPEC</v>
      </c>
      <c r="R408" s="99" t="str">
        <f t="shared" si="135"/>
        <v>ZP501</v>
      </c>
      <c r="S408" s="99" t="str">
        <f t="shared" si="135"/>
        <v>BRPECTB02</v>
      </c>
      <c r="T408" s="74" t="str">
        <f t="shared" si="135"/>
        <v>BRPECAPM</v>
      </c>
      <c r="U408" s="6">
        <f t="shared" si="129"/>
        <v>41</v>
      </c>
      <c r="V408" s="102">
        <f t="shared" si="130"/>
        <v>44833.073654745254</v>
      </c>
      <c r="W408" s="102">
        <f t="shared" si="136"/>
        <v>44839.073654745254</v>
      </c>
      <c r="X408" s="102">
        <f t="shared" si="136"/>
        <v>44840.073654745254</v>
      </c>
      <c r="Y408" s="102">
        <f t="shared" si="136"/>
        <v>44840.15698807859</v>
      </c>
      <c r="Z408" s="102">
        <f t="shared" si="136"/>
        <v>44840.572265856368</v>
      </c>
      <c r="AA408" s="74" t="str">
        <f t="shared" si="137"/>
        <v>BRSUA</v>
      </c>
      <c r="AB408" s="74" t="str">
        <f t="shared" si="137"/>
        <v>BRSUATCO</v>
      </c>
    </row>
    <row r="409" spans="12:28">
      <c r="L409" s="6" t="s">
        <v>12</v>
      </c>
      <c r="M409" s="106" t="s">
        <v>183</v>
      </c>
      <c r="N409" s="6">
        <f t="shared" si="120"/>
        <v>9</v>
      </c>
      <c r="O409" s="74" t="str">
        <f t="shared" si="135"/>
        <v>S</v>
      </c>
      <c r="P409" s="74" t="str">
        <f t="shared" si="135"/>
        <v>N</v>
      </c>
      <c r="Q409" s="74" t="str">
        <f t="shared" si="135"/>
        <v>BRSUA</v>
      </c>
      <c r="R409" s="99" t="str">
        <f t="shared" si="135"/>
        <v>ZP901</v>
      </c>
      <c r="S409" s="99" t="str">
        <f t="shared" si="135"/>
        <v>BRSUATB02</v>
      </c>
      <c r="T409" s="74" t="str">
        <f t="shared" si="135"/>
        <v>BRSUATCO</v>
      </c>
      <c r="U409" s="6">
        <f t="shared" si="129"/>
        <v>41</v>
      </c>
      <c r="V409" s="102">
        <f t="shared" si="130"/>
        <v>44834.713121195025</v>
      </c>
      <c r="W409" s="102">
        <f t="shared" si="136"/>
        <v>44840.713121195025</v>
      </c>
      <c r="X409" s="102">
        <f t="shared" si="136"/>
        <v>44841.713121195025</v>
      </c>
      <c r="Y409" s="102">
        <f t="shared" si="136"/>
        <v>44841.775621195025</v>
      </c>
      <c r="Z409" s="102">
        <f t="shared" si="136"/>
        <v>44842.546454528354</v>
      </c>
      <c r="AA409" s="74" t="str">
        <f>AA399</f>
        <v>BRSSZ</v>
      </c>
      <c r="AB409" s="74" t="str">
        <f>AB399</f>
        <v>BRSSZTCO</v>
      </c>
    </row>
    <row r="410" spans="12:28">
      <c r="L410" s="6" t="s">
        <v>12</v>
      </c>
      <c r="M410" s="6" t="str">
        <f>$J$2</f>
        <v>SHIP13</v>
      </c>
      <c r="N410" s="6">
        <f t="shared" si="120"/>
        <v>10</v>
      </c>
      <c r="O410" s="74" t="str">
        <f t="shared" si="135"/>
        <v>N</v>
      </c>
      <c r="P410" s="74" t="str">
        <f t="shared" si="135"/>
        <v>B</v>
      </c>
      <c r="Q410" s="74" t="str">
        <f t="shared" si="135"/>
        <v>BRSSZ</v>
      </c>
      <c r="R410" s="99" t="str">
        <f t="shared" si="135"/>
        <v>ZP1601</v>
      </c>
      <c r="S410" s="99" t="str">
        <f t="shared" si="135"/>
        <v>BRSSZTB01</v>
      </c>
      <c r="T410" s="74" t="str">
        <f t="shared" si="135"/>
        <v>BRSSZTCO</v>
      </c>
      <c r="U410" s="6">
        <f t="shared" si="129"/>
        <v>39</v>
      </c>
      <c r="V410" s="102">
        <f t="shared" si="130"/>
        <v>44817.791666666664</v>
      </c>
      <c r="W410" s="102">
        <f t="shared" si="136"/>
        <v>44823.791666666664</v>
      </c>
      <c r="X410" s="102">
        <f t="shared" si="136"/>
        <v>44824.791666666664</v>
      </c>
      <c r="Y410" s="102">
        <f t="shared" si="136"/>
        <v>44824.895833333328</v>
      </c>
      <c r="Z410" s="102">
        <f t="shared" si="136"/>
        <v>44826.718518518515</v>
      </c>
      <c r="AA410" s="74" t="str">
        <f t="shared" ref="AA410:AB418" si="138">AA400</f>
        <v>BRIGI</v>
      </c>
      <c r="AB410" s="74" t="str">
        <f t="shared" si="138"/>
        <v>BRIGITCO</v>
      </c>
    </row>
    <row r="411" spans="12:28">
      <c r="L411" s="6" t="s">
        <v>12</v>
      </c>
      <c r="M411" s="6" t="str">
        <f t="shared" ref="M411:M419" si="139">$J$2</f>
        <v>SHIP13</v>
      </c>
      <c r="N411" s="6">
        <f t="shared" ref="N411:N474" si="140">N371+1</f>
        <v>10</v>
      </c>
      <c r="O411" s="74" t="str">
        <f t="shared" si="135"/>
        <v>N</v>
      </c>
      <c r="P411" s="74" t="str">
        <f t="shared" si="135"/>
        <v>N</v>
      </c>
      <c r="Q411" s="74" t="str">
        <f t="shared" si="135"/>
        <v>BRIGI</v>
      </c>
      <c r="R411" s="99" t="str">
        <f t="shared" si="135"/>
        <v>ZP15A03</v>
      </c>
      <c r="S411" s="99" t="str">
        <f t="shared" si="135"/>
        <v>BRIGITB01</v>
      </c>
      <c r="T411" s="74" t="str">
        <f t="shared" si="135"/>
        <v>BRIGITCO</v>
      </c>
      <c r="U411" s="6">
        <f t="shared" si="129"/>
        <v>39</v>
      </c>
      <c r="V411" s="102">
        <f t="shared" si="130"/>
        <v>44820.094394891508</v>
      </c>
      <c r="W411" s="102">
        <f t="shared" si="136"/>
        <v>44826.094394891508</v>
      </c>
      <c r="X411" s="102">
        <f t="shared" si="136"/>
        <v>44827.094394891508</v>
      </c>
      <c r="Y411" s="102">
        <f t="shared" si="136"/>
        <v>44827.240228224844</v>
      </c>
      <c r="Z411" s="102">
        <f t="shared" si="136"/>
        <v>44828.433283780396</v>
      </c>
      <c r="AA411" s="74" t="str">
        <f t="shared" si="138"/>
        <v>BRSSA</v>
      </c>
      <c r="AB411" s="74" t="str">
        <f t="shared" si="138"/>
        <v>BRSSATCO</v>
      </c>
    </row>
    <row r="412" spans="12:28">
      <c r="L412" s="6" t="s">
        <v>12</v>
      </c>
      <c r="M412" s="6" t="str">
        <f t="shared" si="139"/>
        <v>SHIP13</v>
      </c>
      <c r="N412" s="6">
        <f t="shared" si="140"/>
        <v>10</v>
      </c>
      <c r="O412" s="74" t="str">
        <f t="shared" ref="O412:T427" si="141">O402</f>
        <v>N</v>
      </c>
      <c r="P412" s="74" t="str">
        <f t="shared" si="141"/>
        <v>N</v>
      </c>
      <c r="Q412" s="74" t="str">
        <f t="shared" si="141"/>
        <v>BRSSA</v>
      </c>
      <c r="R412" s="99" t="str">
        <f t="shared" si="141"/>
        <v>ZP1202</v>
      </c>
      <c r="S412" s="99" t="str">
        <f t="shared" si="141"/>
        <v>BRSSATB01</v>
      </c>
      <c r="T412" s="74" t="str">
        <f t="shared" si="141"/>
        <v>BRSSATCO</v>
      </c>
      <c r="U412" s="6">
        <f t="shared" si="129"/>
        <v>40</v>
      </c>
      <c r="V412" s="102">
        <f t="shared" si="130"/>
        <v>44823.450297220996</v>
      </c>
      <c r="W412" s="102">
        <f t="shared" ref="W412:Z427" si="142">W402+7</f>
        <v>44829.450297220996</v>
      </c>
      <c r="X412" s="102">
        <f t="shared" si="142"/>
        <v>44830.450297220996</v>
      </c>
      <c r="Y412" s="102">
        <f t="shared" si="142"/>
        <v>44830.533630554331</v>
      </c>
      <c r="Z412" s="102">
        <f t="shared" si="142"/>
        <v>44831.114186109888</v>
      </c>
      <c r="AA412" s="74" t="str">
        <f t="shared" si="138"/>
        <v>BRSUA</v>
      </c>
      <c r="AB412" s="74" t="str">
        <f t="shared" si="138"/>
        <v>BRSUATCO</v>
      </c>
    </row>
    <row r="413" spans="12:28">
      <c r="L413" s="6" t="s">
        <v>12</v>
      </c>
      <c r="M413" s="6" t="str">
        <f t="shared" si="139"/>
        <v>SHIP13</v>
      </c>
      <c r="N413" s="6">
        <f t="shared" si="140"/>
        <v>10</v>
      </c>
      <c r="O413" s="74" t="str">
        <f t="shared" si="141"/>
        <v>N</v>
      </c>
      <c r="P413" s="74" t="str">
        <f t="shared" si="141"/>
        <v>N</v>
      </c>
      <c r="Q413" s="74" t="str">
        <f t="shared" si="141"/>
        <v>BRSUA</v>
      </c>
      <c r="R413" s="99" t="str">
        <f t="shared" si="141"/>
        <v>ZP901</v>
      </c>
      <c r="S413" s="99" t="str">
        <f t="shared" si="141"/>
        <v>BRSUATB02</v>
      </c>
      <c r="T413" s="74" t="str">
        <f t="shared" si="141"/>
        <v>BRSUATCO</v>
      </c>
      <c r="U413" s="6">
        <f t="shared" si="129"/>
        <v>40</v>
      </c>
      <c r="V413" s="102">
        <f t="shared" si="130"/>
        <v>44825.077702180381</v>
      </c>
      <c r="W413" s="102">
        <f t="shared" si="142"/>
        <v>44831.077702180381</v>
      </c>
      <c r="X413" s="102">
        <f t="shared" si="142"/>
        <v>44832.077702180381</v>
      </c>
      <c r="Y413" s="102">
        <f t="shared" si="142"/>
        <v>44832.140202180381</v>
      </c>
      <c r="Z413" s="102">
        <f t="shared" si="142"/>
        <v>44834.256868847042</v>
      </c>
      <c r="AA413" s="74" t="str">
        <f t="shared" si="138"/>
        <v>BRPEC</v>
      </c>
      <c r="AB413" s="74" t="str">
        <f t="shared" si="138"/>
        <v>BRPECAPM</v>
      </c>
    </row>
    <row r="414" spans="12:28">
      <c r="L414" s="6" t="s">
        <v>12</v>
      </c>
      <c r="M414" s="6" t="str">
        <f t="shared" si="139"/>
        <v>SHIP13</v>
      </c>
      <c r="N414" s="6">
        <f t="shared" si="140"/>
        <v>10</v>
      </c>
      <c r="O414" s="74" t="str">
        <f t="shared" si="141"/>
        <v>N</v>
      </c>
      <c r="P414" s="74" t="str">
        <f t="shared" si="141"/>
        <v>N</v>
      </c>
      <c r="Q414" s="74" t="str">
        <f t="shared" si="141"/>
        <v>BRPEC</v>
      </c>
      <c r="R414" s="99" t="str">
        <f t="shared" si="141"/>
        <v>ZP501</v>
      </c>
      <c r="S414" s="99" t="str">
        <f t="shared" si="141"/>
        <v>BRPECTB01</v>
      </c>
      <c r="T414" s="74" t="str">
        <f t="shared" si="141"/>
        <v>BRPECAPM</v>
      </c>
      <c r="U414" s="6">
        <f t="shared" si="129"/>
        <v>40</v>
      </c>
      <c r="V414" s="102">
        <f t="shared" si="130"/>
        <v>44828.443242792273</v>
      </c>
      <c r="W414" s="102">
        <f t="shared" si="142"/>
        <v>44834.443242792273</v>
      </c>
      <c r="X414" s="102">
        <f t="shared" si="142"/>
        <v>44835.443242792273</v>
      </c>
      <c r="Y414" s="102">
        <f t="shared" si="142"/>
        <v>44835.526576125609</v>
      </c>
      <c r="Z414" s="102">
        <f t="shared" si="142"/>
        <v>44836.211298347829</v>
      </c>
      <c r="AA414" s="74" t="str">
        <f t="shared" si="138"/>
        <v>BRMCP</v>
      </c>
      <c r="AB414" s="74">
        <f t="shared" si="138"/>
        <v>0</v>
      </c>
    </row>
    <row r="415" spans="12:28">
      <c r="L415" s="6" t="s">
        <v>12</v>
      </c>
      <c r="M415" s="6" t="str">
        <f t="shared" si="139"/>
        <v>SHIP13</v>
      </c>
      <c r="N415" s="6">
        <f t="shared" si="140"/>
        <v>10</v>
      </c>
      <c r="O415" s="74">
        <f t="shared" si="141"/>
        <v>0</v>
      </c>
      <c r="P415" s="74">
        <f t="shared" si="141"/>
        <v>0</v>
      </c>
      <c r="Q415" s="74" t="str">
        <f t="shared" si="141"/>
        <v>BRMCP</v>
      </c>
      <c r="R415" s="99" t="str">
        <f t="shared" si="141"/>
        <v>ZP101</v>
      </c>
      <c r="S415" s="99">
        <f t="shared" si="141"/>
        <v>0</v>
      </c>
      <c r="T415" s="74">
        <f t="shared" si="141"/>
        <v>0</v>
      </c>
      <c r="U415" s="6">
        <f t="shared" si="129"/>
        <v>41</v>
      </c>
      <c r="V415" s="102">
        <f t="shared" si="130"/>
        <v>44831.358029681898</v>
      </c>
      <c r="W415" s="102">
        <f t="shared" si="142"/>
        <v>44837.358029681898</v>
      </c>
      <c r="X415" s="102">
        <f t="shared" si="142"/>
        <v>44838.358029681898</v>
      </c>
      <c r="Y415" s="102">
        <f t="shared" si="142"/>
        <v>44838.399696348562</v>
      </c>
      <c r="Z415" s="102">
        <f t="shared" si="142"/>
        <v>44838.441363015227</v>
      </c>
      <c r="AA415" s="74" t="str">
        <f t="shared" si="138"/>
        <v>BRMAO</v>
      </c>
      <c r="AB415" s="74" t="str">
        <f t="shared" si="138"/>
        <v>BRMAOCHI</v>
      </c>
    </row>
    <row r="416" spans="12:28">
      <c r="L416" s="6" t="s">
        <v>12</v>
      </c>
      <c r="M416" s="6" t="str">
        <f t="shared" si="139"/>
        <v>SHIP13</v>
      </c>
      <c r="N416" s="6">
        <f t="shared" si="140"/>
        <v>10</v>
      </c>
      <c r="O416" s="74" t="str">
        <f t="shared" si="141"/>
        <v>S</v>
      </c>
      <c r="P416" s="74" t="str">
        <f t="shared" si="141"/>
        <v>D</v>
      </c>
      <c r="Q416" s="74" t="str">
        <f t="shared" si="141"/>
        <v>BRMAO</v>
      </c>
      <c r="R416" s="99" t="str">
        <f t="shared" si="141"/>
        <v>ZP201</v>
      </c>
      <c r="S416" s="99" t="str">
        <f t="shared" si="141"/>
        <v>BRMAOTB01</v>
      </c>
      <c r="T416" s="74" t="str">
        <f t="shared" si="141"/>
        <v>BRMAOCHI</v>
      </c>
      <c r="U416" s="6">
        <f t="shared" si="129"/>
        <v>41</v>
      </c>
      <c r="V416" s="102">
        <f t="shared" si="130"/>
        <v>44833.227551957192</v>
      </c>
      <c r="W416" s="102">
        <f t="shared" si="142"/>
        <v>44839.227551957192</v>
      </c>
      <c r="X416" s="102">
        <f t="shared" si="142"/>
        <v>44840.227551957192</v>
      </c>
      <c r="Y416" s="102">
        <f t="shared" si="142"/>
        <v>44840.290051957192</v>
      </c>
      <c r="Z416" s="102">
        <f t="shared" si="142"/>
        <v>44843.380329734966</v>
      </c>
      <c r="AA416" s="74" t="str">
        <f t="shared" si="138"/>
        <v>BRMCP</v>
      </c>
      <c r="AB416" s="74">
        <f t="shared" si="138"/>
        <v>0</v>
      </c>
    </row>
    <row r="417" spans="12:28">
      <c r="L417" s="6" t="s">
        <v>12</v>
      </c>
      <c r="M417" s="6" t="str">
        <f t="shared" si="139"/>
        <v>SHIP13</v>
      </c>
      <c r="N417" s="6">
        <f t="shared" si="140"/>
        <v>10</v>
      </c>
      <c r="O417" s="74">
        <f t="shared" si="141"/>
        <v>0</v>
      </c>
      <c r="P417" s="74">
        <f t="shared" si="141"/>
        <v>0</v>
      </c>
      <c r="Q417" s="74" t="str">
        <f t="shared" si="141"/>
        <v>BRMCP</v>
      </c>
      <c r="R417" s="99" t="str">
        <f t="shared" si="141"/>
        <v>ZP101</v>
      </c>
      <c r="S417" s="99">
        <f t="shared" si="141"/>
        <v>0</v>
      </c>
      <c r="T417" s="74">
        <f t="shared" si="141"/>
        <v>0</v>
      </c>
      <c r="U417" s="6">
        <f t="shared" si="129"/>
        <v>42</v>
      </c>
      <c r="V417" s="102">
        <f t="shared" si="130"/>
        <v>44837.843590077056</v>
      </c>
      <c r="W417" s="102">
        <f t="shared" si="142"/>
        <v>44843.843590077056</v>
      </c>
      <c r="X417" s="102">
        <f t="shared" si="142"/>
        <v>44844.843590077056</v>
      </c>
      <c r="Y417" s="102">
        <f t="shared" si="142"/>
        <v>44844.885256743721</v>
      </c>
      <c r="Z417" s="102">
        <f t="shared" si="142"/>
        <v>44844.926923410385</v>
      </c>
      <c r="AA417" s="74" t="str">
        <f t="shared" si="138"/>
        <v>BRPEC</v>
      </c>
      <c r="AB417" s="74" t="str">
        <f t="shared" si="138"/>
        <v>BRPECAPM</v>
      </c>
    </row>
    <row r="418" spans="12:28">
      <c r="L418" s="6" t="s">
        <v>12</v>
      </c>
      <c r="M418" s="6" t="str">
        <f t="shared" si="139"/>
        <v>SHIP13</v>
      </c>
      <c r="N418" s="6">
        <f t="shared" si="140"/>
        <v>10</v>
      </c>
      <c r="O418" s="74" t="str">
        <f t="shared" si="141"/>
        <v>S</v>
      </c>
      <c r="P418" s="74" t="str">
        <f t="shared" si="141"/>
        <v>N</v>
      </c>
      <c r="Q418" s="74" t="str">
        <f t="shared" si="141"/>
        <v>BRPEC</v>
      </c>
      <c r="R418" s="99" t="str">
        <f t="shared" si="141"/>
        <v>ZP501</v>
      </c>
      <c r="S418" s="99" t="str">
        <f t="shared" si="141"/>
        <v>BRPECTB02</v>
      </c>
      <c r="T418" s="74" t="str">
        <f t="shared" si="141"/>
        <v>BRPECAPM</v>
      </c>
      <c r="U418" s="6">
        <f t="shared" si="129"/>
        <v>42</v>
      </c>
      <c r="V418" s="102">
        <f t="shared" si="130"/>
        <v>44840.073654745254</v>
      </c>
      <c r="W418" s="102">
        <f t="shared" si="142"/>
        <v>44846.073654745254</v>
      </c>
      <c r="X418" s="102">
        <f t="shared" si="142"/>
        <v>44847.073654745254</v>
      </c>
      <c r="Y418" s="102">
        <f t="shared" si="142"/>
        <v>44847.15698807859</v>
      </c>
      <c r="Z418" s="102">
        <f t="shared" si="142"/>
        <v>44847.572265856368</v>
      </c>
      <c r="AA418" s="74" t="str">
        <f t="shared" si="138"/>
        <v>BRSUA</v>
      </c>
      <c r="AB418" s="74" t="str">
        <f t="shared" si="138"/>
        <v>BRSUATCO</v>
      </c>
    </row>
    <row r="419" spans="12:28">
      <c r="L419" s="6" t="s">
        <v>12</v>
      </c>
      <c r="M419" s="6" t="str">
        <f t="shared" si="139"/>
        <v>SHIP13</v>
      </c>
      <c r="N419" s="6">
        <f t="shared" si="140"/>
        <v>10</v>
      </c>
      <c r="O419" s="74" t="str">
        <f t="shared" si="141"/>
        <v>S</v>
      </c>
      <c r="P419" s="74" t="str">
        <f t="shared" si="141"/>
        <v>N</v>
      </c>
      <c r="Q419" s="74" t="str">
        <f t="shared" si="141"/>
        <v>BRSUA</v>
      </c>
      <c r="R419" s="99" t="str">
        <f t="shared" si="141"/>
        <v>ZP901</v>
      </c>
      <c r="S419" s="99" t="str">
        <f t="shared" si="141"/>
        <v>BRSUATB02</v>
      </c>
      <c r="T419" s="74" t="str">
        <f t="shared" si="141"/>
        <v>BRSUATCO</v>
      </c>
      <c r="U419" s="6">
        <f t="shared" si="129"/>
        <v>42</v>
      </c>
      <c r="V419" s="102">
        <f t="shared" si="130"/>
        <v>44841.713121195025</v>
      </c>
      <c r="W419" s="102">
        <f t="shared" si="142"/>
        <v>44847.713121195025</v>
      </c>
      <c r="X419" s="102">
        <f t="shared" si="142"/>
        <v>44848.713121195025</v>
      </c>
      <c r="Y419" s="102">
        <f t="shared" si="142"/>
        <v>44848.775621195025</v>
      </c>
      <c r="Z419" s="102">
        <f t="shared" si="142"/>
        <v>44849.546454528354</v>
      </c>
      <c r="AA419" s="74" t="str">
        <f>AA409</f>
        <v>BRSSZ</v>
      </c>
      <c r="AB419" s="74" t="str">
        <f>AB409</f>
        <v>BRSSZTCO</v>
      </c>
    </row>
    <row r="420" spans="12:28">
      <c r="L420" s="6" t="s">
        <v>12</v>
      </c>
      <c r="M420" s="106" t="s">
        <v>181</v>
      </c>
      <c r="N420" s="6">
        <f t="shared" si="140"/>
        <v>10</v>
      </c>
      <c r="O420" s="74" t="str">
        <f t="shared" si="141"/>
        <v>N</v>
      </c>
      <c r="P420" s="74" t="str">
        <f t="shared" si="141"/>
        <v>B</v>
      </c>
      <c r="Q420" s="74" t="str">
        <f t="shared" si="141"/>
        <v>BRSSZ</v>
      </c>
      <c r="R420" s="99" t="str">
        <f t="shared" si="141"/>
        <v>ZP1601</v>
      </c>
      <c r="S420" s="99" t="str">
        <f t="shared" si="141"/>
        <v>BRSSZTB01</v>
      </c>
      <c r="T420" s="74" t="str">
        <f t="shared" si="141"/>
        <v>BRSSZTCO</v>
      </c>
      <c r="U420" s="6">
        <f t="shared" si="129"/>
        <v>40</v>
      </c>
      <c r="V420" s="102">
        <f t="shared" si="130"/>
        <v>44824.791666666664</v>
      </c>
      <c r="W420" s="102">
        <f t="shared" si="142"/>
        <v>44830.791666666664</v>
      </c>
      <c r="X420" s="102">
        <f t="shared" si="142"/>
        <v>44831.791666666664</v>
      </c>
      <c r="Y420" s="102">
        <f t="shared" si="142"/>
        <v>44831.895833333328</v>
      </c>
      <c r="Z420" s="102">
        <f t="shared" si="142"/>
        <v>44833.718518518515</v>
      </c>
      <c r="AA420" s="74" t="str">
        <f t="shared" ref="AA420:AB428" si="143">AA410</f>
        <v>BRIGI</v>
      </c>
      <c r="AB420" s="74" t="str">
        <f t="shared" si="143"/>
        <v>BRIGITCO</v>
      </c>
    </row>
    <row r="421" spans="12:28">
      <c r="L421" s="6" t="s">
        <v>12</v>
      </c>
      <c r="M421" s="106" t="s">
        <v>181</v>
      </c>
      <c r="N421" s="6">
        <f t="shared" si="140"/>
        <v>10</v>
      </c>
      <c r="O421" s="74" t="str">
        <f t="shared" si="141"/>
        <v>N</v>
      </c>
      <c r="P421" s="74" t="str">
        <f t="shared" si="141"/>
        <v>N</v>
      </c>
      <c r="Q421" s="74" t="str">
        <f t="shared" si="141"/>
        <v>BRIGI</v>
      </c>
      <c r="R421" s="99" t="str">
        <f t="shared" si="141"/>
        <v>ZP15A03</v>
      </c>
      <c r="S421" s="99" t="str">
        <f t="shared" si="141"/>
        <v>BRIGITB01</v>
      </c>
      <c r="T421" s="74" t="str">
        <f t="shared" si="141"/>
        <v>BRIGITCO</v>
      </c>
      <c r="U421" s="6">
        <f t="shared" si="129"/>
        <v>40</v>
      </c>
      <c r="V421" s="102">
        <f t="shared" si="130"/>
        <v>44827.094394891508</v>
      </c>
      <c r="W421" s="102">
        <f t="shared" si="142"/>
        <v>44833.094394891508</v>
      </c>
      <c r="X421" s="102">
        <f t="shared" si="142"/>
        <v>44834.094394891508</v>
      </c>
      <c r="Y421" s="102">
        <f t="shared" si="142"/>
        <v>44834.240228224844</v>
      </c>
      <c r="Z421" s="102">
        <f t="shared" si="142"/>
        <v>44835.433283780396</v>
      </c>
      <c r="AA421" s="74" t="str">
        <f t="shared" si="143"/>
        <v>BRSSA</v>
      </c>
      <c r="AB421" s="74" t="str">
        <f t="shared" si="143"/>
        <v>BRSSATCO</v>
      </c>
    </row>
    <row r="422" spans="12:28">
      <c r="L422" s="6" t="s">
        <v>12</v>
      </c>
      <c r="M422" s="106" t="s">
        <v>181</v>
      </c>
      <c r="N422" s="6">
        <f t="shared" si="140"/>
        <v>10</v>
      </c>
      <c r="O422" s="74" t="str">
        <f t="shared" si="141"/>
        <v>N</v>
      </c>
      <c r="P422" s="74" t="str">
        <f t="shared" si="141"/>
        <v>N</v>
      </c>
      <c r="Q422" s="74" t="str">
        <f t="shared" si="141"/>
        <v>BRSSA</v>
      </c>
      <c r="R422" s="99" t="str">
        <f t="shared" si="141"/>
        <v>ZP1202</v>
      </c>
      <c r="S422" s="99" t="str">
        <f t="shared" si="141"/>
        <v>BRSSATB01</v>
      </c>
      <c r="T422" s="74" t="str">
        <f t="shared" si="141"/>
        <v>BRSSATCO</v>
      </c>
      <c r="U422" s="6">
        <f t="shared" si="129"/>
        <v>41</v>
      </c>
      <c r="V422" s="102">
        <f t="shared" si="130"/>
        <v>44830.450297220996</v>
      </c>
      <c r="W422" s="102">
        <f t="shared" si="142"/>
        <v>44836.450297220996</v>
      </c>
      <c r="X422" s="102">
        <f t="shared" si="142"/>
        <v>44837.450297220996</v>
      </c>
      <c r="Y422" s="102">
        <f t="shared" si="142"/>
        <v>44837.533630554331</v>
      </c>
      <c r="Z422" s="102">
        <f t="shared" si="142"/>
        <v>44838.114186109888</v>
      </c>
      <c r="AA422" s="74" t="str">
        <f t="shared" si="143"/>
        <v>BRSUA</v>
      </c>
      <c r="AB422" s="74" t="str">
        <f t="shared" si="143"/>
        <v>BRSUATCO</v>
      </c>
    </row>
    <row r="423" spans="12:28">
      <c r="L423" s="6" t="s">
        <v>12</v>
      </c>
      <c r="M423" s="106" t="s">
        <v>181</v>
      </c>
      <c r="N423" s="6">
        <f t="shared" si="140"/>
        <v>10</v>
      </c>
      <c r="O423" s="74" t="str">
        <f t="shared" si="141"/>
        <v>N</v>
      </c>
      <c r="P423" s="74" t="str">
        <f t="shared" si="141"/>
        <v>N</v>
      </c>
      <c r="Q423" s="74" t="str">
        <f t="shared" si="141"/>
        <v>BRSUA</v>
      </c>
      <c r="R423" s="99" t="str">
        <f t="shared" si="141"/>
        <v>ZP901</v>
      </c>
      <c r="S423" s="99" t="str">
        <f t="shared" si="141"/>
        <v>BRSUATB02</v>
      </c>
      <c r="T423" s="74" t="str">
        <f t="shared" si="141"/>
        <v>BRSUATCO</v>
      </c>
      <c r="U423" s="6">
        <f t="shared" si="129"/>
        <v>41</v>
      </c>
      <c r="V423" s="102">
        <f t="shared" si="130"/>
        <v>44832.077702180381</v>
      </c>
      <c r="W423" s="102">
        <f t="shared" si="142"/>
        <v>44838.077702180381</v>
      </c>
      <c r="X423" s="102">
        <f t="shared" si="142"/>
        <v>44839.077702180381</v>
      </c>
      <c r="Y423" s="102">
        <f t="shared" si="142"/>
        <v>44839.140202180381</v>
      </c>
      <c r="Z423" s="102">
        <f t="shared" si="142"/>
        <v>44841.256868847042</v>
      </c>
      <c r="AA423" s="74" t="str">
        <f t="shared" si="143"/>
        <v>BRPEC</v>
      </c>
      <c r="AB423" s="74" t="str">
        <f t="shared" si="143"/>
        <v>BRPECAPM</v>
      </c>
    </row>
    <row r="424" spans="12:28">
      <c r="L424" s="6" t="s">
        <v>12</v>
      </c>
      <c r="M424" s="106" t="s">
        <v>181</v>
      </c>
      <c r="N424" s="6">
        <f t="shared" si="140"/>
        <v>10</v>
      </c>
      <c r="O424" s="74" t="str">
        <f t="shared" si="141"/>
        <v>N</v>
      </c>
      <c r="P424" s="74" t="str">
        <f t="shared" si="141"/>
        <v>N</v>
      </c>
      <c r="Q424" s="74" t="str">
        <f t="shared" si="141"/>
        <v>BRPEC</v>
      </c>
      <c r="R424" s="99" t="str">
        <f t="shared" si="141"/>
        <v>ZP501</v>
      </c>
      <c r="S424" s="99" t="str">
        <f t="shared" si="141"/>
        <v>BRPECTB01</v>
      </c>
      <c r="T424" s="74" t="str">
        <f t="shared" si="141"/>
        <v>BRPECAPM</v>
      </c>
      <c r="U424" s="6">
        <f t="shared" si="129"/>
        <v>41</v>
      </c>
      <c r="V424" s="102">
        <f t="shared" si="130"/>
        <v>44835.443242792273</v>
      </c>
      <c r="W424" s="102">
        <f t="shared" si="142"/>
        <v>44841.443242792273</v>
      </c>
      <c r="X424" s="102">
        <f t="shared" si="142"/>
        <v>44842.443242792273</v>
      </c>
      <c r="Y424" s="102">
        <f t="shared" si="142"/>
        <v>44842.526576125609</v>
      </c>
      <c r="Z424" s="102">
        <f t="shared" si="142"/>
        <v>44843.211298347829</v>
      </c>
      <c r="AA424" s="74" t="str">
        <f t="shared" si="143"/>
        <v>BRMCP</v>
      </c>
      <c r="AB424" s="74">
        <f t="shared" si="143"/>
        <v>0</v>
      </c>
    </row>
    <row r="425" spans="12:28">
      <c r="L425" s="6" t="s">
        <v>12</v>
      </c>
      <c r="M425" s="106" t="s">
        <v>181</v>
      </c>
      <c r="N425" s="6">
        <f t="shared" si="140"/>
        <v>10</v>
      </c>
      <c r="O425" s="74">
        <f t="shared" si="141"/>
        <v>0</v>
      </c>
      <c r="P425" s="74">
        <f t="shared" si="141"/>
        <v>0</v>
      </c>
      <c r="Q425" s="74" t="str">
        <f t="shared" si="141"/>
        <v>BRMCP</v>
      </c>
      <c r="R425" s="99" t="str">
        <f t="shared" si="141"/>
        <v>ZP101</v>
      </c>
      <c r="S425" s="99">
        <f t="shared" si="141"/>
        <v>0</v>
      </c>
      <c r="T425" s="74">
        <f t="shared" si="141"/>
        <v>0</v>
      </c>
      <c r="U425" s="6">
        <f t="shared" si="129"/>
        <v>42</v>
      </c>
      <c r="V425" s="102">
        <f t="shared" si="130"/>
        <v>44838.358029681898</v>
      </c>
      <c r="W425" s="102">
        <f t="shared" si="142"/>
        <v>44844.358029681898</v>
      </c>
      <c r="X425" s="102">
        <f t="shared" si="142"/>
        <v>44845.358029681898</v>
      </c>
      <c r="Y425" s="102">
        <f t="shared" si="142"/>
        <v>44845.399696348562</v>
      </c>
      <c r="Z425" s="102">
        <f t="shared" si="142"/>
        <v>44845.441363015227</v>
      </c>
      <c r="AA425" s="74" t="str">
        <f t="shared" si="143"/>
        <v>BRMAO</v>
      </c>
      <c r="AB425" s="74" t="str">
        <f t="shared" si="143"/>
        <v>BRMAOCHI</v>
      </c>
    </row>
    <row r="426" spans="12:28">
      <c r="L426" s="6" t="s">
        <v>12</v>
      </c>
      <c r="M426" s="106" t="s">
        <v>181</v>
      </c>
      <c r="N426" s="6">
        <f t="shared" si="140"/>
        <v>10</v>
      </c>
      <c r="O426" s="74" t="str">
        <f t="shared" si="141"/>
        <v>S</v>
      </c>
      <c r="P426" s="74" t="str">
        <f t="shared" si="141"/>
        <v>D</v>
      </c>
      <c r="Q426" s="74" t="str">
        <f>Q416</f>
        <v>BRMAO</v>
      </c>
      <c r="R426" s="99" t="str">
        <f t="shared" si="141"/>
        <v>ZP201</v>
      </c>
      <c r="S426" s="99" t="str">
        <f t="shared" si="141"/>
        <v>BRMAOTB01</v>
      </c>
      <c r="T426" s="74" t="str">
        <f t="shared" si="141"/>
        <v>BRMAOCHI</v>
      </c>
      <c r="U426" s="6">
        <f t="shared" si="129"/>
        <v>42</v>
      </c>
      <c r="V426" s="102">
        <f t="shared" si="130"/>
        <v>44840.227551957192</v>
      </c>
      <c r="W426" s="102">
        <f t="shared" si="142"/>
        <v>44846.227551957192</v>
      </c>
      <c r="X426" s="102">
        <f t="shared" si="142"/>
        <v>44847.227551957192</v>
      </c>
      <c r="Y426" s="102">
        <f t="shared" si="142"/>
        <v>44847.290051957192</v>
      </c>
      <c r="Z426" s="102">
        <f t="shared" si="142"/>
        <v>44850.380329734966</v>
      </c>
      <c r="AA426" s="74" t="str">
        <f t="shared" si="143"/>
        <v>BRMCP</v>
      </c>
      <c r="AB426" s="74">
        <f t="shared" si="143"/>
        <v>0</v>
      </c>
    </row>
    <row r="427" spans="12:28">
      <c r="L427" s="6" t="s">
        <v>12</v>
      </c>
      <c r="M427" s="106" t="s">
        <v>181</v>
      </c>
      <c r="N427" s="6">
        <f t="shared" si="140"/>
        <v>10</v>
      </c>
      <c r="O427" s="74">
        <f t="shared" si="141"/>
        <v>0</v>
      </c>
      <c r="P427" s="74">
        <f t="shared" si="141"/>
        <v>0</v>
      </c>
      <c r="Q427" s="74" t="str">
        <f t="shared" si="141"/>
        <v>BRMCP</v>
      </c>
      <c r="R427" s="99" t="str">
        <f t="shared" si="141"/>
        <v>ZP101</v>
      </c>
      <c r="S427" s="99">
        <f t="shared" si="141"/>
        <v>0</v>
      </c>
      <c r="T427" s="74">
        <f t="shared" si="141"/>
        <v>0</v>
      </c>
      <c r="U427" s="6">
        <f t="shared" si="129"/>
        <v>43</v>
      </c>
      <c r="V427" s="102">
        <f t="shared" si="130"/>
        <v>44844.843590077056</v>
      </c>
      <c r="W427" s="102">
        <f t="shared" si="142"/>
        <v>44850.843590077056</v>
      </c>
      <c r="X427" s="102">
        <f t="shared" si="142"/>
        <v>44851.843590077056</v>
      </c>
      <c r="Y427" s="102">
        <f t="shared" si="142"/>
        <v>44851.885256743721</v>
      </c>
      <c r="Z427" s="102">
        <f t="shared" si="142"/>
        <v>44851.926923410385</v>
      </c>
      <c r="AA427" s="74" t="str">
        <f t="shared" si="143"/>
        <v>BRPEC</v>
      </c>
      <c r="AB427" s="74" t="str">
        <f t="shared" si="143"/>
        <v>BRPECAPM</v>
      </c>
    </row>
    <row r="428" spans="12:28">
      <c r="L428" s="6" t="s">
        <v>12</v>
      </c>
      <c r="M428" s="106" t="s">
        <v>181</v>
      </c>
      <c r="N428" s="6">
        <f t="shared" si="140"/>
        <v>10</v>
      </c>
      <c r="O428" s="74" t="str">
        <f t="shared" ref="O428:T443" si="144">O418</f>
        <v>S</v>
      </c>
      <c r="P428" s="74" t="str">
        <f t="shared" si="144"/>
        <v>N</v>
      </c>
      <c r="Q428" s="74" t="str">
        <f t="shared" si="144"/>
        <v>BRPEC</v>
      </c>
      <c r="R428" s="99" t="str">
        <f t="shared" si="144"/>
        <v>ZP501</v>
      </c>
      <c r="S428" s="99" t="str">
        <f t="shared" si="144"/>
        <v>BRPECTB02</v>
      </c>
      <c r="T428" s="74" t="str">
        <f t="shared" si="144"/>
        <v>BRPECAPM</v>
      </c>
      <c r="U428" s="6">
        <f t="shared" si="129"/>
        <v>43</v>
      </c>
      <c r="V428" s="102">
        <f t="shared" si="130"/>
        <v>44847.073654745254</v>
      </c>
      <c r="W428" s="102">
        <f t="shared" ref="W428:Z443" si="145">W418+7</f>
        <v>44853.073654745254</v>
      </c>
      <c r="X428" s="102">
        <f t="shared" si="145"/>
        <v>44854.073654745254</v>
      </c>
      <c r="Y428" s="102">
        <f t="shared" si="145"/>
        <v>44854.15698807859</v>
      </c>
      <c r="Z428" s="102">
        <f t="shared" si="145"/>
        <v>44854.572265856368</v>
      </c>
      <c r="AA428" s="74" t="str">
        <f t="shared" si="143"/>
        <v>BRSUA</v>
      </c>
      <c r="AB428" s="74" t="str">
        <f t="shared" si="143"/>
        <v>BRSUATCO</v>
      </c>
    </row>
    <row r="429" spans="12:28">
      <c r="L429" s="6" t="s">
        <v>12</v>
      </c>
      <c r="M429" s="106" t="s">
        <v>181</v>
      </c>
      <c r="N429" s="6">
        <f t="shared" si="140"/>
        <v>10</v>
      </c>
      <c r="O429" s="74" t="str">
        <f t="shared" si="144"/>
        <v>S</v>
      </c>
      <c r="P429" s="74" t="str">
        <f t="shared" si="144"/>
        <v>N</v>
      </c>
      <c r="Q429" s="74" t="str">
        <f t="shared" si="144"/>
        <v>BRSUA</v>
      </c>
      <c r="R429" s="99" t="str">
        <f t="shared" si="144"/>
        <v>ZP901</v>
      </c>
      <c r="S429" s="99" t="str">
        <f t="shared" si="144"/>
        <v>BRSUATB02</v>
      </c>
      <c r="T429" s="74" t="str">
        <f t="shared" si="144"/>
        <v>BRSUATCO</v>
      </c>
      <c r="U429" s="6">
        <f t="shared" si="129"/>
        <v>43</v>
      </c>
      <c r="V429" s="102">
        <f t="shared" si="130"/>
        <v>44848.713121195025</v>
      </c>
      <c r="W429" s="102">
        <f t="shared" si="145"/>
        <v>44854.713121195025</v>
      </c>
      <c r="X429" s="102">
        <f t="shared" si="145"/>
        <v>44855.713121195025</v>
      </c>
      <c r="Y429" s="102">
        <f t="shared" si="145"/>
        <v>44855.775621195025</v>
      </c>
      <c r="Z429" s="102">
        <f t="shared" si="145"/>
        <v>44856.546454528354</v>
      </c>
      <c r="AA429" s="74" t="str">
        <f>AA419</f>
        <v>BRSSZ</v>
      </c>
      <c r="AB429" s="74" t="str">
        <f>AB419</f>
        <v>BRSSZTCO</v>
      </c>
    </row>
    <row r="430" spans="12:28">
      <c r="L430" s="6" t="s">
        <v>12</v>
      </c>
      <c r="M430" s="6" t="s">
        <v>182</v>
      </c>
      <c r="N430" s="6">
        <f t="shared" si="140"/>
        <v>10</v>
      </c>
      <c r="O430" s="74" t="str">
        <f t="shared" si="144"/>
        <v>N</v>
      </c>
      <c r="P430" s="74" t="str">
        <f t="shared" si="144"/>
        <v>B</v>
      </c>
      <c r="Q430" s="74" t="str">
        <f t="shared" si="144"/>
        <v>BRSSZ</v>
      </c>
      <c r="R430" s="99" t="str">
        <f t="shared" si="144"/>
        <v>ZP1601</v>
      </c>
      <c r="S430" s="99" t="str">
        <f t="shared" si="144"/>
        <v>BRSSZTB01</v>
      </c>
      <c r="T430" s="74" t="str">
        <f t="shared" si="144"/>
        <v>BRSSZTCO</v>
      </c>
      <c r="U430" s="6">
        <f t="shared" si="129"/>
        <v>41</v>
      </c>
      <c r="V430" s="102">
        <f t="shared" si="130"/>
        <v>44831.791666666664</v>
      </c>
      <c r="W430" s="102">
        <f t="shared" si="145"/>
        <v>44837.791666666664</v>
      </c>
      <c r="X430" s="102">
        <f t="shared" si="145"/>
        <v>44838.791666666664</v>
      </c>
      <c r="Y430" s="102">
        <f t="shared" si="145"/>
        <v>44838.895833333328</v>
      </c>
      <c r="Z430" s="102">
        <f t="shared" si="145"/>
        <v>44840.718518518515</v>
      </c>
      <c r="AA430" s="74" t="str">
        <f t="shared" ref="AA430:AB438" si="146">AA420</f>
        <v>BRIGI</v>
      </c>
      <c r="AB430" s="74" t="str">
        <f t="shared" si="146"/>
        <v>BRIGITCO</v>
      </c>
    </row>
    <row r="431" spans="12:28">
      <c r="L431" s="6" t="s">
        <v>12</v>
      </c>
      <c r="M431" s="6" t="s">
        <v>182</v>
      </c>
      <c r="N431" s="6">
        <f t="shared" si="140"/>
        <v>10</v>
      </c>
      <c r="O431" s="74" t="str">
        <f t="shared" si="144"/>
        <v>N</v>
      </c>
      <c r="P431" s="74" t="str">
        <f t="shared" si="144"/>
        <v>N</v>
      </c>
      <c r="Q431" s="74" t="str">
        <f t="shared" si="144"/>
        <v>BRIGI</v>
      </c>
      <c r="R431" s="99" t="str">
        <f t="shared" si="144"/>
        <v>ZP15A03</v>
      </c>
      <c r="S431" s="99" t="str">
        <f t="shared" si="144"/>
        <v>BRIGITB01</v>
      </c>
      <c r="T431" s="74" t="str">
        <f t="shared" si="144"/>
        <v>BRIGITCO</v>
      </c>
      <c r="U431" s="6">
        <f t="shared" si="129"/>
        <v>41</v>
      </c>
      <c r="V431" s="102">
        <f t="shared" si="130"/>
        <v>44834.094394891508</v>
      </c>
      <c r="W431" s="102">
        <f t="shared" si="145"/>
        <v>44840.094394891508</v>
      </c>
      <c r="X431" s="102">
        <f t="shared" si="145"/>
        <v>44841.094394891508</v>
      </c>
      <c r="Y431" s="102">
        <f t="shared" si="145"/>
        <v>44841.240228224844</v>
      </c>
      <c r="Z431" s="102">
        <f t="shared" si="145"/>
        <v>44842.433283780396</v>
      </c>
      <c r="AA431" s="74" t="str">
        <f t="shared" si="146"/>
        <v>BRSSA</v>
      </c>
      <c r="AB431" s="74" t="str">
        <f t="shared" si="146"/>
        <v>BRSSATCO</v>
      </c>
    </row>
    <row r="432" spans="12:28">
      <c r="L432" s="6" t="s">
        <v>12</v>
      </c>
      <c r="M432" s="6" t="s">
        <v>182</v>
      </c>
      <c r="N432" s="6">
        <f t="shared" si="140"/>
        <v>10</v>
      </c>
      <c r="O432" s="74" t="str">
        <f t="shared" si="144"/>
        <v>N</v>
      </c>
      <c r="P432" s="74" t="str">
        <f t="shared" si="144"/>
        <v>N</v>
      </c>
      <c r="Q432" s="74" t="str">
        <f t="shared" si="144"/>
        <v>BRSSA</v>
      </c>
      <c r="R432" s="99" t="str">
        <f t="shared" si="144"/>
        <v>ZP1202</v>
      </c>
      <c r="S432" s="99" t="str">
        <f t="shared" si="144"/>
        <v>BRSSATB01</v>
      </c>
      <c r="T432" s="74" t="str">
        <f t="shared" si="144"/>
        <v>BRSSATCO</v>
      </c>
      <c r="U432" s="6">
        <f t="shared" si="129"/>
        <v>42</v>
      </c>
      <c r="V432" s="102">
        <f t="shared" si="130"/>
        <v>44837.450297220996</v>
      </c>
      <c r="W432" s="102">
        <f t="shared" si="145"/>
        <v>44843.450297220996</v>
      </c>
      <c r="X432" s="102">
        <f t="shared" si="145"/>
        <v>44844.450297220996</v>
      </c>
      <c r="Y432" s="102">
        <f t="shared" si="145"/>
        <v>44844.533630554331</v>
      </c>
      <c r="Z432" s="102">
        <f t="shared" si="145"/>
        <v>44845.114186109888</v>
      </c>
      <c r="AA432" s="74" t="str">
        <f t="shared" si="146"/>
        <v>BRSUA</v>
      </c>
      <c r="AB432" s="74" t="str">
        <f t="shared" si="146"/>
        <v>BRSUATCO</v>
      </c>
    </row>
    <row r="433" spans="12:28">
      <c r="L433" s="6" t="s">
        <v>12</v>
      </c>
      <c r="M433" s="6" t="s">
        <v>182</v>
      </c>
      <c r="N433" s="6">
        <f t="shared" si="140"/>
        <v>10</v>
      </c>
      <c r="O433" s="74" t="str">
        <f t="shared" si="144"/>
        <v>N</v>
      </c>
      <c r="P433" s="74" t="str">
        <f t="shared" si="144"/>
        <v>N</v>
      </c>
      <c r="Q433" s="74" t="str">
        <f t="shared" si="144"/>
        <v>BRSUA</v>
      </c>
      <c r="R433" s="99" t="str">
        <f t="shared" si="144"/>
        <v>ZP901</v>
      </c>
      <c r="S433" s="99" t="str">
        <f t="shared" si="144"/>
        <v>BRSUATB02</v>
      </c>
      <c r="T433" s="74" t="str">
        <f t="shared" si="144"/>
        <v>BRSUATCO</v>
      </c>
      <c r="U433" s="6">
        <f t="shared" si="129"/>
        <v>42</v>
      </c>
      <c r="V433" s="102">
        <f t="shared" si="130"/>
        <v>44839.077702180381</v>
      </c>
      <c r="W433" s="102">
        <f t="shared" si="145"/>
        <v>44845.077702180381</v>
      </c>
      <c r="X433" s="102">
        <f t="shared" si="145"/>
        <v>44846.077702180381</v>
      </c>
      <c r="Y433" s="102">
        <f t="shared" si="145"/>
        <v>44846.140202180381</v>
      </c>
      <c r="Z433" s="102">
        <f t="shared" si="145"/>
        <v>44848.256868847042</v>
      </c>
      <c r="AA433" s="74" t="str">
        <f t="shared" si="146"/>
        <v>BRPEC</v>
      </c>
      <c r="AB433" s="74" t="str">
        <f t="shared" si="146"/>
        <v>BRPECAPM</v>
      </c>
    </row>
    <row r="434" spans="12:28">
      <c r="L434" s="6" t="s">
        <v>12</v>
      </c>
      <c r="M434" s="6" t="s">
        <v>182</v>
      </c>
      <c r="N434" s="6">
        <f t="shared" si="140"/>
        <v>10</v>
      </c>
      <c r="O434" s="74" t="str">
        <f t="shared" si="144"/>
        <v>N</v>
      </c>
      <c r="P434" s="74" t="str">
        <f t="shared" si="144"/>
        <v>N</v>
      </c>
      <c r="Q434" s="74" t="str">
        <f t="shared" si="144"/>
        <v>BRPEC</v>
      </c>
      <c r="R434" s="99" t="str">
        <f t="shared" si="144"/>
        <v>ZP501</v>
      </c>
      <c r="S434" s="99" t="str">
        <f t="shared" si="144"/>
        <v>BRPECTB01</v>
      </c>
      <c r="T434" s="74" t="str">
        <f t="shared" si="144"/>
        <v>BRPECAPM</v>
      </c>
      <c r="U434" s="6">
        <f t="shared" si="129"/>
        <v>42</v>
      </c>
      <c r="V434" s="102">
        <f t="shared" si="130"/>
        <v>44842.443242792273</v>
      </c>
      <c r="W434" s="102">
        <f t="shared" si="145"/>
        <v>44848.443242792273</v>
      </c>
      <c r="X434" s="102">
        <f t="shared" si="145"/>
        <v>44849.443242792273</v>
      </c>
      <c r="Y434" s="102">
        <f t="shared" si="145"/>
        <v>44849.526576125609</v>
      </c>
      <c r="Z434" s="102">
        <f t="shared" si="145"/>
        <v>44850.211298347829</v>
      </c>
      <c r="AA434" s="74" t="str">
        <f t="shared" si="146"/>
        <v>BRMCP</v>
      </c>
      <c r="AB434" s="74">
        <f t="shared" si="146"/>
        <v>0</v>
      </c>
    </row>
    <row r="435" spans="12:28">
      <c r="L435" s="6" t="s">
        <v>12</v>
      </c>
      <c r="M435" s="6" t="s">
        <v>182</v>
      </c>
      <c r="N435" s="6">
        <f t="shared" si="140"/>
        <v>10</v>
      </c>
      <c r="O435" s="74">
        <f t="shared" si="144"/>
        <v>0</v>
      </c>
      <c r="P435" s="74">
        <f t="shared" si="144"/>
        <v>0</v>
      </c>
      <c r="Q435" s="74" t="str">
        <f t="shared" si="144"/>
        <v>BRMCP</v>
      </c>
      <c r="R435" s="99" t="str">
        <f t="shared" si="144"/>
        <v>ZP101</v>
      </c>
      <c r="S435" s="99">
        <f t="shared" si="144"/>
        <v>0</v>
      </c>
      <c r="T435" s="74">
        <f t="shared" si="144"/>
        <v>0</v>
      </c>
      <c r="U435" s="6">
        <f t="shared" ref="U435:U498" si="147">WEEKNUM(X435)</f>
        <v>43</v>
      </c>
      <c r="V435" s="102">
        <f t="shared" ref="V435:V498" si="148">X435-7</f>
        <v>44845.358029681898</v>
      </c>
      <c r="W435" s="102">
        <f t="shared" si="145"/>
        <v>44851.358029681898</v>
      </c>
      <c r="X435" s="102">
        <f t="shared" si="145"/>
        <v>44852.358029681898</v>
      </c>
      <c r="Y435" s="102">
        <f t="shared" si="145"/>
        <v>44852.399696348562</v>
      </c>
      <c r="Z435" s="102">
        <f t="shared" si="145"/>
        <v>44852.441363015227</v>
      </c>
      <c r="AA435" s="74" t="str">
        <f t="shared" si="146"/>
        <v>BRMAO</v>
      </c>
      <c r="AB435" s="74" t="str">
        <f t="shared" si="146"/>
        <v>BRMAOCHI</v>
      </c>
    </row>
    <row r="436" spans="12:28">
      <c r="L436" s="6" t="s">
        <v>12</v>
      </c>
      <c r="M436" s="6" t="s">
        <v>182</v>
      </c>
      <c r="N436" s="6">
        <f t="shared" si="140"/>
        <v>10</v>
      </c>
      <c r="O436" s="74" t="str">
        <f t="shared" si="144"/>
        <v>S</v>
      </c>
      <c r="P436" s="74" t="str">
        <f t="shared" si="144"/>
        <v>D</v>
      </c>
      <c r="Q436" s="74" t="str">
        <f t="shared" si="144"/>
        <v>BRMAO</v>
      </c>
      <c r="R436" s="99" t="str">
        <f t="shared" si="144"/>
        <v>ZP201</v>
      </c>
      <c r="S436" s="99" t="str">
        <f t="shared" si="144"/>
        <v>BRMAOTB01</v>
      </c>
      <c r="T436" s="74" t="str">
        <f t="shared" si="144"/>
        <v>BRMAOCHI</v>
      </c>
      <c r="U436" s="6">
        <f t="shared" si="147"/>
        <v>43</v>
      </c>
      <c r="V436" s="102">
        <f t="shared" si="148"/>
        <v>44847.227551957192</v>
      </c>
      <c r="W436" s="102">
        <f t="shared" si="145"/>
        <v>44853.227551957192</v>
      </c>
      <c r="X436" s="102">
        <f t="shared" si="145"/>
        <v>44854.227551957192</v>
      </c>
      <c r="Y436" s="102">
        <f t="shared" si="145"/>
        <v>44854.290051957192</v>
      </c>
      <c r="Z436" s="102">
        <f t="shared" si="145"/>
        <v>44857.380329734966</v>
      </c>
      <c r="AA436" s="74" t="str">
        <f t="shared" si="146"/>
        <v>BRMCP</v>
      </c>
      <c r="AB436" s="74">
        <f t="shared" si="146"/>
        <v>0</v>
      </c>
    </row>
    <row r="437" spans="12:28">
      <c r="L437" s="6" t="s">
        <v>12</v>
      </c>
      <c r="M437" s="6" t="s">
        <v>182</v>
      </c>
      <c r="N437" s="6">
        <f t="shared" si="140"/>
        <v>10</v>
      </c>
      <c r="O437" s="74">
        <f t="shared" si="144"/>
        <v>0</v>
      </c>
      <c r="P437" s="74">
        <f t="shared" si="144"/>
        <v>0</v>
      </c>
      <c r="Q437" s="74" t="str">
        <f t="shared" si="144"/>
        <v>BRMCP</v>
      </c>
      <c r="R437" s="99" t="str">
        <f t="shared" si="144"/>
        <v>ZP101</v>
      </c>
      <c r="S437" s="99">
        <f t="shared" si="144"/>
        <v>0</v>
      </c>
      <c r="T437" s="74">
        <f t="shared" si="144"/>
        <v>0</v>
      </c>
      <c r="U437" s="6">
        <f t="shared" si="147"/>
        <v>44</v>
      </c>
      <c r="V437" s="102">
        <f t="shared" si="148"/>
        <v>44851.843590077056</v>
      </c>
      <c r="W437" s="102">
        <f t="shared" si="145"/>
        <v>44857.843590077056</v>
      </c>
      <c r="X437" s="102">
        <f t="shared" si="145"/>
        <v>44858.843590077056</v>
      </c>
      <c r="Y437" s="102">
        <f t="shared" si="145"/>
        <v>44858.885256743721</v>
      </c>
      <c r="Z437" s="102">
        <f t="shared" si="145"/>
        <v>44858.926923410385</v>
      </c>
      <c r="AA437" s="74" t="str">
        <f t="shared" si="146"/>
        <v>BRPEC</v>
      </c>
      <c r="AB437" s="74" t="str">
        <f t="shared" si="146"/>
        <v>BRPECAPM</v>
      </c>
    </row>
    <row r="438" spans="12:28">
      <c r="L438" s="6" t="s">
        <v>12</v>
      </c>
      <c r="M438" s="6" t="s">
        <v>182</v>
      </c>
      <c r="N438" s="6">
        <f t="shared" si="140"/>
        <v>10</v>
      </c>
      <c r="O438" s="74" t="str">
        <f t="shared" si="144"/>
        <v>S</v>
      </c>
      <c r="P438" s="74" t="str">
        <f t="shared" si="144"/>
        <v>N</v>
      </c>
      <c r="Q438" s="74" t="str">
        <f t="shared" si="144"/>
        <v>BRPEC</v>
      </c>
      <c r="R438" s="99" t="str">
        <f t="shared" si="144"/>
        <v>ZP501</v>
      </c>
      <c r="S438" s="99" t="str">
        <f t="shared" si="144"/>
        <v>BRPECTB02</v>
      </c>
      <c r="T438" s="74" t="str">
        <f t="shared" si="144"/>
        <v>BRPECAPM</v>
      </c>
      <c r="U438" s="6">
        <f t="shared" si="147"/>
        <v>44</v>
      </c>
      <c r="V438" s="102">
        <f t="shared" si="148"/>
        <v>44854.073654745254</v>
      </c>
      <c r="W438" s="102">
        <f t="shared" si="145"/>
        <v>44860.073654745254</v>
      </c>
      <c r="X438" s="102">
        <f t="shared" si="145"/>
        <v>44861.073654745254</v>
      </c>
      <c r="Y438" s="102">
        <f t="shared" si="145"/>
        <v>44861.15698807859</v>
      </c>
      <c r="Z438" s="102">
        <f t="shared" si="145"/>
        <v>44861.572265856368</v>
      </c>
      <c r="AA438" s="74" t="str">
        <f t="shared" si="146"/>
        <v>BRSUA</v>
      </c>
      <c r="AB438" s="74" t="str">
        <f t="shared" si="146"/>
        <v>BRSUATCO</v>
      </c>
    </row>
    <row r="439" spans="12:28">
      <c r="L439" s="6" t="s">
        <v>12</v>
      </c>
      <c r="M439" s="6" t="s">
        <v>182</v>
      </c>
      <c r="N439" s="6">
        <f t="shared" si="140"/>
        <v>10</v>
      </c>
      <c r="O439" s="74" t="str">
        <f t="shared" si="144"/>
        <v>S</v>
      </c>
      <c r="P439" s="74" t="str">
        <f t="shared" si="144"/>
        <v>N</v>
      </c>
      <c r="Q439" s="74" t="str">
        <f t="shared" si="144"/>
        <v>BRSUA</v>
      </c>
      <c r="R439" s="99" t="str">
        <f t="shared" si="144"/>
        <v>ZP901</v>
      </c>
      <c r="S439" s="99" t="str">
        <f t="shared" si="144"/>
        <v>BRSUATB02</v>
      </c>
      <c r="T439" s="74" t="str">
        <f t="shared" si="144"/>
        <v>BRSUATCO</v>
      </c>
      <c r="U439" s="6">
        <f t="shared" si="147"/>
        <v>44</v>
      </c>
      <c r="V439" s="102">
        <f t="shared" si="148"/>
        <v>44855.713121195025</v>
      </c>
      <c r="W439" s="102">
        <f t="shared" si="145"/>
        <v>44861.713121195025</v>
      </c>
      <c r="X439" s="102">
        <f t="shared" si="145"/>
        <v>44862.713121195025</v>
      </c>
      <c r="Y439" s="102">
        <f t="shared" si="145"/>
        <v>44862.775621195025</v>
      </c>
      <c r="Z439" s="102">
        <f t="shared" si="145"/>
        <v>44863.546454528354</v>
      </c>
      <c r="AA439" s="74" t="str">
        <f>AA429</f>
        <v>BRSSZ</v>
      </c>
      <c r="AB439" s="74" t="str">
        <f>AB429</f>
        <v>BRSSZTCO</v>
      </c>
    </row>
    <row r="440" spans="12:28">
      <c r="L440" s="6" t="s">
        <v>12</v>
      </c>
      <c r="M440" s="106" t="s">
        <v>183</v>
      </c>
      <c r="N440" s="6">
        <f t="shared" si="140"/>
        <v>10</v>
      </c>
      <c r="O440" s="74" t="str">
        <f t="shared" si="144"/>
        <v>N</v>
      </c>
      <c r="P440" s="74" t="str">
        <f t="shared" si="144"/>
        <v>B</v>
      </c>
      <c r="Q440" s="74" t="str">
        <f t="shared" si="144"/>
        <v>BRSSZ</v>
      </c>
      <c r="R440" s="99" t="str">
        <f t="shared" si="144"/>
        <v>ZP1601</v>
      </c>
      <c r="S440" s="99" t="str">
        <f t="shared" si="144"/>
        <v>BRSSZTB01</v>
      </c>
      <c r="T440" s="74" t="str">
        <f t="shared" si="144"/>
        <v>BRSSZTCO</v>
      </c>
      <c r="U440" s="6">
        <f t="shared" si="147"/>
        <v>42</v>
      </c>
      <c r="V440" s="102">
        <f t="shared" si="148"/>
        <v>44838.791666666664</v>
      </c>
      <c r="W440" s="102">
        <f t="shared" si="145"/>
        <v>44844.791666666664</v>
      </c>
      <c r="X440" s="102">
        <f t="shared" si="145"/>
        <v>44845.791666666664</v>
      </c>
      <c r="Y440" s="102">
        <f t="shared" si="145"/>
        <v>44845.895833333328</v>
      </c>
      <c r="Z440" s="102">
        <f t="shared" si="145"/>
        <v>44847.718518518515</v>
      </c>
      <c r="AA440" s="74" t="str">
        <f t="shared" ref="AA440:AB448" si="149">AA430</f>
        <v>BRIGI</v>
      </c>
      <c r="AB440" s="74" t="str">
        <f t="shared" si="149"/>
        <v>BRIGITCO</v>
      </c>
    </row>
    <row r="441" spans="12:28">
      <c r="L441" s="6" t="s">
        <v>12</v>
      </c>
      <c r="M441" s="106" t="s">
        <v>183</v>
      </c>
      <c r="N441" s="6">
        <f t="shared" si="140"/>
        <v>10</v>
      </c>
      <c r="O441" s="74" t="str">
        <f t="shared" si="144"/>
        <v>N</v>
      </c>
      <c r="P441" s="74" t="str">
        <f t="shared" si="144"/>
        <v>N</v>
      </c>
      <c r="Q441" s="74" t="str">
        <f t="shared" si="144"/>
        <v>BRIGI</v>
      </c>
      <c r="R441" s="99" t="str">
        <f t="shared" si="144"/>
        <v>ZP15A03</v>
      </c>
      <c r="S441" s="99" t="str">
        <f t="shared" si="144"/>
        <v>BRIGITB01</v>
      </c>
      <c r="T441" s="74" t="str">
        <f t="shared" si="144"/>
        <v>BRIGITCO</v>
      </c>
      <c r="U441" s="6">
        <f t="shared" si="147"/>
        <v>42</v>
      </c>
      <c r="V441" s="102">
        <f t="shared" si="148"/>
        <v>44841.094394891508</v>
      </c>
      <c r="W441" s="102">
        <f t="shared" si="145"/>
        <v>44847.094394891508</v>
      </c>
      <c r="X441" s="102">
        <f t="shared" si="145"/>
        <v>44848.094394891508</v>
      </c>
      <c r="Y441" s="102">
        <f t="shared" si="145"/>
        <v>44848.240228224844</v>
      </c>
      <c r="Z441" s="102">
        <f t="shared" si="145"/>
        <v>44849.433283780396</v>
      </c>
      <c r="AA441" s="74" t="str">
        <f t="shared" si="149"/>
        <v>BRSSA</v>
      </c>
      <c r="AB441" s="74" t="str">
        <f t="shared" si="149"/>
        <v>BRSSATCO</v>
      </c>
    </row>
    <row r="442" spans="12:28">
      <c r="L442" s="6" t="s">
        <v>12</v>
      </c>
      <c r="M442" s="106" t="s">
        <v>183</v>
      </c>
      <c r="N442" s="6">
        <f t="shared" si="140"/>
        <v>10</v>
      </c>
      <c r="O442" s="74" t="str">
        <f t="shared" si="144"/>
        <v>N</v>
      </c>
      <c r="P442" s="74" t="str">
        <f t="shared" si="144"/>
        <v>N</v>
      </c>
      <c r="Q442" s="74" t="str">
        <f t="shared" si="144"/>
        <v>BRSSA</v>
      </c>
      <c r="R442" s="99" t="str">
        <f t="shared" si="144"/>
        <v>ZP1202</v>
      </c>
      <c r="S442" s="99" t="str">
        <f t="shared" si="144"/>
        <v>BRSSATB01</v>
      </c>
      <c r="T442" s="74" t="str">
        <f t="shared" si="144"/>
        <v>BRSSATCO</v>
      </c>
      <c r="U442" s="6">
        <f t="shared" si="147"/>
        <v>43</v>
      </c>
      <c r="V442" s="102">
        <f t="shared" si="148"/>
        <v>44844.450297220996</v>
      </c>
      <c r="W442" s="102">
        <f t="shared" si="145"/>
        <v>44850.450297220996</v>
      </c>
      <c r="X442" s="102">
        <f t="shared" si="145"/>
        <v>44851.450297220996</v>
      </c>
      <c r="Y442" s="102">
        <f t="shared" si="145"/>
        <v>44851.533630554331</v>
      </c>
      <c r="Z442" s="102">
        <f t="shared" si="145"/>
        <v>44852.114186109888</v>
      </c>
      <c r="AA442" s="74" t="str">
        <f t="shared" si="149"/>
        <v>BRSUA</v>
      </c>
      <c r="AB442" s="74" t="str">
        <f t="shared" si="149"/>
        <v>BRSUATCO</v>
      </c>
    </row>
    <row r="443" spans="12:28">
      <c r="L443" s="6" t="s">
        <v>12</v>
      </c>
      <c r="M443" s="106" t="s">
        <v>183</v>
      </c>
      <c r="N443" s="6">
        <f t="shared" si="140"/>
        <v>10</v>
      </c>
      <c r="O443" s="74" t="str">
        <f t="shared" si="144"/>
        <v>N</v>
      </c>
      <c r="P443" s="74" t="str">
        <f t="shared" si="144"/>
        <v>N</v>
      </c>
      <c r="Q443" s="74" t="str">
        <f t="shared" si="144"/>
        <v>BRSUA</v>
      </c>
      <c r="R443" s="99" t="str">
        <f t="shared" si="144"/>
        <v>ZP901</v>
      </c>
      <c r="S443" s="99" t="str">
        <f t="shared" si="144"/>
        <v>BRSUATB02</v>
      </c>
      <c r="T443" s="74" t="str">
        <f t="shared" si="144"/>
        <v>BRSUATCO</v>
      </c>
      <c r="U443" s="6">
        <f t="shared" si="147"/>
        <v>43</v>
      </c>
      <c r="V443" s="102">
        <f t="shared" si="148"/>
        <v>44846.077702180381</v>
      </c>
      <c r="W443" s="102">
        <f t="shared" si="145"/>
        <v>44852.077702180381</v>
      </c>
      <c r="X443" s="102">
        <f t="shared" si="145"/>
        <v>44853.077702180381</v>
      </c>
      <c r="Y443" s="102">
        <f t="shared" si="145"/>
        <v>44853.140202180381</v>
      </c>
      <c r="Z443" s="102">
        <f t="shared" si="145"/>
        <v>44855.256868847042</v>
      </c>
      <c r="AA443" s="74" t="str">
        <f t="shared" si="149"/>
        <v>BRPEC</v>
      </c>
      <c r="AB443" s="74" t="str">
        <f t="shared" si="149"/>
        <v>BRPECAPM</v>
      </c>
    </row>
    <row r="444" spans="12:28">
      <c r="L444" s="6" t="s">
        <v>12</v>
      </c>
      <c r="M444" s="106" t="s">
        <v>183</v>
      </c>
      <c r="N444" s="6">
        <f t="shared" si="140"/>
        <v>10</v>
      </c>
      <c r="O444" s="74" t="str">
        <f t="shared" ref="O444:T459" si="150">O434</f>
        <v>N</v>
      </c>
      <c r="P444" s="74" t="str">
        <f t="shared" si="150"/>
        <v>N</v>
      </c>
      <c r="Q444" s="74" t="str">
        <f t="shared" si="150"/>
        <v>BRPEC</v>
      </c>
      <c r="R444" s="99" t="str">
        <f t="shared" si="150"/>
        <v>ZP501</v>
      </c>
      <c r="S444" s="99" t="str">
        <f t="shared" si="150"/>
        <v>BRPECTB01</v>
      </c>
      <c r="T444" s="74" t="str">
        <f t="shared" si="150"/>
        <v>BRPECAPM</v>
      </c>
      <c r="U444" s="6">
        <f t="shared" si="147"/>
        <v>43</v>
      </c>
      <c r="V444" s="102">
        <f t="shared" si="148"/>
        <v>44849.443242792273</v>
      </c>
      <c r="W444" s="102">
        <f t="shared" ref="W444:Z459" si="151">W434+7</f>
        <v>44855.443242792273</v>
      </c>
      <c r="X444" s="102">
        <f t="shared" si="151"/>
        <v>44856.443242792273</v>
      </c>
      <c r="Y444" s="102">
        <f t="shared" si="151"/>
        <v>44856.526576125609</v>
      </c>
      <c r="Z444" s="102">
        <f t="shared" si="151"/>
        <v>44857.211298347829</v>
      </c>
      <c r="AA444" s="74" t="str">
        <f t="shared" si="149"/>
        <v>BRMCP</v>
      </c>
      <c r="AB444" s="74">
        <f t="shared" si="149"/>
        <v>0</v>
      </c>
    </row>
    <row r="445" spans="12:28">
      <c r="L445" s="6" t="s">
        <v>12</v>
      </c>
      <c r="M445" s="106" t="s">
        <v>183</v>
      </c>
      <c r="N445" s="6">
        <f t="shared" si="140"/>
        <v>10</v>
      </c>
      <c r="O445" s="74">
        <f t="shared" si="150"/>
        <v>0</v>
      </c>
      <c r="P445" s="74">
        <f t="shared" si="150"/>
        <v>0</v>
      </c>
      <c r="Q445" s="74" t="str">
        <f t="shared" si="150"/>
        <v>BRMCP</v>
      </c>
      <c r="R445" s="99" t="str">
        <f t="shared" si="150"/>
        <v>ZP101</v>
      </c>
      <c r="S445" s="99">
        <f t="shared" si="150"/>
        <v>0</v>
      </c>
      <c r="T445" s="74">
        <f t="shared" si="150"/>
        <v>0</v>
      </c>
      <c r="U445" s="6">
        <f t="shared" si="147"/>
        <v>44</v>
      </c>
      <c r="V445" s="102">
        <f t="shared" si="148"/>
        <v>44852.358029681898</v>
      </c>
      <c r="W445" s="102">
        <f t="shared" si="151"/>
        <v>44858.358029681898</v>
      </c>
      <c r="X445" s="102">
        <f t="shared" si="151"/>
        <v>44859.358029681898</v>
      </c>
      <c r="Y445" s="102">
        <f t="shared" si="151"/>
        <v>44859.399696348562</v>
      </c>
      <c r="Z445" s="102">
        <f t="shared" si="151"/>
        <v>44859.441363015227</v>
      </c>
      <c r="AA445" s="74" t="str">
        <f t="shared" si="149"/>
        <v>BRMAO</v>
      </c>
      <c r="AB445" s="74" t="str">
        <f t="shared" si="149"/>
        <v>BRMAOCHI</v>
      </c>
    </row>
    <row r="446" spans="12:28">
      <c r="L446" s="6" t="s">
        <v>12</v>
      </c>
      <c r="M446" s="106" t="s">
        <v>183</v>
      </c>
      <c r="N446" s="6">
        <f t="shared" si="140"/>
        <v>10</v>
      </c>
      <c r="O446" s="74" t="str">
        <f t="shared" si="150"/>
        <v>S</v>
      </c>
      <c r="P446" s="74" t="str">
        <f t="shared" si="150"/>
        <v>D</v>
      </c>
      <c r="Q446" s="74" t="str">
        <f>Q436</f>
        <v>BRMAO</v>
      </c>
      <c r="R446" s="99" t="str">
        <f t="shared" si="150"/>
        <v>ZP201</v>
      </c>
      <c r="S446" s="99" t="str">
        <f t="shared" si="150"/>
        <v>BRMAOTB01</v>
      </c>
      <c r="T446" s="74" t="str">
        <f t="shared" si="150"/>
        <v>BRMAOCHI</v>
      </c>
      <c r="U446" s="6">
        <f t="shared" si="147"/>
        <v>44</v>
      </c>
      <c r="V446" s="102">
        <f t="shared" si="148"/>
        <v>44854.227551957192</v>
      </c>
      <c r="W446" s="102">
        <f t="shared" si="151"/>
        <v>44860.227551957192</v>
      </c>
      <c r="X446" s="102">
        <f t="shared" si="151"/>
        <v>44861.227551957192</v>
      </c>
      <c r="Y446" s="102">
        <f t="shared" si="151"/>
        <v>44861.290051957192</v>
      </c>
      <c r="Z446" s="102">
        <f t="shared" si="151"/>
        <v>44864.380329734966</v>
      </c>
      <c r="AA446" s="74" t="str">
        <f t="shared" si="149"/>
        <v>BRMCP</v>
      </c>
      <c r="AB446" s="74">
        <f t="shared" si="149"/>
        <v>0</v>
      </c>
    </row>
    <row r="447" spans="12:28">
      <c r="L447" s="6" t="s">
        <v>12</v>
      </c>
      <c r="M447" s="106" t="s">
        <v>183</v>
      </c>
      <c r="N447" s="6">
        <f t="shared" si="140"/>
        <v>10</v>
      </c>
      <c r="O447" s="74">
        <f t="shared" si="150"/>
        <v>0</v>
      </c>
      <c r="P447" s="74">
        <f t="shared" si="150"/>
        <v>0</v>
      </c>
      <c r="Q447" s="74" t="str">
        <f t="shared" si="150"/>
        <v>BRMCP</v>
      </c>
      <c r="R447" s="99" t="str">
        <f t="shared" si="150"/>
        <v>ZP101</v>
      </c>
      <c r="S447" s="99">
        <f t="shared" si="150"/>
        <v>0</v>
      </c>
      <c r="T447" s="74">
        <f t="shared" si="150"/>
        <v>0</v>
      </c>
      <c r="U447" s="6">
        <f t="shared" si="147"/>
        <v>45</v>
      </c>
      <c r="V447" s="102">
        <f t="shared" si="148"/>
        <v>44858.843590077056</v>
      </c>
      <c r="W447" s="102">
        <f t="shared" si="151"/>
        <v>44864.843590077056</v>
      </c>
      <c r="X447" s="102">
        <f t="shared" si="151"/>
        <v>44865.843590077056</v>
      </c>
      <c r="Y447" s="102">
        <f t="shared" si="151"/>
        <v>44865.885256743721</v>
      </c>
      <c r="Z447" s="102">
        <f t="shared" si="151"/>
        <v>44865.926923410385</v>
      </c>
      <c r="AA447" s="74" t="str">
        <f t="shared" si="149"/>
        <v>BRPEC</v>
      </c>
      <c r="AB447" s="74" t="str">
        <f t="shared" si="149"/>
        <v>BRPECAPM</v>
      </c>
    </row>
    <row r="448" spans="12:28">
      <c r="L448" s="6" t="s">
        <v>12</v>
      </c>
      <c r="M448" s="106" t="s">
        <v>183</v>
      </c>
      <c r="N448" s="6">
        <f t="shared" si="140"/>
        <v>10</v>
      </c>
      <c r="O448" s="74" t="str">
        <f t="shared" si="150"/>
        <v>S</v>
      </c>
      <c r="P448" s="74" t="str">
        <f t="shared" si="150"/>
        <v>N</v>
      </c>
      <c r="Q448" s="74" t="str">
        <f t="shared" si="150"/>
        <v>BRPEC</v>
      </c>
      <c r="R448" s="99" t="str">
        <f t="shared" si="150"/>
        <v>ZP501</v>
      </c>
      <c r="S448" s="99" t="str">
        <f t="shared" si="150"/>
        <v>BRPECTB02</v>
      </c>
      <c r="T448" s="74" t="str">
        <f t="shared" si="150"/>
        <v>BRPECAPM</v>
      </c>
      <c r="U448" s="6">
        <f t="shared" si="147"/>
        <v>45</v>
      </c>
      <c r="V448" s="102">
        <f t="shared" si="148"/>
        <v>44861.073654745254</v>
      </c>
      <c r="W448" s="102">
        <f t="shared" si="151"/>
        <v>44867.073654745254</v>
      </c>
      <c r="X448" s="102">
        <f t="shared" si="151"/>
        <v>44868.073654745254</v>
      </c>
      <c r="Y448" s="102">
        <f t="shared" si="151"/>
        <v>44868.15698807859</v>
      </c>
      <c r="Z448" s="102">
        <f t="shared" si="151"/>
        <v>44868.572265856368</v>
      </c>
      <c r="AA448" s="74" t="str">
        <f t="shared" si="149"/>
        <v>BRSUA</v>
      </c>
      <c r="AB448" s="74" t="str">
        <f t="shared" si="149"/>
        <v>BRSUATCO</v>
      </c>
    </row>
    <row r="449" spans="12:28">
      <c r="L449" s="6" t="s">
        <v>12</v>
      </c>
      <c r="M449" s="106" t="s">
        <v>183</v>
      </c>
      <c r="N449" s="6">
        <f t="shared" si="140"/>
        <v>10</v>
      </c>
      <c r="O449" s="74" t="str">
        <f t="shared" si="150"/>
        <v>S</v>
      </c>
      <c r="P449" s="74" t="str">
        <f t="shared" si="150"/>
        <v>N</v>
      </c>
      <c r="Q449" s="74" t="str">
        <f t="shared" si="150"/>
        <v>BRSUA</v>
      </c>
      <c r="R449" s="99" t="str">
        <f t="shared" si="150"/>
        <v>ZP901</v>
      </c>
      <c r="S449" s="99" t="str">
        <f t="shared" si="150"/>
        <v>BRSUATB02</v>
      </c>
      <c r="T449" s="74" t="str">
        <f t="shared" si="150"/>
        <v>BRSUATCO</v>
      </c>
      <c r="U449" s="6">
        <f t="shared" si="147"/>
        <v>45</v>
      </c>
      <c r="V449" s="102">
        <f t="shared" si="148"/>
        <v>44862.713121195025</v>
      </c>
      <c r="W449" s="102">
        <f t="shared" si="151"/>
        <v>44868.713121195025</v>
      </c>
      <c r="X449" s="102">
        <f t="shared" si="151"/>
        <v>44869.713121195025</v>
      </c>
      <c r="Y449" s="102">
        <f t="shared" si="151"/>
        <v>44869.775621195025</v>
      </c>
      <c r="Z449" s="102">
        <f t="shared" si="151"/>
        <v>44870.546454528354</v>
      </c>
      <c r="AA449" s="74" t="str">
        <f>AA439</f>
        <v>BRSSZ</v>
      </c>
      <c r="AB449" s="74" t="str">
        <f>AB439</f>
        <v>BRSSZTCO</v>
      </c>
    </row>
    <row r="450" spans="12:28">
      <c r="L450" s="6" t="s">
        <v>12</v>
      </c>
      <c r="M450" s="6" t="str">
        <f>$J$2</f>
        <v>SHIP13</v>
      </c>
      <c r="N450" s="6">
        <f t="shared" si="140"/>
        <v>11</v>
      </c>
      <c r="O450" s="74" t="str">
        <f t="shared" si="150"/>
        <v>N</v>
      </c>
      <c r="P450" s="74" t="str">
        <f t="shared" si="150"/>
        <v>B</v>
      </c>
      <c r="Q450" s="74" t="str">
        <f t="shared" si="150"/>
        <v>BRSSZ</v>
      </c>
      <c r="R450" s="99" t="str">
        <f t="shared" si="150"/>
        <v>ZP1601</v>
      </c>
      <c r="S450" s="99" t="str">
        <f t="shared" si="150"/>
        <v>BRSSZTB01</v>
      </c>
      <c r="T450" s="74" t="str">
        <f t="shared" si="150"/>
        <v>BRSSZTCO</v>
      </c>
      <c r="U450" s="6">
        <f t="shared" si="147"/>
        <v>43</v>
      </c>
      <c r="V450" s="102">
        <f t="shared" si="148"/>
        <v>44845.791666666664</v>
      </c>
      <c r="W450" s="102">
        <f t="shared" si="151"/>
        <v>44851.791666666664</v>
      </c>
      <c r="X450" s="102">
        <f t="shared" si="151"/>
        <v>44852.791666666664</v>
      </c>
      <c r="Y450" s="102">
        <f t="shared" si="151"/>
        <v>44852.895833333328</v>
      </c>
      <c r="Z450" s="102">
        <f t="shared" si="151"/>
        <v>44854.718518518515</v>
      </c>
      <c r="AA450" s="74" t="str">
        <f t="shared" ref="AA450:AB458" si="152">AA440</f>
        <v>BRIGI</v>
      </c>
      <c r="AB450" s="74" t="str">
        <f t="shared" si="152"/>
        <v>BRIGITCO</v>
      </c>
    </row>
    <row r="451" spans="12:28">
      <c r="L451" s="6" t="s">
        <v>12</v>
      </c>
      <c r="M451" s="6" t="str">
        <f t="shared" ref="M451:M459" si="153">$J$2</f>
        <v>SHIP13</v>
      </c>
      <c r="N451" s="6">
        <f t="shared" si="140"/>
        <v>11</v>
      </c>
      <c r="O451" s="74" t="str">
        <f t="shared" si="150"/>
        <v>N</v>
      </c>
      <c r="P451" s="74" t="str">
        <f t="shared" si="150"/>
        <v>N</v>
      </c>
      <c r="Q451" s="74" t="str">
        <f t="shared" si="150"/>
        <v>BRIGI</v>
      </c>
      <c r="R451" s="99" t="str">
        <f t="shared" si="150"/>
        <v>ZP15A03</v>
      </c>
      <c r="S451" s="99" t="str">
        <f t="shared" si="150"/>
        <v>BRIGITB01</v>
      </c>
      <c r="T451" s="74" t="str">
        <f t="shared" si="150"/>
        <v>BRIGITCO</v>
      </c>
      <c r="U451" s="6">
        <f t="shared" si="147"/>
        <v>43</v>
      </c>
      <c r="V451" s="102">
        <f t="shared" si="148"/>
        <v>44848.094394891508</v>
      </c>
      <c r="W451" s="102">
        <f t="shared" si="151"/>
        <v>44854.094394891508</v>
      </c>
      <c r="X451" s="102">
        <f t="shared" si="151"/>
        <v>44855.094394891508</v>
      </c>
      <c r="Y451" s="102">
        <f t="shared" si="151"/>
        <v>44855.240228224844</v>
      </c>
      <c r="Z451" s="102">
        <f t="shared" si="151"/>
        <v>44856.433283780396</v>
      </c>
      <c r="AA451" s="74" t="str">
        <f t="shared" si="152"/>
        <v>BRSSA</v>
      </c>
      <c r="AB451" s="74" t="str">
        <f t="shared" si="152"/>
        <v>BRSSATCO</v>
      </c>
    </row>
    <row r="452" spans="12:28">
      <c r="L452" s="6" t="s">
        <v>12</v>
      </c>
      <c r="M452" s="6" t="str">
        <f t="shared" si="153"/>
        <v>SHIP13</v>
      </c>
      <c r="N452" s="6">
        <f t="shared" si="140"/>
        <v>11</v>
      </c>
      <c r="O452" s="74" t="str">
        <f t="shared" si="150"/>
        <v>N</v>
      </c>
      <c r="P452" s="74" t="str">
        <f t="shared" si="150"/>
        <v>N</v>
      </c>
      <c r="Q452" s="74" t="str">
        <f t="shared" si="150"/>
        <v>BRSSA</v>
      </c>
      <c r="R452" s="99" t="str">
        <f t="shared" si="150"/>
        <v>ZP1202</v>
      </c>
      <c r="S452" s="99" t="str">
        <f t="shared" si="150"/>
        <v>BRSSATB01</v>
      </c>
      <c r="T452" s="74" t="str">
        <f t="shared" si="150"/>
        <v>BRSSATCO</v>
      </c>
      <c r="U452" s="6">
        <f t="shared" si="147"/>
        <v>44</v>
      </c>
      <c r="V452" s="102">
        <f t="shared" si="148"/>
        <v>44851.450297220996</v>
      </c>
      <c r="W452" s="102">
        <f t="shared" si="151"/>
        <v>44857.450297220996</v>
      </c>
      <c r="X452" s="102">
        <f t="shared" si="151"/>
        <v>44858.450297220996</v>
      </c>
      <c r="Y452" s="102">
        <f t="shared" si="151"/>
        <v>44858.533630554331</v>
      </c>
      <c r="Z452" s="102">
        <f t="shared" si="151"/>
        <v>44859.114186109888</v>
      </c>
      <c r="AA452" s="74" t="str">
        <f t="shared" si="152"/>
        <v>BRSUA</v>
      </c>
      <c r="AB452" s="74" t="str">
        <f t="shared" si="152"/>
        <v>BRSUATCO</v>
      </c>
    </row>
    <row r="453" spans="12:28">
      <c r="L453" s="6" t="s">
        <v>12</v>
      </c>
      <c r="M453" s="6" t="str">
        <f t="shared" si="153"/>
        <v>SHIP13</v>
      </c>
      <c r="N453" s="6">
        <f t="shared" si="140"/>
        <v>11</v>
      </c>
      <c r="O453" s="74" t="str">
        <f t="shared" si="150"/>
        <v>N</v>
      </c>
      <c r="P453" s="74" t="str">
        <f t="shared" si="150"/>
        <v>N</v>
      </c>
      <c r="Q453" s="74" t="str">
        <f t="shared" si="150"/>
        <v>BRSUA</v>
      </c>
      <c r="R453" s="99" t="str">
        <f t="shared" si="150"/>
        <v>ZP901</v>
      </c>
      <c r="S453" s="99" t="str">
        <f t="shared" si="150"/>
        <v>BRSUATB02</v>
      </c>
      <c r="T453" s="74" t="str">
        <f t="shared" si="150"/>
        <v>BRSUATCO</v>
      </c>
      <c r="U453" s="6">
        <f t="shared" si="147"/>
        <v>44</v>
      </c>
      <c r="V453" s="102">
        <f t="shared" si="148"/>
        <v>44853.077702180381</v>
      </c>
      <c r="W453" s="102">
        <f t="shared" si="151"/>
        <v>44859.077702180381</v>
      </c>
      <c r="X453" s="102">
        <f t="shared" si="151"/>
        <v>44860.077702180381</v>
      </c>
      <c r="Y453" s="102">
        <f t="shared" si="151"/>
        <v>44860.140202180381</v>
      </c>
      <c r="Z453" s="102">
        <f t="shared" si="151"/>
        <v>44862.256868847042</v>
      </c>
      <c r="AA453" s="74" t="str">
        <f t="shared" si="152"/>
        <v>BRPEC</v>
      </c>
      <c r="AB453" s="74" t="str">
        <f t="shared" si="152"/>
        <v>BRPECAPM</v>
      </c>
    </row>
    <row r="454" spans="12:28">
      <c r="L454" s="6" t="s">
        <v>12</v>
      </c>
      <c r="M454" s="6" t="str">
        <f t="shared" si="153"/>
        <v>SHIP13</v>
      </c>
      <c r="N454" s="6">
        <f t="shared" si="140"/>
        <v>11</v>
      </c>
      <c r="O454" s="74" t="str">
        <f t="shared" si="150"/>
        <v>N</v>
      </c>
      <c r="P454" s="74" t="str">
        <f t="shared" si="150"/>
        <v>N</v>
      </c>
      <c r="Q454" s="74" t="str">
        <f t="shared" si="150"/>
        <v>BRPEC</v>
      </c>
      <c r="R454" s="99" t="str">
        <f t="shared" si="150"/>
        <v>ZP501</v>
      </c>
      <c r="S454" s="99" t="str">
        <f t="shared" si="150"/>
        <v>BRPECTB01</v>
      </c>
      <c r="T454" s="74" t="str">
        <f t="shared" si="150"/>
        <v>BRPECAPM</v>
      </c>
      <c r="U454" s="6">
        <f t="shared" si="147"/>
        <v>44</v>
      </c>
      <c r="V454" s="102">
        <f t="shared" si="148"/>
        <v>44856.443242792273</v>
      </c>
      <c r="W454" s="102">
        <f t="shared" si="151"/>
        <v>44862.443242792273</v>
      </c>
      <c r="X454" s="102">
        <f t="shared" si="151"/>
        <v>44863.443242792273</v>
      </c>
      <c r="Y454" s="102">
        <f t="shared" si="151"/>
        <v>44863.526576125609</v>
      </c>
      <c r="Z454" s="102">
        <f t="shared" si="151"/>
        <v>44864.211298347829</v>
      </c>
      <c r="AA454" s="74" t="str">
        <f t="shared" si="152"/>
        <v>BRMCP</v>
      </c>
      <c r="AB454" s="74">
        <f t="shared" si="152"/>
        <v>0</v>
      </c>
    </row>
    <row r="455" spans="12:28">
      <c r="L455" s="6" t="s">
        <v>12</v>
      </c>
      <c r="M455" s="6" t="str">
        <f t="shared" si="153"/>
        <v>SHIP13</v>
      </c>
      <c r="N455" s="6">
        <f t="shared" si="140"/>
        <v>11</v>
      </c>
      <c r="O455" s="74">
        <f t="shared" si="150"/>
        <v>0</v>
      </c>
      <c r="P455" s="74">
        <f t="shared" si="150"/>
        <v>0</v>
      </c>
      <c r="Q455" s="74" t="str">
        <f t="shared" si="150"/>
        <v>BRMCP</v>
      </c>
      <c r="R455" s="99" t="str">
        <f t="shared" si="150"/>
        <v>ZP101</v>
      </c>
      <c r="S455" s="99">
        <f t="shared" si="150"/>
        <v>0</v>
      </c>
      <c r="T455" s="74">
        <f t="shared" si="150"/>
        <v>0</v>
      </c>
      <c r="U455" s="6">
        <f t="shared" si="147"/>
        <v>45</v>
      </c>
      <c r="V455" s="102">
        <f t="shared" si="148"/>
        <v>44859.358029681898</v>
      </c>
      <c r="W455" s="102">
        <f t="shared" si="151"/>
        <v>44865.358029681898</v>
      </c>
      <c r="X455" s="102">
        <f t="shared" si="151"/>
        <v>44866.358029681898</v>
      </c>
      <c r="Y455" s="102">
        <f t="shared" si="151"/>
        <v>44866.399696348562</v>
      </c>
      <c r="Z455" s="102">
        <f t="shared" si="151"/>
        <v>44866.441363015227</v>
      </c>
      <c r="AA455" s="74" t="str">
        <f t="shared" si="152"/>
        <v>BRMAO</v>
      </c>
      <c r="AB455" s="74" t="str">
        <f t="shared" si="152"/>
        <v>BRMAOCHI</v>
      </c>
    </row>
    <row r="456" spans="12:28">
      <c r="L456" s="6" t="s">
        <v>12</v>
      </c>
      <c r="M456" s="6" t="str">
        <f t="shared" si="153"/>
        <v>SHIP13</v>
      </c>
      <c r="N456" s="6">
        <f t="shared" si="140"/>
        <v>11</v>
      </c>
      <c r="O456" s="74" t="str">
        <f t="shared" si="150"/>
        <v>S</v>
      </c>
      <c r="P456" s="74" t="str">
        <f t="shared" si="150"/>
        <v>D</v>
      </c>
      <c r="Q456" s="74" t="str">
        <f t="shared" si="150"/>
        <v>BRMAO</v>
      </c>
      <c r="R456" s="99" t="str">
        <f t="shared" si="150"/>
        <v>ZP201</v>
      </c>
      <c r="S456" s="99" t="str">
        <f t="shared" si="150"/>
        <v>BRMAOTB01</v>
      </c>
      <c r="T456" s="74" t="str">
        <f t="shared" si="150"/>
        <v>BRMAOCHI</v>
      </c>
      <c r="U456" s="6">
        <f t="shared" si="147"/>
        <v>45</v>
      </c>
      <c r="V456" s="102">
        <f t="shared" si="148"/>
        <v>44861.227551957192</v>
      </c>
      <c r="W456" s="102">
        <f t="shared" si="151"/>
        <v>44867.227551957192</v>
      </c>
      <c r="X456" s="102">
        <f t="shared" si="151"/>
        <v>44868.227551957192</v>
      </c>
      <c r="Y456" s="102">
        <f t="shared" si="151"/>
        <v>44868.290051957192</v>
      </c>
      <c r="Z456" s="102">
        <f t="shared" si="151"/>
        <v>44871.380329734966</v>
      </c>
      <c r="AA456" s="74" t="str">
        <f t="shared" si="152"/>
        <v>BRMCP</v>
      </c>
      <c r="AB456" s="74">
        <f t="shared" si="152"/>
        <v>0</v>
      </c>
    </row>
    <row r="457" spans="12:28">
      <c r="L457" s="6" t="s">
        <v>12</v>
      </c>
      <c r="M457" s="6" t="str">
        <f t="shared" si="153"/>
        <v>SHIP13</v>
      </c>
      <c r="N457" s="6">
        <f t="shared" si="140"/>
        <v>11</v>
      </c>
      <c r="O457" s="74">
        <f t="shared" si="150"/>
        <v>0</v>
      </c>
      <c r="P457" s="74">
        <f t="shared" si="150"/>
        <v>0</v>
      </c>
      <c r="Q457" s="74" t="str">
        <f t="shared" si="150"/>
        <v>BRMCP</v>
      </c>
      <c r="R457" s="99" t="str">
        <f t="shared" si="150"/>
        <v>ZP101</v>
      </c>
      <c r="S457" s="99">
        <f t="shared" si="150"/>
        <v>0</v>
      </c>
      <c r="T457" s="74">
        <f t="shared" si="150"/>
        <v>0</v>
      </c>
      <c r="U457" s="6">
        <f t="shared" si="147"/>
        <v>46</v>
      </c>
      <c r="V457" s="102">
        <f t="shared" si="148"/>
        <v>44865.843590077056</v>
      </c>
      <c r="W457" s="102">
        <f t="shared" si="151"/>
        <v>44871.843590077056</v>
      </c>
      <c r="X457" s="102">
        <f t="shared" si="151"/>
        <v>44872.843590077056</v>
      </c>
      <c r="Y457" s="102">
        <f t="shared" si="151"/>
        <v>44872.885256743721</v>
      </c>
      <c r="Z457" s="102">
        <f t="shared" si="151"/>
        <v>44872.926923410385</v>
      </c>
      <c r="AA457" s="74" t="str">
        <f t="shared" si="152"/>
        <v>BRPEC</v>
      </c>
      <c r="AB457" s="74" t="str">
        <f t="shared" si="152"/>
        <v>BRPECAPM</v>
      </c>
    </row>
    <row r="458" spans="12:28">
      <c r="L458" s="6" t="s">
        <v>12</v>
      </c>
      <c r="M458" s="6" t="str">
        <f t="shared" si="153"/>
        <v>SHIP13</v>
      </c>
      <c r="N458" s="6">
        <f t="shared" si="140"/>
        <v>11</v>
      </c>
      <c r="O458" s="74" t="str">
        <f t="shared" si="150"/>
        <v>S</v>
      </c>
      <c r="P458" s="74" t="str">
        <f t="shared" si="150"/>
        <v>N</v>
      </c>
      <c r="Q458" s="74" t="str">
        <f t="shared" si="150"/>
        <v>BRPEC</v>
      </c>
      <c r="R458" s="99" t="str">
        <f t="shared" si="150"/>
        <v>ZP501</v>
      </c>
      <c r="S458" s="99" t="str">
        <f t="shared" si="150"/>
        <v>BRPECTB02</v>
      </c>
      <c r="T458" s="74" t="str">
        <f t="shared" si="150"/>
        <v>BRPECAPM</v>
      </c>
      <c r="U458" s="6">
        <f t="shared" si="147"/>
        <v>46</v>
      </c>
      <c r="V458" s="102">
        <f t="shared" si="148"/>
        <v>44868.073654745254</v>
      </c>
      <c r="W458" s="102">
        <f t="shared" si="151"/>
        <v>44874.073654745254</v>
      </c>
      <c r="X458" s="102">
        <f t="shared" si="151"/>
        <v>44875.073654745254</v>
      </c>
      <c r="Y458" s="102">
        <f t="shared" si="151"/>
        <v>44875.15698807859</v>
      </c>
      <c r="Z458" s="102">
        <f t="shared" si="151"/>
        <v>44875.572265856368</v>
      </c>
      <c r="AA458" s="74" t="str">
        <f t="shared" si="152"/>
        <v>BRSUA</v>
      </c>
      <c r="AB458" s="74" t="str">
        <f t="shared" si="152"/>
        <v>BRSUATCO</v>
      </c>
    </row>
    <row r="459" spans="12:28">
      <c r="L459" s="6" t="s">
        <v>12</v>
      </c>
      <c r="M459" s="6" t="str">
        <f t="shared" si="153"/>
        <v>SHIP13</v>
      </c>
      <c r="N459" s="6">
        <f t="shared" si="140"/>
        <v>11</v>
      </c>
      <c r="O459" s="74" t="str">
        <f t="shared" si="150"/>
        <v>S</v>
      </c>
      <c r="P459" s="74" t="str">
        <f t="shared" si="150"/>
        <v>N</v>
      </c>
      <c r="Q459" s="74" t="str">
        <f t="shared" si="150"/>
        <v>BRSUA</v>
      </c>
      <c r="R459" s="99" t="str">
        <f t="shared" si="150"/>
        <v>ZP901</v>
      </c>
      <c r="S459" s="99" t="str">
        <f t="shared" si="150"/>
        <v>BRSUATB02</v>
      </c>
      <c r="T459" s="74" t="str">
        <f t="shared" si="150"/>
        <v>BRSUATCO</v>
      </c>
      <c r="U459" s="6">
        <f t="shared" si="147"/>
        <v>46</v>
      </c>
      <c r="V459" s="102">
        <f t="shared" si="148"/>
        <v>44869.713121195025</v>
      </c>
      <c r="W459" s="102">
        <f t="shared" si="151"/>
        <v>44875.713121195025</v>
      </c>
      <c r="X459" s="102">
        <f t="shared" si="151"/>
        <v>44876.713121195025</v>
      </c>
      <c r="Y459" s="102">
        <f t="shared" si="151"/>
        <v>44876.775621195025</v>
      </c>
      <c r="Z459" s="102">
        <f t="shared" si="151"/>
        <v>44877.546454528354</v>
      </c>
      <c r="AA459" s="74" t="str">
        <f>AA449</f>
        <v>BRSSZ</v>
      </c>
      <c r="AB459" s="74" t="str">
        <f>AB449</f>
        <v>BRSSZTCO</v>
      </c>
    </row>
    <row r="460" spans="12:28">
      <c r="L460" s="6" t="s">
        <v>12</v>
      </c>
      <c r="M460" s="106" t="s">
        <v>181</v>
      </c>
      <c r="N460" s="6">
        <f t="shared" si="140"/>
        <v>11</v>
      </c>
      <c r="O460" s="74" t="str">
        <f t="shared" ref="O460:T475" si="154">O450</f>
        <v>N</v>
      </c>
      <c r="P460" s="74" t="str">
        <f t="shared" si="154"/>
        <v>B</v>
      </c>
      <c r="Q460" s="74" t="str">
        <f t="shared" si="154"/>
        <v>BRSSZ</v>
      </c>
      <c r="R460" s="99" t="str">
        <f t="shared" si="154"/>
        <v>ZP1601</v>
      </c>
      <c r="S460" s="99" t="str">
        <f t="shared" si="154"/>
        <v>BRSSZTB01</v>
      </c>
      <c r="T460" s="74" t="str">
        <f t="shared" si="154"/>
        <v>BRSSZTCO</v>
      </c>
      <c r="U460" s="6">
        <f t="shared" si="147"/>
        <v>44</v>
      </c>
      <c r="V460" s="102">
        <f t="shared" si="148"/>
        <v>44852.791666666664</v>
      </c>
      <c r="W460" s="102">
        <f t="shared" ref="W460:Z475" si="155">W450+7</f>
        <v>44858.791666666664</v>
      </c>
      <c r="X460" s="102">
        <f t="shared" si="155"/>
        <v>44859.791666666664</v>
      </c>
      <c r="Y460" s="102">
        <f t="shared" si="155"/>
        <v>44859.895833333328</v>
      </c>
      <c r="Z460" s="102">
        <f t="shared" si="155"/>
        <v>44861.718518518515</v>
      </c>
      <c r="AA460" s="74" t="str">
        <f t="shared" ref="AA460:AB468" si="156">AA450</f>
        <v>BRIGI</v>
      </c>
      <c r="AB460" s="74" t="str">
        <f t="shared" si="156"/>
        <v>BRIGITCO</v>
      </c>
    </row>
    <row r="461" spans="12:28">
      <c r="L461" s="6" t="s">
        <v>12</v>
      </c>
      <c r="M461" s="106" t="s">
        <v>181</v>
      </c>
      <c r="N461" s="6">
        <f t="shared" si="140"/>
        <v>11</v>
      </c>
      <c r="O461" s="74" t="str">
        <f t="shared" si="154"/>
        <v>N</v>
      </c>
      <c r="P461" s="74" t="str">
        <f t="shared" si="154"/>
        <v>N</v>
      </c>
      <c r="Q461" s="74" t="str">
        <f t="shared" si="154"/>
        <v>BRIGI</v>
      </c>
      <c r="R461" s="99" t="str">
        <f t="shared" si="154"/>
        <v>ZP15A03</v>
      </c>
      <c r="S461" s="99" t="str">
        <f t="shared" si="154"/>
        <v>BRIGITB01</v>
      </c>
      <c r="T461" s="74" t="str">
        <f t="shared" si="154"/>
        <v>BRIGITCO</v>
      </c>
      <c r="U461" s="6">
        <f t="shared" si="147"/>
        <v>44</v>
      </c>
      <c r="V461" s="102">
        <f t="shared" si="148"/>
        <v>44855.094394891508</v>
      </c>
      <c r="W461" s="102">
        <f t="shared" si="155"/>
        <v>44861.094394891508</v>
      </c>
      <c r="X461" s="102">
        <f t="shared" si="155"/>
        <v>44862.094394891508</v>
      </c>
      <c r="Y461" s="102">
        <f t="shared" si="155"/>
        <v>44862.240228224844</v>
      </c>
      <c r="Z461" s="102">
        <f t="shared" si="155"/>
        <v>44863.433283780396</v>
      </c>
      <c r="AA461" s="74" t="str">
        <f t="shared" si="156"/>
        <v>BRSSA</v>
      </c>
      <c r="AB461" s="74" t="str">
        <f t="shared" si="156"/>
        <v>BRSSATCO</v>
      </c>
    </row>
    <row r="462" spans="12:28">
      <c r="L462" s="6" t="s">
        <v>12</v>
      </c>
      <c r="M462" s="106" t="s">
        <v>181</v>
      </c>
      <c r="N462" s="6">
        <f t="shared" si="140"/>
        <v>11</v>
      </c>
      <c r="O462" s="74" t="str">
        <f t="shared" si="154"/>
        <v>N</v>
      </c>
      <c r="P462" s="74" t="str">
        <f t="shared" si="154"/>
        <v>N</v>
      </c>
      <c r="Q462" s="74" t="str">
        <f t="shared" si="154"/>
        <v>BRSSA</v>
      </c>
      <c r="R462" s="99" t="str">
        <f t="shared" si="154"/>
        <v>ZP1202</v>
      </c>
      <c r="S462" s="99" t="str">
        <f t="shared" si="154"/>
        <v>BRSSATB01</v>
      </c>
      <c r="T462" s="74" t="str">
        <f t="shared" si="154"/>
        <v>BRSSATCO</v>
      </c>
      <c r="U462" s="6">
        <f t="shared" si="147"/>
        <v>45</v>
      </c>
      <c r="V462" s="102">
        <f t="shared" si="148"/>
        <v>44858.450297220996</v>
      </c>
      <c r="W462" s="102">
        <f t="shared" si="155"/>
        <v>44864.450297220996</v>
      </c>
      <c r="X462" s="102">
        <f t="shared" si="155"/>
        <v>44865.450297220996</v>
      </c>
      <c r="Y462" s="102">
        <f t="shared" si="155"/>
        <v>44865.533630554331</v>
      </c>
      <c r="Z462" s="102">
        <f t="shared" si="155"/>
        <v>44866.114186109888</v>
      </c>
      <c r="AA462" s="74" t="str">
        <f t="shared" si="156"/>
        <v>BRSUA</v>
      </c>
      <c r="AB462" s="74" t="str">
        <f t="shared" si="156"/>
        <v>BRSUATCO</v>
      </c>
    </row>
    <row r="463" spans="12:28">
      <c r="L463" s="6" t="s">
        <v>12</v>
      </c>
      <c r="M463" s="106" t="s">
        <v>181</v>
      </c>
      <c r="N463" s="6">
        <f t="shared" si="140"/>
        <v>11</v>
      </c>
      <c r="O463" s="74" t="str">
        <f t="shared" si="154"/>
        <v>N</v>
      </c>
      <c r="P463" s="74" t="str">
        <f t="shared" si="154"/>
        <v>N</v>
      </c>
      <c r="Q463" s="74" t="str">
        <f t="shared" si="154"/>
        <v>BRSUA</v>
      </c>
      <c r="R463" s="99" t="str">
        <f t="shared" si="154"/>
        <v>ZP901</v>
      </c>
      <c r="S463" s="99" t="str">
        <f t="shared" si="154"/>
        <v>BRSUATB02</v>
      </c>
      <c r="T463" s="74" t="str">
        <f t="shared" si="154"/>
        <v>BRSUATCO</v>
      </c>
      <c r="U463" s="6">
        <f t="shared" si="147"/>
        <v>45</v>
      </c>
      <c r="V463" s="102">
        <f t="shared" si="148"/>
        <v>44860.077702180381</v>
      </c>
      <c r="W463" s="102">
        <f t="shared" si="155"/>
        <v>44866.077702180381</v>
      </c>
      <c r="X463" s="102">
        <f t="shared" si="155"/>
        <v>44867.077702180381</v>
      </c>
      <c r="Y463" s="102">
        <f t="shared" si="155"/>
        <v>44867.140202180381</v>
      </c>
      <c r="Z463" s="102">
        <f t="shared" si="155"/>
        <v>44869.256868847042</v>
      </c>
      <c r="AA463" s="74" t="str">
        <f t="shared" si="156"/>
        <v>BRPEC</v>
      </c>
      <c r="AB463" s="74" t="str">
        <f t="shared" si="156"/>
        <v>BRPECAPM</v>
      </c>
    </row>
    <row r="464" spans="12:28">
      <c r="L464" s="6" t="s">
        <v>12</v>
      </c>
      <c r="M464" s="106" t="s">
        <v>181</v>
      </c>
      <c r="N464" s="6">
        <f t="shared" si="140"/>
        <v>11</v>
      </c>
      <c r="O464" s="74" t="str">
        <f t="shared" si="154"/>
        <v>N</v>
      </c>
      <c r="P464" s="74" t="str">
        <f t="shared" si="154"/>
        <v>N</v>
      </c>
      <c r="Q464" s="74" t="str">
        <f t="shared" si="154"/>
        <v>BRPEC</v>
      </c>
      <c r="R464" s="99" t="str">
        <f t="shared" si="154"/>
        <v>ZP501</v>
      </c>
      <c r="S464" s="99" t="str">
        <f t="shared" si="154"/>
        <v>BRPECTB01</v>
      </c>
      <c r="T464" s="74" t="str">
        <f t="shared" si="154"/>
        <v>BRPECAPM</v>
      </c>
      <c r="U464" s="6">
        <f t="shared" si="147"/>
        <v>45</v>
      </c>
      <c r="V464" s="102">
        <f t="shared" si="148"/>
        <v>44863.443242792273</v>
      </c>
      <c r="W464" s="102">
        <f t="shared" si="155"/>
        <v>44869.443242792273</v>
      </c>
      <c r="X464" s="102">
        <f t="shared" si="155"/>
        <v>44870.443242792273</v>
      </c>
      <c r="Y464" s="102">
        <f t="shared" si="155"/>
        <v>44870.526576125609</v>
      </c>
      <c r="Z464" s="102">
        <f t="shared" si="155"/>
        <v>44871.211298347829</v>
      </c>
      <c r="AA464" s="74" t="str">
        <f t="shared" si="156"/>
        <v>BRMCP</v>
      </c>
      <c r="AB464" s="74">
        <f t="shared" si="156"/>
        <v>0</v>
      </c>
    </row>
    <row r="465" spans="12:28">
      <c r="L465" s="6" t="s">
        <v>12</v>
      </c>
      <c r="M465" s="106" t="s">
        <v>181</v>
      </c>
      <c r="N465" s="6">
        <f t="shared" si="140"/>
        <v>11</v>
      </c>
      <c r="O465" s="74">
        <f t="shared" si="154"/>
        <v>0</v>
      </c>
      <c r="P465" s="74">
        <f t="shared" si="154"/>
        <v>0</v>
      </c>
      <c r="Q465" s="74" t="str">
        <f t="shared" si="154"/>
        <v>BRMCP</v>
      </c>
      <c r="R465" s="99" t="str">
        <f t="shared" si="154"/>
        <v>ZP101</v>
      </c>
      <c r="S465" s="99">
        <f t="shared" si="154"/>
        <v>0</v>
      </c>
      <c r="T465" s="74">
        <f t="shared" si="154"/>
        <v>0</v>
      </c>
      <c r="U465" s="6">
        <f t="shared" si="147"/>
        <v>46</v>
      </c>
      <c r="V465" s="102">
        <f t="shared" si="148"/>
        <v>44866.358029681898</v>
      </c>
      <c r="W465" s="102">
        <f t="shared" si="155"/>
        <v>44872.358029681898</v>
      </c>
      <c r="X465" s="102">
        <f t="shared" si="155"/>
        <v>44873.358029681898</v>
      </c>
      <c r="Y465" s="102">
        <f t="shared" si="155"/>
        <v>44873.399696348562</v>
      </c>
      <c r="Z465" s="102">
        <f t="shared" si="155"/>
        <v>44873.441363015227</v>
      </c>
      <c r="AA465" s="74" t="str">
        <f t="shared" si="156"/>
        <v>BRMAO</v>
      </c>
      <c r="AB465" s="74" t="str">
        <f t="shared" si="156"/>
        <v>BRMAOCHI</v>
      </c>
    </row>
    <row r="466" spans="12:28">
      <c r="L466" s="6" t="s">
        <v>12</v>
      </c>
      <c r="M466" s="106" t="s">
        <v>181</v>
      </c>
      <c r="N466" s="6">
        <f t="shared" si="140"/>
        <v>11</v>
      </c>
      <c r="O466" s="74" t="str">
        <f t="shared" si="154"/>
        <v>S</v>
      </c>
      <c r="P466" s="74" t="str">
        <f t="shared" si="154"/>
        <v>D</v>
      </c>
      <c r="Q466" s="74" t="str">
        <f>Q456</f>
        <v>BRMAO</v>
      </c>
      <c r="R466" s="99" t="str">
        <f t="shared" si="154"/>
        <v>ZP201</v>
      </c>
      <c r="S466" s="99" t="str">
        <f t="shared" si="154"/>
        <v>BRMAOTB01</v>
      </c>
      <c r="T466" s="74" t="str">
        <f t="shared" si="154"/>
        <v>BRMAOCHI</v>
      </c>
      <c r="U466" s="6">
        <f t="shared" si="147"/>
        <v>46</v>
      </c>
      <c r="V466" s="102">
        <f t="shared" si="148"/>
        <v>44868.227551957192</v>
      </c>
      <c r="W466" s="102">
        <f t="shared" si="155"/>
        <v>44874.227551957192</v>
      </c>
      <c r="X466" s="102">
        <f t="shared" si="155"/>
        <v>44875.227551957192</v>
      </c>
      <c r="Y466" s="102">
        <f t="shared" si="155"/>
        <v>44875.290051957192</v>
      </c>
      <c r="Z466" s="102">
        <f t="shared" si="155"/>
        <v>44878.380329734966</v>
      </c>
      <c r="AA466" s="74" t="str">
        <f t="shared" si="156"/>
        <v>BRMCP</v>
      </c>
      <c r="AB466" s="74">
        <f t="shared" si="156"/>
        <v>0</v>
      </c>
    </row>
    <row r="467" spans="12:28">
      <c r="L467" s="6" t="s">
        <v>12</v>
      </c>
      <c r="M467" s="106" t="s">
        <v>181</v>
      </c>
      <c r="N467" s="6">
        <f t="shared" si="140"/>
        <v>11</v>
      </c>
      <c r="O467" s="74">
        <f t="shared" si="154"/>
        <v>0</v>
      </c>
      <c r="P467" s="74">
        <f t="shared" si="154"/>
        <v>0</v>
      </c>
      <c r="Q467" s="74" t="str">
        <f t="shared" si="154"/>
        <v>BRMCP</v>
      </c>
      <c r="R467" s="99" t="str">
        <f t="shared" si="154"/>
        <v>ZP101</v>
      </c>
      <c r="S467" s="99">
        <f t="shared" si="154"/>
        <v>0</v>
      </c>
      <c r="T467" s="74">
        <f t="shared" si="154"/>
        <v>0</v>
      </c>
      <c r="U467" s="6">
        <f t="shared" si="147"/>
        <v>47</v>
      </c>
      <c r="V467" s="102">
        <f t="shared" si="148"/>
        <v>44872.843590077056</v>
      </c>
      <c r="W467" s="102">
        <f t="shared" si="155"/>
        <v>44878.843590077056</v>
      </c>
      <c r="X467" s="102">
        <f t="shared" si="155"/>
        <v>44879.843590077056</v>
      </c>
      <c r="Y467" s="102">
        <f t="shared" si="155"/>
        <v>44879.885256743721</v>
      </c>
      <c r="Z467" s="102">
        <f t="shared" si="155"/>
        <v>44879.926923410385</v>
      </c>
      <c r="AA467" s="74" t="str">
        <f t="shared" si="156"/>
        <v>BRPEC</v>
      </c>
      <c r="AB467" s="74" t="str">
        <f t="shared" si="156"/>
        <v>BRPECAPM</v>
      </c>
    </row>
    <row r="468" spans="12:28">
      <c r="L468" s="6" t="s">
        <v>12</v>
      </c>
      <c r="M468" s="106" t="s">
        <v>181</v>
      </c>
      <c r="N468" s="6">
        <f t="shared" si="140"/>
        <v>11</v>
      </c>
      <c r="O468" s="74" t="str">
        <f t="shared" si="154"/>
        <v>S</v>
      </c>
      <c r="P468" s="74" t="str">
        <f t="shared" si="154"/>
        <v>N</v>
      </c>
      <c r="Q468" s="74" t="str">
        <f t="shared" si="154"/>
        <v>BRPEC</v>
      </c>
      <c r="R468" s="99" t="str">
        <f t="shared" si="154"/>
        <v>ZP501</v>
      </c>
      <c r="S468" s="99" t="str">
        <f t="shared" si="154"/>
        <v>BRPECTB02</v>
      </c>
      <c r="T468" s="74" t="str">
        <f t="shared" si="154"/>
        <v>BRPECAPM</v>
      </c>
      <c r="U468" s="6">
        <f t="shared" si="147"/>
        <v>47</v>
      </c>
      <c r="V468" s="102">
        <f t="shared" si="148"/>
        <v>44875.073654745254</v>
      </c>
      <c r="W468" s="102">
        <f t="shared" si="155"/>
        <v>44881.073654745254</v>
      </c>
      <c r="X468" s="102">
        <f t="shared" si="155"/>
        <v>44882.073654745254</v>
      </c>
      <c r="Y468" s="102">
        <f t="shared" si="155"/>
        <v>44882.15698807859</v>
      </c>
      <c r="Z468" s="102">
        <f t="shared" si="155"/>
        <v>44882.572265856368</v>
      </c>
      <c r="AA468" s="74" t="str">
        <f t="shared" si="156"/>
        <v>BRSUA</v>
      </c>
      <c r="AB468" s="74" t="str">
        <f t="shared" si="156"/>
        <v>BRSUATCO</v>
      </c>
    </row>
    <row r="469" spans="12:28">
      <c r="L469" s="6" t="s">
        <v>12</v>
      </c>
      <c r="M469" s="106" t="s">
        <v>181</v>
      </c>
      <c r="N469" s="6">
        <f t="shared" si="140"/>
        <v>11</v>
      </c>
      <c r="O469" s="74" t="str">
        <f t="shared" si="154"/>
        <v>S</v>
      </c>
      <c r="P469" s="74" t="str">
        <f t="shared" si="154"/>
        <v>N</v>
      </c>
      <c r="Q469" s="74" t="str">
        <f t="shared" si="154"/>
        <v>BRSUA</v>
      </c>
      <c r="R469" s="99" t="str">
        <f t="shared" si="154"/>
        <v>ZP901</v>
      </c>
      <c r="S469" s="99" t="str">
        <f t="shared" si="154"/>
        <v>BRSUATB02</v>
      </c>
      <c r="T469" s="74" t="str">
        <f t="shared" si="154"/>
        <v>BRSUATCO</v>
      </c>
      <c r="U469" s="6">
        <f t="shared" si="147"/>
        <v>47</v>
      </c>
      <c r="V469" s="102">
        <f t="shared" si="148"/>
        <v>44876.713121195025</v>
      </c>
      <c r="W469" s="102">
        <f t="shared" si="155"/>
        <v>44882.713121195025</v>
      </c>
      <c r="X469" s="102">
        <f t="shared" si="155"/>
        <v>44883.713121195025</v>
      </c>
      <c r="Y469" s="102">
        <f t="shared" si="155"/>
        <v>44883.775621195025</v>
      </c>
      <c r="Z469" s="102">
        <f t="shared" si="155"/>
        <v>44884.546454528354</v>
      </c>
      <c r="AA469" s="74" t="str">
        <f>AA459</f>
        <v>BRSSZ</v>
      </c>
      <c r="AB469" s="74" t="str">
        <f>AB459</f>
        <v>BRSSZTCO</v>
      </c>
    </row>
    <row r="470" spans="12:28">
      <c r="L470" s="6" t="s">
        <v>12</v>
      </c>
      <c r="M470" s="6" t="s">
        <v>182</v>
      </c>
      <c r="N470" s="6">
        <f t="shared" si="140"/>
        <v>11</v>
      </c>
      <c r="O470" s="74" t="str">
        <f t="shared" si="154"/>
        <v>N</v>
      </c>
      <c r="P470" s="74" t="str">
        <f t="shared" si="154"/>
        <v>B</v>
      </c>
      <c r="Q470" s="74" t="str">
        <f t="shared" si="154"/>
        <v>BRSSZ</v>
      </c>
      <c r="R470" s="99" t="str">
        <f t="shared" si="154"/>
        <v>ZP1601</v>
      </c>
      <c r="S470" s="99" t="str">
        <f t="shared" si="154"/>
        <v>BRSSZTB01</v>
      </c>
      <c r="T470" s="74" t="str">
        <f t="shared" si="154"/>
        <v>BRSSZTCO</v>
      </c>
      <c r="U470" s="6">
        <f t="shared" si="147"/>
        <v>45</v>
      </c>
      <c r="V470" s="102">
        <f t="shared" si="148"/>
        <v>44859.791666666664</v>
      </c>
      <c r="W470" s="102">
        <f t="shared" si="155"/>
        <v>44865.791666666664</v>
      </c>
      <c r="X470" s="102">
        <f t="shared" si="155"/>
        <v>44866.791666666664</v>
      </c>
      <c r="Y470" s="102">
        <f t="shared" si="155"/>
        <v>44866.895833333328</v>
      </c>
      <c r="Z470" s="102">
        <f t="shared" si="155"/>
        <v>44868.718518518515</v>
      </c>
      <c r="AA470" s="74" t="str">
        <f t="shared" ref="AA470:AB478" si="157">AA460</f>
        <v>BRIGI</v>
      </c>
      <c r="AB470" s="74" t="str">
        <f t="shared" si="157"/>
        <v>BRIGITCO</v>
      </c>
    </row>
    <row r="471" spans="12:28">
      <c r="L471" s="6" t="s">
        <v>12</v>
      </c>
      <c r="M471" s="6" t="s">
        <v>182</v>
      </c>
      <c r="N471" s="6">
        <f t="shared" si="140"/>
        <v>11</v>
      </c>
      <c r="O471" s="74" t="str">
        <f t="shared" si="154"/>
        <v>N</v>
      </c>
      <c r="P471" s="74" t="str">
        <f t="shared" si="154"/>
        <v>N</v>
      </c>
      <c r="Q471" s="74" t="str">
        <f t="shared" si="154"/>
        <v>BRIGI</v>
      </c>
      <c r="R471" s="99" t="str">
        <f t="shared" si="154"/>
        <v>ZP15A03</v>
      </c>
      <c r="S471" s="99" t="str">
        <f t="shared" si="154"/>
        <v>BRIGITB01</v>
      </c>
      <c r="T471" s="74" t="str">
        <f t="shared" si="154"/>
        <v>BRIGITCO</v>
      </c>
      <c r="U471" s="6">
        <f t="shared" si="147"/>
        <v>45</v>
      </c>
      <c r="V471" s="102">
        <f t="shared" si="148"/>
        <v>44862.094394891508</v>
      </c>
      <c r="W471" s="102">
        <f t="shared" si="155"/>
        <v>44868.094394891508</v>
      </c>
      <c r="X471" s="102">
        <f t="shared" si="155"/>
        <v>44869.094394891508</v>
      </c>
      <c r="Y471" s="102">
        <f t="shared" si="155"/>
        <v>44869.240228224844</v>
      </c>
      <c r="Z471" s="102">
        <f t="shared" si="155"/>
        <v>44870.433283780396</v>
      </c>
      <c r="AA471" s="74" t="str">
        <f t="shared" si="157"/>
        <v>BRSSA</v>
      </c>
      <c r="AB471" s="74" t="str">
        <f t="shared" si="157"/>
        <v>BRSSATCO</v>
      </c>
    </row>
    <row r="472" spans="12:28">
      <c r="L472" s="6" t="s">
        <v>12</v>
      </c>
      <c r="M472" s="6" t="s">
        <v>182</v>
      </c>
      <c r="N472" s="6">
        <f t="shared" si="140"/>
        <v>11</v>
      </c>
      <c r="O472" s="74" t="str">
        <f t="shared" si="154"/>
        <v>N</v>
      </c>
      <c r="P472" s="74" t="str">
        <f t="shared" si="154"/>
        <v>N</v>
      </c>
      <c r="Q472" s="74" t="str">
        <f t="shared" si="154"/>
        <v>BRSSA</v>
      </c>
      <c r="R472" s="99" t="str">
        <f t="shared" si="154"/>
        <v>ZP1202</v>
      </c>
      <c r="S472" s="99" t="str">
        <f t="shared" si="154"/>
        <v>BRSSATB01</v>
      </c>
      <c r="T472" s="74" t="str">
        <f t="shared" si="154"/>
        <v>BRSSATCO</v>
      </c>
      <c r="U472" s="6">
        <f t="shared" si="147"/>
        <v>46</v>
      </c>
      <c r="V472" s="102">
        <f t="shared" si="148"/>
        <v>44865.450297220996</v>
      </c>
      <c r="W472" s="102">
        <f t="shared" si="155"/>
        <v>44871.450297220996</v>
      </c>
      <c r="X472" s="102">
        <f t="shared" si="155"/>
        <v>44872.450297220996</v>
      </c>
      <c r="Y472" s="102">
        <f t="shared" si="155"/>
        <v>44872.533630554331</v>
      </c>
      <c r="Z472" s="102">
        <f t="shared" si="155"/>
        <v>44873.114186109888</v>
      </c>
      <c r="AA472" s="74" t="str">
        <f t="shared" si="157"/>
        <v>BRSUA</v>
      </c>
      <c r="AB472" s="74" t="str">
        <f t="shared" si="157"/>
        <v>BRSUATCO</v>
      </c>
    </row>
    <row r="473" spans="12:28">
      <c r="L473" s="6" t="s">
        <v>12</v>
      </c>
      <c r="M473" s="6" t="s">
        <v>182</v>
      </c>
      <c r="N473" s="6">
        <f t="shared" si="140"/>
        <v>11</v>
      </c>
      <c r="O473" s="74" t="str">
        <f t="shared" si="154"/>
        <v>N</v>
      </c>
      <c r="P473" s="74" t="str">
        <f t="shared" si="154"/>
        <v>N</v>
      </c>
      <c r="Q473" s="74" t="str">
        <f t="shared" si="154"/>
        <v>BRSUA</v>
      </c>
      <c r="R473" s="99" t="str">
        <f t="shared" si="154"/>
        <v>ZP901</v>
      </c>
      <c r="S473" s="99" t="str">
        <f t="shared" si="154"/>
        <v>BRSUATB02</v>
      </c>
      <c r="T473" s="74" t="str">
        <f t="shared" si="154"/>
        <v>BRSUATCO</v>
      </c>
      <c r="U473" s="6">
        <f t="shared" si="147"/>
        <v>46</v>
      </c>
      <c r="V473" s="102">
        <f t="shared" si="148"/>
        <v>44867.077702180381</v>
      </c>
      <c r="W473" s="102">
        <f t="shared" si="155"/>
        <v>44873.077702180381</v>
      </c>
      <c r="X473" s="102">
        <f t="shared" si="155"/>
        <v>44874.077702180381</v>
      </c>
      <c r="Y473" s="102">
        <f t="shared" si="155"/>
        <v>44874.140202180381</v>
      </c>
      <c r="Z473" s="102">
        <f t="shared" si="155"/>
        <v>44876.256868847042</v>
      </c>
      <c r="AA473" s="74" t="str">
        <f t="shared" si="157"/>
        <v>BRPEC</v>
      </c>
      <c r="AB473" s="74" t="str">
        <f t="shared" si="157"/>
        <v>BRPECAPM</v>
      </c>
    </row>
    <row r="474" spans="12:28">
      <c r="L474" s="6" t="s">
        <v>12</v>
      </c>
      <c r="M474" s="6" t="s">
        <v>182</v>
      </c>
      <c r="N474" s="6">
        <f t="shared" si="140"/>
        <v>11</v>
      </c>
      <c r="O474" s="74" t="str">
        <f t="shared" si="154"/>
        <v>N</v>
      </c>
      <c r="P474" s="74" t="str">
        <f t="shared" si="154"/>
        <v>N</v>
      </c>
      <c r="Q474" s="74" t="str">
        <f t="shared" si="154"/>
        <v>BRPEC</v>
      </c>
      <c r="R474" s="99" t="str">
        <f t="shared" si="154"/>
        <v>ZP501</v>
      </c>
      <c r="S474" s="99" t="str">
        <f t="shared" si="154"/>
        <v>BRPECTB01</v>
      </c>
      <c r="T474" s="74" t="str">
        <f t="shared" si="154"/>
        <v>BRPECAPM</v>
      </c>
      <c r="U474" s="6">
        <f t="shared" si="147"/>
        <v>46</v>
      </c>
      <c r="V474" s="102">
        <f t="shared" si="148"/>
        <v>44870.443242792273</v>
      </c>
      <c r="W474" s="102">
        <f t="shared" si="155"/>
        <v>44876.443242792273</v>
      </c>
      <c r="X474" s="102">
        <f t="shared" si="155"/>
        <v>44877.443242792273</v>
      </c>
      <c r="Y474" s="102">
        <f t="shared" si="155"/>
        <v>44877.526576125609</v>
      </c>
      <c r="Z474" s="102">
        <f t="shared" si="155"/>
        <v>44878.211298347829</v>
      </c>
      <c r="AA474" s="74" t="str">
        <f t="shared" si="157"/>
        <v>BRMCP</v>
      </c>
      <c r="AB474" s="74">
        <f t="shared" si="157"/>
        <v>0</v>
      </c>
    </row>
    <row r="475" spans="12:28">
      <c r="L475" s="6" t="s">
        <v>12</v>
      </c>
      <c r="M475" s="6" t="s">
        <v>182</v>
      </c>
      <c r="N475" s="6">
        <f t="shared" ref="N475:N538" si="158">N435+1</f>
        <v>11</v>
      </c>
      <c r="O475" s="74">
        <f t="shared" si="154"/>
        <v>0</v>
      </c>
      <c r="P475" s="74">
        <f t="shared" si="154"/>
        <v>0</v>
      </c>
      <c r="Q475" s="74" t="str">
        <f t="shared" si="154"/>
        <v>BRMCP</v>
      </c>
      <c r="R475" s="99" t="str">
        <f t="shared" si="154"/>
        <v>ZP101</v>
      </c>
      <c r="S475" s="99">
        <f t="shared" si="154"/>
        <v>0</v>
      </c>
      <c r="T475" s="74">
        <f t="shared" si="154"/>
        <v>0</v>
      </c>
      <c r="U475" s="6">
        <f t="shared" si="147"/>
        <v>47</v>
      </c>
      <c r="V475" s="102">
        <f t="shared" si="148"/>
        <v>44873.358029681898</v>
      </c>
      <c r="W475" s="102">
        <f t="shared" si="155"/>
        <v>44879.358029681898</v>
      </c>
      <c r="X475" s="102">
        <f t="shared" si="155"/>
        <v>44880.358029681898</v>
      </c>
      <c r="Y475" s="102">
        <f t="shared" si="155"/>
        <v>44880.399696348562</v>
      </c>
      <c r="Z475" s="102">
        <f t="shared" si="155"/>
        <v>44880.441363015227</v>
      </c>
      <c r="AA475" s="74" t="str">
        <f t="shared" si="157"/>
        <v>BRMAO</v>
      </c>
      <c r="AB475" s="74" t="str">
        <f t="shared" si="157"/>
        <v>BRMAOCHI</v>
      </c>
    </row>
    <row r="476" spans="12:28">
      <c r="L476" s="6" t="s">
        <v>12</v>
      </c>
      <c r="M476" s="6" t="s">
        <v>182</v>
      </c>
      <c r="N476" s="6">
        <f t="shared" si="158"/>
        <v>11</v>
      </c>
      <c r="O476" s="74" t="str">
        <f t="shared" ref="O476:T491" si="159">O466</f>
        <v>S</v>
      </c>
      <c r="P476" s="74" t="str">
        <f t="shared" si="159"/>
        <v>D</v>
      </c>
      <c r="Q476" s="74" t="str">
        <f t="shared" si="159"/>
        <v>BRMAO</v>
      </c>
      <c r="R476" s="99" t="str">
        <f t="shared" si="159"/>
        <v>ZP201</v>
      </c>
      <c r="S476" s="99" t="str">
        <f t="shared" si="159"/>
        <v>BRMAOTB01</v>
      </c>
      <c r="T476" s="74" t="str">
        <f t="shared" si="159"/>
        <v>BRMAOCHI</v>
      </c>
      <c r="U476" s="6">
        <f t="shared" si="147"/>
        <v>47</v>
      </c>
      <c r="V476" s="102">
        <f t="shared" si="148"/>
        <v>44875.227551957192</v>
      </c>
      <c r="W476" s="102">
        <f t="shared" ref="W476:Z491" si="160">W466+7</f>
        <v>44881.227551957192</v>
      </c>
      <c r="X476" s="102">
        <f t="shared" si="160"/>
        <v>44882.227551957192</v>
      </c>
      <c r="Y476" s="102">
        <f t="shared" si="160"/>
        <v>44882.290051957192</v>
      </c>
      <c r="Z476" s="102">
        <f t="shared" si="160"/>
        <v>44885.380329734966</v>
      </c>
      <c r="AA476" s="74" t="str">
        <f t="shared" si="157"/>
        <v>BRMCP</v>
      </c>
      <c r="AB476" s="74">
        <f t="shared" si="157"/>
        <v>0</v>
      </c>
    </row>
    <row r="477" spans="12:28">
      <c r="L477" s="6" t="s">
        <v>12</v>
      </c>
      <c r="M477" s="6" t="s">
        <v>182</v>
      </c>
      <c r="N477" s="6">
        <f t="shared" si="158"/>
        <v>11</v>
      </c>
      <c r="O477" s="74">
        <f t="shared" si="159"/>
        <v>0</v>
      </c>
      <c r="P477" s="74">
        <f t="shared" si="159"/>
        <v>0</v>
      </c>
      <c r="Q477" s="74" t="str">
        <f t="shared" si="159"/>
        <v>BRMCP</v>
      </c>
      <c r="R477" s="99" t="str">
        <f t="shared" si="159"/>
        <v>ZP101</v>
      </c>
      <c r="S477" s="99">
        <f t="shared" si="159"/>
        <v>0</v>
      </c>
      <c r="T477" s="74">
        <f t="shared" si="159"/>
        <v>0</v>
      </c>
      <c r="U477" s="6">
        <f t="shared" si="147"/>
        <v>48</v>
      </c>
      <c r="V477" s="102">
        <f t="shared" si="148"/>
        <v>44879.843590077056</v>
      </c>
      <c r="W477" s="102">
        <f t="shared" si="160"/>
        <v>44885.843590077056</v>
      </c>
      <c r="X477" s="102">
        <f t="shared" si="160"/>
        <v>44886.843590077056</v>
      </c>
      <c r="Y477" s="102">
        <f t="shared" si="160"/>
        <v>44886.885256743721</v>
      </c>
      <c r="Z477" s="102">
        <f t="shared" si="160"/>
        <v>44886.926923410385</v>
      </c>
      <c r="AA477" s="74" t="str">
        <f t="shared" si="157"/>
        <v>BRPEC</v>
      </c>
      <c r="AB477" s="74" t="str">
        <f t="shared" si="157"/>
        <v>BRPECAPM</v>
      </c>
    </row>
    <row r="478" spans="12:28">
      <c r="L478" s="6" t="s">
        <v>12</v>
      </c>
      <c r="M478" s="6" t="s">
        <v>182</v>
      </c>
      <c r="N478" s="6">
        <f t="shared" si="158"/>
        <v>11</v>
      </c>
      <c r="O478" s="74" t="str">
        <f t="shared" si="159"/>
        <v>S</v>
      </c>
      <c r="P478" s="74" t="str">
        <f t="shared" si="159"/>
        <v>N</v>
      </c>
      <c r="Q478" s="74" t="str">
        <f t="shared" si="159"/>
        <v>BRPEC</v>
      </c>
      <c r="R478" s="99" t="str">
        <f t="shared" si="159"/>
        <v>ZP501</v>
      </c>
      <c r="S478" s="99" t="str">
        <f t="shared" si="159"/>
        <v>BRPECTB02</v>
      </c>
      <c r="T478" s="74" t="str">
        <f t="shared" si="159"/>
        <v>BRPECAPM</v>
      </c>
      <c r="U478" s="6">
        <f t="shared" si="147"/>
        <v>48</v>
      </c>
      <c r="V478" s="102">
        <f t="shared" si="148"/>
        <v>44882.073654745254</v>
      </c>
      <c r="W478" s="102">
        <f t="shared" si="160"/>
        <v>44888.073654745254</v>
      </c>
      <c r="X478" s="102">
        <f t="shared" si="160"/>
        <v>44889.073654745254</v>
      </c>
      <c r="Y478" s="102">
        <f t="shared" si="160"/>
        <v>44889.15698807859</v>
      </c>
      <c r="Z478" s="102">
        <f t="shared" si="160"/>
        <v>44889.572265856368</v>
      </c>
      <c r="AA478" s="74" t="str">
        <f t="shared" si="157"/>
        <v>BRSUA</v>
      </c>
      <c r="AB478" s="74" t="str">
        <f t="shared" si="157"/>
        <v>BRSUATCO</v>
      </c>
    </row>
    <row r="479" spans="12:28">
      <c r="L479" s="6" t="s">
        <v>12</v>
      </c>
      <c r="M479" s="6" t="s">
        <v>182</v>
      </c>
      <c r="N479" s="6">
        <f t="shared" si="158"/>
        <v>11</v>
      </c>
      <c r="O479" s="74" t="str">
        <f t="shared" si="159"/>
        <v>S</v>
      </c>
      <c r="P479" s="74" t="str">
        <f t="shared" si="159"/>
        <v>N</v>
      </c>
      <c r="Q479" s="74" t="str">
        <f t="shared" si="159"/>
        <v>BRSUA</v>
      </c>
      <c r="R479" s="99" t="str">
        <f t="shared" si="159"/>
        <v>ZP901</v>
      </c>
      <c r="S479" s="99" t="str">
        <f t="shared" si="159"/>
        <v>BRSUATB02</v>
      </c>
      <c r="T479" s="74" t="str">
        <f t="shared" si="159"/>
        <v>BRSUATCO</v>
      </c>
      <c r="U479" s="6">
        <f t="shared" si="147"/>
        <v>48</v>
      </c>
      <c r="V479" s="102">
        <f t="shared" si="148"/>
        <v>44883.713121195025</v>
      </c>
      <c r="W479" s="102">
        <f t="shared" si="160"/>
        <v>44889.713121195025</v>
      </c>
      <c r="X479" s="102">
        <f t="shared" si="160"/>
        <v>44890.713121195025</v>
      </c>
      <c r="Y479" s="102">
        <f t="shared" si="160"/>
        <v>44890.775621195025</v>
      </c>
      <c r="Z479" s="102">
        <f t="shared" si="160"/>
        <v>44891.546454528354</v>
      </c>
      <c r="AA479" s="74" t="str">
        <f>AA469</f>
        <v>BRSSZ</v>
      </c>
      <c r="AB479" s="74" t="str">
        <f>AB469</f>
        <v>BRSSZTCO</v>
      </c>
    </row>
    <row r="480" spans="12:28">
      <c r="L480" s="6" t="s">
        <v>12</v>
      </c>
      <c r="M480" s="106" t="s">
        <v>183</v>
      </c>
      <c r="N480" s="6">
        <f t="shared" si="158"/>
        <v>11</v>
      </c>
      <c r="O480" s="74" t="str">
        <f t="shared" si="159"/>
        <v>N</v>
      </c>
      <c r="P480" s="74" t="str">
        <f t="shared" si="159"/>
        <v>B</v>
      </c>
      <c r="Q480" s="74" t="str">
        <f t="shared" si="159"/>
        <v>BRSSZ</v>
      </c>
      <c r="R480" s="99" t="str">
        <f t="shared" si="159"/>
        <v>ZP1601</v>
      </c>
      <c r="S480" s="99" t="str">
        <f t="shared" si="159"/>
        <v>BRSSZTB01</v>
      </c>
      <c r="T480" s="74" t="str">
        <f t="shared" si="159"/>
        <v>BRSSZTCO</v>
      </c>
      <c r="U480" s="6">
        <f t="shared" si="147"/>
        <v>46</v>
      </c>
      <c r="V480" s="102">
        <f t="shared" si="148"/>
        <v>44866.791666666664</v>
      </c>
      <c r="W480" s="102">
        <f t="shared" si="160"/>
        <v>44872.791666666664</v>
      </c>
      <c r="X480" s="102">
        <f t="shared" si="160"/>
        <v>44873.791666666664</v>
      </c>
      <c r="Y480" s="102">
        <f t="shared" si="160"/>
        <v>44873.895833333328</v>
      </c>
      <c r="Z480" s="102">
        <f t="shared" si="160"/>
        <v>44875.718518518515</v>
      </c>
      <c r="AA480" s="74" t="str">
        <f t="shared" ref="AA480:AB488" si="161">AA470</f>
        <v>BRIGI</v>
      </c>
      <c r="AB480" s="74" t="str">
        <f t="shared" si="161"/>
        <v>BRIGITCO</v>
      </c>
    </row>
    <row r="481" spans="12:28">
      <c r="L481" s="6" t="s">
        <v>12</v>
      </c>
      <c r="M481" s="106" t="s">
        <v>183</v>
      </c>
      <c r="N481" s="6">
        <f t="shared" si="158"/>
        <v>11</v>
      </c>
      <c r="O481" s="74" t="str">
        <f t="shared" si="159"/>
        <v>N</v>
      </c>
      <c r="P481" s="74" t="str">
        <f t="shared" si="159"/>
        <v>N</v>
      </c>
      <c r="Q481" s="74" t="str">
        <f t="shared" si="159"/>
        <v>BRIGI</v>
      </c>
      <c r="R481" s="99" t="str">
        <f t="shared" si="159"/>
        <v>ZP15A03</v>
      </c>
      <c r="S481" s="99" t="str">
        <f t="shared" si="159"/>
        <v>BRIGITB01</v>
      </c>
      <c r="T481" s="74" t="str">
        <f t="shared" si="159"/>
        <v>BRIGITCO</v>
      </c>
      <c r="U481" s="6">
        <f t="shared" si="147"/>
        <v>46</v>
      </c>
      <c r="V481" s="102">
        <f t="shared" si="148"/>
        <v>44869.094394891508</v>
      </c>
      <c r="W481" s="102">
        <f t="shared" si="160"/>
        <v>44875.094394891508</v>
      </c>
      <c r="X481" s="102">
        <f t="shared" si="160"/>
        <v>44876.094394891508</v>
      </c>
      <c r="Y481" s="102">
        <f t="shared" si="160"/>
        <v>44876.240228224844</v>
      </c>
      <c r="Z481" s="102">
        <f t="shared" si="160"/>
        <v>44877.433283780396</v>
      </c>
      <c r="AA481" s="74" t="str">
        <f t="shared" si="161"/>
        <v>BRSSA</v>
      </c>
      <c r="AB481" s="74" t="str">
        <f t="shared" si="161"/>
        <v>BRSSATCO</v>
      </c>
    </row>
    <row r="482" spans="12:28">
      <c r="L482" s="6" t="s">
        <v>12</v>
      </c>
      <c r="M482" s="106" t="s">
        <v>183</v>
      </c>
      <c r="N482" s="6">
        <f t="shared" si="158"/>
        <v>11</v>
      </c>
      <c r="O482" s="74" t="str">
        <f t="shared" si="159"/>
        <v>N</v>
      </c>
      <c r="P482" s="74" t="str">
        <f t="shared" si="159"/>
        <v>N</v>
      </c>
      <c r="Q482" s="74" t="str">
        <f t="shared" si="159"/>
        <v>BRSSA</v>
      </c>
      <c r="R482" s="99" t="str">
        <f t="shared" si="159"/>
        <v>ZP1202</v>
      </c>
      <c r="S482" s="99" t="str">
        <f t="shared" si="159"/>
        <v>BRSSATB01</v>
      </c>
      <c r="T482" s="74" t="str">
        <f t="shared" si="159"/>
        <v>BRSSATCO</v>
      </c>
      <c r="U482" s="6">
        <f t="shared" si="147"/>
        <v>47</v>
      </c>
      <c r="V482" s="102">
        <f t="shared" si="148"/>
        <v>44872.450297220996</v>
      </c>
      <c r="W482" s="102">
        <f t="shared" si="160"/>
        <v>44878.450297220996</v>
      </c>
      <c r="X482" s="102">
        <f t="shared" si="160"/>
        <v>44879.450297220996</v>
      </c>
      <c r="Y482" s="102">
        <f t="shared" si="160"/>
        <v>44879.533630554331</v>
      </c>
      <c r="Z482" s="102">
        <f t="shared" si="160"/>
        <v>44880.114186109888</v>
      </c>
      <c r="AA482" s="74" t="str">
        <f t="shared" si="161"/>
        <v>BRSUA</v>
      </c>
      <c r="AB482" s="74" t="str">
        <f t="shared" si="161"/>
        <v>BRSUATCO</v>
      </c>
    </row>
    <row r="483" spans="12:28">
      <c r="L483" s="6" t="s">
        <v>12</v>
      </c>
      <c r="M483" s="106" t="s">
        <v>183</v>
      </c>
      <c r="N483" s="6">
        <f t="shared" si="158"/>
        <v>11</v>
      </c>
      <c r="O483" s="74" t="str">
        <f t="shared" si="159"/>
        <v>N</v>
      </c>
      <c r="P483" s="74" t="str">
        <f t="shared" si="159"/>
        <v>N</v>
      </c>
      <c r="Q483" s="74" t="str">
        <f t="shared" si="159"/>
        <v>BRSUA</v>
      </c>
      <c r="R483" s="99" t="str">
        <f t="shared" si="159"/>
        <v>ZP901</v>
      </c>
      <c r="S483" s="99" t="str">
        <f t="shared" si="159"/>
        <v>BRSUATB02</v>
      </c>
      <c r="T483" s="74" t="str">
        <f t="shared" si="159"/>
        <v>BRSUATCO</v>
      </c>
      <c r="U483" s="6">
        <f t="shared" si="147"/>
        <v>47</v>
      </c>
      <c r="V483" s="102">
        <f t="shared" si="148"/>
        <v>44874.077702180381</v>
      </c>
      <c r="W483" s="102">
        <f t="shared" si="160"/>
        <v>44880.077702180381</v>
      </c>
      <c r="X483" s="102">
        <f t="shared" si="160"/>
        <v>44881.077702180381</v>
      </c>
      <c r="Y483" s="102">
        <f t="shared" si="160"/>
        <v>44881.140202180381</v>
      </c>
      <c r="Z483" s="102">
        <f t="shared" si="160"/>
        <v>44883.256868847042</v>
      </c>
      <c r="AA483" s="74" t="str">
        <f t="shared" si="161"/>
        <v>BRPEC</v>
      </c>
      <c r="AB483" s="74" t="str">
        <f t="shared" si="161"/>
        <v>BRPECAPM</v>
      </c>
    </row>
    <row r="484" spans="12:28">
      <c r="L484" s="6" t="s">
        <v>12</v>
      </c>
      <c r="M484" s="106" t="s">
        <v>183</v>
      </c>
      <c r="N484" s="6">
        <f t="shared" si="158"/>
        <v>11</v>
      </c>
      <c r="O484" s="74" t="str">
        <f t="shared" si="159"/>
        <v>N</v>
      </c>
      <c r="P484" s="74" t="str">
        <f t="shared" si="159"/>
        <v>N</v>
      </c>
      <c r="Q484" s="74" t="str">
        <f t="shared" si="159"/>
        <v>BRPEC</v>
      </c>
      <c r="R484" s="99" t="str">
        <f t="shared" si="159"/>
        <v>ZP501</v>
      </c>
      <c r="S484" s="99" t="str">
        <f t="shared" si="159"/>
        <v>BRPECTB01</v>
      </c>
      <c r="T484" s="74" t="str">
        <f t="shared" si="159"/>
        <v>BRPECAPM</v>
      </c>
      <c r="U484" s="6">
        <f t="shared" si="147"/>
        <v>47</v>
      </c>
      <c r="V484" s="102">
        <f t="shared" si="148"/>
        <v>44877.443242792273</v>
      </c>
      <c r="W484" s="102">
        <f t="shared" si="160"/>
        <v>44883.443242792273</v>
      </c>
      <c r="X484" s="102">
        <f t="shared" si="160"/>
        <v>44884.443242792273</v>
      </c>
      <c r="Y484" s="102">
        <f t="shared" si="160"/>
        <v>44884.526576125609</v>
      </c>
      <c r="Z484" s="102">
        <f t="shared" si="160"/>
        <v>44885.211298347829</v>
      </c>
      <c r="AA484" s="74" t="str">
        <f t="shared" si="161"/>
        <v>BRMCP</v>
      </c>
      <c r="AB484" s="74">
        <f t="shared" si="161"/>
        <v>0</v>
      </c>
    </row>
    <row r="485" spans="12:28">
      <c r="L485" s="6" t="s">
        <v>12</v>
      </c>
      <c r="M485" s="106" t="s">
        <v>183</v>
      </c>
      <c r="N485" s="6">
        <f t="shared" si="158"/>
        <v>11</v>
      </c>
      <c r="O485" s="74">
        <f t="shared" si="159"/>
        <v>0</v>
      </c>
      <c r="P485" s="74">
        <f t="shared" si="159"/>
        <v>0</v>
      </c>
      <c r="Q485" s="74" t="str">
        <f t="shared" si="159"/>
        <v>BRMCP</v>
      </c>
      <c r="R485" s="99" t="str">
        <f t="shared" si="159"/>
        <v>ZP101</v>
      </c>
      <c r="S485" s="99">
        <f t="shared" si="159"/>
        <v>0</v>
      </c>
      <c r="T485" s="74">
        <f t="shared" si="159"/>
        <v>0</v>
      </c>
      <c r="U485" s="6">
        <f t="shared" si="147"/>
        <v>48</v>
      </c>
      <c r="V485" s="102">
        <f t="shared" si="148"/>
        <v>44880.358029681898</v>
      </c>
      <c r="W485" s="102">
        <f t="shared" si="160"/>
        <v>44886.358029681898</v>
      </c>
      <c r="X485" s="102">
        <f t="shared" si="160"/>
        <v>44887.358029681898</v>
      </c>
      <c r="Y485" s="102">
        <f t="shared" si="160"/>
        <v>44887.399696348562</v>
      </c>
      <c r="Z485" s="102">
        <f t="shared" si="160"/>
        <v>44887.441363015227</v>
      </c>
      <c r="AA485" s="74" t="str">
        <f t="shared" si="161"/>
        <v>BRMAO</v>
      </c>
      <c r="AB485" s="74" t="str">
        <f t="shared" si="161"/>
        <v>BRMAOCHI</v>
      </c>
    </row>
    <row r="486" spans="12:28">
      <c r="L486" s="6" t="s">
        <v>12</v>
      </c>
      <c r="M486" s="106" t="s">
        <v>183</v>
      </c>
      <c r="N486" s="6">
        <f t="shared" si="158"/>
        <v>11</v>
      </c>
      <c r="O486" s="74" t="str">
        <f t="shared" si="159"/>
        <v>S</v>
      </c>
      <c r="P486" s="74" t="str">
        <f t="shared" si="159"/>
        <v>D</v>
      </c>
      <c r="Q486" s="74" t="str">
        <f>Q476</f>
        <v>BRMAO</v>
      </c>
      <c r="R486" s="99" t="str">
        <f t="shared" si="159"/>
        <v>ZP201</v>
      </c>
      <c r="S486" s="99" t="str">
        <f t="shared" si="159"/>
        <v>BRMAOTB01</v>
      </c>
      <c r="T486" s="74" t="str">
        <f t="shared" si="159"/>
        <v>BRMAOCHI</v>
      </c>
      <c r="U486" s="6">
        <f t="shared" si="147"/>
        <v>48</v>
      </c>
      <c r="V486" s="102">
        <f t="shared" si="148"/>
        <v>44882.227551957192</v>
      </c>
      <c r="W486" s="102">
        <f t="shared" si="160"/>
        <v>44888.227551957192</v>
      </c>
      <c r="X486" s="102">
        <f t="shared" si="160"/>
        <v>44889.227551957192</v>
      </c>
      <c r="Y486" s="102">
        <f t="shared" si="160"/>
        <v>44889.290051957192</v>
      </c>
      <c r="Z486" s="102">
        <f t="shared" si="160"/>
        <v>44892.380329734966</v>
      </c>
      <c r="AA486" s="74" t="str">
        <f t="shared" si="161"/>
        <v>BRMCP</v>
      </c>
      <c r="AB486" s="74">
        <f t="shared" si="161"/>
        <v>0</v>
      </c>
    </row>
    <row r="487" spans="12:28">
      <c r="L487" s="6" t="s">
        <v>12</v>
      </c>
      <c r="M487" s="106" t="s">
        <v>183</v>
      </c>
      <c r="N487" s="6">
        <f t="shared" si="158"/>
        <v>11</v>
      </c>
      <c r="O487" s="74">
        <f t="shared" si="159"/>
        <v>0</v>
      </c>
      <c r="P487" s="74">
        <f t="shared" si="159"/>
        <v>0</v>
      </c>
      <c r="Q487" s="74" t="str">
        <f t="shared" si="159"/>
        <v>BRMCP</v>
      </c>
      <c r="R487" s="99" t="str">
        <f t="shared" si="159"/>
        <v>ZP101</v>
      </c>
      <c r="S487" s="99">
        <f t="shared" si="159"/>
        <v>0</v>
      </c>
      <c r="T487" s="74">
        <f t="shared" si="159"/>
        <v>0</v>
      </c>
      <c r="U487" s="6">
        <f t="shared" si="147"/>
        <v>49</v>
      </c>
      <c r="V487" s="102">
        <f t="shared" si="148"/>
        <v>44886.843590077056</v>
      </c>
      <c r="W487" s="102">
        <f t="shared" si="160"/>
        <v>44892.843590077056</v>
      </c>
      <c r="X487" s="102">
        <f t="shared" si="160"/>
        <v>44893.843590077056</v>
      </c>
      <c r="Y487" s="102">
        <f t="shared" si="160"/>
        <v>44893.885256743721</v>
      </c>
      <c r="Z487" s="102">
        <f t="shared" si="160"/>
        <v>44893.926923410385</v>
      </c>
      <c r="AA487" s="74" t="str">
        <f t="shared" si="161"/>
        <v>BRPEC</v>
      </c>
      <c r="AB487" s="74" t="str">
        <f t="shared" si="161"/>
        <v>BRPECAPM</v>
      </c>
    </row>
    <row r="488" spans="12:28">
      <c r="L488" s="6" t="s">
        <v>12</v>
      </c>
      <c r="M488" s="106" t="s">
        <v>183</v>
      </c>
      <c r="N488" s="6">
        <f t="shared" si="158"/>
        <v>11</v>
      </c>
      <c r="O488" s="74" t="str">
        <f t="shared" si="159"/>
        <v>S</v>
      </c>
      <c r="P488" s="74" t="str">
        <f t="shared" si="159"/>
        <v>N</v>
      </c>
      <c r="Q488" s="74" t="str">
        <f t="shared" si="159"/>
        <v>BRPEC</v>
      </c>
      <c r="R488" s="99" t="str">
        <f t="shared" si="159"/>
        <v>ZP501</v>
      </c>
      <c r="S488" s="99" t="str">
        <f t="shared" si="159"/>
        <v>BRPECTB02</v>
      </c>
      <c r="T488" s="74" t="str">
        <f t="shared" si="159"/>
        <v>BRPECAPM</v>
      </c>
      <c r="U488" s="6">
        <f t="shared" si="147"/>
        <v>49</v>
      </c>
      <c r="V488" s="102">
        <f t="shared" si="148"/>
        <v>44889.073654745254</v>
      </c>
      <c r="W488" s="102">
        <f t="shared" si="160"/>
        <v>44895.073654745254</v>
      </c>
      <c r="X488" s="102">
        <f t="shared" si="160"/>
        <v>44896.073654745254</v>
      </c>
      <c r="Y488" s="102">
        <f t="shared" si="160"/>
        <v>44896.15698807859</v>
      </c>
      <c r="Z488" s="102">
        <f t="shared" si="160"/>
        <v>44896.572265856368</v>
      </c>
      <c r="AA488" s="74" t="str">
        <f t="shared" si="161"/>
        <v>BRSUA</v>
      </c>
      <c r="AB488" s="74" t="str">
        <f t="shared" si="161"/>
        <v>BRSUATCO</v>
      </c>
    </row>
    <row r="489" spans="12:28">
      <c r="L489" s="6" t="s">
        <v>12</v>
      </c>
      <c r="M489" s="106" t="s">
        <v>183</v>
      </c>
      <c r="N489" s="6">
        <f t="shared" si="158"/>
        <v>11</v>
      </c>
      <c r="O489" s="74" t="str">
        <f t="shared" si="159"/>
        <v>S</v>
      </c>
      <c r="P489" s="74" t="str">
        <f t="shared" si="159"/>
        <v>N</v>
      </c>
      <c r="Q489" s="74" t="str">
        <f t="shared" si="159"/>
        <v>BRSUA</v>
      </c>
      <c r="R489" s="99" t="str">
        <f t="shared" si="159"/>
        <v>ZP901</v>
      </c>
      <c r="S489" s="99" t="str">
        <f t="shared" si="159"/>
        <v>BRSUATB02</v>
      </c>
      <c r="T489" s="74" t="str">
        <f t="shared" si="159"/>
        <v>BRSUATCO</v>
      </c>
      <c r="U489" s="6">
        <f t="shared" si="147"/>
        <v>49</v>
      </c>
      <c r="V489" s="102">
        <f t="shared" si="148"/>
        <v>44890.713121195025</v>
      </c>
      <c r="W489" s="102">
        <f t="shared" si="160"/>
        <v>44896.713121195025</v>
      </c>
      <c r="X489" s="102">
        <f t="shared" si="160"/>
        <v>44897.713121195025</v>
      </c>
      <c r="Y489" s="102">
        <f t="shared" si="160"/>
        <v>44897.775621195025</v>
      </c>
      <c r="Z489" s="102">
        <f t="shared" si="160"/>
        <v>44898.546454528354</v>
      </c>
      <c r="AA489" s="74" t="str">
        <f>AA479</f>
        <v>BRSSZ</v>
      </c>
      <c r="AB489" s="74" t="str">
        <f>AB479</f>
        <v>BRSSZTCO</v>
      </c>
    </row>
    <row r="490" spans="12:28">
      <c r="L490" s="6" t="s">
        <v>12</v>
      </c>
      <c r="M490" s="6" t="str">
        <f>$J$2</f>
        <v>SHIP13</v>
      </c>
      <c r="N490" s="6">
        <f t="shared" si="158"/>
        <v>12</v>
      </c>
      <c r="O490" s="74" t="str">
        <f t="shared" si="159"/>
        <v>N</v>
      </c>
      <c r="P490" s="74" t="str">
        <f t="shared" si="159"/>
        <v>B</v>
      </c>
      <c r="Q490" s="74" t="str">
        <f t="shared" si="159"/>
        <v>BRSSZ</v>
      </c>
      <c r="R490" s="99" t="str">
        <f t="shared" si="159"/>
        <v>ZP1601</v>
      </c>
      <c r="S490" s="99" t="str">
        <f t="shared" si="159"/>
        <v>BRSSZTB01</v>
      </c>
      <c r="T490" s="74" t="str">
        <f t="shared" si="159"/>
        <v>BRSSZTCO</v>
      </c>
      <c r="U490" s="6">
        <f t="shared" si="147"/>
        <v>47</v>
      </c>
      <c r="V490" s="102">
        <f t="shared" si="148"/>
        <v>44873.791666666664</v>
      </c>
      <c r="W490" s="102">
        <f t="shared" si="160"/>
        <v>44879.791666666664</v>
      </c>
      <c r="X490" s="102">
        <f t="shared" si="160"/>
        <v>44880.791666666664</v>
      </c>
      <c r="Y490" s="102">
        <f t="shared" si="160"/>
        <v>44880.895833333328</v>
      </c>
      <c r="Z490" s="102">
        <f t="shared" si="160"/>
        <v>44882.718518518515</v>
      </c>
      <c r="AA490" s="74" t="str">
        <f t="shared" ref="AA490:AB498" si="162">AA480</f>
        <v>BRIGI</v>
      </c>
      <c r="AB490" s="74" t="str">
        <f t="shared" si="162"/>
        <v>BRIGITCO</v>
      </c>
    </row>
    <row r="491" spans="12:28">
      <c r="L491" s="6" t="s">
        <v>12</v>
      </c>
      <c r="M491" s="6" t="str">
        <f t="shared" ref="M491:M499" si="163">$J$2</f>
        <v>SHIP13</v>
      </c>
      <c r="N491" s="6">
        <f t="shared" si="158"/>
        <v>12</v>
      </c>
      <c r="O491" s="74" t="str">
        <f t="shared" si="159"/>
        <v>N</v>
      </c>
      <c r="P491" s="74" t="str">
        <f t="shared" si="159"/>
        <v>N</v>
      </c>
      <c r="Q491" s="74" t="str">
        <f t="shared" si="159"/>
        <v>BRIGI</v>
      </c>
      <c r="R491" s="99" t="str">
        <f t="shared" si="159"/>
        <v>ZP15A03</v>
      </c>
      <c r="S491" s="99" t="str">
        <f t="shared" si="159"/>
        <v>BRIGITB01</v>
      </c>
      <c r="T491" s="74" t="str">
        <f t="shared" si="159"/>
        <v>BRIGITCO</v>
      </c>
      <c r="U491" s="6">
        <f t="shared" si="147"/>
        <v>47</v>
      </c>
      <c r="V491" s="102">
        <f t="shared" si="148"/>
        <v>44876.094394891508</v>
      </c>
      <c r="W491" s="102">
        <f t="shared" si="160"/>
        <v>44882.094394891508</v>
      </c>
      <c r="X491" s="102">
        <f t="shared" si="160"/>
        <v>44883.094394891508</v>
      </c>
      <c r="Y491" s="102">
        <f t="shared" si="160"/>
        <v>44883.240228224844</v>
      </c>
      <c r="Z491" s="102">
        <f t="shared" si="160"/>
        <v>44884.433283780396</v>
      </c>
      <c r="AA491" s="74" t="str">
        <f t="shared" si="162"/>
        <v>BRSSA</v>
      </c>
      <c r="AB491" s="74" t="str">
        <f t="shared" si="162"/>
        <v>BRSSATCO</v>
      </c>
    </row>
    <row r="492" spans="12:28">
      <c r="L492" s="6" t="s">
        <v>12</v>
      </c>
      <c r="M492" s="6" t="str">
        <f t="shared" si="163"/>
        <v>SHIP13</v>
      </c>
      <c r="N492" s="6">
        <f t="shared" si="158"/>
        <v>12</v>
      </c>
      <c r="O492" s="74" t="str">
        <f t="shared" ref="O492:T507" si="164">O482</f>
        <v>N</v>
      </c>
      <c r="P492" s="74" t="str">
        <f t="shared" si="164"/>
        <v>N</v>
      </c>
      <c r="Q492" s="74" t="str">
        <f t="shared" si="164"/>
        <v>BRSSA</v>
      </c>
      <c r="R492" s="99" t="str">
        <f t="shared" si="164"/>
        <v>ZP1202</v>
      </c>
      <c r="S492" s="99" t="str">
        <f t="shared" si="164"/>
        <v>BRSSATB01</v>
      </c>
      <c r="T492" s="74" t="str">
        <f t="shared" si="164"/>
        <v>BRSSATCO</v>
      </c>
      <c r="U492" s="6">
        <f t="shared" si="147"/>
        <v>48</v>
      </c>
      <c r="V492" s="102">
        <f t="shared" si="148"/>
        <v>44879.450297220996</v>
      </c>
      <c r="W492" s="102">
        <f t="shared" ref="W492:Z507" si="165">W482+7</f>
        <v>44885.450297220996</v>
      </c>
      <c r="X492" s="102">
        <f t="shared" si="165"/>
        <v>44886.450297220996</v>
      </c>
      <c r="Y492" s="102">
        <f t="shared" si="165"/>
        <v>44886.533630554331</v>
      </c>
      <c r="Z492" s="102">
        <f t="shared" si="165"/>
        <v>44887.114186109888</v>
      </c>
      <c r="AA492" s="74" t="str">
        <f t="shared" si="162"/>
        <v>BRSUA</v>
      </c>
      <c r="AB492" s="74" t="str">
        <f t="shared" si="162"/>
        <v>BRSUATCO</v>
      </c>
    </row>
    <row r="493" spans="12:28">
      <c r="L493" s="6" t="s">
        <v>12</v>
      </c>
      <c r="M493" s="6" t="str">
        <f t="shared" si="163"/>
        <v>SHIP13</v>
      </c>
      <c r="N493" s="6">
        <f t="shared" si="158"/>
        <v>12</v>
      </c>
      <c r="O493" s="74" t="str">
        <f t="shared" si="164"/>
        <v>N</v>
      </c>
      <c r="P493" s="74" t="str">
        <f t="shared" si="164"/>
        <v>N</v>
      </c>
      <c r="Q493" s="74" t="str">
        <f t="shared" si="164"/>
        <v>BRSUA</v>
      </c>
      <c r="R493" s="99" t="str">
        <f t="shared" si="164"/>
        <v>ZP901</v>
      </c>
      <c r="S493" s="99" t="str">
        <f t="shared" si="164"/>
        <v>BRSUATB02</v>
      </c>
      <c r="T493" s="74" t="str">
        <f t="shared" si="164"/>
        <v>BRSUATCO</v>
      </c>
      <c r="U493" s="6">
        <f t="shared" si="147"/>
        <v>48</v>
      </c>
      <c r="V493" s="102">
        <f t="shared" si="148"/>
        <v>44881.077702180381</v>
      </c>
      <c r="W493" s="102">
        <f t="shared" si="165"/>
        <v>44887.077702180381</v>
      </c>
      <c r="X493" s="102">
        <f t="shared" si="165"/>
        <v>44888.077702180381</v>
      </c>
      <c r="Y493" s="102">
        <f t="shared" si="165"/>
        <v>44888.140202180381</v>
      </c>
      <c r="Z493" s="102">
        <f t="shared" si="165"/>
        <v>44890.256868847042</v>
      </c>
      <c r="AA493" s="74" t="str">
        <f t="shared" si="162"/>
        <v>BRPEC</v>
      </c>
      <c r="AB493" s="74" t="str">
        <f t="shared" si="162"/>
        <v>BRPECAPM</v>
      </c>
    </row>
    <row r="494" spans="12:28">
      <c r="L494" s="6" t="s">
        <v>12</v>
      </c>
      <c r="M494" s="6" t="str">
        <f t="shared" si="163"/>
        <v>SHIP13</v>
      </c>
      <c r="N494" s="6">
        <f t="shared" si="158"/>
        <v>12</v>
      </c>
      <c r="O494" s="74" t="str">
        <f t="shared" si="164"/>
        <v>N</v>
      </c>
      <c r="P494" s="74" t="str">
        <f t="shared" si="164"/>
        <v>N</v>
      </c>
      <c r="Q494" s="74" t="str">
        <f t="shared" si="164"/>
        <v>BRPEC</v>
      </c>
      <c r="R494" s="99" t="str">
        <f t="shared" si="164"/>
        <v>ZP501</v>
      </c>
      <c r="S494" s="99" t="str">
        <f t="shared" si="164"/>
        <v>BRPECTB01</v>
      </c>
      <c r="T494" s="74" t="str">
        <f t="shared" si="164"/>
        <v>BRPECAPM</v>
      </c>
      <c r="U494" s="6">
        <f t="shared" si="147"/>
        <v>48</v>
      </c>
      <c r="V494" s="102">
        <f t="shared" si="148"/>
        <v>44884.443242792273</v>
      </c>
      <c r="W494" s="102">
        <f t="shared" si="165"/>
        <v>44890.443242792273</v>
      </c>
      <c r="X494" s="102">
        <f t="shared" si="165"/>
        <v>44891.443242792273</v>
      </c>
      <c r="Y494" s="102">
        <f t="shared" si="165"/>
        <v>44891.526576125609</v>
      </c>
      <c r="Z494" s="102">
        <f t="shared" si="165"/>
        <v>44892.211298347829</v>
      </c>
      <c r="AA494" s="74" t="str">
        <f t="shared" si="162"/>
        <v>BRMCP</v>
      </c>
      <c r="AB494" s="74">
        <f t="shared" si="162"/>
        <v>0</v>
      </c>
    </row>
    <row r="495" spans="12:28">
      <c r="L495" s="6" t="s">
        <v>12</v>
      </c>
      <c r="M495" s="6" t="str">
        <f t="shared" si="163"/>
        <v>SHIP13</v>
      </c>
      <c r="N495" s="6">
        <f t="shared" si="158"/>
        <v>12</v>
      </c>
      <c r="O495" s="74">
        <f t="shared" si="164"/>
        <v>0</v>
      </c>
      <c r="P495" s="74">
        <f t="shared" si="164"/>
        <v>0</v>
      </c>
      <c r="Q495" s="74" t="str">
        <f t="shared" si="164"/>
        <v>BRMCP</v>
      </c>
      <c r="R495" s="99" t="str">
        <f t="shared" si="164"/>
        <v>ZP101</v>
      </c>
      <c r="S495" s="99">
        <f t="shared" si="164"/>
        <v>0</v>
      </c>
      <c r="T495" s="74">
        <f t="shared" si="164"/>
        <v>0</v>
      </c>
      <c r="U495" s="6">
        <f t="shared" si="147"/>
        <v>49</v>
      </c>
      <c r="V495" s="102">
        <f t="shared" si="148"/>
        <v>44887.358029681898</v>
      </c>
      <c r="W495" s="102">
        <f t="shared" si="165"/>
        <v>44893.358029681898</v>
      </c>
      <c r="X495" s="102">
        <f t="shared" si="165"/>
        <v>44894.358029681898</v>
      </c>
      <c r="Y495" s="102">
        <f t="shared" si="165"/>
        <v>44894.399696348562</v>
      </c>
      <c r="Z495" s="102">
        <f t="shared" si="165"/>
        <v>44894.441363015227</v>
      </c>
      <c r="AA495" s="74" t="str">
        <f t="shared" si="162"/>
        <v>BRMAO</v>
      </c>
      <c r="AB495" s="74" t="str">
        <f t="shared" si="162"/>
        <v>BRMAOCHI</v>
      </c>
    </row>
    <row r="496" spans="12:28">
      <c r="L496" s="6" t="s">
        <v>12</v>
      </c>
      <c r="M496" s="6" t="str">
        <f t="shared" si="163"/>
        <v>SHIP13</v>
      </c>
      <c r="N496" s="6">
        <f t="shared" si="158"/>
        <v>12</v>
      </c>
      <c r="O496" s="74" t="str">
        <f t="shared" si="164"/>
        <v>S</v>
      </c>
      <c r="P496" s="74" t="str">
        <f t="shared" si="164"/>
        <v>D</v>
      </c>
      <c r="Q496" s="74" t="str">
        <f t="shared" si="164"/>
        <v>BRMAO</v>
      </c>
      <c r="R496" s="99" t="str">
        <f t="shared" si="164"/>
        <v>ZP201</v>
      </c>
      <c r="S496" s="99" t="str">
        <f t="shared" si="164"/>
        <v>BRMAOTB01</v>
      </c>
      <c r="T496" s="74" t="str">
        <f t="shared" si="164"/>
        <v>BRMAOCHI</v>
      </c>
      <c r="U496" s="6">
        <f t="shared" si="147"/>
        <v>49</v>
      </c>
      <c r="V496" s="102">
        <f t="shared" si="148"/>
        <v>44889.227551957192</v>
      </c>
      <c r="W496" s="102">
        <f t="shared" si="165"/>
        <v>44895.227551957192</v>
      </c>
      <c r="X496" s="102">
        <f t="shared" si="165"/>
        <v>44896.227551957192</v>
      </c>
      <c r="Y496" s="102">
        <f t="shared" si="165"/>
        <v>44896.290051957192</v>
      </c>
      <c r="Z496" s="102">
        <f t="shared" si="165"/>
        <v>44899.380329734966</v>
      </c>
      <c r="AA496" s="74" t="str">
        <f t="shared" si="162"/>
        <v>BRMCP</v>
      </c>
      <c r="AB496" s="74">
        <f t="shared" si="162"/>
        <v>0</v>
      </c>
    </row>
    <row r="497" spans="12:28">
      <c r="L497" s="6" t="s">
        <v>12</v>
      </c>
      <c r="M497" s="6" t="str">
        <f t="shared" si="163"/>
        <v>SHIP13</v>
      </c>
      <c r="N497" s="6">
        <f t="shared" si="158"/>
        <v>12</v>
      </c>
      <c r="O497" s="74">
        <f t="shared" si="164"/>
        <v>0</v>
      </c>
      <c r="P497" s="74">
        <f t="shared" si="164"/>
        <v>0</v>
      </c>
      <c r="Q497" s="74" t="str">
        <f t="shared" si="164"/>
        <v>BRMCP</v>
      </c>
      <c r="R497" s="99" t="str">
        <f t="shared" si="164"/>
        <v>ZP101</v>
      </c>
      <c r="S497" s="99">
        <f t="shared" si="164"/>
        <v>0</v>
      </c>
      <c r="T497" s="74">
        <f t="shared" si="164"/>
        <v>0</v>
      </c>
      <c r="U497" s="6">
        <f t="shared" si="147"/>
        <v>50</v>
      </c>
      <c r="V497" s="102">
        <f t="shared" si="148"/>
        <v>44893.843590077056</v>
      </c>
      <c r="W497" s="102">
        <f t="shared" si="165"/>
        <v>44899.843590077056</v>
      </c>
      <c r="X497" s="102">
        <f t="shared" si="165"/>
        <v>44900.843590077056</v>
      </c>
      <c r="Y497" s="102">
        <f t="shared" si="165"/>
        <v>44900.885256743721</v>
      </c>
      <c r="Z497" s="102">
        <f t="shared" si="165"/>
        <v>44900.926923410385</v>
      </c>
      <c r="AA497" s="74" t="str">
        <f t="shared" si="162"/>
        <v>BRPEC</v>
      </c>
      <c r="AB497" s="74" t="str">
        <f t="shared" si="162"/>
        <v>BRPECAPM</v>
      </c>
    </row>
    <row r="498" spans="12:28">
      <c r="L498" s="6" t="s">
        <v>12</v>
      </c>
      <c r="M498" s="6" t="str">
        <f t="shared" si="163"/>
        <v>SHIP13</v>
      </c>
      <c r="N498" s="6">
        <f t="shared" si="158"/>
        <v>12</v>
      </c>
      <c r="O498" s="74" t="str">
        <f t="shared" si="164"/>
        <v>S</v>
      </c>
      <c r="P498" s="74" t="str">
        <f t="shared" si="164"/>
        <v>N</v>
      </c>
      <c r="Q498" s="74" t="str">
        <f t="shared" si="164"/>
        <v>BRPEC</v>
      </c>
      <c r="R498" s="99" t="str">
        <f t="shared" si="164"/>
        <v>ZP501</v>
      </c>
      <c r="S498" s="99" t="str">
        <f t="shared" si="164"/>
        <v>BRPECTB02</v>
      </c>
      <c r="T498" s="74" t="str">
        <f t="shared" si="164"/>
        <v>BRPECAPM</v>
      </c>
      <c r="U498" s="6">
        <f t="shared" si="147"/>
        <v>50</v>
      </c>
      <c r="V498" s="102">
        <f t="shared" si="148"/>
        <v>44896.073654745254</v>
      </c>
      <c r="W498" s="102">
        <f t="shared" si="165"/>
        <v>44902.073654745254</v>
      </c>
      <c r="X498" s="102">
        <f t="shared" si="165"/>
        <v>44903.073654745254</v>
      </c>
      <c r="Y498" s="102">
        <f t="shared" si="165"/>
        <v>44903.15698807859</v>
      </c>
      <c r="Z498" s="102">
        <f t="shared" si="165"/>
        <v>44903.572265856368</v>
      </c>
      <c r="AA498" s="74" t="str">
        <f t="shared" si="162"/>
        <v>BRSUA</v>
      </c>
      <c r="AB498" s="74" t="str">
        <f t="shared" si="162"/>
        <v>BRSUATCO</v>
      </c>
    </row>
    <row r="499" spans="12:28">
      <c r="L499" s="6" t="s">
        <v>12</v>
      </c>
      <c r="M499" s="6" t="str">
        <f t="shared" si="163"/>
        <v>SHIP13</v>
      </c>
      <c r="N499" s="6">
        <f t="shared" si="158"/>
        <v>12</v>
      </c>
      <c r="O499" s="74" t="str">
        <f t="shared" si="164"/>
        <v>S</v>
      </c>
      <c r="P499" s="74" t="str">
        <f t="shared" si="164"/>
        <v>N</v>
      </c>
      <c r="Q499" s="74" t="str">
        <f t="shared" si="164"/>
        <v>BRSUA</v>
      </c>
      <c r="R499" s="99" t="str">
        <f t="shared" si="164"/>
        <v>ZP901</v>
      </c>
      <c r="S499" s="99" t="str">
        <f t="shared" si="164"/>
        <v>BRSUATB02</v>
      </c>
      <c r="T499" s="74" t="str">
        <f t="shared" si="164"/>
        <v>BRSUATCO</v>
      </c>
      <c r="U499" s="6">
        <f t="shared" ref="U499:U559" si="166">WEEKNUM(X499)</f>
        <v>50</v>
      </c>
      <c r="V499" s="102">
        <f t="shared" ref="V499:V559" si="167">X499-7</f>
        <v>44897.713121195025</v>
      </c>
      <c r="W499" s="102">
        <f t="shared" si="165"/>
        <v>44903.713121195025</v>
      </c>
      <c r="X499" s="102">
        <f t="shared" si="165"/>
        <v>44904.713121195025</v>
      </c>
      <c r="Y499" s="102">
        <f t="shared" si="165"/>
        <v>44904.775621195025</v>
      </c>
      <c r="Z499" s="102">
        <f t="shared" si="165"/>
        <v>44905.546454528354</v>
      </c>
      <c r="AA499" s="74" t="str">
        <f>AA489</f>
        <v>BRSSZ</v>
      </c>
      <c r="AB499" s="74" t="str">
        <f>AB489</f>
        <v>BRSSZTCO</v>
      </c>
    </row>
    <row r="500" spans="12:28">
      <c r="L500" s="6" t="s">
        <v>12</v>
      </c>
      <c r="M500" s="106" t="s">
        <v>181</v>
      </c>
      <c r="N500" s="6">
        <f t="shared" si="158"/>
        <v>12</v>
      </c>
      <c r="O500" s="74" t="str">
        <f t="shared" si="164"/>
        <v>N</v>
      </c>
      <c r="P500" s="74" t="str">
        <f t="shared" si="164"/>
        <v>B</v>
      </c>
      <c r="Q500" s="74" t="str">
        <f t="shared" si="164"/>
        <v>BRSSZ</v>
      </c>
      <c r="R500" s="99" t="str">
        <f t="shared" si="164"/>
        <v>ZP1601</v>
      </c>
      <c r="S500" s="99" t="str">
        <f t="shared" si="164"/>
        <v>BRSSZTB01</v>
      </c>
      <c r="T500" s="74" t="str">
        <f t="shared" si="164"/>
        <v>BRSSZTCO</v>
      </c>
      <c r="U500" s="6">
        <f t="shared" si="166"/>
        <v>48</v>
      </c>
      <c r="V500" s="102">
        <f t="shared" si="167"/>
        <v>44880.791666666664</v>
      </c>
      <c r="W500" s="102">
        <f t="shared" si="165"/>
        <v>44886.791666666664</v>
      </c>
      <c r="X500" s="102">
        <f t="shared" si="165"/>
        <v>44887.791666666664</v>
      </c>
      <c r="Y500" s="102">
        <f t="shared" si="165"/>
        <v>44887.895833333328</v>
      </c>
      <c r="Z500" s="102">
        <f t="shared" si="165"/>
        <v>44889.718518518515</v>
      </c>
      <c r="AA500" s="74" t="str">
        <f t="shared" ref="AA500:AB508" si="168">AA490</f>
        <v>BRIGI</v>
      </c>
      <c r="AB500" s="74" t="str">
        <f t="shared" si="168"/>
        <v>BRIGITCO</v>
      </c>
    </row>
    <row r="501" spans="12:28">
      <c r="L501" s="6" t="s">
        <v>12</v>
      </c>
      <c r="M501" s="106" t="s">
        <v>181</v>
      </c>
      <c r="N501" s="6">
        <f t="shared" si="158"/>
        <v>12</v>
      </c>
      <c r="O501" s="74" t="str">
        <f t="shared" si="164"/>
        <v>N</v>
      </c>
      <c r="P501" s="74" t="str">
        <f t="shared" si="164"/>
        <v>N</v>
      </c>
      <c r="Q501" s="74" t="str">
        <f t="shared" si="164"/>
        <v>BRIGI</v>
      </c>
      <c r="R501" s="99" t="str">
        <f t="shared" si="164"/>
        <v>ZP15A03</v>
      </c>
      <c r="S501" s="99" t="str">
        <f t="shared" si="164"/>
        <v>BRIGITB01</v>
      </c>
      <c r="T501" s="74" t="str">
        <f t="shared" si="164"/>
        <v>BRIGITCO</v>
      </c>
      <c r="U501" s="6">
        <f t="shared" si="166"/>
        <v>48</v>
      </c>
      <c r="V501" s="102">
        <f t="shared" si="167"/>
        <v>44883.094394891508</v>
      </c>
      <c r="W501" s="102">
        <f t="shared" si="165"/>
        <v>44889.094394891508</v>
      </c>
      <c r="X501" s="102">
        <f t="shared" si="165"/>
        <v>44890.094394891508</v>
      </c>
      <c r="Y501" s="102">
        <f t="shared" si="165"/>
        <v>44890.240228224844</v>
      </c>
      <c r="Z501" s="102">
        <f t="shared" si="165"/>
        <v>44891.433283780396</v>
      </c>
      <c r="AA501" s="74" t="str">
        <f t="shared" si="168"/>
        <v>BRSSA</v>
      </c>
      <c r="AB501" s="74" t="str">
        <f t="shared" si="168"/>
        <v>BRSSATCO</v>
      </c>
    </row>
    <row r="502" spans="12:28">
      <c r="L502" s="6" t="s">
        <v>12</v>
      </c>
      <c r="M502" s="106" t="s">
        <v>181</v>
      </c>
      <c r="N502" s="6">
        <f t="shared" si="158"/>
        <v>12</v>
      </c>
      <c r="O502" s="74" t="str">
        <f t="shared" si="164"/>
        <v>N</v>
      </c>
      <c r="P502" s="74" t="str">
        <f t="shared" si="164"/>
        <v>N</v>
      </c>
      <c r="Q502" s="74" t="str">
        <f t="shared" si="164"/>
        <v>BRSSA</v>
      </c>
      <c r="R502" s="99" t="str">
        <f t="shared" si="164"/>
        <v>ZP1202</v>
      </c>
      <c r="S502" s="99" t="str">
        <f t="shared" si="164"/>
        <v>BRSSATB01</v>
      </c>
      <c r="T502" s="74" t="str">
        <f t="shared" si="164"/>
        <v>BRSSATCO</v>
      </c>
      <c r="U502" s="6">
        <f t="shared" si="166"/>
        <v>49</v>
      </c>
      <c r="V502" s="102">
        <f t="shared" si="167"/>
        <v>44886.450297220996</v>
      </c>
      <c r="W502" s="102">
        <f t="shared" si="165"/>
        <v>44892.450297220996</v>
      </c>
      <c r="X502" s="102">
        <f t="shared" si="165"/>
        <v>44893.450297220996</v>
      </c>
      <c r="Y502" s="102">
        <f t="shared" si="165"/>
        <v>44893.533630554331</v>
      </c>
      <c r="Z502" s="102">
        <f t="shared" si="165"/>
        <v>44894.114186109888</v>
      </c>
      <c r="AA502" s="74" t="str">
        <f t="shared" si="168"/>
        <v>BRSUA</v>
      </c>
      <c r="AB502" s="74" t="str">
        <f t="shared" si="168"/>
        <v>BRSUATCO</v>
      </c>
    </row>
    <row r="503" spans="12:28">
      <c r="L503" s="6" t="s">
        <v>12</v>
      </c>
      <c r="M503" s="106" t="s">
        <v>181</v>
      </c>
      <c r="N503" s="6">
        <f t="shared" si="158"/>
        <v>12</v>
      </c>
      <c r="O503" s="74" t="str">
        <f t="shared" si="164"/>
        <v>N</v>
      </c>
      <c r="P503" s="74" t="str">
        <f t="shared" si="164"/>
        <v>N</v>
      </c>
      <c r="Q503" s="74" t="str">
        <f t="shared" si="164"/>
        <v>BRSUA</v>
      </c>
      <c r="R503" s="99" t="str">
        <f t="shared" si="164"/>
        <v>ZP901</v>
      </c>
      <c r="S503" s="99" t="str">
        <f t="shared" si="164"/>
        <v>BRSUATB02</v>
      </c>
      <c r="T503" s="74" t="str">
        <f t="shared" si="164"/>
        <v>BRSUATCO</v>
      </c>
      <c r="U503" s="6">
        <f t="shared" si="166"/>
        <v>49</v>
      </c>
      <c r="V503" s="102">
        <f t="shared" si="167"/>
        <v>44888.077702180381</v>
      </c>
      <c r="W503" s="102">
        <f t="shared" si="165"/>
        <v>44894.077702180381</v>
      </c>
      <c r="X503" s="102">
        <f t="shared" si="165"/>
        <v>44895.077702180381</v>
      </c>
      <c r="Y503" s="102">
        <f t="shared" si="165"/>
        <v>44895.140202180381</v>
      </c>
      <c r="Z503" s="102">
        <f t="shared" si="165"/>
        <v>44897.256868847042</v>
      </c>
      <c r="AA503" s="74" t="str">
        <f t="shared" si="168"/>
        <v>BRPEC</v>
      </c>
      <c r="AB503" s="74" t="str">
        <f t="shared" si="168"/>
        <v>BRPECAPM</v>
      </c>
    </row>
    <row r="504" spans="12:28">
      <c r="L504" s="6" t="s">
        <v>12</v>
      </c>
      <c r="M504" s="106" t="s">
        <v>181</v>
      </c>
      <c r="N504" s="6">
        <f t="shared" si="158"/>
        <v>12</v>
      </c>
      <c r="O504" s="74" t="str">
        <f t="shared" si="164"/>
        <v>N</v>
      </c>
      <c r="P504" s="74" t="str">
        <f t="shared" si="164"/>
        <v>N</v>
      </c>
      <c r="Q504" s="74" t="str">
        <f t="shared" si="164"/>
        <v>BRPEC</v>
      </c>
      <c r="R504" s="99" t="str">
        <f t="shared" si="164"/>
        <v>ZP501</v>
      </c>
      <c r="S504" s="99" t="str">
        <f t="shared" si="164"/>
        <v>BRPECTB01</v>
      </c>
      <c r="T504" s="74" t="str">
        <f t="shared" si="164"/>
        <v>BRPECAPM</v>
      </c>
      <c r="U504" s="6">
        <f t="shared" si="166"/>
        <v>49</v>
      </c>
      <c r="V504" s="102">
        <f t="shared" si="167"/>
        <v>44891.443242792273</v>
      </c>
      <c r="W504" s="102">
        <f t="shared" si="165"/>
        <v>44897.443242792273</v>
      </c>
      <c r="X504" s="102">
        <f t="shared" si="165"/>
        <v>44898.443242792273</v>
      </c>
      <c r="Y504" s="102">
        <f t="shared" si="165"/>
        <v>44898.526576125609</v>
      </c>
      <c r="Z504" s="102">
        <f t="shared" si="165"/>
        <v>44899.211298347829</v>
      </c>
      <c r="AA504" s="74" t="str">
        <f t="shared" si="168"/>
        <v>BRMCP</v>
      </c>
      <c r="AB504" s="74">
        <f t="shared" si="168"/>
        <v>0</v>
      </c>
    </row>
    <row r="505" spans="12:28">
      <c r="L505" s="6" t="s">
        <v>12</v>
      </c>
      <c r="M505" s="106" t="s">
        <v>181</v>
      </c>
      <c r="N505" s="6">
        <f t="shared" si="158"/>
        <v>12</v>
      </c>
      <c r="O505" s="74">
        <f t="shared" si="164"/>
        <v>0</v>
      </c>
      <c r="P505" s="74">
        <f t="shared" si="164"/>
        <v>0</v>
      </c>
      <c r="Q505" s="74" t="str">
        <f t="shared" si="164"/>
        <v>BRMCP</v>
      </c>
      <c r="R505" s="99" t="str">
        <f t="shared" si="164"/>
        <v>ZP101</v>
      </c>
      <c r="S505" s="99">
        <f t="shared" si="164"/>
        <v>0</v>
      </c>
      <c r="T505" s="74">
        <f t="shared" si="164"/>
        <v>0</v>
      </c>
      <c r="U505" s="6">
        <f t="shared" si="166"/>
        <v>50</v>
      </c>
      <c r="V505" s="102">
        <f t="shared" si="167"/>
        <v>44894.358029681898</v>
      </c>
      <c r="W505" s="102">
        <f t="shared" si="165"/>
        <v>44900.358029681898</v>
      </c>
      <c r="X505" s="102">
        <f t="shared" si="165"/>
        <v>44901.358029681898</v>
      </c>
      <c r="Y505" s="102">
        <f t="shared" si="165"/>
        <v>44901.399696348562</v>
      </c>
      <c r="Z505" s="102">
        <f t="shared" si="165"/>
        <v>44901.441363015227</v>
      </c>
      <c r="AA505" s="74" t="str">
        <f t="shared" si="168"/>
        <v>BRMAO</v>
      </c>
      <c r="AB505" s="74" t="str">
        <f t="shared" si="168"/>
        <v>BRMAOCHI</v>
      </c>
    </row>
    <row r="506" spans="12:28">
      <c r="L506" s="6" t="s">
        <v>12</v>
      </c>
      <c r="M506" s="106" t="s">
        <v>181</v>
      </c>
      <c r="N506" s="6">
        <f t="shared" si="158"/>
        <v>12</v>
      </c>
      <c r="O506" s="74" t="str">
        <f t="shared" si="164"/>
        <v>S</v>
      </c>
      <c r="P506" s="74" t="str">
        <f t="shared" si="164"/>
        <v>D</v>
      </c>
      <c r="Q506" s="74" t="str">
        <f>Q496</f>
        <v>BRMAO</v>
      </c>
      <c r="R506" s="99" t="str">
        <f t="shared" si="164"/>
        <v>ZP201</v>
      </c>
      <c r="S506" s="99" t="str">
        <f t="shared" si="164"/>
        <v>BRMAOTB01</v>
      </c>
      <c r="T506" s="74" t="str">
        <f t="shared" si="164"/>
        <v>BRMAOCHI</v>
      </c>
      <c r="U506" s="6">
        <f t="shared" si="166"/>
        <v>50</v>
      </c>
      <c r="V506" s="102">
        <f t="shared" si="167"/>
        <v>44896.227551957192</v>
      </c>
      <c r="W506" s="102">
        <f t="shared" si="165"/>
        <v>44902.227551957192</v>
      </c>
      <c r="X506" s="102">
        <f t="shared" si="165"/>
        <v>44903.227551957192</v>
      </c>
      <c r="Y506" s="102">
        <f t="shared" si="165"/>
        <v>44903.290051957192</v>
      </c>
      <c r="Z506" s="102">
        <f t="shared" si="165"/>
        <v>44906.380329734966</v>
      </c>
      <c r="AA506" s="74" t="str">
        <f t="shared" si="168"/>
        <v>BRMCP</v>
      </c>
      <c r="AB506" s="74">
        <f t="shared" si="168"/>
        <v>0</v>
      </c>
    </row>
    <row r="507" spans="12:28">
      <c r="L507" s="6" t="s">
        <v>12</v>
      </c>
      <c r="M507" s="106" t="s">
        <v>181</v>
      </c>
      <c r="N507" s="6">
        <f t="shared" si="158"/>
        <v>12</v>
      </c>
      <c r="O507" s="74">
        <f t="shared" si="164"/>
        <v>0</v>
      </c>
      <c r="P507" s="74">
        <f t="shared" si="164"/>
        <v>0</v>
      </c>
      <c r="Q507" s="74" t="str">
        <f t="shared" si="164"/>
        <v>BRMCP</v>
      </c>
      <c r="R507" s="99" t="str">
        <f t="shared" si="164"/>
        <v>ZP101</v>
      </c>
      <c r="S507" s="99">
        <f t="shared" si="164"/>
        <v>0</v>
      </c>
      <c r="T507" s="74">
        <f t="shared" si="164"/>
        <v>0</v>
      </c>
      <c r="U507" s="6">
        <f t="shared" si="166"/>
        <v>51</v>
      </c>
      <c r="V507" s="102">
        <f t="shared" si="167"/>
        <v>44900.843590077056</v>
      </c>
      <c r="W507" s="102">
        <f t="shared" si="165"/>
        <v>44906.843590077056</v>
      </c>
      <c r="X507" s="102">
        <f t="shared" si="165"/>
        <v>44907.843590077056</v>
      </c>
      <c r="Y507" s="102">
        <f t="shared" si="165"/>
        <v>44907.885256743721</v>
      </c>
      <c r="Z507" s="102">
        <f t="shared" si="165"/>
        <v>44907.926923410385</v>
      </c>
      <c r="AA507" s="74" t="str">
        <f t="shared" si="168"/>
        <v>BRPEC</v>
      </c>
      <c r="AB507" s="74" t="str">
        <f t="shared" si="168"/>
        <v>BRPECAPM</v>
      </c>
    </row>
    <row r="508" spans="12:28">
      <c r="L508" s="6" t="s">
        <v>12</v>
      </c>
      <c r="M508" s="106" t="s">
        <v>181</v>
      </c>
      <c r="N508" s="6">
        <f t="shared" si="158"/>
        <v>12</v>
      </c>
      <c r="O508" s="74" t="str">
        <f t="shared" ref="O508:T523" si="169">O498</f>
        <v>S</v>
      </c>
      <c r="P508" s="74" t="str">
        <f t="shared" si="169"/>
        <v>N</v>
      </c>
      <c r="Q508" s="74" t="str">
        <f t="shared" si="169"/>
        <v>BRPEC</v>
      </c>
      <c r="R508" s="99" t="str">
        <f t="shared" si="169"/>
        <v>ZP501</v>
      </c>
      <c r="S508" s="99" t="str">
        <f t="shared" si="169"/>
        <v>BRPECTB02</v>
      </c>
      <c r="T508" s="74" t="str">
        <f t="shared" si="169"/>
        <v>BRPECAPM</v>
      </c>
      <c r="U508" s="6">
        <f t="shared" si="166"/>
        <v>51</v>
      </c>
      <c r="V508" s="102">
        <f t="shared" si="167"/>
        <v>44903.073654745254</v>
      </c>
      <c r="W508" s="102">
        <f t="shared" ref="W508:Z523" si="170">W498+7</f>
        <v>44909.073654745254</v>
      </c>
      <c r="X508" s="102">
        <f t="shared" si="170"/>
        <v>44910.073654745254</v>
      </c>
      <c r="Y508" s="102">
        <f t="shared" si="170"/>
        <v>44910.15698807859</v>
      </c>
      <c r="Z508" s="102">
        <f t="shared" si="170"/>
        <v>44910.572265856368</v>
      </c>
      <c r="AA508" s="74" t="str">
        <f t="shared" si="168"/>
        <v>BRSUA</v>
      </c>
      <c r="AB508" s="74" t="str">
        <f t="shared" si="168"/>
        <v>BRSUATCO</v>
      </c>
    </row>
    <row r="509" spans="12:28">
      <c r="L509" s="6" t="s">
        <v>12</v>
      </c>
      <c r="M509" s="106" t="s">
        <v>181</v>
      </c>
      <c r="N509" s="6">
        <f t="shared" si="158"/>
        <v>12</v>
      </c>
      <c r="O509" s="74" t="str">
        <f t="shared" si="169"/>
        <v>S</v>
      </c>
      <c r="P509" s="74" t="str">
        <f t="shared" si="169"/>
        <v>N</v>
      </c>
      <c r="Q509" s="74" t="str">
        <f t="shared" si="169"/>
        <v>BRSUA</v>
      </c>
      <c r="R509" s="99" t="str">
        <f t="shared" si="169"/>
        <v>ZP901</v>
      </c>
      <c r="S509" s="99" t="str">
        <f t="shared" si="169"/>
        <v>BRSUATB02</v>
      </c>
      <c r="T509" s="74" t="str">
        <f t="shared" si="169"/>
        <v>BRSUATCO</v>
      </c>
      <c r="U509" s="6">
        <f t="shared" si="166"/>
        <v>51</v>
      </c>
      <c r="V509" s="102">
        <f t="shared" si="167"/>
        <v>44904.713121195025</v>
      </c>
      <c r="W509" s="102">
        <f t="shared" si="170"/>
        <v>44910.713121195025</v>
      </c>
      <c r="X509" s="102">
        <f t="shared" si="170"/>
        <v>44911.713121195025</v>
      </c>
      <c r="Y509" s="102">
        <f t="shared" si="170"/>
        <v>44911.775621195025</v>
      </c>
      <c r="Z509" s="102">
        <f t="shared" si="170"/>
        <v>44912.546454528354</v>
      </c>
      <c r="AA509" s="74" t="str">
        <f>AA499</f>
        <v>BRSSZ</v>
      </c>
      <c r="AB509" s="74" t="str">
        <f>AB499</f>
        <v>BRSSZTCO</v>
      </c>
    </row>
    <row r="510" spans="12:28">
      <c r="L510" s="6" t="s">
        <v>12</v>
      </c>
      <c r="M510" s="6" t="s">
        <v>182</v>
      </c>
      <c r="N510" s="6">
        <f t="shared" si="158"/>
        <v>12</v>
      </c>
      <c r="O510" s="74" t="str">
        <f t="shared" si="169"/>
        <v>N</v>
      </c>
      <c r="P510" s="74" t="str">
        <f t="shared" si="169"/>
        <v>B</v>
      </c>
      <c r="Q510" s="74" t="str">
        <f t="shared" si="169"/>
        <v>BRSSZ</v>
      </c>
      <c r="R510" s="99" t="str">
        <f t="shared" si="169"/>
        <v>ZP1601</v>
      </c>
      <c r="S510" s="99" t="str">
        <f t="shared" si="169"/>
        <v>BRSSZTB01</v>
      </c>
      <c r="T510" s="74" t="str">
        <f t="shared" si="169"/>
        <v>BRSSZTCO</v>
      </c>
      <c r="U510" s="6">
        <f t="shared" si="166"/>
        <v>49</v>
      </c>
      <c r="V510" s="102">
        <f t="shared" si="167"/>
        <v>44887.791666666664</v>
      </c>
      <c r="W510" s="102">
        <f t="shared" si="170"/>
        <v>44893.791666666664</v>
      </c>
      <c r="X510" s="102">
        <f t="shared" si="170"/>
        <v>44894.791666666664</v>
      </c>
      <c r="Y510" s="102">
        <f t="shared" si="170"/>
        <v>44894.895833333328</v>
      </c>
      <c r="Z510" s="102">
        <f t="shared" si="170"/>
        <v>44896.718518518515</v>
      </c>
      <c r="AA510" s="74" t="str">
        <f t="shared" ref="AA510:AB518" si="171">AA500</f>
        <v>BRIGI</v>
      </c>
      <c r="AB510" s="74" t="str">
        <f t="shared" si="171"/>
        <v>BRIGITCO</v>
      </c>
    </row>
    <row r="511" spans="12:28">
      <c r="L511" s="6" t="s">
        <v>12</v>
      </c>
      <c r="M511" s="6" t="s">
        <v>182</v>
      </c>
      <c r="N511" s="6">
        <f t="shared" si="158"/>
        <v>12</v>
      </c>
      <c r="O511" s="74" t="str">
        <f t="shared" si="169"/>
        <v>N</v>
      </c>
      <c r="P511" s="74" t="str">
        <f t="shared" si="169"/>
        <v>N</v>
      </c>
      <c r="Q511" s="74" t="str">
        <f t="shared" si="169"/>
        <v>BRIGI</v>
      </c>
      <c r="R511" s="99" t="str">
        <f t="shared" si="169"/>
        <v>ZP15A03</v>
      </c>
      <c r="S511" s="99" t="str">
        <f t="shared" si="169"/>
        <v>BRIGITB01</v>
      </c>
      <c r="T511" s="74" t="str">
        <f t="shared" si="169"/>
        <v>BRIGITCO</v>
      </c>
      <c r="U511" s="6">
        <f t="shared" si="166"/>
        <v>49</v>
      </c>
      <c r="V511" s="102">
        <f t="shared" si="167"/>
        <v>44890.094394891508</v>
      </c>
      <c r="W511" s="102">
        <f t="shared" si="170"/>
        <v>44896.094394891508</v>
      </c>
      <c r="X511" s="102">
        <f t="shared" si="170"/>
        <v>44897.094394891508</v>
      </c>
      <c r="Y511" s="102">
        <f t="shared" si="170"/>
        <v>44897.240228224844</v>
      </c>
      <c r="Z511" s="102">
        <f t="shared" si="170"/>
        <v>44898.433283780396</v>
      </c>
      <c r="AA511" s="74" t="str">
        <f t="shared" si="171"/>
        <v>BRSSA</v>
      </c>
      <c r="AB511" s="74" t="str">
        <f t="shared" si="171"/>
        <v>BRSSATCO</v>
      </c>
    </row>
    <row r="512" spans="12:28">
      <c r="L512" s="6" t="s">
        <v>12</v>
      </c>
      <c r="M512" s="6" t="s">
        <v>182</v>
      </c>
      <c r="N512" s="6">
        <f t="shared" si="158"/>
        <v>12</v>
      </c>
      <c r="O512" s="74" t="str">
        <f t="shared" si="169"/>
        <v>N</v>
      </c>
      <c r="P512" s="74" t="str">
        <f t="shared" si="169"/>
        <v>N</v>
      </c>
      <c r="Q512" s="74" t="str">
        <f t="shared" si="169"/>
        <v>BRSSA</v>
      </c>
      <c r="R512" s="99" t="str">
        <f t="shared" si="169"/>
        <v>ZP1202</v>
      </c>
      <c r="S512" s="99" t="str">
        <f t="shared" si="169"/>
        <v>BRSSATB01</v>
      </c>
      <c r="T512" s="74" t="str">
        <f t="shared" si="169"/>
        <v>BRSSATCO</v>
      </c>
      <c r="U512" s="6">
        <f t="shared" si="166"/>
        <v>50</v>
      </c>
      <c r="V512" s="102">
        <f t="shared" si="167"/>
        <v>44893.450297220996</v>
      </c>
      <c r="W512" s="102">
        <f t="shared" si="170"/>
        <v>44899.450297220996</v>
      </c>
      <c r="X512" s="102">
        <f t="shared" si="170"/>
        <v>44900.450297220996</v>
      </c>
      <c r="Y512" s="102">
        <f t="shared" si="170"/>
        <v>44900.533630554331</v>
      </c>
      <c r="Z512" s="102">
        <f t="shared" si="170"/>
        <v>44901.114186109888</v>
      </c>
      <c r="AA512" s="74" t="str">
        <f t="shared" si="171"/>
        <v>BRSUA</v>
      </c>
      <c r="AB512" s="74" t="str">
        <f t="shared" si="171"/>
        <v>BRSUATCO</v>
      </c>
    </row>
    <row r="513" spans="12:28">
      <c r="L513" s="6" t="s">
        <v>12</v>
      </c>
      <c r="M513" s="6" t="s">
        <v>182</v>
      </c>
      <c r="N513" s="6">
        <f t="shared" si="158"/>
        <v>12</v>
      </c>
      <c r="O513" s="74" t="str">
        <f t="shared" si="169"/>
        <v>N</v>
      </c>
      <c r="P513" s="74" t="str">
        <f t="shared" si="169"/>
        <v>N</v>
      </c>
      <c r="Q513" s="74" t="str">
        <f t="shared" si="169"/>
        <v>BRSUA</v>
      </c>
      <c r="R513" s="99" t="str">
        <f t="shared" si="169"/>
        <v>ZP901</v>
      </c>
      <c r="S513" s="99" t="str">
        <f t="shared" si="169"/>
        <v>BRSUATB02</v>
      </c>
      <c r="T513" s="74" t="str">
        <f t="shared" si="169"/>
        <v>BRSUATCO</v>
      </c>
      <c r="U513" s="6">
        <f t="shared" si="166"/>
        <v>50</v>
      </c>
      <c r="V513" s="102">
        <f t="shared" si="167"/>
        <v>44895.077702180381</v>
      </c>
      <c r="W513" s="102">
        <f t="shared" si="170"/>
        <v>44901.077702180381</v>
      </c>
      <c r="X513" s="102">
        <f t="shared" si="170"/>
        <v>44902.077702180381</v>
      </c>
      <c r="Y513" s="102">
        <f t="shared" si="170"/>
        <v>44902.140202180381</v>
      </c>
      <c r="Z513" s="102">
        <f t="shared" si="170"/>
        <v>44904.256868847042</v>
      </c>
      <c r="AA513" s="74" t="str">
        <f t="shared" si="171"/>
        <v>BRPEC</v>
      </c>
      <c r="AB513" s="74" t="str">
        <f t="shared" si="171"/>
        <v>BRPECAPM</v>
      </c>
    </row>
    <row r="514" spans="12:28">
      <c r="L514" s="6" t="s">
        <v>12</v>
      </c>
      <c r="M514" s="6" t="s">
        <v>182</v>
      </c>
      <c r="N514" s="6">
        <f t="shared" si="158"/>
        <v>12</v>
      </c>
      <c r="O514" s="74" t="str">
        <f t="shared" si="169"/>
        <v>N</v>
      </c>
      <c r="P514" s="74" t="str">
        <f t="shared" si="169"/>
        <v>N</v>
      </c>
      <c r="Q514" s="74" t="str">
        <f t="shared" si="169"/>
        <v>BRPEC</v>
      </c>
      <c r="R514" s="99" t="str">
        <f t="shared" si="169"/>
        <v>ZP501</v>
      </c>
      <c r="S514" s="99" t="str">
        <f t="shared" si="169"/>
        <v>BRPECTB01</v>
      </c>
      <c r="T514" s="74" t="str">
        <f t="shared" si="169"/>
        <v>BRPECAPM</v>
      </c>
      <c r="U514" s="6">
        <f t="shared" si="166"/>
        <v>50</v>
      </c>
      <c r="V514" s="102">
        <f t="shared" si="167"/>
        <v>44898.443242792273</v>
      </c>
      <c r="W514" s="102">
        <f t="shared" si="170"/>
        <v>44904.443242792273</v>
      </c>
      <c r="X514" s="102">
        <f t="shared" si="170"/>
        <v>44905.443242792273</v>
      </c>
      <c r="Y514" s="102">
        <f t="shared" si="170"/>
        <v>44905.526576125609</v>
      </c>
      <c r="Z514" s="102">
        <f t="shared" si="170"/>
        <v>44906.211298347829</v>
      </c>
      <c r="AA514" s="74" t="str">
        <f t="shared" si="171"/>
        <v>BRMCP</v>
      </c>
      <c r="AB514" s="74">
        <f t="shared" si="171"/>
        <v>0</v>
      </c>
    </row>
    <row r="515" spans="12:28">
      <c r="L515" s="6" t="s">
        <v>12</v>
      </c>
      <c r="M515" s="6" t="s">
        <v>182</v>
      </c>
      <c r="N515" s="6">
        <f t="shared" si="158"/>
        <v>12</v>
      </c>
      <c r="O515" s="74">
        <f t="shared" si="169"/>
        <v>0</v>
      </c>
      <c r="P515" s="74">
        <f t="shared" si="169"/>
        <v>0</v>
      </c>
      <c r="Q515" s="74" t="str">
        <f t="shared" si="169"/>
        <v>BRMCP</v>
      </c>
      <c r="R515" s="99" t="str">
        <f t="shared" si="169"/>
        <v>ZP101</v>
      </c>
      <c r="S515" s="99">
        <f t="shared" si="169"/>
        <v>0</v>
      </c>
      <c r="T515" s="74">
        <f t="shared" si="169"/>
        <v>0</v>
      </c>
      <c r="U515" s="6">
        <f t="shared" si="166"/>
        <v>51</v>
      </c>
      <c r="V515" s="102">
        <f t="shared" si="167"/>
        <v>44901.358029681898</v>
      </c>
      <c r="W515" s="102">
        <f t="shared" si="170"/>
        <v>44907.358029681898</v>
      </c>
      <c r="X515" s="102">
        <f t="shared" si="170"/>
        <v>44908.358029681898</v>
      </c>
      <c r="Y515" s="102">
        <f t="shared" si="170"/>
        <v>44908.399696348562</v>
      </c>
      <c r="Z515" s="102">
        <f t="shared" si="170"/>
        <v>44908.441363015227</v>
      </c>
      <c r="AA515" s="74" t="str">
        <f t="shared" si="171"/>
        <v>BRMAO</v>
      </c>
      <c r="AB515" s="74" t="str">
        <f t="shared" si="171"/>
        <v>BRMAOCHI</v>
      </c>
    </row>
    <row r="516" spans="12:28">
      <c r="L516" s="6" t="s">
        <v>12</v>
      </c>
      <c r="M516" s="6" t="s">
        <v>182</v>
      </c>
      <c r="N516" s="6">
        <f t="shared" si="158"/>
        <v>12</v>
      </c>
      <c r="O516" s="74" t="str">
        <f t="shared" si="169"/>
        <v>S</v>
      </c>
      <c r="P516" s="74" t="str">
        <f t="shared" si="169"/>
        <v>D</v>
      </c>
      <c r="Q516" s="74" t="str">
        <f t="shared" si="169"/>
        <v>BRMAO</v>
      </c>
      <c r="R516" s="99" t="str">
        <f t="shared" si="169"/>
        <v>ZP201</v>
      </c>
      <c r="S516" s="99" t="str">
        <f t="shared" si="169"/>
        <v>BRMAOTB01</v>
      </c>
      <c r="T516" s="74" t="str">
        <f t="shared" si="169"/>
        <v>BRMAOCHI</v>
      </c>
      <c r="U516" s="6">
        <f t="shared" si="166"/>
        <v>51</v>
      </c>
      <c r="V516" s="102">
        <f t="shared" si="167"/>
        <v>44903.227551957192</v>
      </c>
      <c r="W516" s="102">
        <f t="shared" si="170"/>
        <v>44909.227551957192</v>
      </c>
      <c r="X516" s="102">
        <f t="shared" si="170"/>
        <v>44910.227551957192</v>
      </c>
      <c r="Y516" s="102">
        <f t="shared" si="170"/>
        <v>44910.290051957192</v>
      </c>
      <c r="Z516" s="102">
        <f t="shared" si="170"/>
        <v>44913.380329734966</v>
      </c>
      <c r="AA516" s="74" t="str">
        <f t="shared" si="171"/>
        <v>BRMCP</v>
      </c>
      <c r="AB516" s="74">
        <f t="shared" si="171"/>
        <v>0</v>
      </c>
    </row>
    <row r="517" spans="12:28">
      <c r="L517" s="6" t="s">
        <v>12</v>
      </c>
      <c r="M517" s="6" t="s">
        <v>182</v>
      </c>
      <c r="N517" s="6">
        <f t="shared" si="158"/>
        <v>12</v>
      </c>
      <c r="O517" s="74">
        <f t="shared" si="169"/>
        <v>0</v>
      </c>
      <c r="P517" s="74">
        <f t="shared" si="169"/>
        <v>0</v>
      </c>
      <c r="Q517" s="74" t="str">
        <f t="shared" si="169"/>
        <v>BRMCP</v>
      </c>
      <c r="R517" s="99" t="str">
        <f t="shared" si="169"/>
        <v>ZP101</v>
      </c>
      <c r="S517" s="99">
        <f t="shared" si="169"/>
        <v>0</v>
      </c>
      <c r="T517" s="74">
        <f t="shared" si="169"/>
        <v>0</v>
      </c>
      <c r="U517" s="6">
        <f t="shared" si="166"/>
        <v>52</v>
      </c>
      <c r="V517" s="102">
        <f t="shared" si="167"/>
        <v>44907.843590077056</v>
      </c>
      <c r="W517" s="102">
        <f t="shared" si="170"/>
        <v>44913.843590077056</v>
      </c>
      <c r="X517" s="102">
        <f t="shared" si="170"/>
        <v>44914.843590077056</v>
      </c>
      <c r="Y517" s="102">
        <f t="shared" si="170"/>
        <v>44914.885256743721</v>
      </c>
      <c r="Z517" s="102">
        <f t="shared" si="170"/>
        <v>44914.926923410385</v>
      </c>
      <c r="AA517" s="74" t="str">
        <f t="shared" si="171"/>
        <v>BRPEC</v>
      </c>
      <c r="AB517" s="74" t="str">
        <f t="shared" si="171"/>
        <v>BRPECAPM</v>
      </c>
    </row>
    <row r="518" spans="12:28">
      <c r="L518" s="6" t="s">
        <v>12</v>
      </c>
      <c r="M518" s="6" t="s">
        <v>182</v>
      </c>
      <c r="N518" s="6">
        <f t="shared" si="158"/>
        <v>12</v>
      </c>
      <c r="O518" s="74" t="str">
        <f t="shared" si="169"/>
        <v>S</v>
      </c>
      <c r="P518" s="74" t="str">
        <f t="shared" si="169"/>
        <v>N</v>
      </c>
      <c r="Q518" s="74" t="str">
        <f t="shared" si="169"/>
        <v>BRPEC</v>
      </c>
      <c r="R518" s="99" t="str">
        <f t="shared" si="169"/>
        <v>ZP501</v>
      </c>
      <c r="S518" s="99" t="str">
        <f t="shared" si="169"/>
        <v>BRPECTB02</v>
      </c>
      <c r="T518" s="74" t="str">
        <f t="shared" si="169"/>
        <v>BRPECAPM</v>
      </c>
      <c r="U518" s="6">
        <f t="shared" si="166"/>
        <v>52</v>
      </c>
      <c r="V518" s="102">
        <f t="shared" si="167"/>
        <v>44910.073654745254</v>
      </c>
      <c r="W518" s="102">
        <f t="shared" si="170"/>
        <v>44916.073654745254</v>
      </c>
      <c r="X518" s="102">
        <f t="shared" si="170"/>
        <v>44917.073654745254</v>
      </c>
      <c r="Y518" s="102">
        <f t="shared" si="170"/>
        <v>44917.15698807859</v>
      </c>
      <c r="Z518" s="102">
        <f t="shared" si="170"/>
        <v>44917.572265856368</v>
      </c>
      <c r="AA518" s="74" t="str">
        <f t="shared" si="171"/>
        <v>BRSUA</v>
      </c>
      <c r="AB518" s="74" t="str">
        <f t="shared" si="171"/>
        <v>BRSUATCO</v>
      </c>
    </row>
    <row r="519" spans="12:28">
      <c r="L519" s="6" t="s">
        <v>12</v>
      </c>
      <c r="M519" s="6" t="s">
        <v>182</v>
      </c>
      <c r="N519" s="6">
        <f t="shared" si="158"/>
        <v>12</v>
      </c>
      <c r="O519" s="74" t="str">
        <f t="shared" si="169"/>
        <v>S</v>
      </c>
      <c r="P519" s="74" t="str">
        <f t="shared" si="169"/>
        <v>N</v>
      </c>
      <c r="Q519" s="74" t="str">
        <f t="shared" si="169"/>
        <v>BRSUA</v>
      </c>
      <c r="R519" s="99" t="str">
        <f t="shared" si="169"/>
        <v>ZP901</v>
      </c>
      <c r="S519" s="99" t="str">
        <f t="shared" si="169"/>
        <v>BRSUATB02</v>
      </c>
      <c r="T519" s="74" t="str">
        <f t="shared" si="169"/>
        <v>BRSUATCO</v>
      </c>
      <c r="U519" s="6">
        <f t="shared" si="166"/>
        <v>52</v>
      </c>
      <c r="V519" s="102">
        <f t="shared" si="167"/>
        <v>44911.713121195025</v>
      </c>
      <c r="W519" s="102">
        <f t="shared" si="170"/>
        <v>44917.713121195025</v>
      </c>
      <c r="X519" s="102">
        <f t="shared" si="170"/>
        <v>44918.713121195025</v>
      </c>
      <c r="Y519" s="102">
        <f t="shared" si="170"/>
        <v>44918.775621195025</v>
      </c>
      <c r="Z519" s="102">
        <f t="shared" si="170"/>
        <v>44919.546454528354</v>
      </c>
      <c r="AA519" s="74" t="str">
        <f>AA509</f>
        <v>BRSSZ</v>
      </c>
      <c r="AB519" s="74" t="str">
        <f>AB509</f>
        <v>BRSSZTCO</v>
      </c>
    </row>
    <row r="520" spans="12:28">
      <c r="L520" s="6" t="s">
        <v>12</v>
      </c>
      <c r="M520" s="106" t="s">
        <v>183</v>
      </c>
      <c r="N520" s="6">
        <f t="shared" si="158"/>
        <v>12</v>
      </c>
      <c r="O520" s="74" t="str">
        <f t="shared" si="169"/>
        <v>N</v>
      </c>
      <c r="P520" s="74" t="str">
        <f t="shared" si="169"/>
        <v>B</v>
      </c>
      <c r="Q520" s="74" t="str">
        <f t="shared" si="169"/>
        <v>BRSSZ</v>
      </c>
      <c r="R520" s="99" t="str">
        <f t="shared" si="169"/>
        <v>ZP1601</v>
      </c>
      <c r="S520" s="99" t="str">
        <f t="shared" si="169"/>
        <v>BRSSZTB01</v>
      </c>
      <c r="T520" s="74" t="str">
        <f t="shared" si="169"/>
        <v>BRSSZTCO</v>
      </c>
      <c r="U520" s="6">
        <f t="shared" si="166"/>
        <v>50</v>
      </c>
      <c r="V520" s="102">
        <f t="shared" si="167"/>
        <v>44894.791666666664</v>
      </c>
      <c r="W520" s="102">
        <f t="shared" si="170"/>
        <v>44900.791666666664</v>
      </c>
      <c r="X520" s="102">
        <f t="shared" si="170"/>
        <v>44901.791666666664</v>
      </c>
      <c r="Y520" s="102">
        <f t="shared" si="170"/>
        <v>44901.895833333328</v>
      </c>
      <c r="Z520" s="102">
        <f t="shared" si="170"/>
        <v>44903.718518518515</v>
      </c>
      <c r="AA520" s="74" t="str">
        <f t="shared" ref="AA520:AB528" si="172">AA510</f>
        <v>BRIGI</v>
      </c>
      <c r="AB520" s="74" t="str">
        <f t="shared" si="172"/>
        <v>BRIGITCO</v>
      </c>
    </row>
    <row r="521" spans="12:28">
      <c r="L521" s="6" t="s">
        <v>12</v>
      </c>
      <c r="M521" s="106" t="s">
        <v>183</v>
      </c>
      <c r="N521" s="6">
        <f t="shared" si="158"/>
        <v>12</v>
      </c>
      <c r="O521" s="74" t="str">
        <f t="shared" si="169"/>
        <v>N</v>
      </c>
      <c r="P521" s="74" t="str">
        <f t="shared" si="169"/>
        <v>N</v>
      </c>
      <c r="Q521" s="74" t="str">
        <f t="shared" si="169"/>
        <v>BRIGI</v>
      </c>
      <c r="R521" s="99" t="str">
        <f t="shared" si="169"/>
        <v>ZP15A03</v>
      </c>
      <c r="S521" s="99" t="str">
        <f t="shared" si="169"/>
        <v>BRIGITB01</v>
      </c>
      <c r="T521" s="74" t="str">
        <f t="shared" si="169"/>
        <v>BRIGITCO</v>
      </c>
      <c r="U521" s="6">
        <f t="shared" si="166"/>
        <v>50</v>
      </c>
      <c r="V521" s="102">
        <f t="shared" si="167"/>
        <v>44897.094394891508</v>
      </c>
      <c r="W521" s="102">
        <f t="shared" si="170"/>
        <v>44903.094394891508</v>
      </c>
      <c r="X521" s="102">
        <f t="shared" si="170"/>
        <v>44904.094394891508</v>
      </c>
      <c r="Y521" s="102">
        <f t="shared" si="170"/>
        <v>44904.240228224844</v>
      </c>
      <c r="Z521" s="102">
        <f t="shared" si="170"/>
        <v>44905.433283780396</v>
      </c>
      <c r="AA521" s="74" t="str">
        <f t="shared" si="172"/>
        <v>BRSSA</v>
      </c>
      <c r="AB521" s="74" t="str">
        <f t="shared" si="172"/>
        <v>BRSSATCO</v>
      </c>
    </row>
    <row r="522" spans="12:28">
      <c r="L522" s="6" t="s">
        <v>12</v>
      </c>
      <c r="M522" s="106" t="s">
        <v>183</v>
      </c>
      <c r="N522" s="6">
        <f t="shared" si="158"/>
        <v>12</v>
      </c>
      <c r="O522" s="74" t="str">
        <f t="shared" si="169"/>
        <v>N</v>
      </c>
      <c r="P522" s="74" t="str">
        <f t="shared" si="169"/>
        <v>N</v>
      </c>
      <c r="Q522" s="74" t="str">
        <f t="shared" si="169"/>
        <v>BRSSA</v>
      </c>
      <c r="R522" s="99" t="str">
        <f t="shared" si="169"/>
        <v>ZP1202</v>
      </c>
      <c r="S522" s="99" t="str">
        <f t="shared" si="169"/>
        <v>BRSSATB01</v>
      </c>
      <c r="T522" s="74" t="str">
        <f t="shared" si="169"/>
        <v>BRSSATCO</v>
      </c>
      <c r="U522" s="6">
        <f t="shared" si="166"/>
        <v>51</v>
      </c>
      <c r="V522" s="102">
        <f t="shared" si="167"/>
        <v>44900.450297220996</v>
      </c>
      <c r="W522" s="102">
        <f t="shared" si="170"/>
        <v>44906.450297220996</v>
      </c>
      <c r="X522" s="102">
        <f t="shared" si="170"/>
        <v>44907.450297220996</v>
      </c>
      <c r="Y522" s="102">
        <f t="shared" si="170"/>
        <v>44907.533630554331</v>
      </c>
      <c r="Z522" s="102">
        <f t="shared" si="170"/>
        <v>44908.114186109888</v>
      </c>
      <c r="AA522" s="74" t="str">
        <f t="shared" si="172"/>
        <v>BRSUA</v>
      </c>
      <c r="AB522" s="74" t="str">
        <f t="shared" si="172"/>
        <v>BRSUATCO</v>
      </c>
    </row>
    <row r="523" spans="12:28">
      <c r="L523" s="6" t="s">
        <v>12</v>
      </c>
      <c r="M523" s="106" t="s">
        <v>183</v>
      </c>
      <c r="N523" s="6">
        <f t="shared" si="158"/>
        <v>12</v>
      </c>
      <c r="O523" s="74" t="str">
        <f t="shared" si="169"/>
        <v>N</v>
      </c>
      <c r="P523" s="74" t="str">
        <f t="shared" si="169"/>
        <v>N</v>
      </c>
      <c r="Q523" s="74" t="str">
        <f t="shared" si="169"/>
        <v>BRSUA</v>
      </c>
      <c r="R523" s="99" t="str">
        <f t="shared" si="169"/>
        <v>ZP901</v>
      </c>
      <c r="S523" s="99" t="str">
        <f t="shared" si="169"/>
        <v>BRSUATB02</v>
      </c>
      <c r="T523" s="74" t="str">
        <f t="shared" si="169"/>
        <v>BRSUATCO</v>
      </c>
      <c r="U523" s="6">
        <f t="shared" si="166"/>
        <v>51</v>
      </c>
      <c r="V523" s="102">
        <f t="shared" si="167"/>
        <v>44902.077702180381</v>
      </c>
      <c r="W523" s="102">
        <f t="shared" si="170"/>
        <v>44908.077702180381</v>
      </c>
      <c r="X523" s="102">
        <f t="shared" si="170"/>
        <v>44909.077702180381</v>
      </c>
      <c r="Y523" s="102">
        <f t="shared" si="170"/>
        <v>44909.140202180381</v>
      </c>
      <c r="Z523" s="102">
        <f t="shared" si="170"/>
        <v>44911.256868847042</v>
      </c>
      <c r="AA523" s="74" t="str">
        <f t="shared" si="172"/>
        <v>BRPEC</v>
      </c>
      <c r="AB523" s="74" t="str">
        <f t="shared" si="172"/>
        <v>BRPECAPM</v>
      </c>
    </row>
    <row r="524" spans="12:28">
      <c r="L524" s="6" t="s">
        <v>12</v>
      </c>
      <c r="M524" s="106" t="s">
        <v>183</v>
      </c>
      <c r="N524" s="6">
        <f t="shared" si="158"/>
        <v>12</v>
      </c>
      <c r="O524" s="74" t="str">
        <f t="shared" ref="O524:T539" si="173">O514</f>
        <v>N</v>
      </c>
      <c r="P524" s="74" t="str">
        <f t="shared" si="173"/>
        <v>N</v>
      </c>
      <c r="Q524" s="74" t="str">
        <f t="shared" si="173"/>
        <v>BRPEC</v>
      </c>
      <c r="R524" s="99" t="str">
        <f t="shared" si="173"/>
        <v>ZP501</v>
      </c>
      <c r="S524" s="99" t="str">
        <f t="shared" si="173"/>
        <v>BRPECTB01</v>
      </c>
      <c r="T524" s="74" t="str">
        <f t="shared" si="173"/>
        <v>BRPECAPM</v>
      </c>
      <c r="U524" s="6">
        <f t="shared" si="166"/>
        <v>51</v>
      </c>
      <c r="V524" s="102">
        <f t="shared" si="167"/>
        <v>44905.443242792273</v>
      </c>
      <c r="W524" s="102">
        <f t="shared" ref="W524:Z539" si="174">W514+7</f>
        <v>44911.443242792273</v>
      </c>
      <c r="X524" s="102">
        <f t="shared" si="174"/>
        <v>44912.443242792273</v>
      </c>
      <c r="Y524" s="102">
        <f t="shared" si="174"/>
        <v>44912.526576125609</v>
      </c>
      <c r="Z524" s="102">
        <f t="shared" si="174"/>
        <v>44913.211298347829</v>
      </c>
      <c r="AA524" s="74" t="str">
        <f t="shared" si="172"/>
        <v>BRMCP</v>
      </c>
      <c r="AB524" s="74">
        <f t="shared" si="172"/>
        <v>0</v>
      </c>
    </row>
    <row r="525" spans="12:28">
      <c r="L525" s="6" t="s">
        <v>12</v>
      </c>
      <c r="M525" s="106" t="s">
        <v>183</v>
      </c>
      <c r="N525" s="6">
        <f t="shared" si="158"/>
        <v>12</v>
      </c>
      <c r="O525" s="74">
        <f t="shared" si="173"/>
        <v>0</v>
      </c>
      <c r="P525" s="74">
        <f t="shared" si="173"/>
        <v>0</v>
      </c>
      <c r="Q525" s="74" t="str">
        <f t="shared" si="173"/>
        <v>BRMCP</v>
      </c>
      <c r="R525" s="99" t="str">
        <f t="shared" si="173"/>
        <v>ZP101</v>
      </c>
      <c r="S525" s="99">
        <f t="shared" si="173"/>
        <v>0</v>
      </c>
      <c r="T525" s="74">
        <f t="shared" si="173"/>
        <v>0</v>
      </c>
      <c r="U525" s="6">
        <f t="shared" si="166"/>
        <v>52</v>
      </c>
      <c r="V525" s="102">
        <f t="shared" si="167"/>
        <v>44908.358029681898</v>
      </c>
      <c r="W525" s="102">
        <f t="shared" si="174"/>
        <v>44914.358029681898</v>
      </c>
      <c r="X525" s="102">
        <f t="shared" si="174"/>
        <v>44915.358029681898</v>
      </c>
      <c r="Y525" s="102">
        <f t="shared" si="174"/>
        <v>44915.399696348562</v>
      </c>
      <c r="Z525" s="102">
        <f t="shared" si="174"/>
        <v>44915.441363015227</v>
      </c>
      <c r="AA525" s="74" t="str">
        <f t="shared" si="172"/>
        <v>BRMAO</v>
      </c>
      <c r="AB525" s="74" t="str">
        <f t="shared" si="172"/>
        <v>BRMAOCHI</v>
      </c>
    </row>
    <row r="526" spans="12:28">
      <c r="L526" s="6" t="s">
        <v>12</v>
      </c>
      <c r="M526" s="106" t="s">
        <v>183</v>
      </c>
      <c r="N526" s="6">
        <f t="shared" si="158"/>
        <v>12</v>
      </c>
      <c r="O526" s="74" t="str">
        <f t="shared" si="173"/>
        <v>S</v>
      </c>
      <c r="P526" s="74" t="str">
        <f t="shared" si="173"/>
        <v>D</v>
      </c>
      <c r="Q526" s="74" t="str">
        <f>Q516</f>
        <v>BRMAO</v>
      </c>
      <c r="R526" s="99" t="str">
        <f t="shared" si="173"/>
        <v>ZP201</v>
      </c>
      <c r="S526" s="99" t="str">
        <f t="shared" si="173"/>
        <v>BRMAOTB01</v>
      </c>
      <c r="T526" s="74" t="str">
        <f t="shared" si="173"/>
        <v>BRMAOCHI</v>
      </c>
      <c r="U526" s="6">
        <f t="shared" si="166"/>
        <v>52</v>
      </c>
      <c r="V526" s="102">
        <f t="shared" si="167"/>
        <v>44910.227551957192</v>
      </c>
      <c r="W526" s="102">
        <f t="shared" si="174"/>
        <v>44916.227551957192</v>
      </c>
      <c r="X526" s="102">
        <f t="shared" si="174"/>
        <v>44917.227551957192</v>
      </c>
      <c r="Y526" s="102">
        <f t="shared" si="174"/>
        <v>44917.290051957192</v>
      </c>
      <c r="Z526" s="102">
        <f t="shared" si="174"/>
        <v>44920.380329734966</v>
      </c>
      <c r="AA526" s="74" t="str">
        <f t="shared" si="172"/>
        <v>BRMCP</v>
      </c>
      <c r="AB526" s="74">
        <f t="shared" si="172"/>
        <v>0</v>
      </c>
    </row>
    <row r="527" spans="12:28">
      <c r="L527" s="6" t="s">
        <v>12</v>
      </c>
      <c r="M527" s="106" t="s">
        <v>183</v>
      </c>
      <c r="N527" s="6">
        <f t="shared" si="158"/>
        <v>12</v>
      </c>
      <c r="O527" s="74">
        <f t="shared" si="173"/>
        <v>0</v>
      </c>
      <c r="P527" s="74">
        <f t="shared" si="173"/>
        <v>0</v>
      </c>
      <c r="Q527" s="74" t="str">
        <f t="shared" si="173"/>
        <v>BRMCP</v>
      </c>
      <c r="R527" s="99" t="str">
        <f t="shared" si="173"/>
        <v>ZP101</v>
      </c>
      <c r="S527" s="99">
        <f t="shared" si="173"/>
        <v>0</v>
      </c>
      <c r="T527" s="74">
        <f t="shared" si="173"/>
        <v>0</v>
      </c>
      <c r="U527" s="6">
        <f t="shared" si="166"/>
        <v>53</v>
      </c>
      <c r="V527" s="102">
        <f t="shared" si="167"/>
        <v>44914.843590077056</v>
      </c>
      <c r="W527" s="102">
        <f t="shared" si="174"/>
        <v>44920.843590077056</v>
      </c>
      <c r="X527" s="102">
        <f t="shared" si="174"/>
        <v>44921.843590077056</v>
      </c>
      <c r="Y527" s="102">
        <f t="shared" si="174"/>
        <v>44921.885256743721</v>
      </c>
      <c r="Z527" s="102">
        <f t="shared" si="174"/>
        <v>44921.926923410385</v>
      </c>
      <c r="AA527" s="74" t="str">
        <f t="shared" si="172"/>
        <v>BRPEC</v>
      </c>
      <c r="AB527" s="74" t="str">
        <f t="shared" si="172"/>
        <v>BRPECAPM</v>
      </c>
    </row>
    <row r="528" spans="12:28">
      <c r="L528" s="6" t="s">
        <v>12</v>
      </c>
      <c r="M528" s="106" t="s">
        <v>183</v>
      </c>
      <c r="N528" s="6">
        <f t="shared" si="158"/>
        <v>12</v>
      </c>
      <c r="O528" s="74" t="str">
        <f t="shared" si="173"/>
        <v>S</v>
      </c>
      <c r="P528" s="74" t="str">
        <f t="shared" si="173"/>
        <v>N</v>
      </c>
      <c r="Q528" s="74" t="str">
        <f t="shared" si="173"/>
        <v>BRPEC</v>
      </c>
      <c r="R528" s="99" t="str">
        <f t="shared" si="173"/>
        <v>ZP501</v>
      </c>
      <c r="S528" s="99" t="str">
        <f t="shared" si="173"/>
        <v>BRPECTB02</v>
      </c>
      <c r="T528" s="74" t="str">
        <f t="shared" si="173"/>
        <v>BRPECAPM</v>
      </c>
      <c r="U528" s="6">
        <f t="shared" si="166"/>
        <v>53</v>
      </c>
      <c r="V528" s="102">
        <f t="shared" si="167"/>
        <v>44917.073654745254</v>
      </c>
      <c r="W528" s="102">
        <f t="shared" si="174"/>
        <v>44923.073654745254</v>
      </c>
      <c r="X528" s="102">
        <f t="shared" si="174"/>
        <v>44924.073654745254</v>
      </c>
      <c r="Y528" s="102">
        <f t="shared" si="174"/>
        <v>44924.15698807859</v>
      </c>
      <c r="Z528" s="102">
        <f t="shared" si="174"/>
        <v>44924.572265856368</v>
      </c>
      <c r="AA528" s="74" t="str">
        <f t="shared" si="172"/>
        <v>BRSUA</v>
      </c>
      <c r="AB528" s="74" t="str">
        <f t="shared" si="172"/>
        <v>BRSUATCO</v>
      </c>
    </row>
    <row r="529" spans="12:28">
      <c r="L529" s="6" t="s">
        <v>12</v>
      </c>
      <c r="M529" s="106" t="s">
        <v>183</v>
      </c>
      <c r="N529" s="6">
        <f t="shared" si="158"/>
        <v>12</v>
      </c>
      <c r="O529" s="74" t="str">
        <f t="shared" si="173"/>
        <v>S</v>
      </c>
      <c r="P529" s="74" t="str">
        <f t="shared" si="173"/>
        <v>N</v>
      </c>
      <c r="Q529" s="74" t="str">
        <f t="shared" si="173"/>
        <v>BRSUA</v>
      </c>
      <c r="R529" s="99" t="str">
        <f t="shared" si="173"/>
        <v>ZP901</v>
      </c>
      <c r="S529" s="99" t="str">
        <f t="shared" si="173"/>
        <v>BRSUATB02</v>
      </c>
      <c r="T529" s="74" t="str">
        <f t="shared" si="173"/>
        <v>BRSUATCO</v>
      </c>
      <c r="U529" s="6">
        <f t="shared" si="166"/>
        <v>53</v>
      </c>
      <c r="V529" s="102">
        <f t="shared" si="167"/>
        <v>44918.713121195025</v>
      </c>
      <c r="W529" s="102">
        <f t="shared" si="174"/>
        <v>44924.713121195025</v>
      </c>
      <c r="X529" s="102">
        <f t="shared" si="174"/>
        <v>44925.713121195025</v>
      </c>
      <c r="Y529" s="102">
        <f t="shared" si="174"/>
        <v>44925.775621195025</v>
      </c>
      <c r="Z529" s="102">
        <f t="shared" si="174"/>
        <v>44926.546454528354</v>
      </c>
      <c r="AA529" s="74" t="str">
        <f>AA519</f>
        <v>BRSSZ</v>
      </c>
      <c r="AB529" s="74" t="str">
        <f>AB519</f>
        <v>BRSSZTCO</v>
      </c>
    </row>
    <row r="530" spans="12:28">
      <c r="L530" s="6" t="s">
        <v>12</v>
      </c>
      <c r="M530" s="6" t="str">
        <f>$J$2</f>
        <v>SHIP13</v>
      </c>
      <c r="N530" s="6">
        <f t="shared" si="158"/>
        <v>13</v>
      </c>
      <c r="O530" s="74" t="str">
        <f t="shared" si="173"/>
        <v>N</v>
      </c>
      <c r="P530" s="74" t="str">
        <f t="shared" si="173"/>
        <v>B</v>
      </c>
      <c r="Q530" s="74" t="str">
        <f t="shared" si="173"/>
        <v>BRSSZ</v>
      </c>
      <c r="R530" s="99" t="str">
        <f t="shared" si="173"/>
        <v>ZP1601</v>
      </c>
      <c r="S530" s="99" t="str">
        <f t="shared" si="173"/>
        <v>BRSSZTB01</v>
      </c>
      <c r="T530" s="74" t="str">
        <f t="shared" si="173"/>
        <v>BRSSZTCO</v>
      </c>
      <c r="U530" s="6">
        <f t="shared" si="166"/>
        <v>51</v>
      </c>
      <c r="V530" s="102">
        <f t="shared" si="167"/>
        <v>44901.791666666664</v>
      </c>
      <c r="W530" s="102">
        <f t="shared" si="174"/>
        <v>44907.791666666664</v>
      </c>
      <c r="X530" s="102">
        <f t="shared" si="174"/>
        <v>44908.791666666664</v>
      </c>
      <c r="Y530" s="102">
        <f t="shared" si="174"/>
        <v>44908.895833333328</v>
      </c>
      <c r="Z530" s="102">
        <f t="shared" si="174"/>
        <v>44910.718518518515</v>
      </c>
      <c r="AA530" s="74" t="str">
        <f t="shared" ref="AA530:AB538" si="175">AA520</f>
        <v>BRIGI</v>
      </c>
      <c r="AB530" s="74" t="str">
        <f t="shared" si="175"/>
        <v>BRIGITCO</v>
      </c>
    </row>
    <row r="531" spans="12:28">
      <c r="L531" s="6" t="s">
        <v>12</v>
      </c>
      <c r="M531" s="6" t="str">
        <f t="shared" ref="M531:M539" si="176">$J$2</f>
        <v>SHIP13</v>
      </c>
      <c r="N531" s="6">
        <f t="shared" si="158"/>
        <v>13</v>
      </c>
      <c r="O531" s="74" t="str">
        <f t="shared" si="173"/>
        <v>N</v>
      </c>
      <c r="P531" s="74" t="str">
        <f t="shared" si="173"/>
        <v>N</v>
      </c>
      <c r="Q531" s="74" t="str">
        <f t="shared" si="173"/>
        <v>BRIGI</v>
      </c>
      <c r="R531" s="99" t="str">
        <f t="shared" si="173"/>
        <v>ZP15A03</v>
      </c>
      <c r="S531" s="99" t="str">
        <f t="shared" si="173"/>
        <v>BRIGITB01</v>
      </c>
      <c r="T531" s="74" t="str">
        <f t="shared" si="173"/>
        <v>BRIGITCO</v>
      </c>
      <c r="U531" s="6">
        <f t="shared" si="166"/>
        <v>51</v>
      </c>
      <c r="V531" s="102">
        <f t="shared" si="167"/>
        <v>44904.094394891508</v>
      </c>
      <c r="W531" s="102">
        <f t="shared" si="174"/>
        <v>44910.094394891508</v>
      </c>
      <c r="X531" s="102">
        <f t="shared" si="174"/>
        <v>44911.094394891508</v>
      </c>
      <c r="Y531" s="102">
        <f t="shared" si="174"/>
        <v>44911.240228224844</v>
      </c>
      <c r="Z531" s="102">
        <f t="shared" si="174"/>
        <v>44912.433283780396</v>
      </c>
      <c r="AA531" s="74" t="str">
        <f t="shared" si="175"/>
        <v>BRSSA</v>
      </c>
      <c r="AB531" s="74" t="str">
        <f t="shared" si="175"/>
        <v>BRSSATCO</v>
      </c>
    </row>
    <row r="532" spans="12:28">
      <c r="L532" s="6" t="s">
        <v>12</v>
      </c>
      <c r="M532" s="6" t="str">
        <f t="shared" si="176"/>
        <v>SHIP13</v>
      </c>
      <c r="N532" s="6">
        <f t="shared" si="158"/>
        <v>13</v>
      </c>
      <c r="O532" s="74" t="str">
        <f t="shared" si="173"/>
        <v>N</v>
      </c>
      <c r="P532" s="74" t="str">
        <f t="shared" si="173"/>
        <v>N</v>
      </c>
      <c r="Q532" s="74" t="str">
        <f t="shared" si="173"/>
        <v>BRSSA</v>
      </c>
      <c r="R532" s="99" t="str">
        <f t="shared" si="173"/>
        <v>ZP1202</v>
      </c>
      <c r="S532" s="99" t="str">
        <f t="shared" si="173"/>
        <v>BRSSATB01</v>
      </c>
      <c r="T532" s="74" t="str">
        <f t="shared" si="173"/>
        <v>BRSSATCO</v>
      </c>
      <c r="U532" s="6">
        <f t="shared" si="166"/>
        <v>52</v>
      </c>
      <c r="V532" s="102">
        <f t="shared" si="167"/>
        <v>44907.450297220996</v>
      </c>
      <c r="W532" s="102">
        <f t="shared" si="174"/>
        <v>44913.450297220996</v>
      </c>
      <c r="X532" s="102">
        <f t="shared" si="174"/>
        <v>44914.450297220996</v>
      </c>
      <c r="Y532" s="102">
        <f t="shared" si="174"/>
        <v>44914.533630554331</v>
      </c>
      <c r="Z532" s="102">
        <f t="shared" si="174"/>
        <v>44915.114186109888</v>
      </c>
      <c r="AA532" s="74" t="str">
        <f t="shared" si="175"/>
        <v>BRSUA</v>
      </c>
      <c r="AB532" s="74" t="str">
        <f t="shared" si="175"/>
        <v>BRSUATCO</v>
      </c>
    </row>
    <row r="533" spans="12:28">
      <c r="L533" s="6" t="s">
        <v>12</v>
      </c>
      <c r="M533" s="6" t="str">
        <f t="shared" si="176"/>
        <v>SHIP13</v>
      </c>
      <c r="N533" s="6">
        <f t="shared" si="158"/>
        <v>13</v>
      </c>
      <c r="O533" s="74" t="str">
        <f t="shared" si="173"/>
        <v>N</v>
      </c>
      <c r="P533" s="74" t="str">
        <f t="shared" si="173"/>
        <v>N</v>
      </c>
      <c r="Q533" s="74" t="str">
        <f t="shared" si="173"/>
        <v>BRSUA</v>
      </c>
      <c r="R533" s="99" t="str">
        <f t="shared" si="173"/>
        <v>ZP901</v>
      </c>
      <c r="S533" s="99" t="str">
        <f t="shared" si="173"/>
        <v>BRSUATB02</v>
      </c>
      <c r="T533" s="74" t="str">
        <f t="shared" si="173"/>
        <v>BRSUATCO</v>
      </c>
      <c r="U533" s="6">
        <f t="shared" si="166"/>
        <v>52</v>
      </c>
      <c r="V533" s="102">
        <f t="shared" si="167"/>
        <v>44909.077702180381</v>
      </c>
      <c r="W533" s="102">
        <f t="shared" si="174"/>
        <v>44915.077702180381</v>
      </c>
      <c r="X533" s="102">
        <f t="shared" si="174"/>
        <v>44916.077702180381</v>
      </c>
      <c r="Y533" s="102">
        <f t="shared" si="174"/>
        <v>44916.140202180381</v>
      </c>
      <c r="Z533" s="102">
        <f t="shared" si="174"/>
        <v>44918.256868847042</v>
      </c>
      <c r="AA533" s="74" t="str">
        <f t="shared" si="175"/>
        <v>BRPEC</v>
      </c>
      <c r="AB533" s="74" t="str">
        <f t="shared" si="175"/>
        <v>BRPECAPM</v>
      </c>
    </row>
    <row r="534" spans="12:28">
      <c r="L534" s="6" t="s">
        <v>12</v>
      </c>
      <c r="M534" s="6" t="str">
        <f t="shared" si="176"/>
        <v>SHIP13</v>
      </c>
      <c r="N534" s="6">
        <f t="shared" si="158"/>
        <v>13</v>
      </c>
      <c r="O534" s="74" t="str">
        <f t="shared" si="173"/>
        <v>N</v>
      </c>
      <c r="P534" s="74" t="str">
        <f t="shared" si="173"/>
        <v>N</v>
      </c>
      <c r="Q534" s="74" t="str">
        <f t="shared" si="173"/>
        <v>BRPEC</v>
      </c>
      <c r="R534" s="99" t="str">
        <f t="shared" si="173"/>
        <v>ZP501</v>
      </c>
      <c r="S534" s="99" t="str">
        <f t="shared" si="173"/>
        <v>BRPECTB01</v>
      </c>
      <c r="T534" s="74" t="str">
        <f t="shared" si="173"/>
        <v>BRPECAPM</v>
      </c>
      <c r="U534" s="6">
        <f t="shared" si="166"/>
        <v>52</v>
      </c>
      <c r="V534" s="102">
        <f t="shared" si="167"/>
        <v>44912.443242792273</v>
      </c>
      <c r="W534" s="102">
        <f t="shared" si="174"/>
        <v>44918.443242792273</v>
      </c>
      <c r="X534" s="102">
        <f t="shared" si="174"/>
        <v>44919.443242792273</v>
      </c>
      <c r="Y534" s="102">
        <f t="shared" si="174"/>
        <v>44919.526576125609</v>
      </c>
      <c r="Z534" s="102">
        <f t="shared" si="174"/>
        <v>44920.211298347829</v>
      </c>
      <c r="AA534" s="74" t="str">
        <f t="shared" si="175"/>
        <v>BRMCP</v>
      </c>
      <c r="AB534" s="74">
        <f t="shared" si="175"/>
        <v>0</v>
      </c>
    </row>
    <row r="535" spans="12:28">
      <c r="L535" s="6" t="s">
        <v>12</v>
      </c>
      <c r="M535" s="6" t="str">
        <f t="shared" si="176"/>
        <v>SHIP13</v>
      </c>
      <c r="N535" s="6">
        <f t="shared" si="158"/>
        <v>13</v>
      </c>
      <c r="O535" s="74">
        <f t="shared" si="173"/>
        <v>0</v>
      </c>
      <c r="P535" s="74">
        <f t="shared" si="173"/>
        <v>0</v>
      </c>
      <c r="Q535" s="74" t="str">
        <f t="shared" si="173"/>
        <v>BRMCP</v>
      </c>
      <c r="R535" s="99" t="str">
        <f t="shared" si="173"/>
        <v>ZP101</v>
      </c>
      <c r="S535" s="99">
        <f t="shared" si="173"/>
        <v>0</v>
      </c>
      <c r="T535" s="74">
        <f t="shared" si="173"/>
        <v>0</v>
      </c>
      <c r="U535" s="6">
        <f t="shared" si="166"/>
        <v>53</v>
      </c>
      <c r="V535" s="102">
        <f t="shared" si="167"/>
        <v>44915.358029681898</v>
      </c>
      <c r="W535" s="102">
        <f t="shared" si="174"/>
        <v>44921.358029681898</v>
      </c>
      <c r="X535" s="102">
        <f t="shared" si="174"/>
        <v>44922.358029681898</v>
      </c>
      <c r="Y535" s="102">
        <f t="shared" si="174"/>
        <v>44922.399696348562</v>
      </c>
      <c r="Z535" s="102">
        <f t="shared" si="174"/>
        <v>44922.441363015227</v>
      </c>
      <c r="AA535" s="74" t="str">
        <f t="shared" si="175"/>
        <v>BRMAO</v>
      </c>
      <c r="AB535" s="74" t="str">
        <f t="shared" si="175"/>
        <v>BRMAOCHI</v>
      </c>
    </row>
    <row r="536" spans="12:28">
      <c r="L536" s="6" t="s">
        <v>12</v>
      </c>
      <c r="M536" s="6" t="str">
        <f t="shared" si="176"/>
        <v>SHIP13</v>
      </c>
      <c r="N536" s="6">
        <f t="shared" si="158"/>
        <v>13</v>
      </c>
      <c r="O536" s="74" t="str">
        <f t="shared" si="173"/>
        <v>S</v>
      </c>
      <c r="P536" s="74" t="str">
        <f t="shared" si="173"/>
        <v>D</v>
      </c>
      <c r="Q536" s="74" t="str">
        <f t="shared" si="173"/>
        <v>BRMAO</v>
      </c>
      <c r="R536" s="99" t="str">
        <f t="shared" si="173"/>
        <v>ZP201</v>
      </c>
      <c r="S536" s="99" t="str">
        <f t="shared" si="173"/>
        <v>BRMAOTB01</v>
      </c>
      <c r="T536" s="74" t="str">
        <f t="shared" si="173"/>
        <v>BRMAOCHI</v>
      </c>
      <c r="U536" s="6">
        <f t="shared" si="166"/>
        <v>53</v>
      </c>
      <c r="V536" s="102">
        <f t="shared" si="167"/>
        <v>44917.227551957192</v>
      </c>
      <c r="W536" s="102">
        <f t="shared" si="174"/>
        <v>44923.227551957192</v>
      </c>
      <c r="X536" s="102">
        <f t="shared" si="174"/>
        <v>44924.227551957192</v>
      </c>
      <c r="Y536" s="102">
        <f t="shared" si="174"/>
        <v>44924.290051957192</v>
      </c>
      <c r="Z536" s="102">
        <f t="shared" si="174"/>
        <v>44927.380329734966</v>
      </c>
      <c r="AA536" s="74" t="str">
        <f t="shared" si="175"/>
        <v>BRMCP</v>
      </c>
      <c r="AB536" s="74">
        <f t="shared" si="175"/>
        <v>0</v>
      </c>
    </row>
    <row r="537" spans="12:28">
      <c r="L537" s="6" t="s">
        <v>12</v>
      </c>
      <c r="M537" s="6" t="str">
        <f t="shared" si="176"/>
        <v>SHIP13</v>
      </c>
      <c r="N537" s="6">
        <f t="shared" si="158"/>
        <v>13</v>
      </c>
      <c r="O537" s="74">
        <f t="shared" si="173"/>
        <v>0</v>
      </c>
      <c r="P537" s="74">
        <f t="shared" si="173"/>
        <v>0</v>
      </c>
      <c r="Q537" s="74" t="str">
        <f t="shared" si="173"/>
        <v>BRMCP</v>
      </c>
      <c r="R537" s="99" t="str">
        <f t="shared" si="173"/>
        <v>ZP101</v>
      </c>
      <c r="S537" s="99">
        <f t="shared" si="173"/>
        <v>0</v>
      </c>
      <c r="T537" s="74">
        <f t="shared" si="173"/>
        <v>0</v>
      </c>
      <c r="U537" s="6">
        <f t="shared" si="166"/>
        <v>1</v>
      </c>
      <c r="V537" s="102">
        <f t="shared" si="167"/>
        <v>44921.843590077056</v>
      </c>
      <c r="W537" s="102">
        <f t="shared" si="174"/>
        <v>44927.843590077056</v>
      </c>
      <c r="X537" s="102">
        <f t="shared" si="174"/>
        <v>44928.843590077056</v>
      </c>
      <c r="Y537" s="102">
        <f t="shared" si="174"/>
        <v>44928.885256743721</v>
      </c>
      <c r="Z537" s="102">
        <f t="shared" si="174"/>
        <v>44928.926923410385</v>
      </c>
      <c r="AA537" s="74" t="str">
        <f t="shared" si="175"/>
        <v>BRPEC</v>
      </c>
      <c r="AB537" s="74" t="str">
        <f t="shared" si="175"/>
        <v>BRPECAPM</v>
      </c>
    </row>
    <row r="538" spans="12:28">
      <c r="L538" s="6" t="s">
        <v>12</v>
      </c>
      <c r="M538" s="6" t="str">
        <f t="shared" si="176"/>
        <v>SHIP13</v>
      </c>
      <c r="N538" s="6">
        <f t="shared" si="158"/>
        <v>13</v>
      </c>
      <c r="O538" s="74" t="str">
        <f t="shared" si="173"/>
        <v>S</v>
      </c>
      <c r="P538" s="74" t="str">
        <f t="shared" si="173"/>
        <v>N</v>
      </c>
      <c r="Q538" s="74" t="str">
        <f t="shared" si="173"/>
        <v>BRPEC</v>
      </c>
      <c r="R538" s="99" t="str">
        <f t="shared" si="173"/>
        <v>ZP501</v>
      </c>
      <c r="S538" s="99" t="str">
        <f t="shared" si="173"/>
        <v>BRPECTB02</v>
      </c>
      <c r="T538" s="74" t="str">
        <f t="shared" si="173"/>
        <v>BRPECAPM</v>
      </c>
      <c r="U538" s="6">
        <f t="shared" si="166"/>
        <v>1</v>
      </c>
      <c r="V538" s="102">
        <f t="shared" si="167"/>
        <v>44924.073654745254</v>
      </c>
      <c r="W538" s="102">
        <f t="shared" si="174"/>
        <v>44930.073654745254</v>
      </c>
      <c r="X538" s="102">
        <f t="shared" si="174"/>
        <v>44931.073654745254</v>
      </c>
      <c r="Y538" s="102">
        <f t="shared" si="174"/>
        <v>44931.15698807859</v>
      </c>
      <c r="Z538" s="102">
        <f t="shared" si="174"/>
        <v>44931.572265856368</v>
      </c>
      <c r="AA538" s="74" t="str">
        <f t="shared" si="175"/>
        <v>BRSUA</v>
      </c>
      <c r="AB538" s="74" t="str">
        <f t="shared" si="175"/>
        <v>BRSUATCO</v>
      </c>
    </row>
    <row r="539" spans="12:28">
      <c r="L539" s="6" t="s">
        <v>12</v>
      </c>
      <c r="M539" s="6" t="str">
        <f t="shared" si="176"/>
        <v>SHIP13</v>
      </c>
      <c r="N539" s="6">
        <f t="shared" ref="N539:N559" si="177">N499+1</f>
        <v>13</v>
      </c>
      <c r="O539" s="74" t="str">
        <f t="shared" si="173"/>
        <v>S</v>
      </c>
      <c r="P539" s="74" t="str">
        <f t="shared" si="173"/>
        <v>N</v>
      </c>
      <c r="Q539" s="74" t="str">
        <f t="shared" si="173"/>
        <v>BRSUA</v>
      </c>
      <c r="R539" s="99" t="str">
        <f t="shared" si="173"/>
        <v>ZP901</v>
      </c>
      <c r="S539" s="99" t="str">
        <f t="shared" si="173"/>
        <v>BRSUATB02</v>
      </c>
      <c r="T539" s="74" t="str">
        <f t="shared" si="173"/>
        <v>BRSUATCO</v>
      </c>
      <c r="U539" s="6">
        <f t="shared" si="166"/>
        <v>1</v>
      </c>
      <c r="V539" s="102">
        <f t="shared" si="167"/>
        <v>44925.713121195025</v>
      </c>
      <c r="W539" s="102">
        <f t="shared" si="174"/>
        <v>44931.713121195025</v>
      </c>
      <c r="X539" s="102">
        <f t="shared" si="174"/>
        <v>44932.713121195025</v>
      </c>
      <c r="Y539" s="102">
        <f t="shared" si="174"/>
        <v>44932.775621195025</v>
      </c>
      <c r="Z539" s="102">
        <f t="shared" si="174"/>
        <v>44933.546454528354</v>
      </c>
      <c r="AA539" s="74" t="str">
        <f>AA529</f>
        <v>BRSSZ</v>
      </c>
      <c r="AB539" s="74" t="str">
        <f>AB529</f>
        <v>BRSSZTCO</v>
      </c>
    </row>
    <row r="540" spans="12:28">
      <c r="L540" s="6" t="s">
        <v>12</v>
      </c>
      <c r="M540" s="106" t="s">
        <v>181</v>
      </c>
      <c r="N540" s="6">
        <f t="shared" si="177"/>
        <v>13</v>
      </c>
      <c r="O540" s="74" t="str">
        <f t="shared" ref="O540:T555" si="178">O530</f>
        <v>N</v>
      </c>
      <c r="P540" s="74" t="str">
        <f t="shared" si="178"/>
        <v>B</v>
      </c>
      <c r="Q540" s="74" t="str">
        <f t="shared" si="178"/>
        <v>BRSSZ</v>
      </c>
      <c r="R540" s="99" t="str">
        <f t="shared" si="178"/>
        <v>ZP1601</v>
      </c>
      <c r="S540" s="99" t="str">
        <f t="shared" si="178"/>
        <v>BRSSZTB01</v>
      </c>
      <c r="T540" s="74" t="str">
        <f t="shared" si="178"/>
        <v>BRSSZTCO</v>
      </c>
      <c r="U540" s="6">
        <f t="shared" si="166"/>
        <v>52</v>
      </c>
      <c r="V540" s="102">
        <f t="shared" si="167"/>
        <v>44908.791666666664</v>
      </c>
      <c r="W540" s="102">
        <f t="shared" ref="W540:Z555" si="179">W530+7</f>
        <v>44914.791666666664</v>
      </c>
      <c r="X540" s="102">
        <f t="shared" si="179"/>
        <v>44915.791666666664</v>
      </c>
      <c r="Y540" s="102">
        <f t="shared" si="179"/>
        <v>44915.895833333328</v>
      </c>
      <c r="Z540" s="102">
        <f t="shared" si="179"/>
        <v>44917.718518518515</v>
      </c>
      <c r="AA540" s="74" t="str">
        <f t="shared" ref="AA540:AB548" si="180">AA530</f>
        <v>BRIGI</v>
      </c>
      <c r="AB540" s="74" t="str">
        <f t="shared" si="180"/>
        <v>BRIGITCO</v>
      </c>
    </row>
    <row r="541" spans="12:28">
      <c r="L541" s="6" t="s">
        <v>12</v>
      </c>
      <c r="M541" s="106" t="s">
        <v>181</v>
      </c>
      <c r="N541" s="6">
        <f t="shared" si="177"/>
        <v>13</v>
      </c>
      <c r="O541" s="74" t="str">
        <f t="shared" si="178"/>
        <v>N</v>
      </c>
      <c r="P541" s="74" t="str">
        <f t="shared" si="178"/>
        <v>N</v>
      </c>
      <c r="Q541" s="74" t="str">
        <f t="shared" si="178"/>
        <v>BRIGI</v>
      </c>
      <c r="R541" s="99" t="str">
        <f t="shared" si="178"/>
        <v>ZP15A03</v>
      </c>
      <c r="S541" s="99" t="str">
        <f t="shared" si="178"/>
        <v>BRIGITB01</v>
      </c>
      <c r="T541" s="74" t="str">
        <f t="shared" si="178"/>
        <v>BRIGITCO</v>
      </c>
      <c r="U541" s="6">
        <f t="shared" si="166"/>
        <v>52</v>
      </c>
      <c r="V541" s="102">
        <f t="shared" si="167"/>
        <v>44911.094394891508</v>
      </c>
      <c r="W541" s="102">
        <f t="shared" si="179"/>
        <v>44917.094394891508</v>
      </c>
      <c r="X541" s="102">
        <f t="shared" si="179"/>
        <v>44918.094394891508</v>
      </c>
      <c r="Y541" s="102">
        <f t="shared" si="179"/>
        <v>44918.240228224844</v>
      </c>
      <c r="Z541" s="102">
        <f t="shared" si="179"/>
        <v>44919.433283780396</v>
      </c>
      <c r="AA541" s="74" t="str">
        <f t="shared" si="180"/>
        <v>BRSSA</v>
      </c>
      <c r="AB541" s="74" t="str">
        <f t="shared" si="180"/>
        <v>BRSSATCO</v>
      </c>
    </row>
    <row r="542" spans="12:28">
      <c r="L542" s="6" t="s">
        <v>12</v>
      </c>
      <c r="M542" s="106" t="s">
        <v>181</v>
      </c>
      <c r="N542" s="6">
        <f t="shared" si="177"/>
        <v>13</v>
      </c>
      <c r="O542" s="74" t="str">
        <f t="shared" si="178"/>
        <v>N</v>
      </c>
      <c r="P542" s="74" t="str">
        <f t="shared" si="178"/>
        <v>N</v>
      </c>
      <c r="Q542" s="74" t="str">
        <f t="shared" si="178"/>
        <v>BRSSA</v>
      </c>
      <c r="R542" s="99" t="str">
        <f t="shared" si="178"/>
        <v>ZP1202</v>
      </c>
      <c r="S542" s="99" t="str">
        <f t="shared" si="178"/>
        <v>BRSSATB01</v>
      </c>
      <c r="T542" s="74" t="str">
        <f t="shared" si="178"/>
        <v>BRSSATCO</v>
      </c>
      <c r="U542" s="6">
        <f t="shared" si="166"/>
        <v>53</v>
      </c>
      <c r="V542" s="102">
        <f t="shared" si="167"/>
        <v>44914.450297220996</v>
      </c>
      <c r="W542" s="102">
        <f t="shared" si="179"/>
        <v>44920.450297220996</v>
      </c>
      <c r="X542" s="102">
        <f t="shared" si="179"/>
        <v>44921.450297220996</v>
      </c>
      <c r="Y542" s="102">
        <f t="shared" si="179"/>
        <v>44921.533630554331</v>
      </c>
      <c r="Z542" s="102">
        <f t="shared" si="179"/>
        <v>44922.114186109888</v>
      </c>
      <c r="AA542" s="74" t="str">
        <f t="shared" si="180"/>
        <v>BRSUA</v>
      </c>
      <c r="AB542" s="74" t="str">
        <f t="shared" si="180"/>
        <v>BRSUATCO</v>
      </c>
    </row>
    <row r="543" spans="12:28">
      <c r="L543" s="6" t="s">
        <v>12</v>
      </c>
      <c r="M543" s="106" t="s">
        <v>181</v>
      </c>
      <c r="N543" s="6">
        <f t="shared" si="177"/>
        <v>13</v>
      </c>
      <c r="O543" s="74" t="str">
        <f t="shared" si="178"/>
        <v>N</v>
      </c>
      <c r="P543" s="74" t="str">
        <f t="shared" si="178"/>
        <v>N</v>
      </c>
      <c r="Q543" s="74" t="str">
        <f t="shared" si="178"/>
        <v>BRSUA</v>
      </c>
      <c r="R543" s="99" t="str">
        <f t="shared" si="178"/>
        <v>ZP901</v>
      </c>
      <c r="S543" s="99" t="str">
        <f t="shared" si="178"/>
        <v>BRSUATB02</v>
      </c>
      <c r="T543" s="74" t="str">
        <f t="shared" si="178"/>
        <v>BRSUATCO</v>
      </c>
      <c r="U543" s="6">
        <f t="shared" si="166"/>
        <v>53</v>
      </c>
      <c r="V543" s="102">
        <f t="shared" si="167"/>
        <v>44916.077702180381</v>
      </c>
      <c r="W543" s="102">
        <f t="shared" si="179"/>
        <v>44922.077702180381</v>
      </c>
      <c r="X543" s="102">
        <f t="shared" si="179"/>
        <v>44923.077702180381</v>
      </c>
      <c r="Y543" s="102">
        <f t="shared" si="179"/>
        <v>44923.140202180381</v>
      </c>
      <c r="Z543" s="102">
        <f t="shared" si="179"/>
        <v>44925.256868847042</v>
      </c>
      <c r="AA543" s="74" t="str">
        <f t="shared" si="180"/>
        <v>BRPEC</v>
      </c>
      <c r="AB543" s="74" t="str">
        <f t="shared" si="180"/>
        <v>BRPECAPM</v>
      </c>
    </row>
    <row r="544" spans="12:28">
      <c r="L544" s="6" t="s">
        <v>12</v>
      </c>
      <c r="M544" s="106" t="s">
        <v>181</v>
      </c>
      <c r="N544" s="6">
        <f t="shared" si="177"/>
        <v>13</v>
      </c>
      <c r="O544" s="74" t="str">
        <f t="shared" si="178"/>
        <v>N</v>
      </c>
      <c r="P544" s="74" t="str">
        <f t="shared" si="178"/>
        <v>N</v>
      </c>
      <c r="Q544" s="74" t="str">
        <f t="shared" si="178"/>
        <v>BRPEC</v>
      </c>
      <c r="R544" s="99" t="str">
        <f t="shared" si="178"/>
        <v>ZP501</v>
      </c>
      <c r="S544" s="99" t="str">
        <f t="shared" si="178"/>
        <v>BRPECTB01</v>
      </c>
      <c r="T544" s="74" t="str">
        <f t="shared" si="178"/>
        <v>BRPECAPM</v>
      </c>
      <c r="U544" s="6">
        <f t="shared" si="166"/>
        <v>53</v>
      </c>
      <c r="V544" s="102">
        <f t="shared" si="167"/>
        <v>44919.443242792273</v>
      </c>
      <c r="W544" s="102">
        <f t="shared" si="179"/>
        <v>44925.443242792273</v>
      </c>
      <c r="X544" s="102">
        <f t="shared" si="179"/>
        <v>44926.443242792273</v>
      </c>
      <c r="Y544" s="102">
        <f t="shared" si="179"/>
        <v>44926.526576125609</v>
      </c>
      <c r="Z544" s="102">
        <f t="shared" si="179"/>
        <v>44927.211298347829</v>
      </c>
      <c r="AA544" s="74" t="str">
        <f t="shared" si="180"/>
        <v>BRMCP</v>
      </c>
      <c r="AB544" s="74">
        <f t="shared" si="180"/>
        <v>0</v>
      </c>
    </row>
    <row r="545" spans="12:28">
      <c r="L545" s="6" t="s">
        <v>12</v>
      </c>
      <c r="M545" s="106" t="s">
        <v>181</v>
      </c>
      <c r="N545" s="6">
        <f t="shared" si="177"/>
        <v>13</v>
      </c>
      <c r="O545" s="74">
        <f t="shared" si="178"/>
        <v>0</v>
      </c>
      <c r="P545" s="74">
        <f t="shared" si="178"/>
        <v>0</v>
      </c>
      <c r="Q545" s="74" t="str">
        <f t="shared" si="178"/>
        <v>BRMCP</v>
      </c>
      <c r="R545" s="99" t="str">
        <f t="shared" si="178"/>
        <v>ZP101</v>
      </c>
      <c r="S545" s="99">
        <f t="shared" si="178"/>
        <v>0</v>
      </c>
      <c r="T545" s="74">
        <f t="shared" si="178"/>
        <v>0</v>
      </c>
      <c r="U545" s="6">
        <f t="shared" si="166"/>
        <v>1</v>
      </c>
      <c r="V545" s="102">
        <f t="shared" si="167"/>
        <v>44922.358029681898</v>
      </c>
      <c r="W545" s="102">
        <f t="shared" si="179"/>
        <v>44928.358029681898</v>
      </c>
      <c r="X545" s="102">
        <f t="shared" si="179"/>
        <v>44929.358029681898</v>
      </c>
      <c r="Y545" s="102">
        <f t="shared" si="179"/>
        <v>44929.399696348562</v>
      </c>
      <c r="Z545" s="102">
        <f t="shared" si="179"/>
        <v>44929.441363015227</v>
      </c>
      <c r="AA545" s="74" t="str">
        <f t="shared" si="180"/>
        <v>BRMAO</v>
      </c>
      <c r="AB545" s="74" t="str">
        <f t="shared" si="180"/>
        <v>BRMAOCHI</v>
      </c>
    </row>
    <row r="546" spans="12:28">
      <c r="L546" s="6" t="s">
        <v>12</v>
      </c>
      <c r="M546" s="106" t="s">
        <v>181</v>
      </c>
      <c r="N546" s="6">
        <f t="shared" si="177"/>
        <v>13</v>
      </c>
      <c r="O546" s="74" t="str">
        <f t="shared" si="178"/>
        <v>S</v>
      </c>
      <c r="P546" s="74" t="str">
        <f t="shared" si="178"/>
        <v>D</v>
      </c>
      <c r="Q546" s="74" t="str">
        <f>Q536</f>
        <v>BRMAO</v>
      </c>
      <c r="R546" s="99" t="str">
        <f t="shared" si="178"/>
        <v>ZP201</v>
      </c>
      <c r="S546" s="99" t="str">
        <f t="shared" si="178"/>
        <v>BRMAOTB01</v>
      </c>
      <c r="T546" s="74" t="str">
        <f t="shared" si="178"/>
        <v>BRMAOCHI</v>
      </c>
      <c r="U546" s="6">
        <f t="shared" si="166"/>
        <v>1</v>
      </c>
      <c r="V546" s="102">
        <f t="shared" si="167"/>
        <v>44924.227551957192</v>
      </c>
      <c r="W546" s="102">
        <f t="shared" si="179"/>
        <v>44930.227551957192</v>
      </c>
      <c r="X546" s="102">
        <f t="shared" si="179"/>
        <v>44931.227551957192</v>
      </c>
      <c r="Y546" s="102">
        <f t="shared" si="179"/>
        <v>44931.290051957192</v>
      </c>
      <c r="Z546" s="102">
        <f t="shared" si="179"/>
        <v>44934.380329734966</v>
      </c>
      <c r="AA546" s="74" t="str">
        <f t="shared" si="180"/>
        <v>BRMCP</v>
      </c>
      <c r="AB546" s="74">
        <f t="shared" si="180"/>
        <v>0</v>
      </c>
    </row>
    <row r="547" spans="12:28">
      <c r="L547" s="6" t="s">
        <v>12</v>
      </c>
      <c r="M547" s="106" t="s">
        <v>181</v>
      </c>
      <c r="N547" s="6">
        <f t="shared" si="177"/>
        <v>13</v>
      </c>
      <c r="O547" s="74">
        <f t="shared" si="178"/>
        <v>0</v>
      </c>
      <c r="P547" s="74">
        <f t="shared" si="178"/>
        <v>0</v>
      </c>
      <c r="Q547" s="74" t="str">
        <f t="shared" si="178"/>
        <v>BRMCP</v>
      </c>
      <c r="R547" s="99" t="str">
        <f t="shared" si="178"/>
        <v>ZP101</v>
      </c>
      <c r="S547" s="99">
        <f t="shared" si="178"/>
        <v>0</v>
      </c>
      <c r="T547" s="74">
        <f t="shared" si="178"/>
        <v>0</v>
      </c>
      <c r="U547" s="6">
        <f t="shared" si="166"/>
        <v>2</v>
      </c>
      <c r="V547" s="102">
        <f t="shared" si="167"/>
        <v>44928.843590077056</v>
      </c>
      <c r="W547" s="102">
        <f t="shared" si="179"/>
        <v>44934.843590077056</v>
      </c>
      <c r="X547" s="102">
        <f t="shared" si="179"/>
        <v>44935.843590077056</v>
      </c>
      <c r="Y547" s="102">
        <f t="shared" si="179"/>
        <v>44935.885256743721</v>
      </c>
      <c r="Z547" s="102">
        <f t="shared" si="179"/>
        <v>44935.926923410385</v>
      </c>
      <c r="AA547" s="74" t="str">
        <f t="shared" si="180"/>
        <v>BRPEC</v>
      </c>
      <c r="AB547" s="74" t="str">
        <f t="shared" si="180"/>
        <v>BRPECAPM</v>
      </c>
    </row>
    <row r="548" spans="12:28">
      <c r="L548" s="6" t="s">
        <v>12</v>
      </c>
      <c r="M548" s="106" t="s">
        <v>181</v>
      </c>
      <c r="N548" s="6">
        <f t="shared" si="177"/>
        <v>13</v>
      </c>
      <c r="O548" s="74" t="str">
        <f t="shared" si="178"/>
        <v>S</v>
      </c>
      <c r="P548" s="74" t="str">
        <f t="shared" si="178"/>
        <v>N</v>
      </c>
      <c r="Q548" s="74" t="str">
        <f t="shared" si="178"/>
        <v>BRPEC</v>
      </c>
      <c r="R548" s="99" t="str">
        <f t="shared" si="178"/>
        <v>ZP501</v>
      </c>
      <c r="S548" s="99" t="str">
        <f t="shared" si="178"/>
        <v>BRPECTB02</v>
      </c>
      <c r="T548" s="74" t="str">
        <f t="shared" si="178"/>
        <v>BRPECAPM</v>
      </c>
      <c r="U548" s="6">
        <f t="shared" si="166"/>
        <v>2</v>
      </c>
      <c r="V548" s="102">
        <f t="shared" si="167"/>
        <v>44931.073654745254</v>
      </c>
      <c r="W548" s="102">
        <f t="shared" si="179"/>
        <v>44937.073654745254</v>
      </c>
      <c r="X548" s="102">
        <f t="shared" si="179"/>
        <v>44938.073654745254</v>
      </c>
      <c r="Y548" s="102">
        <f t="shared" si="179"/>
        <v>44938.15698807859</v>
      </c>
      <c r="Z548" s="102">
        <f t="shared" si="179"/>
        <v>44938.572265856368</v>
      </c>
      <c r="AA548" s="74" t="str">
        <f t="shared" si="180"/>
        <v>BRSUA</v>
      </c>
      <c r="AB548" s="74" t="str">
        <f t="shared" si="180"/>
        <v>BRSUATCO</v>
      </c>
    </row>
    <row r="549" spans="12:28">
      <c r="L549" s="6" t="s">
        <v>12</v>
      </c>
      <c r="M549" s="106" t="s">
        <v>181</v>
      </c>
      <c r="N549" s="6">
        <f t="shared" si="177"/>
        <v>13</v>
      </c>
      <c r="O549" s="74" t="str">
        <f t="shared" si="178"/>
        <v>S</v>
      </c>
      <c r="P549" s="74" t="str">
        <f t="shared" si="178"/>
        <v>N</v>
      </c>
      <c r="Q549" s="74" t="str">
        <f t="shared" si="178"/>
        <v>BRSUA</v>
      </c>
      <c r="R549" s="99" t="str">
        <f t="shared" si="178"/>
        <v>ZP901</v>
      </c>
      <c r="S549" s="99" t="str">
        <f t="shared" si="178"/>
        <v>BRSUATB02</v>
      </c>
      <c r="T549" s="74" t="str">
        <f t="shared" si="178"/>
        <v>BRSUATCO</v>
      </c>
      <c r="U549" s="6">
        <f t="shared" si="166"/>
        <v>2</v>
      </c>
      <c r="V549" s="102">
        <f t="shared" si="167"/>
        <v>44932.713121195025</v>
      </c>
      <c r="W549" s="102">
        <f t="shared" si="179"/>
        <v>44938.713121195025</v>
      </c>
      <c r="X549" s="102">
        <f t="shared" si="179"/>
        <v>44939.713121195025</v>
      </c>
      <c r="Y549" s="102">
        <f t="shared" si="179"/>
        <v>44939.775621195025</v>
      </c>
      <c r="Z549" s="102">
        <f t="shared" si="179"/>
        <v>44940.546454528354</v>
      </c>
      <c r="AA549" s="74" t="str">
        <f>AA539</f>
        <v>BRSSZ</v>
      </c>
      <c r="AB549" s="74" t="str">
        <f>AB539</f>
        <v>BRSSZTCO</v>
      </c>
    </row>
    <row r="550" spans="12:28">
      <c r="L550" s="6" t="s">
        <v>12</v>
      </c>
      <c r="M550" s="6" t="s">
        <v>182</v>
      </c>
      <c r="N550" s="6">
        <f t="shared" si="177"/>
        <v>13</v>
      </c>
      <c r="O550" s="74" t="str">
        <f t="shared" si="178"/>
        <v>N</v>
      </c>
      <c r="P550" s="74" t="str">
        <f t="shared" si="178"/>
        <v>B</v>
      </c>
      <c r="Q550" s="74" t="str">
        <f t="shared" si="178"/>
        <v>BRSSZ</v>
      </c>
      <c r="R550" s="99" t="str">
        <f t="shared" si="178"/>
        <v>ZP1601</v>
      </c>
      <c r="S550" s="99" t="str">
        <f t="shared" si="178"/>
        <v>BRSSZTB01</v>
      </c>
      <c r="T550" s="74" t="str">
        <f t="shared" si="178"/>
        <v>BRSSZTCO</v>
      </c>
      <c r="U550" s="6">
        <f t="shared" si="166"/>
        <v>53</v>
      </c>
      <c r="V550" s="102">
        <f t="shared" si="167"/>
        <v>44915.791666666664</v>
      </c>
      <c r="W550" s="102">
        <f t="shared" si="179"/>
        <v>44921.791666666664</v>
      </c>
      <c r="X550" s="102">
        <f t="shared" si="179"/>
        <v>44922.791666666664</v>
      </c>
      <c r="Y550" s="102">
        <f t="shared" si="179"/>
        <v>44922.895833333328</v>
      </c>
      <c r="Z550" s="102">
        <f t="shared" si="179"/>
        <v>44924.718518518515</v>
      </c>
      <c r="AA550" s="74" t="str">
        <f t="shared" ref="AA550:AB558" si="181">AA540</f>
        <v>BRIGI</v>
      </c>
      <c r="AB550" s="74" t="str">
        <f t="shared" si="181"/>
        <v>BRIGITCO</v>
      </c>
    </row>
    <row r="551" spans="12:28">
      <c r="L551" s="6" t="s">
        <v>12</v>
      </c>
      <c r="M551" s="6" t="s">
        <v>182</v>
      </c>
      <c r="N551" s="6">
        <f t="shared" si="177"/>
        <v>13</v>
      </c>
      <c r="O551" s="74" t="str">
        <f t="shared" si="178"/>
        <v>N</v>
      </c>
      <c r="P551" s="74" t="str">
        <f t="shared" si="178"/>
        <v>N</v>
      </c>
      <c r="Q551" s="74" t="str">
        <f t="shared" si="178"/>
        <v>BRIGI</v>
      </c>
      <c r="R551" s="99" t="str">
        <f t="shared" si="178"/>
        <v>ZP15A03</v>
      </c>
      <c r="S551" s="99" t="str">
        <f t="shared" si="178"/>
        <v>BRIGITB01</v>
      </c>
      <c r="T551" s="74" t="str">
        <f t="shared" si="178"/>
        <v>BRIGITCO</v>
      </c>
      <c r="U551" s="6">
        <f t="shared" si="166"/>
        <v>53</v>
      </c>
      <c r="V551" s="102">
        <f t="shared" si="167"/>
        <v>44918.094394891508</v>
      </c>
      <c r="W551" s="102">
        <f t="shared" si="179"/>
        <v>44924.094394891508</v>
      </c>
      <c r="X551" s="102">
        <f t="shared" si="179"/>
        <v>44925.094394891508</v>
      </c>
      <c r="Y551" s="102">
        <f t="shared" si="179"/>
        <v>44925.240228224844</v>
      </c>
      <c r="Z551" s="102">
        <f t="shared" si="179"/>
        <v>44926.433283780396</v>
      </c>
      <c r="AA551" s="74" t="str">
        <f t="shared" si="181"/>
        <v>BRSSA</v>
      </c>
      <c r="AB551" s="74" t="str">
        <f t="shared" si="181"/>
        <v>BRSSATCO</v>
      </c>
    </row>
    <row r="552" spans="12:28">
      <c r="L552" s="6" t="s">
        <v>12</v>
      </c>
      <c r="M552" s="6" t="s">
        <v>182</v>
      </c>
      <c r="N552" s="6">
        <f t="shared" si="177"/>
        <v>13</v>
      </c>
      <c r="O552" s="74" t="str">
        <f t="shared" si="178"/>
        <v>N</v>
      </c>
      <c r="P552" s="74" t="str">
        <f t="shared" si="178"/>
        <v>N</v>
      </c>
      <c r="Q552" s="74" t="str">
        <f t="shared" si="178"/>
        <v>BRSSA</v>
      </c>
      <c r="R552" s="99" t="str">
        <f t="shared" si="178"/>
        <v>ZP1202</v>
      </c>
      <c r="S552" s="99" t="str">
        <f t="shared" si="178"/>
        <v>BRSSATB01</v>
      </c>
      <c r="T552" s="74" t="str">
        <f t="shared" si="178"/>
        <v>BRSSATCO</v>
      </c>
      <c r="U552" s="6">
        <f t="shared" si="166"/>
        <v>1</v>
      </c>
      <c r="V552" s="102">
        <f t="shared" si="167"/>
        <v>44921.450297220996</v>
      </c>
      <c r="W552" s="102">
        <f t="shared" si="179"/>
        <v>44927.450297220996</v>
      </c>
      <c r="X552" s="102">
        <f t="shared" si="179"/>
        <v>44928.450297220996</v>
      </c>
      <c r="Y552" s="102">
        <f t="shared" si="179"/>
        <v>44928.533630554331</v>
      </c>
      <c r="Z552" s="102">
        <f t="shared" si="179"/>
        <v>44929.114186109888</v>
      </c>
      <c r="AA552" s="74" t="str">
        <f t="shared" si="181"/>
        <v>BRSUA</v>
      </c>
      <c r="AB552" s="74" t="str">
        <f t="shared" si="181"/>
        <v>BRSUATCO</v>
      </c>
    </row>
    <row r="553" spans="12:28">
      <c r="L553" s="6" t="s">
        <v>12</v>
      </c>
      <c r="M553" s="6" t="s">
        <v>182</v>
      </c>
      <c r="N553" s="6">
        <f t="shared" si="177"/>
        <v>13</v>
      </c>
      <c r="O553" s="74" t="str">
        <f t="shared" si="178"/>
        <v>N</v>
      </c>
      <c r="P553" s="74" t="str">
        <f t="shared" si="178"/>
        <v>N</v>
      </c>
      <c r="Q553" s="74" t="str">
        <f t="shared" si="178"/>
        <v>BRSUA</v>
      </c>
      <c r="R553" s="99" t="str">
        <f t="shared" si="178"/>
        <v>ZP901</v>
      </c>
      <c r="S553" s="99" t="str">
        <f t="shared" si="178"/>
        <v>BRSUATB02</v>
      </c>
      <c r="T553" s="74" t="str">
        <f t="shared" si="178"/>
        <v>BRSUATCO</v>
      </c>
      <c r="U553" s="6">
        <f t="shared" si="166"/>
        <v>1</v>
      </c>
      <c r="V553" s="102">
        <f t="shared" si="167"/>
        <v>44923.077702180381</v>
      </c>
      <c r="W553" s="102">
        <f t="shared" si="179"/>
        <v>44929.077702180381</v>
      </c>
      <c r="X553" s="102">
        <f t="shared" si="179"/>
        <v>44930.077702180381</v>
      </c>
      <c r="Y553" s="102">
        <f t="shared" si="179"/>
        <v>44930.140202180381</v>
      </c>
      <c r="Z553" s="102">
        <f t="shared" si="179"/>
        <v>44932.256868847042</v>
      </c>
      <c r="AA553" s="74" t="str">
        <f t="shared" si="181"/>
        <v>BRPEC</v>
      </c>
      <c r="AB553" s="74" t="str">
        <f t="shared" si="181"/>
        <v>BRPECAPM</v>
      </c>
    </row>
    <row r="554" spans="12:28">
      <c r="L554" s="6" t="s">
        <v>12</v>
      </c>
      <c r="M554" s="6" t="s">
        <v>182</v>
      </c>
      <c r="N554" s="6">
        <f t="shared" si="177"/>
        <v>13</v>
      </c>
      <c r="O554" s="74" t="str">
        <f t="shared" si="178"/>
        <v>N</v>
      </c>
      <c r="P554" s="74" t="str">
        <f t="shared" si="178"/>
        <v>N</v>
      </c>
      <c r="Q554" s="74" t="str">
        <f t="shared" si="178"/>
        <v>BRPEC</v>
      </c>
      <c r="R554" s="99" t="str">
        <f t="shared" si="178"/>
        <v>ZP501</v>
      </c>
      <c r="S554" s="99" t="str">
        <f t="shared" si="178"/>
        <v>BRPECTB01</v>
      </c>
      <c r="T554" s="74" t="str">
        <f t="shared" si="178"/>
        <v>BRPECAPM</v>
      </c>
      <c r="U554" s="6">
        <f t="shared" si="166"/>
        <v>1</v>
      </c>
      <c r="V554" s="102">
        <f t="shared" si="167"/>
        <v>44926.443242792273</v>
      </c>
      <c r="W554" s="102">
        <f t="shared" si="179"/>
        <v>44932.443242792273</v>
      </c>
      <c r="X554" s="102">
        <f t="shared" si="179"/>
        <v>44933.443242792273</v>
      </c>
      <c r="Y554" s="102">
        <f t="shared" si="179"/>
        <v>44933.526576125609</v>
      </c>
      <c r="Z554" s="102">
        <f t="shared" si="179"/>
        <v>44934.211298347829</v>
      </c>
      <c r="AA554" s="74" t="str">
        <f t="shared" si="181"/>
        <v>BRMCP</v>
      </c>
      <c r="AB554" s="74">
        <f t="shared" si="181"/>
        <v>0</v>
      </c>
    </row>
    <row r="555" spans="12:28">
      <c r="L555" s="6" t="s">
        <v>12</v>
      </c>
      <c r="M555" s="6" t="s">
        <v>182</v>
      </c>
      <c r="N555" s="6">
        <f t="shared" si="177"/>
        <v>13</v>
      </c>
      <c r="O555" s="74">
        <f t="shared" si="178"/>
        <v>0</v>
      </c>
      <c r="P555" s="74">
        <f t="shared" si="178"/>
        <v>0</v>
      </c>
      <c r="Q555" s="74" t="str">
        <f t="shared" si="178"/>
        <v>BRMCP</v>
      </c>
      <c r="R555" s="99" t="str">
        <f t="shared" si="178"/>
        <v>ZP101</v>
      </c>
      <c r="S555" s="99">
        <f t="shared" si="178"/>
        <v>0</v>
      </c>
      <c r="T555" s="74">
        <f t="shared" si="178"/>
        <v>0</v>
      </c>
      <c r="U555" s="6">
        <f t="shared" si="166"/>
        <v>2</v>
      </c>
      <c r="V555" s="102">
        <f t="shared" si="167"/>
        <v>44929.358029681898</v>
      </c>
      <c r="W555" s="102">
        <f t="shared" si="179"/>
        <v>44935.358029681898</v>
      </c>
      <c r="X555" s="102">
        <f t="shared" si="179"/>
        <v>44936.358029681898</v>
      </c>
      <c r="Y555" s="102">
        <f t="shared" si="179"/>
        <v>44936.399696348562</v>
      </c>
      <c r="Z555" s="102">
        <f t="shared" si="179"/>
        <v>44936.441363015227</v>
      </c>
      <c r="AA555" s="74" t="str">
        <f t="shared" si="181"/>
        <v>BRMAO</v>
      </c>
      <c r="AB555" s="74" t="str">
        <f t="shared" si="181"/>
        <v>BRMAOCHI</v>
      </c>
    </row>
    <row r="556" spans="12:28">
      <c r="L556" s="6" t="s">
        <v>12</v>
      </c>
      <c r="M556" s="6" t="s">
        <v>182</v>
      </c>
      <c r="N556" s="6">
        <f t="shared" si="177"/>
        <v>13</v>
      </c>
      <c r="O556" s="74" t="str">
        <f t="shared" ref="O556:T559" si="182">O546</f>
        <v>S</v>
      </c>
      <c r="P556" s="74" t="str">
        <f t="shared" si="182"/>
        <v>D</v>
      </c>
      <c r="Q556" s="74" t="str">
        <f t="shared" si="182"/>
        <v>BRMAO</v>
      </c>
      <c r="R556" s="99" t="str">
        <f t="shared" si="182"/>
        <v>ZP201</v>
      </c>
      <c r="S556" s="99" t="str">
        <f t="shared" si="182"/>
        <v>BRMAOTB01</v>
      </c>
      <c r="T556" s="74" t="str">
        <f t="shared" si="182"/>
        <v>BRMAOCHI</v>
      </c>
      <c r="U556" s="6">
        <f t="shared" si="166"/>
        <v>2</v>
      </c>
      <c r="V556" s="102">
        <f t="shared" si="167"/>
        <v>44931.227551957192</v>
      </c>
      <c r="W556" s="102">
        <f t="shared" ref="W556:Z559" si="183">W546+7</f>
        <v>44937.227551957192</v>
      </c>
      <c r="X556" s="102">
        <f t="shared" si="183"/>
        <v>44938.227551957192</v>
      </c>
      <c r="Y556" s="102">
        <f t="shared" si="183"/>
        <v>44938.290051957192</v>
      </c>
      <c r="Z556" s="102">
        <f t="shared" si="183"/>
        <v>44941.380329734966</v>
      </c>
      <c r="AA556" s="74" t="str">
        <f t="shared" si="181"/>
        <v>BRMCP</v>
      </c>
      <c r="AB556" s="74">
        <f t="shared" si="181"/>
        <v>0</v>
      </c>
    </row>
    <row r="557" spans="12:28">
      <c r="L557" s="6" t="s">
        <v>12</v>
      </c>
      <c r="M557" s="6" t="s">
        <v>182</v>
      </c>
      <c r="N557" s="6">
        <f t="shared" si="177"/>
        <v>13</v>
      </c>
      <c r="O557" s="74">
        <f t="shared" si="182"/>
        <v>0</v>
      </c>
      <c r="P557" s="74">
        <f t="shared" si="182"/>
        <v>0</v>
      </c>
      <c r="Q557" s="74" t="str">
        <f t="shared" si="182"/>
        <v>BRMCP</v>
      </c>
      <c r="R557" s="99" t="str">
        <f t="shared" si="182"/>
        <v>ZP101</v>
      </c>
      <c r="S557" s="99">
        <f t="shared" si="182"/>
        <v>0</v>
      </c>
      <c r="T557" s="74">
        <f t="shared" si="182"/>
        <v>0</v>
      </c>
      <c r="U557" s="6">
        <f t="shared" si="166"/>
        <v>3</v>
      </c>
      <c r="V557" s="102">
        <f t="shared" si="167"/>
        <v>44935.843590077056</v>
      </c>
      <c r="W557" s="102">
        <f t="shared" si="183"/>
        <v>44941.843590077056</v>
      </c>
      <c r="X557" s="102">
        <f t="shared" si="183"/>
        <v>44942.843590077056</v>
      </c>
      <c r="Y557" s="102">
        <f t="shared" si="183"/>
        <v>44942.885256743721</v>
      </c>
      <c r="Z557" s="102">
        <f t="shared" si="183"/>
        <v>44942.926923410385</v>
      </c>
      <c r="AA557" s="74" t="str">
        <f t="shared" si="181"/>
        <v>BRPEC</v>
      </c>
      <c r="AB557" s="74" t="str">
        <f t="shared" si="181"/>
        <v>BRPECAPM</v>
      </c>
    </row>
    <row r="558" spans="12:28">
      <c r="L558" s="6" t="s">
        <v>12</v>
      </c>
      <c r="M558" s="6" t="s">
        <v>182</v>
      </c>
      <c r="N558" s="6">
        <f t="shared" si="177"/>
        <v>13</v>
      </c>
      <c r="O558" s="74" t="str">
        <f t="shared" si="182"/>
        <v>S</v>
      </c>
      <c r="P558" s="74" t="str">
        <f t="shared" si="182"/>
        <v>N</v>
      </c>
      <c r="Q558" s="74" t="str">
        <f t="shared" si="182"/>
        <v>BRPEC</v>
      </c>
      <c r="R558" s="99" t="str">
        <f t="shared" si="182"/>
        <v>ZP501</v>
      </c>
      <c r="S558" s="99" t="str">
        <f t="shared" si="182"/>
        <v>BRPECTB02</v>
      </c>
      <c r="T558" s="74" t="str">
        <f t="shared" si="182"/>
        <v>BRPECAPM</v>
      </c>
      <c r="U558" s="6">
        <f t="shared" si="166"/>
        <v>3</v>
      </c>
      <c r="V558" s="102">
        <f t="shared" si="167"/>
        <v>44938.073654745254</v>
      </c>
      <c r="W558" s="102">
        <f t="shared" si="183"/>
        <v>44944.073654745254</v>
      </c>
      <c r="X558" s="102">
        <f t="shared" si="183"/>
        <v>44945.073654745254</v>
      </c>
      <c r="Y558" s="102">
        <f t="shared" si="183"/>
        <v>44945.15698807859</v>
      </c>
      <c r="Z558" s="102">
        <f t="shared" si="183"/>
        <v>44945.572265856368</v>
      </c>
      <c r="AA558" s="74" t="str">
        <f t="shared" si="181"/>
        <v>BRSUA</v>
      </c>
      <c r="AB558" s="74" t="str">
        <f t="shared" si="181"/>
        <v>BRSUATCO</v>
      </c>
    </row>
    <row r="559" spans="12:28">
      <c r="L559" s="6" t="s">
        <v>12</v>
      </c>
      <c r="M559" s="6" t="s">
        <v>182</v>
      </c>
      <c r="N559" s="6">
        <f t="shared" si="177"/>
        <v>13</v>
      </c>
      <c r="O559" s="74" t="str">
        <f t="shared" si="182"/>
        <v>S</v>
      </c>
      <c r="P559" s="74" t="str">
        <f t="shared" si="182"/>
        <v>N</v>
      </c>
      <c r="Q559" s="74" t="str">
        <f t="shared" si="182"/>
        <v>BRSUA</v>
      </c>
      <c r="R559" s="99" t="str">
        <f t="shared" si="182"/>
        <v>ZP901</v>
      </c>
      <c r="S559" s="99" t="str">
        <f t="shared" si="182"/>
        <v>BRSUATB02</v>
      </c>
      <c r="T559" s="74" t="str">
        <f t="shared" si="182"/>
        <v>BRSUATCO</v>
      </c>
      <c r="U559" s="6">
        <f t="shared" si="166"/>
        <v>3</v>
      </c>
      <c r="V559" s="102">
        <f t="shared" si="167"/>
        <v>44939.713121195025</v>
      </c>
      <c r="W559" s="102">
        <f t="shared" si="183"/>
        <v>44945.713121195025</v>
      </c>
      <c r="X559" s="102">
        <f t="shared" si="183"/>
        <v>44946.713121195025</v>
      </c>
      <c r="Y559" s="102">
        <f t="shared" si="183"/>
        <v>44946.775621195025</v>
      </c>
      <c r="Z559" s="102">
        <f t="shared" si="183"/>
        <v>44947.546454528354</v>
      </c>
      <c r="AA559" s="74" t="str">
        <f>AA549</f>
        <v>BRSSZ</v>
      </c>
      <c r="AB559" s="74" t="str">
        <f>AB549</f>
        <v>BRSSZTCO</v>
      </c>
    </row>
  </sheetData>
  <mergeCells count="24">
    <mergeCell ref="H1:J1"/>
    <mergeCell ref="L1:N1"/>
    <mergeCell ref="H2:I2"/>
    <mergeCell ref="L2:M2"/>
    <mergeCell ref="H3:I3"/>
    <mergeCell ref="L3:M3"/>
    <mergeCell ref="H4:I4"/>
    <mergeCell ref="L4:M4"/>
    <mergeCell ref="H5:I5"/>
    <mergeCell ref="L5:M5"/>
    <mergeCell ref="H6:I6"/>
    <mergeCell ref="L6:M6"/>
    <mergeCell ref="AO19:AY19"/>
    <mergeCell ref="H7:I7"/>
    <mergeCell ref="L7:M7"/>
    <mergeCell ref="H8:I8"/>
    <mergeCell ref="L8:M8"/>
    <mergeCell ref="H9:I9"/>
    <mergeCell ref="H10:I10"/>
    <mergeCell ref="H12:J12"/>
    <mergeCell ref="H13:I13"/>
    <mergeCell ref="H14:I14"/>
    <mergeCell ref="J19:AG19"/>
    <mergeCell ref="AH19:AN19"/>
  </mergeCells>
  <pageMargins left="0.7" right="0.7" top="0.75" bottom="0.75" header="0.3" footer="0.3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3244-22BB-441E-990F-95A57E2837B9}">
  <dimension ref="B2:G22"/>
  <sheetViews>
    <sheetView showGridLines="0" zoomScale="85" zoomScaleNormal="85" workbookViewId="0">
      <selection activeCell="E25" sqref="E25"/>
    </sheetView>
  </sheetViews>
  <sheetFormatPr defaultRowHeight="14.4"/>
  <cols>
    <col min="2" max="2" width="16" customWidth="1"/>
    <col min="3" max="3" width="54.83984375" customWidth="1"/>
    <col min="4" max="4" width="57" customWidth="1"/>
    <col min="5" max="5" width="26.89453125" customWidth="1"/>
    <col min="6" max="6" width="29.89453125" customWidth="1"/>
    <col min="7" max="7" width="23.3125" customWidth="1"/>
  </cols>
  <sheetData>
    <row r="2" spans="2:7" ht="15.6">
      <c r="B2" s="98" t="s">
        <v>538</v>
      </c>
      <c r="C2" s="98" t="s">
        <v>466</v>
      </c>
      <c r="D2" s="98" t="s">
        <v>467</v>
      </c>
      <c r="E2" s="98" t="s">
        <v>468</v>
      </c>
      <c r="F2" s="98" t="s">
        <v>469</v>
      </c>
      <c r="G2" s="98" t="s">
        <v>470</v>
      </c>
    </row>
    <row r="3" spans="2:7" ht="15.6">
      <c r="B3" s="164" t="s">
        <v>4</v>
      </c>
      <c r="C3" s="156" t="s">
        <v>409</v>
      </c>
      <c r="D3" s="226" t="s">
        <v>410</v>
      </c>
      <c r="E3" s="186" t="s">
        <v>411</v>
      </c>
      <c r="F3" s="186" t="s">
        <v>539</v>
      </c>
      <c r="G3" s="186" t="s">
        <v>471</v>
      </c>
    </row>
    <row r="4" spans="2:7" ht="15.6">
      <c r="B4" s="6" t="s">
        <v>4</v>
      </c>
      <c r="C4" s="18" t="s">
        <v>412</v>
      </c>
      <c r="D4" s="225" t="s">
        <v>413</v>
      </c>
      <c r="E4" s="31" t="s">
        <v>411</v>
      </c>
      <c r="F4" s="31" t="s">
        <v>539</v>
      </c>
      <c r="G4" s="31" t="s">
        <v>471</v>
      </c>
    </row>
    <row r="5" spans="2:7" ht="15.6">
      <c r="B5" s="6" t="s">
        <v>414</v>
      </c>
      <c r="C5" s="18" t="s">
        <v>415</v>
      </c>
      <c r="D5" s="225" t="s">
        <v>416</v>
      </c>
      <c r="E5" s="31" t="s">
        <v>417</v>
      </c>
      <c r="F5" s="31" t="s">
        <v>418</v>
      </c>
      <c r="G5" s="31" t="s">
        <v>471</v>
      </c>
    </row>
    <row r="6" spans="2:7" ht="15.6">
      <c r="B6" s="6" t="s">
        <v>419</v>
      </c>
      <c r="C6" s="18" t="s">
        <v>420</v>
      </c>
      <c r="D6" s="225" t="s">
        <v>421</v>
      </c>
      <c r="E6" s="31" t="s">
        <v>422</v>
      </c>
      <c r="F6" s="31" t="s">
        <v>418</v>
      </c>
      <c r="G6" s="31" t="s">
        <v>471</v>
      </c>
    </row>
    <row r="7" spans="2:7" ht="15.6">
      <c r="B7" s="164" t="s">
        <v>5</v>
      </c>
      <c r="C7" s="156" t="s">
        <v>423</v>
      </c>
      <c r="D7" s="226" t="s">
        <v>424</v>
      </c>
      <c r="E7" s="186" t="s">
        <v>425</v>
      </c>
      <c r="F7" s="186" t="s">
        <v>426</v>
      </c>
      <c r="G7" s="186" t="s">
        <v>471</v>
      </c>
    </row>
    <row r="8" spans="2:7" ht="15.6">
      <c r="B8" s="164" t="s">
        <v>6</v>
      </c>
      <c r="C8" s="156" t="s">
        <v>427</v>
      </c>
      <c r="D8" s="226" t="s">
        <v>428</v>
      </c>
      <c r="E8" s="186" t="s">
        <v>429</v>
      </c>
      <c r="F8" s="186" t="s">
        <v>426</v>
      </c>
      <c r="G8" s="186" t="s">
        <v>430</v>
      </c>
    </row>
    <row r="9" spans="2:7" ht="15.6">
      <c r="B9" s="164" t="s">
        <v>7</v>
      </c>
      <c r="C9" s="156" t="s">
        <v>431</v>
      </c>
      <c r="D9" s="226" t="s">
        <v>432</v>
      </c>
      <c r="E9" s="186" t="s">
        <v>429</v>
      </c>
      <c r="F9" s="186" t="s">
        <v>426</v>
      </c>
      <c r="G9" s="186" t="s">
        <v>430</v>
      </c>
    </row>
    <row r="10" spans="2:7" ht="15.6">
      <c r="B10" s="6" t="s">
        <v>433</v>
      </c>
      <c r="C10" s="18" t="s">
        <v>434</v>
      </c>
      <c r="D10" s="225" t="s">
        <v>435</v>
      </c>
      <c r="E10" s="31" t="s">
        <v>429</v>
      </c>
      <c r="F10" s="31" t="s">
        <v>426</v>
      </c>
      <c r="G10" s="31" t="s">
        <v>430</v>
      </c>
    </row>
    <row r="11" spans="2:7" ht="15.6">
      <c r="B11" s="164" t="s">
        <v>8</v>
      </c>
      <c r="C11" s="156" t="s">
        <v>436</v>
      </c>
      <c r="D11" s="226" t="s">
        <v>437</v>
      </c>
      <c r="E11" s="186" t="s">
        <v>429</v>
      </c>
      <c r="F11" s="186" t="s">
        <v>426</v>
      </c>
      <c r="G11" s="186" t="s">
        <v>430</v>
      </c>
    </row>
    <row r="12" spans="2:7" ht="15.6">
      <c r="B12" s="6" t="s">
        <v>438</v>
      </c>
      <c r="C12" s="18" t="s">
        <v>439</v>
      </c>
      <c r="D12" s="225" t="s">
        <v>440</v>
      </c>
      <c r="E12" s="31" t="s">
        <v>429</v>
      </c>
      <c r="F12" s="31" t="s">
        <v>426</v>
      </c>
      <c r="G12" s="31" t="s">
        <v>430</v>
      </c>
    </row>
    <row r="13" spans="2:7" ht="15.6">
      <c r="B13" s="6" t="s">
        <v>438</v>
      </c>
      <c r="C13" s="18" t="s">
        <v>441</v>
      </c>
      <c r="D13" s="225" t="s">
        <v>442</v>
      </c>
      <c r="E13" s="31" t="s">
        <v>429</v>
      </c>
      <c r="F13" s="31" t="s">
        <v>426</v>
      </c>
      <c r="G13" s="31" t="s">
        <v>430</v>
      </c>
    </row>
    <row r="14" spans="2:7" ht="15.6">
      <c r="B14" s="164" t="s">
        <v>9</v>
      </c>
      <c r="C14" s="156" t="s">
        <v>443</v>
      </c>
      <c r="D14" s="226" t="s">
        <v>416</v>
      </c>
      <c r="E14" s="186" t="s">
        <v>429</v>
      </c>
      <c r="F14" s="186" t="s">
        <v>426</v>
      </c>
      <c r="G14" s="186" t="s">
        <v>430</v>
      </c>
    </row>
    <row r="15" spans="2:7" ht="15.6">
      <c r="B15" s="6" t="s">
        <v>9</v>
      </c>
      <c r="C15" s="18" t="s">
        <v>444</v>
      </c>
      <c r="D15" s="225" t="s">
        <v>445</v>
      </c>
      <c r="E15" s="31" t="s">
        <v>429</v>
      </c>
      <c r="F15" s="31" t="s">
        <v>426</v>
      </c>
      <c r="G15" s="31" t="s">
        <v>430</v>
      </c>
    </row>
    <row r="16" spans="2:7" ht="15.6">
      <c r="B16" s="6" t="s">
        <v>9</v>
      </c>
      <c r="C16" s="18" t="s">
        <v>446</v>
      </c>
      <c r="D16" s="225" t="s">
        <v>447</v>
      </c>
      <c r="E16" s="31" t="s">
        <v>429</v>
      </c>
      <c r="F16" s="31" t="s">
        <v>426</v>
      </c>
      <c r="G16" s="31" t="s">
        <v>430</v>
      </c>
    </row>
    <row r="17" spans="2:7" ht="15.6">
      <c r="B17" s="6" t="s">
        <v>448</v>
      </c>
      <c r="C17" s="18" t="s">
        <v>449</v>
      </c>
      <c r="D17" s="225" t="s">
        <v>450</v>
      </c>
      <c r="E17" s="31" t="s">
        <v>429</v>
      </c>
      <c r="F17" s="31" t="s">
        <v>426</v>
      </c>
      <c r="G17" s="31" t="s">
        <v>430</v>
      </c>
    </row>
    <row r="18" spans="2:7" ht="15.6">
      <c r="B18" s="6" t="s">
        <v>451</v>
      </c>
      <c r="C18" s="18" t="s">
        <v>452</v>
      </c>
      <c r="D18" s="225" t="s">
        <v>453</v>
      </c>
      <c r="E18" s="31" t="s">
        <v>425</v>
      </c>
      <c r="F18" s="31" t="s">
        <v>426</v>
      </c>
      <c r="G18" s="31" t="s">
        <v>471</v>
      </c>
    </row>
    <row r="19" spans="2:7" ht="15.6">
      <c r="B19" s="6" t="s">
        <v>454</v>
      </c>
      <c r="C19" s="18" t="s">
        <v>455</v>
      </c>
      <c r="D19" s="225" t="s">
        <v>456</v>
      </c>
      <c r="E19" s="31" t="s">
        <v>429</v>
      </c>
      <c r="F19" s="31" t="s">
        <v>426</v>
      </c>
      <c r="G19" s="31" t="s">
        <v>430</v>
      </c>
    </row>
    <row r="20" spans="2:7" ht="15.6">
      <c r="B20" s="6" t="s">
        <v>457</v>
      </c>
      <c r="C20" s="18" t="s">
        <v>458</v>
      </c>
      <c r="D20" s="225" t="s">
        <v>459</v>
      </c>
      <c r="E20" s="31" t="s">
        <v>429</v>
      </c>
      <c r="F20" s="31" t="s">
        <v>426</v>
      </c>
      <c r="G20" s="31" t="s">
        <v>430</v>
      </c>
    </row>
    <row r="21" spans="2:7" ht="15.6">
      <c r="B21" s="6" t="s">
        <v>460</v>
      </c>
      <c r="C21" s="18" t="s">
        <v>461</v>
      </c>
      <c r="D21" s="225" t="s">
        <v>416</v>
      </c>
      <c r="E21" s="31" t="s">
        <v>462</v>
      </c>
      <c r="F21" s="31" t="s">
        <v>426</v>
      </c>
      <c r="G21" s="31" t="s">
        <v>471</v>
      </c>
    </row>
    <row r="22" spans="2:7" ht="15.6">
      <c r="B22" s="6" t="s">
        <v>463</v>
      </c>
      <c r="C22" s="18" t="s">
        <v>464</v>
      </c>
      <c r="D22" s="225" t="s">
        <v>465</v>
      </c>
      <c r="E22" s="31" t="s">
        <v>429</v>
      </c>
      <c r="F22" s="31" t="s">
        <v>426</v>
      </c>
      <c r="G22" s="31" t="s">
        <v>430</v>
      </c>
    </row>
  </sheetData>
  <hyperlinks>
    <hyperlink ref="D13" r:id="rId1" xr:uid="{0E6C750D-C531-4D0D-BF59-A3C8ACA2453B}"/>
    <hyperlink ref="D12" r:id="rId2" xr:uid="{DD1A6AA1-96F6-4046-BBD2-700287171DA3}"/>
    <hyperlink ref="D11" r:id="rId3" xr:uid="{4F51DF88-2C6B-45C4-B50F-C82D4B150057}"/>
    <hyperlink ref="D3" r:id="rId4" xr:uid="{5BB84FBE-350A-423D-9168-ED14EE3733F8}"/>
    <hyperlink ref="D4" r:id="rId5" xr:uid="{DCB8F21F-F39C-450F-82B4-E4788D9E22CE}"/>
    <hyperlink ref="D5" r:id="rId6" xr:uid="{0C46A99D-CF78-4054-AB5F-357A92BC6913}"/>
    <hyperlink ref="D14" r:id="rId7" xr:uid="{D281312F-EA57-4928-9018-09E3C7B5767D}"/>
    <hyperlink ref="D21" r:id="rId8" xr:uid="{FD718BBB-A1AE-496A-AB1B-D215054E0C90}"/>
    <hyperlink ref="D7" r:id="rId9" xr:uid="{AC0A73E4-889B-46FE-9531-340F85303356}"/>
    <hyperlink ref="D8" r:id="rId10" xr:uid="{2ED3C882-8C93-4916-AAD0-ABA8E3FD5301}"/>
    <hyperlink ref="D9" r:id="rId11" xr:uid="{C2DBD038-2986-46D4-80EA-5ED5BDD2BC2C}"/>
    <hyperlink ref="D10" r:id="rId12" xr:uid="{A5616DF7-C3E0-462C-831D-4CC1DE3EE194}"/>
    <hyperlink ref="D15" r:id="rId13" xr:uid="{F98BAB39-19D3-425F-AB92-3553B9F9450E}"/>
    <hyperlink ref="D16" r:id="rId14" xr:uid="{FCB88EAF-9258-4D64-8976-CAB41701C9A2}"/>
    <hyperlink ref="D17" r:id="rId15" xr:uid="{6B62AB30-9EAB-47CF-99D2-B50BF6940D2A}"/>
    <hyperlink ref="D18" r:id="rId16" xr:uid="{B3A0A5F8-A99C-4669-BCE5-3A97C53D9A6A}"/>
    <hyperlink ref="D19" r:id="rId17" xr:uid="{573F8884-57DF-4C8B-B2D7-ECA86A27F652}"/>
    <hyperlink ref="D20" r:id="rId18" xr:uid="{1FBAA3E7-CBB0-4249-BCE0-50B26AEBDB77}"/>
    <hyperlink ref="D22" r:id="rId19" xr:uid="{BC15A362-A0F8-4236-80C1-B2316BC3C5A2}"/>
    <hyperlink ref="D6" r:id="rId20" xr:uid="{2F316B1E-7307-4A3C-866F-632016813DD4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70FCB-2866-42A7-9BB3-B299E813A2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36</vt:i4>
      </vt:variant>
      <vt:variant>
        <vt:lpstr>Intervalos Nomeados</vt:lpstr>
      </vt:variant>
      <vt:variant>
        <vt:i4>43</vt:i4>
      </vt:variant>
    </vt:vector>
  </HeadingPairs>
  <TitlesOfParts>
    <vt:vector size="79" baseType="lpstr">
      <vt:lpstr>ABAC 2022</vt:lpstr>
      <vt:lpstr>Movimentacao de Conteineres</vt:lpstr>
      <vt:lpstr>Distancia Rodo</vt:lpstr>
      <vt:lpstr>Fatores Emissao</vt:lpstr>
      <vt:lpstr>Fatores Emissao (2)</vt:lpstr>
      <vt:lpstr>Cenarios</vt:lpstr>
      <vt:lpstr>Resumo Cenario Base</vt:lpstr>
      <vt:lpstr>Hidroviario Base C1</vt:lpstr>
      <vt:lpstr>Hidroviario C2</vt:lpstr>
      <vt:lpstr>Rodo Direto Base</vt:lpstr>
      <vt:lpstr>Rodo Direto C1</vt:lpstr>
      <vt:lpstr>Rodo Direto C2</vt:lpstr>
      <vt:lpstr>Rodo Cabotagem Base</vt:lpstr>
      <vt:lpstr>Rodo Cabotagem C1</vt:lpstr>
      <vt:lpstr>Rodo Cabotagem C2</vt:lpstr>
      <vt:lpstr>Depot Base C1</vt:lpstr>
      <vt:lpstr>Depot C2</vt:lpstr>
      <vt:lpstr>RTG Base C1</vt:lpstr>
      <vt:lpstr>RTG C2</vt:lpstr>
      <vt:lpstr>TT Base C1</vt:lpstr>
      <vt:lpstr>TT C2</vt:lpstr>
      <vt:lpstr>TC Total</vt:lpstr>
      <vt:lpstr>Navio Viagem Base C1</vt:lpstr>
      <vt:lpstr>Navio Viagem C2</vt:lpstr>
      <vt:lpstr>Navio Viagem C3</vt:lpstr>
      <vt:lpstr>Navio Viagem C4</vt:lpstr>
      <vt:lpstr>Navio Porto Base C1</vt:lpstr>
      <vt:lpstr>Navio Porto C2</vt:lpstr>
      <vt:lpstr>Navio Porto C3</vt:lpstr>
      <vt:lpstr>Navio Porto C4</vt:lpstr>
      <vt:lpstr>Praticagem e Rebocador Base C1</vt:lpstr>
      <vt:lpstr>Praticagem e Rebocador C2</vt:lpstr>
      <vt:lpstr>Cabotagem Total Base</vt:lpstr>
      <vt:lpstr>Cabotagem Total C1</vt:lpstr>
      <vt:lpstr>CabotageProforma_KAB01</vt:lpstr>
      <vt:lpstr>ContainerTerminalsBrazil</vt:lpstr>
      <vt:lpstr>'Cabotagem Total C1'!POWER_USER_EXCEL_CHART_0020B6E3_E4B7_4CF1_977C_D4ADA2F5E7CD</vt:lpstr>
      <vt:lpstr>POWER_USER_EXCEL_CHART_0020B6E3_E4B7_4CF1_977C_D4ADA2F5E7CD</vt:lpstr>
      <vt:lpstr>'Rodo Direto C1'!POWER_USER_EXCEL_CHART_0B8D3DB3_8628_4C73_B2BD_8046A046FBEE</vt:lpstr>
      <vt:lpstr>'Rodo Direto C2'!POWER_USER_EXCEL_CHART_0B8D3DB3_8628_4C73_B2BD_8046A046FBEE</vt:lpstr>
      <vt:lpstr>POWER_USER_EXCEL_CHART_0B8D3DB3_8628_4C73_B2BD_8046A046FBEE</vt:lpstr>
      <vt:lpstr>'Rodo Direto C1'!POWER_USER_EXCEL_CHART_0B9E44A9_8959_4E98_BFF1_93BFE1BEB124</vt:lpstr>
      <vt:lpstr>'Rodo Direto C2'!POWER_USER_EXCEL_CHART_0B9E44A9_8959_4E98_BFF1_93BFE1BEB124</vt:lpstr>
      <vt:lpstr>POWER_USER_EXCEL_CHART_0B9E44A9_8959_4E98_BFF1_93BFE1BEB124</vt:lpstr>
      <vt:lpstr>'Depot Base C1'!POWER_USER_EXCEL_CHART_2573D74A_41D3_4F11_B668_FE873836DB76</vt:lpstr>
      <vt:lpstr>'Depot C2'!POWER_USER_EXCEL_CHART_2573D74A_41D3_4F11_B668_FE873836DB76</vt:lpstr>
      <vt:lpstr>'Rodo Cabotagem Base'!POWER_USER_EXCEL_CHART_2573D74A_41D3_4F11_B668_FE873836DB76</vt:lpstr>
      <vt:lpstr>'Rodo Cabotagem C1'!POWER_USER_EXCEL_CHART_2573D74A_41D3_4F11_B668_FE873836DB76</vt:lpstr>
      <vt:lpstr>'Rodo Cabotagem C2'!POWER_USER_EXCEL_CHART_2573D74A_41D3_4F11_B668_FE873836DB76</vt:lpstr>
      <vt:lpstr>'Rodo Direto C1'!POWER_USER_EXCEL_CHART_2573D74A_41D3_4F11_B668_FE873836DB76</vt:lpstr>
      <vt:lpstr>'Rodo Direto C2'!POWER_USER_EXCEL_CHART_2573D74A_41D3_4F11_B668_FE873836DB76</vt:lpstr>
      <vt:lpstr>'RTG Base C1'!POWER_USER_EXCEL_CHART_2573D74A_41D3_4F11_B668_FE873836DB76</vt:lpstr>
      <vt:lpstr>'RTG C2'!POWER_USER_EXCEL_CHART_2573D74A_41D3_4F11_B668_FE873836DB76</vt:lpstr>
      <vt:lpstr>'TT Base C1'!POWER_USER_EXCEL_CHART_2573D74A_41D3_4F11_B668_FE873836DB76</vt:lpstr>
      <vt:lpstr>'TT C2'!POWER_USER_EXCEL_CHART_2573D74A_41D3_4F11_B668_FE873836DB76</vt:lpstr>
      <vt:lpstr>POWER_USER_EXCEL_CHART_2573D74A_41D3_4F11_B668_FE873836DB76</vt:lpstr>
      <vt:lpstr>'Depot Base C1'!POWER_USER_EXCEL_CHART_2CAA31A4_4976_4E23_9073_5871B366D7F7</vt:lpstr>
      <vt:lpstr>'Depot C2'!POWER_USER_EXCEL_CHART_2CAA31A4_4976_4E23_9073_5871B366D7F7</vt:lpstr>
      <vt:lpstr>'Rodo Cabotagem Base'!POWER_USER_EXCEL_CHART_2CAA31A4_4976_4E23_9073_5871B366D7F7</vt:lpstr>
      <vt:lpstr>'Rodo Cabotagem C1'!POWER_USER_EXCEL_CHART_2CAA31A4_4976_4E23_9073_5871B366D7F7</vt:lpstr>
      <vt:lpstr>'Rodo Cabotagem C2'!POWER_USER_EXCEL_CHART_2CAA31A4_4976_4E23_9073_5871B366D7F7</vt:lpstr>
      <vt:lpstr>'Rodo Direto C1'!POWER_USER_EXCEL_CHART_2CAA31A4_4976_4E23_9073_5871B366D7F7</vt:lpstr>
      <vt:lpstr>'Rodo Direto C2'!POWER_USER_EXCEL_CHART_2CAA31A4_4976_4E23_9073_5871B366D7F7</vt:lpstr>
      <vt:lpstr>'RTG Base C1'!POWER_USER_EXCEL_CHART_2CAA31A4_4976_4E23_9073_5871B366D7F7</vt:lpstr>
      <vt:lpstr>'RTG C2'!POWER_USER_EXCEL_CHART_2CAA31A4_4976_4E23_9073_5871B366D7F7</vt:lpstr>
      <vt:lpstr>'TT Base C1'!POWER_USER_EXCEL_CHART_2CAA31A4_4976_4E23_9073_5871B366D7F7</vt:lpstr>
      <vt:lpstr>'TT C2'!POWER_USER_EXCEL_CHART_2CAA31A4_4976_4E23_9073_5871B366D7F7</vt:lpstr>
      <vt:lpstr>POWER_USER_EXCEL_CHART_2CAA31A4_4976_4E23_9073_5871B366D7F7</vt:lpstr>
      <vt:lpstr>'Rodo Direto C1'!POWER_USER_EXCEL_CHART_A2FE93B4_1A0E_48EE_B9B3_BBBCFBDACC60</vt:lpstr>
      <vt:lpstr>'Rodo Direto C2'!POWER_USER_EXCEL_CHART_A2FE93B4_1A0E_48EE_B9B3_BBBCFBDACC60</vt:lpstr>
      <vt:lpstr>POWER_USER_EXCEL_CHART_A2FE93B4_1A0E_48EE_B9B3_BBBCFBDACC60</vt:lpstr>
      <vt:lpstr>'Rodo Direto C1'!POWER_USER_EXCEL_CHART_A4C999C9_1A8D_4AF8_B487_5192759215FC</vt:lpstr>
      <vt:lpstr>'Rodo Direto C2'!POWER_USER_EXCEL_CHART_A4C999C9_1A8D_4AF8_B487_5192759215FC</vt:lpstr>
      <vt:lpstr>POWER_USER_EXCEL_CHART_A4C999C9_1A8D_4AF8_B487_5192759215FC</vt:lpstr>
      <vt:lpstr>'Cabotagem Total C1'!POWER_USER_EXCEL_CHART_B5174B4D_3B7A_4EBB_958E_A0AD28E3079F</vt:lpstr>
      <vt:lpstr>POWER_USER_EXCEL_CHART_B5174B4D_3B7A_4EBB_958E_A0AD28E3079F</vt:lpstr>
      <vt:lpstr>'Rodo Direto C1'!POWER_USER_EXCEL_CHART_B5E84B8D_B4FD_40E7_ABAA_701831660897</vt:lpstr>
      <vt:lpstr>'Rodo Direto C2'!POWER_USER_EXCEL_CHART_B5E84B8D_B4FD_40E7_ABAA_701831660897</vt:lpstr>
      <vt:lpstr>POWER_USER_EXCEL_CHART_B5E84B8D_B4FD_40E7_ABAA_701831660897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costa</dc:creator>
  <cp:lastModifiedBy>gustavo costa</cp:lastModifiedBy>
  <cp:lastPrinted>2023-01-25T23:28:43Z</cp:lastPrinted>
  <dcterms:created xsi:type="dcterms:W3CDTF">2023-01-16T02:09:56Z</dcterms:created>
  <dcterms:modified xsi:type="dcterms:W3CDTF">2023-03-17T00:38:37Z</dcterms:modified>
</cp:coreProperties>
</file>