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bonilla\Desktop\EdP Rafael Fermín\EdP Rafael Fermín 2026\(B) - FEBRERO EdP 2026\535.2 Guadalmar\535.2 Cálculo hidrológico\"/>
    </mc:Choice>
  </mc:AlternateContent>
  <xr:revisionPtr revIDLastSave="0" documentId="13_ncr:1_{549F6EC4-5AC1-48C8-AC9A-AE259233C0B9}" xr6:coauthVersionLast="47" xr6:coauthVersionMax="47" xr10:uidLastSave="{00000000-0000-0000-0000-000000000000}"/>
  <bookViews>
    <workbookView xWindow="22932" yWindow="-108" windowWidth="23256" windowHeight="12576" tabRatio="839" xr2:uid="{F0276A4D-C3B6-4B3E-918A-CD65DE3C7B3D}"/>
  </bookViews>
  <sheets>
    <sheet name="Calculo Hidrológico T 25 - (A)" sheetId="7" r:id="rId1"/>
    <sheet name="Datos 1" sheetId="9" r:id="rId2"/>
    <sheet name="Datos 2" sheetId="8" r:id="rId3"/>
    <sheet name="SITUACIÓN" sheetId="10" r:id="rId4"/>
  </sheets>
  <externalReferences>
    <externalReference r:id="rId5"/>
  </externalReferences>
  <definedNames>
    <definedName name="_xlnm.Print_Area" localSheetId="0">'Calculo Hidrológico T 25 - (A)'!$B$2:$G$39</definedName>
  </definedNames>
  <calcPr calcId="191029"/>
</workbook>
</file>

<file path=xl/calcChain.xml><?xml version="1.0" encoding="utf-8"?>
<calcChain xmlns="http://schemas.openxmlformats.org/spreadsheetml/2006/main">
  <c r="L11" i="9" l="1"/>
  <c r="M9" i="9"/>
  <c r="N9" i="9"/>
  <c r="G20" i="9" l="1"/>
  <c r="I11" i="9" l="1"/>
  <c r="B2" i="10"/>
  <c r="C30" i="7"/>
  <c r="G18" i="9"/>
  <c r="L41" i="7"/>
  <c r="I7" i="7"/>
  <c r="K39" i="7"/>
  <c r="F16" i="9"/>
  <c r="F15" i="9"/>
  <c r="D15" i="9"/>
  <c r="D16" i="9"/>
  <c r="G67" i="9"/>
  <c r="D14" i="9" s="1"/>
  <c r="G75" i="9"/>
  <c r="F14" i="9" s="1"/>
  <c r="K9" i="9" s="1"/>
  <c r="C26" i="7"/>
  <c r="C33" i="7"/>
  <c r="G10" i="7" l="1"/>
  <c r="I8" i="7"/>
  <c r="N8" i="7"/>
  <c r="N7" i="7"/>
  <c r="I6" i="7"/>
  <c r="C9" i="9"/>
  <c r="C25" i="7"/>
  <c r="G9" i="9"/>
  <c r="C32" i="7" l="1"/>
  <c r="C28" i="7" s="1"/>
  <c r="C22" i="7" s="1"/>
  <c r="C21" i="7" s="1"/>
  <c r="G11" i="7" l="1"/>
  <c r="C19" i="7"/>
  <c r="G12" i="7" s="1"/>
  <c r="U1" i="8"/>
  <c r="B2" i="8"/>
  <c r="A2" i="9"/>
  <c r="G1" i="9"/>
  <c r="M15" i="9"/>
  <c r="M22" i="9" s="1"/>
  <c r="D8" i="9"/>
  <c r="D10" i="9" s="1"/>
  <c r="G7" i="9"/>
  <c r="G10" i="9" s="1"/>
  <c r="C41" i="7"/>
  <c r="K41" i="7"/>
  <c r="K40" i="7"/>
  <c r="G8" i="7"/>
  <c r="G7" i="7"/>
  <c r="G6" i="7"/>
  <c r="F8" i="9" l="1"/>
  <c r="F10" i="9" s="1"/>
  <c r="F11" i="9" s="1"/>
  <c r="E41" i="7"/>
  <c r="H41" i="7"/>
  <c r="E10" i="9" l="1"/>
  <c r="D11" i="9" s="1"/>
  <c r="F12" i="9" s="1"/>
  <c r="D12" i="9" l="1"/>
  <c r="H12" i="9" s="1"/>
  <c r="H11" i="9"/>
  <c r="F13" i="9" s="1"/>
  <c r="D13" i="9" l="1"/>
  <c r="K11" i="9" l="1"/>
  <c r="H13" i="9"/>
  <c r="G9" i="7"/>
  <c r="C9" i="7" l="1"/>
  <c r="C15" i="7"/>
  <c r="G19" i="9" l="1"/>
  <c r="C40" i="7"/>
  <c r="C39" i="7" s="1"/>
  <c r="C38" i="7" l="1"/>
  <c r="G14" i="7" s="1"/>
  <c r="G13" i="7"/>
  <c r="G15" i="7" l="1"/>
  <c r="G16" i="7" s="1"/>
</calcChain>
</file>

<file path=xl/sharedStrings.xml><?xml version="1.0" encoding="utf-8"?>
<sst xmlns="http://schemas.openxmlformats.org/spreadsheetml/2006/main" count="211" uniqueCount="181">
  <si>
    <t>METODO RACIONAL</t>
  </si>
  <si>
    <t>TIEMPO DE CONCENTRACIÓN</t>
  </si>
  <si>
    <t>al periodo de retorno considerado</t>
  </si>
  <si>
    <r>
      <t>Id(mm/h)</t>
    </r>
    <r>
      <rPr>
        <sz val="10"/>
        <rFont val="Arial"/>
        <family val="2"/>
      </rPr>
      <t>: intensidad media diaria Pd/24</t>
    </r>
  </si>
  <si>
    <r>
      <t>Pd(mm)</t>
    </r>
    <r>
      <rPr>
        <sz val="10"/>
        <rFont val="Arial"/>
        <family val="2"/>
      </rPr>
      <t xml:space="preserve">: precipitación total diária correspondiente </t>
    </r>
  </si>
  <si>
    <r>
      <t>C</t>
    </r>
    <r>
      <rPr>
        <sz val="10"/>
        <rFont val="Arial"/>
        <family val="2"/>
      </rPr>
      <t>=coeficiente medio de escorrentía</t>
    </r>
  </si>
  <si>
    <r>
      <t>A</t>
    </r>
    <r>
      <rPr>
        <sz val="10"/>
        <rFont val="Arial"/>
        <family val="2"/>
      </rPr>
      <t>=area de la cuenca Km2</t>
    </r>
  </si>
  <si>
    <r>
      <t>Tc(h)</t>
    </r>
    <r>
      <rPr>
        <sz val="10"/>
        <rFont val="Arial"/>
        <family val="2"/>
      </rPr>
      <t>: tiempo de concentración</t>
    </r>
  </si>
  <si>
    <r>
      <t xml:space="preserve">Cv: </t>
    </r>
    <r>
      <rPr>
        <sz val="10"/>
        <rFont val="Arial"/>
        <family val="2"/>
      </rPr>
      <t>coeficiente de variación</t>
    </r>
  </si>
  <si>
    <r>
      <t>P</t>
    </r>
    <r>
      <rPr>
        <sz val="10"/>
        <rFont val="Arial"/>
        <family val="2"/>
      </rPr>
      <t>: maxima precipitación diaria anual</t>
    </r>
  </si>
  <si>
    <r>
      <t>Yt</t>
    </r>
    <r>
      <rPr>
        <sz val="10"/>
        <rFont val="Arial"/>
        <family val="2"/>
      </rPr>
      <t>: cuantíl regional ( por tablas )</t>
    </r>
  </si>
  <si>
    <t>Pd = Yt * P</t>
  </si>
  <si>
    <r>
      <t>Pd(mm/dia)</t>
    </r>
    <r>
      <rPr>
        <sz val="10"/>
        <rFont val="Arial"/>
        <family val="2"/>
      </rPr>
      <t xml:space="preserve"> . Máxima Lluvias Diarias</t>
    </r>
  </si>
  <si>
    <t>COEFICIENTE DE ESCORRENTÍA</t>
  </si>
  <si>
    <r>
      <t>Q(l/sg)</t>
    </r>
    <r>
      <rPr>
        <sz val="10"/>
        <rFont val="Arial"/>
        <family val="2"/>
      </rPr>
      <t xml:space="preserve"> : Caudal resultante</t>
    </r>
  </si>
  <si>
    <r>
      <t>(I1/Id)</t>
    </r>
    <r>
      <rPr>
        <sz val="10"/>
        <rFont val="Arial"/>
        <family val="2"/>
      </rPr>
      <t xml:space="preserve">:valor por tablas </t>
    </r>
  </si>
  <si>
    <r>
      <t>Tc=</t>
    </r>
    <r>
      <rPr>
        <sz val="10"/>
        <rFont val="Arial"/>
        <family val="2"/>
      </rPr>
      <t>tiempo de concentracion</t>
    </r>
  </si>
  <si>
    <t>Superficie cuenca vertiente (Km2)</t>
  </si>
  <si>
    <r>
      <t>Q(m3/sg)</t>
    </r>
    <r>
      <rPr>
        <sz val="10"/>
        <rFont val="Arial"/>
        <family val="2"/>
      </rPr>
      <t xml:space="preserve"> : Caudal resultante</t>
    </r>
  </si>
  <si>
    <t>C = coeficiente de escorrentia</t>
  </si>
  <si>
    <t>Umbral de escorrentia Po</t>
  </si>
  <si>
    <t>C=((Pd/Po)-1)*((Pd/Po)+23)/((Pd/Po)+11)^2</t>
  </si>
  <si>
    <t>T: periodo de retorno</t>
  </si>
  <si>
    <r>
      <t>Kt</t>
    </r>
    <r>
      <rPr>
        <sz val="10"/>
        <rFont val="Arial"/>
        <family val="2"/>
      </rPr>
      <t>=coeficiente punta de precipitación ( Km2, m3/sg )</t>
    </r>
  </si>
  <si>
    <r>
      <t>I</t>
    </r>
    <r>
      <rPr>
        <sz val="10"/>
        <rFont val="Arial"/>
        <family val="2"/>
      </rPr>
      <t>=intensidad de precipitación</t>
    </r>
  </si>
  <si>
    <t>Tc =0,3 x Lc^0,76 x Jc^-0,19</t>
  </si>
  <si>
    <r>
      <t>Lc</t>
    </r>
    <r>
      <rPr>
        <sz val="10"/>
        <rFont val="Arial"/>
        <family val="2"/>
      </rPr>
      <t>=longitud de la cuenca Km</t>
    </r>
  </si>
  <si>
    <r>
      <t>Jc</t>
    </r>
    <r>
      <rPr>
        <sz val="10"/>
        <rFont val="Arial"/>
        <family val="2"/>
      </rPr>
      <t>=pendiente media de la cuenca m/m</t>
    </r>
  </si>
  <si>
    <t xml:space="preserve">Fa: </t>
  </si>
  <si>
    <t xml:space="preserve"> Fa = ( It/Id )^(3,5287-2,5287 t^0,1)</t>
  </si>
  <si>
    <t>INTENSIDAD DE PRECIPITACION</t>
  </si>
  <si>
    <t>I (T,t)= Id x Fint</t>
  </si>
  <si>
    <t>Id = (Pd x Ka) / 24</t>
  </si>
  <si>
    <t>Ka =1 si Area cuenca &lt; 1km2</t>
  </si>
  <si>
    <r>
      <t>Fb:</t>
    </r>
    <r>
      <rPr>
        <sz val="8"/>
        <rFont val="Arial"/>
        <family val="2"/>
      </rPr>
      <t xml:space="preserve"> informacion de las curvas IDF de pluviografos de la cuenca</t>
    </r>
  </si>
  <si>
    <t>No aplicable</t>
  </si>
  <si>
    <t>valor inicial Umbral de escorrentia Po'</t>
  </si>
  <si>
    <r>
      <t xml:space="preserve">coeficnte corrector </t>
    </r>
    <r>
      <rPr>
        <sz val="10"/>
        <rFont val="Calibri"/>
        <family val="2"/>
      </rPr>
      <t>β</t>
    </r>
  </si>
  <si>
    <t>tablas  y mapa instruccion</t>
  </si>
  <si>
    <r>
      <t xml:space="preserve">Po = Po' </t>
    </r>
    <r>
      <rPr>
        <sz val="10"/>
        <rFont val="Calibri"/>
        <family val="2"/>
      </rPr>
      <t>β</t>
    </r>
  </si>
  <si>
    <r>
      <t>K</t>
    </r>
    <r>
      <rPr>
        <vertAlign val="subscript"/>
        <sz val="12"/>
        <rFont val="Arial Narrow"/>
        <family val="2"/>
      </rPr>
      <t xml:space="preserve">t </t>
    </r>
    <r>
      <rPr>
        <sz val="12"/>
        <rFont val="Arial Narrow"/>
        <family val="2"/>
      </rPr>
      <t>= 1 + ( t</t>
    </r>
    <r>
      <rPr>
        <vertAlign val="subscript"/>
        <sz val="12"/>
        <rFont val="Arial Narrow"/>
        <family val="2"/>
      </rPr>
      <t>c</t>
    </r>
    <r>
      <rPr>
        <vertAlign val="superscript"/>
        <sz val="12"/>
        <rFont val="Arial Narrow"/>
        <family val="2"/>
      </rPr>
      <t>1,25</t>
    </r>
    <r>
      <rPr>
        <sz val="12"/>
        <rFont val="Arial Narrow"/>
        <family val="2"/>
      </rPr>
      <t xml:space="preserve"> / (t</t>
    </r>
    <r>
      <rPr>
        <vertAlign val="subscript"/>
        <sz val="12"/>
        <rFont val="Arial Narrow"/>
        <family val="2"/>
      </rPr>
      <t>c</t>
    </r>
    <r>
      <rPr>
        <vertAlign val="superscript"/>
        <sz val="12"/>
        <rFont val="Arial Narrow"/>
        <family val="2"/>
      </rPr>
      <t>1,25</t>
    </r>
    <r>
      <rPr>
        <sz val="12"/>
        <rFont val="Arial Narrow"/>
        <family val="2"/>
      </rPr>
      <t>+14))</t>
    </r>
  </si>
  <si>
    <t>Q=[ I(T,Tc) x C x A x Kt ] / 3,6</t>
  </si>
  <si>
    <r>
      <rPr>
        <b/>
        <sz val="10"/>
        <rFont val="Arial"/>
        <family val="2"/>
      </rPr>
      <t>I (T, t)</t>
    </r>
    <r>
      <rPr>
        <sz val="10"/>
        <rFont val="Arial"/>
        <family val="2"/>
      </rPr>
      <t xml:space="preserve"> (mm/h): Intensidad de Precipitacion</t>
    </r>
  </si>
  <si>
    <t>PERIODO DE RETORNO EN AÑOS (T)</t>
  </si>
  <si>
    <t>Cv</t>
  </si>
  <si>
    <t>Coordenadas U.T.M.</t>
  </si>
  <si>
    <t>Fint   max (Fa, Fb)</t>
  </si>
  <si>
    <t>(I1/Id)</t>
  </si>
  <si>
    <t>Id(mm/h): Pd / 24</t>
  </si>
  <si>
    <r>
      <rPr>
        <b/>
        <sz val="10"/>
        <rFont val="Arial"/>
        <family val="2"/>
      </rPr>
      <t>I (T, t)</t>
    </r>
    <r>
      <rPr>
        <sz val="10"/>
        <rFont val="Arial"/>
        <family val="2"/>
      </rPr>
      <t xml:space="preserve"> (mm/h)</t>
    </r>
  </si>
  <si>
    <t>Po Umbral de escorrentia</t>
  </si>
  <si>
    <t>Actualizado al:</t>
  </si>
  <si>
    <t>Insertar valores</t>
  </si>
  <si>
    <r>
      <t>β</t>
    </r>
    <r>
      <rPr>
        <vertAlign val="subscript"/>
        <sz val="9.5"/>
        <rFont val="Arial Narrow"/>
        <family val="2"/>
      </rPr>
      <t>m</t>
    </r>
    <r>
      <rPr>
        <sz val="9.5"/>
        <rFont val="Arial Narrow"/>
        <family val="2"/>
      </rPr>
      <t>=</t>
    </r>
  </si>
  <si>
    <r>
      <t>∆</t>
    </r>
    <r>
      <rPr>
        <vertAlign val="subscript"/>
        <sz val="9.5"/>
        <rFont val="Arial Narrow"/>
        <family val="2"/>
      </rPr>
      <t>50</t>
    </r>
    <r>
      <rPr>
        <sz val="9.5"/>
        <rFont val="Arial Narrow"/>
        <family val="2"/>
      </rPr>
      <t>=</t>
    </r>
  </si>
  <si>
    <r>
      <t>F</t>
    </r>
    <r>
      <rPr>
        <vertAlign val="subscript"/>
        <sz val="9.5"/>
        <rFont val="Montserrat"/>
      </rPr>
      <t>T25</t>
    </r>
    <r>
      <rPr>
        <sz val="9.5"/>
        <rFont val="Montserrat"/>
      </rPr>
      <t>=</t>
    </r>
  </si>
  <si>
    <t>Región</t>
  </si>
  <si>
    <t>Valor medio βm</t>
  </si>
  <si>
    <t>Δ50%</t>
  </si>
  <si>
    <t>Δ67%</t>
  </si>
  <si>
    <t>Δ90%</t>
  </si>
  <si>
    <t>T=2</t>
  </si>
  <si>
    <t>T=5</t>
  </si>
  <si>
    <t>T=25</t>
  </si>
  <si>
    <t>T=100</t>
  </si>
  <si>
    <t>T=500</t>
  </si>
  <si>
    <t>-</t>
  </si>
  <si>
    <t>Sub-cuenca</t>
  </si>
  <si>
    <t>Area vertiente</t>
  </si>
  <si>
    <t>superficie parcela (m2)</t>
  </si>
  <si>
    <t>Superficie pavimentada (m2)</t>
  </si>
  <si>
    <t>Superficie Zona verde (m2)</t>
  </si>
  <si>
    <t>Interior Parcelas: 60% Superficie pavimentada (m2)</t>
  </si>
  <si>
    <t>Viales/ST : 100% Superficie pavimentada (m2)</t>
  </si>
  <si>
    <t>Interior Parcelas: 40% Superficie restante (m2)</t>
  </si>
  <si>
    <t>Z.V: 100% Superficie Ajardinadas (m2)</t>
  </si>
  <si>
    <t>Expresión en el anejo (word)</t>
  </si>
  <si>
    <t>Subtotal</t>
  </si>
  <si>
    <t>ΣÁrea</t>
  </si>
  <si>
    <t>Po</t>
  </si>
  <si>
    <t>Po (comprobación)</t>
  </si>
  <si>
    <t>Total</t>
  </si>
  <si>
    <t>Subcuenca Viales:</t>
  </si>
  <si>
    <t>arbolado izquierdo 1</t>
  </si>
  <si>
    <t>(T=25) βDT</t>
  </si>
  <si>
    <t>arbolado derecho 1</t>
  </si>
  <si>
    <t>arbolado derecho 2</t>
  </si>
  <si>
    <t>Po'</t>
  </si>
  <si>
    <t>arbolado derecho 3</t>
  </si>
  <si>
    <t>arbolado sur-n</t>
  </si>
  <si>
    <t>arbolado sur-s</t>
  </si>
  <si>
    <t>Superficie Ajardinada (m2)</t>
  </si>
  <si>
    <t>Datos 1</t>
  </si>
  <si>
    <t>Datos 2</t>
  </si>
  <si>
    <t>CUENCA: GUADALMAR</t>
  </si>
  <si>
    <r>
      <t>CALCULO HIDROLOGICO:</t>
    </r>
    <r>
      <rPr>
        <b/>
        <sz val="10"/>
        <color rgb="FFFF0000"/>
        <rFont val="Arial"/>
        <family val="2"/>
      </rPr>
      <t xml:space="preserve"> Mejora Carretera Guadalmar</t>
    </r>
    <r>
      <rPr>
        <b/>
        <sz val="10"/>
        <rFont val="Arial"/>
        <family val="2"/>
      </rPr>
      <t>; 535.2</t>
    </r>
  </si>
  <si>
    <t>SUBCUENCA A</t>
  </si>
  <si>
    <t>A</t>
  </si>
  <si>
    <t>B</t>
  </si>
  <si>
    <t>C</t>
  </si>
  <si>
    <t>D</t>
  </si>
  <si>
    <t>E</t>
  </si>
  <si>
    <t>J</t>
  </si>
  <si>
    <t>LAB</t>
  </si>
  <si>
    <t>LBC</t>
  </si>
  <si>
    <t>LCD</t>
  </si>
  <si>
    <t>COTA</t>
  </si>
  <si>
    <t>TRAMO</t>
  </si>
  <si>
    <t>LONG</t>
  </si>
  <si>
    <t>LDE</t>
  </si>
  <si>
    <t>C.2</t>
  </si>
  <si>
    <t>C.1</t>
  </si>
  <si>
    <t>C.3</t>
  </si>
  <si>
    <t>D.1</t>
  </si>
  <si>
    <t>D.2</t>
  </si>
  <si>
    <t>D.3</t>
  </si>
  <si>
    <t>D.4</t>
  </si>
  <si>
    <t>D.5</t>
  </si>
  <si>
    <t>D.6</t>
  </si>
  <si>
    <t>D.7</t>
  </si>
  <si>
    <t>D.8</t>
  </si>
  <si>
    <t>F.4</t>
  </si>
  <si>
    <t>F.3</t>
  </si>
  <si>
    <t>F.2</t>
  </si>
  <si>
    <t>F.1</t>
  </si>
  <si>
    <t>GRUPO DE SUELO:</t>
  </si>
  <si>
    <t>Código</t>
  </si>
  <si>
    <t>Uso de suelo</t>
  </si>
  <si>
    <t>Grupo de suelo A</t>
  </si>
  <si>
    <t>Grupo de suelo B</t>
  </si>
  <si>
    <t>Grupo de suelo C</t>
  </si>
  <si>
    <t>Grupo de suelo D</t>
  </si>
  <si>
    <t>Tejido urbano continuo</t>
  </si>
  <si>
    <t>Tejido urbano discontinuo</t>
  </si>
  <si>
    <t>Urbanizaciones</t>
  </si>
  <si>
    <t>Estructura urbana abierta</t>
  </si>
  <si>
    <t>Urbanizaciones exentas y/o ajardinadas</t>
  </si>
  <si>
    <t>Zonas industriales y comerciales</t>
  </si>
  <si>
    <t>Granjas agrícolas</t>
  </si>
  <si>
    <t>Zonas industriales</t>
  </si>
  <si>
    <t>Grandes superficies de equipamiento y servicios</t>
  </si>
  <si>
    <t>Redes viarias, ferroviarias y terrenos asociados</t>
  </si>
  <si>
    <t>Autopistas, autovías y terrenos asociados</t>
  </si>
  <si>
    <t>Complejos ferroviarios</t>
  </si>
  <si>
    <t>Zonas portuarias</t>
  </si>
  <si>
    <t>Aeropuertos</t>
  </si>
  <si>
    <t>Zonas de extracción minera</t>
  </si>
  <si>
    <t>Escombreras y vertederos</t>
  </si>
  <si>
    <t>Zonas de construcción</t>
  </si>
  <si>
    <t>Zonas verdes urbanas</t>
  </si>
  <si>
    <t>Instalaciones deportivas y recreativas</t>
  </si>
  <si>
    <t>Campos de golf</t>
  </si>
  <si>
    <t>Resto de instalaciones deportivas y recreativas</t>
  </si>
  <si>
    <t>G.1</t>
  </si>
  <si>
    <t>G.2</t>
  </si>
  <si>
    <t>G.3</t>
  </si>
  <si>
    <t>G.4</t>
  </si>
  <si>
    <t>G.5</t>
  </si>
  <si>
    <t>G.6</t>
  </si>
  <si>
    <t>G.7</t>
  </si>
  <si>
    <t>G.8</t>
  </si>
  <si>
    <t>G.9</t>
  </si>
  <si>
    <t>G.8.1</t>
  </si>
  <si>
    <t>G.8.2</t>
  </si>
  <si>
    <t>G.8.3</t>
  </si>
  <si>
    <t>G.10</t>
  </si>
  <si>
    <t>G.11</t>
  </si>
  <si>
    <t>G.12</t>
  </si>
  <si>
    <t>G.13</t>
  </si>
  <si>
    <t>G.14</t>
  </si>
  <si>
    <t>G.15</t>
  </si>
  <si>
    <t>H.2</t>
  </si>
  <si>
    <t>H.1</t>
  </si>
  <si>
    <t>I.1</t>
  </si>
  <si>
    <t>I.2</t>
  </si>
  <si>
    <t>A.1</t>
  </si>
  <si>
    <t>A.2</t>
  </si>
  <si>
    <t>A.3</t>
  </si>
  <si>
    <t>D.9</t>
  </si>
  <si>
    <t>No modificar</t>
  </si>
  <si>
    <t>SITUACIÓN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</si>
</sst>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#,##0.000"/>
    <numFmt numFmtId="166" formatCode="#,##0.00\ &quot;m2&quot;"/>
    <numFmt numFmtId="167" formatCode="#,##0.00\ &quot;m&quot;"/>
    <numFmt numFmtId="168" formatCode="#,##0.00\ &quot;%&quot;"/>
    <numFmt numFmtId="169" formatCode="0.00\ &quot;m2&quot;"/>
    <numFmt numFmtId="170" formatCode="0.00&quot;%&quot;"/>
    <numFmt numFmtId="171" formatCode="&quot;x&quot;0"/>
    <numFmt numFmtId="172" formatCode="#,##0.0000"/>
  </numFmts>
  <fonts count="61" x14ac:knownFonts="1">
    <font>
      <sz val="10"/>
      <name val="Arial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57"/>
      <name val="Arial"/>
      <family val="2"/>
    </font>
    <font>
      <b/>
      <sz val="10"/>
      <color indexed="12"/>
      <name val="Arial"/>
      <family val="2"/>
    </font>
    <font>
      <b/>
      <sz val="10"/>
      <color indexed="30"/>
      <name val="Arial"/>
      <family val="2"/>
    </font>
    <font>
      <sz val="8"/>
      <name val="Arial"/>
      <family val="2"/>
    </font>
    <font>
      <sz val="10"/>
      <name val="Calibri"/>
      <family val="2"/>
    </font>
    <font>
      <sz val="12"/>
      <name val="Arial Narrow"/>
      <family val="2"/>
    </font>
    <font>
      <vertAlign val="subscript"/>
      <sz val="12"/>
      <name val="Arial Narrow"/>
      <family val="2"/>
    </font>
    <font>
      <vertAlign val="superscript"/>
      <sz val="12"/>
      <name val="Arial Narrow"/>
      <family val="2"/>
    </font>
    <font>
      <sz val="9"/>
      <name val="Montserrat"/>
    </font>
    <font>
      <b/>
      <sz val="9"/>
      <name val="Montserrat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9"/>
      <color rgb="FFFF0000"/>
      <name val="Montserrat"/>
    </font>
    <font>
      <b/>
      <sz val="11"/>
      <color rgb="FF006100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9.5"/>
      <name val="Arial Narrow"/>
      <family val="2"/>
    </font>
    <font>
      <vertAlign val="subscript"/>
      <sz val="9.5"/>
      <name val="Arial Narrow"/>
      <family val="2"/>
    </font>
    <font>
      <sz val="9.5"/>
      <name val="Montserrat"/>
    </font>
    <font>
      <vertAlign val="subscript"/>
      <sz val="9.5"/>
      <name val="Montserrat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sz val="15"/>
      <color theme="1"/>
      <name val="Calibri"/>
      <family val="2"/>
      <scheme val="minor"/>
    </font>
    <font>
      <sz val="11"/>
      <color theme="1"/>
      <name val="Montserrat"/>
    </font>
    <font>
      <b/>
      <sz val="9"/>
      <color rgb="FF000000"/>
      <name val="Montserrat"/>
    </font>
    <font>
      <sz val="9"/>
      <color rgb="FF000000"/>
      <name val="Montserrat"/>
    </font>
    <font>
      <sz val="9"/>
      <color theme="1"/>
      <name val="Montserrat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rgb="FF000000"/>
      <name val="Montserrat"/>
    </font>
    <font>
      <sz val="1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8"/>
      <color rgb="FFFF0000"/>
      <name val="Arial"/>
      <family val="2"/>
    </font>
    <font>
      <sz val="10"/>
      <color rgb="FF7030A0"/>
      <name val="Arial"/>
      <family val="2"/>
    </font>
    <font>
      <b/>
      <sz val="14"/>
      <color rgb="FF00B050"/>
      <name val="Arial Narrow"/>
      <family val="2"/>
    </font>
    <font>
      <b/>
      <sz val="9"/>
      <color rgb="FF1F1F1F"/>
      <name val="Montserrat"/>
    </font>
    <font>
      <sz val="9"/>
      <color rgb="FF1F1F1F"/>
      <name val="Montserrat"/>
    </font>
    <font>
      <sz val="8"/>
      <name val="Calibri"/>
      <family val="2"/>
      <scheme val="minor"/>
    </font>
    <font>
      <u/>
      <sz val="10"/>
      <name val="Arial"/>
      <family val="2"/>
    </font>
    <font>
      <b/>
      <sz val="8"/>
      <color rgb="FF002060"/>
      <name val="Calibri"/>
      <family val="2"/>
      <scheme val="minor"/>
    </font>
    <font>
      <b/>
      <sz val="9"/>
      <color rgb="FF00206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/>
      <diagonal/>
    </border>
    <border>
      <left style="mediumDashed">
        <color rgb="FFFF0000"/>
      </left>
      <right style="mediumDashed">
        <color rgb="FFFF0000"/>
      </right>
      <top/>
      <bottom style="mediumDashed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5">
    <xf numFmtId="0" fontId="0" fillId="0" borderId="0"/>
    <xf numFmtId="0" fontId="17" fillId="3" borderId="0" applyNumberFormat="0" applyBorder="0" applyAlignment="0" applyProtection="0"/>
    <xf numFmtId="0" fontId="18" fillId="4" borderId="10" applyNumberFormat="0" applyAlignment="0" applyProtection="0"/>
    <xf numFmtId="0" fontId="19" fillId="5" borderId="0" applyNumberFormat="0" applyBorder="0" applyAlignment="0" applyProtection="0"/>
    <xf numFmtId="9" fontId="24" fillId="0" borderId="0" applyFont="0" applyFill="0" applyBorder="0" applyAlignment="0" applyProtection="0"/>
  </cellStyleXfs>
  <cellXfs count="19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4" fillId="2" borderId="0" xfId="0" applyFont="1" applyFill="1" applyAlignment="1">
      <alignment horizontal="center"/>
    </xf>
    <xf numFmtId="0" fontId="2" fillId="0" borderId="0" xfId="0" applyFont="1"/>
    <xf numFmtId="0" fontId="0" fillId="2" borderId="0" xfId="0" applyFill="1" applyAlignment="1">
      <alignment horizontal="center"/>
    </xf>
    <xf numFmtId="0" fontId="0" fillId="0" borderId="1" xfId="0" applyBorder="1"/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5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18" fillId="4" borderId="10" xfId="2" applyNumberFormat="1" applyAlignment="1">
      <alignment horizontal="center"/>
    </xf>
    <xf numFmtId="0" fontId="17" fillId="3" borderId="2" xfId="1" applyBorder="1"/>
    <xf numFmtId="2" fontId="18" fillId="0" borderId="0" xfId="2" applyNumberFormat="1" applyFill="1" applyBorder="1" applyAlignment="1">
      <alignment horizontal="center"/>
    </xf>
    <xf numFmtId="0" fontId="0" fillId="0" borderId="0" xfId="0" applyAlignment="1">
      <alignment horizontal="center"/>
    </xf>
    <xf numFmtId="3" fontId="18" fillId="4" borderId="11" xfId="2" applyNumberFormat="1" applyBorder="1" applyAlignment="1">
      <alignment horizontal="center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0" xfId="0" applyFill="1"/>
    <xf numFmtId="0" fontId="2" fillId="6" borderId="0" xfId="0" applyFont="1" applyFill="1" applyAlignment="1">
      <alignment horizontal="left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1" fillId="3" borderId="9" xfId="1" applyFont="1" applyBorder="1" applyAlignment="1">
      <alignment horizontal="center"/>
    </xf>
    <xf numFmtId="2" fontId="18" fillId="4" borderId="10" xfId="2" applyNumberFormat="1" applyAlignment="1">
      <alignment horizontal="center"/>
    </xf>
    <xf numFmtId="0" fontId="1" fillId="0" borderId="3" xfId="0" applyFont="1" applyBorder="1" applyAlignment="1">
      <alignment horizontal="left" vertical="center"/>
    </xf>
    <xf numFmtId="165" fontId="22" fillId="3" borderId="3" xfId="1" applyNumberFormat="1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64" fontId="18" fillId="4" borderId="3" xfId="2" applyNumberFormat="1" applyBorder="1" applyAlignment="1">
      <alignment horizontal="center" vertical="center"/>
    </xf>
    <xf numFmtId="4" fontId="17" fillId="3" borderId="3" xfId="1" applyNumberForma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" fontId="18" fillId="4" borderId="3" xfId="2" applyNumberFormat="1" applyBorder="1" applyAlignment="1">
      <alignment horizontal="center" vertical="center"/>
    </xf>
    <xf numFmtId="2" fontId="18" fillId="4" borderId="3" xfId="2" applyNumberForma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18" fillId="4" borderId="10" xfId="2" applyNumberForma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27" fillId="0" borderId="14" xfId="0" applyFont="1" applyBorder="1" applyAlignment="1">
      <alignment horizontal="center"/>
    </xf>
    <xf numFmtId="166" fontId="28" fillId="0" borderId="15" xfId="0" applyNumberFormat="1" applyFont="1" applyBorder="1" applyAlignment="1">
      <alignment horizontal="center" vertical="center"/>
    </xf>
    <xf numFmtId="167" fontId="28" fillId="0" borderId="15" xfId="0" applyNumberFormat="1" applyFont="1" applyBorder="1" applyAlignment="1">
      <alignment horizontal="center" vertical="center"/>
    </xf>
    <xf numFmtId="168" fontId="28" fillId="0" borderId="15" xfId="0" applyNumberFormat="1" applyFont="1" applyBorder="1" applyAlignment="1">
      <alignment horizontal="center" vertical="center"/>
    </xf>
    <xf numFmtId="0" fontId="29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34" fillId="0" borderId="16" xfId="0" applyFont="1" applyBorder="1" applyAlignment="1">
      <alignment horizontal="left" vertical="center" wrapText="1" indent="1" readingOrder="1"/>
    </xf>
    <xf numFmtId="0" fontId="33" fillId="0" borderId="16" xfId="0" applyFont="1" applyBorder="1" applyAlignment="1">
      <alignment horizontal="left" vertical="center" wrapText="1" indent="1" readingOrder="1"/>
    </xf>
    <xf numFmtId="0" fontId="33" fillId="9" borderId="16" xfId="0" applyFont="1" applyFill="1" applyBorder="1" applyAlignment="1">
      <alignment horizontal="left" vertical="center" wrapText="1" indent="1" readingOrder="1"/>
    </xf>
    <xf numFmtId="0" fontId="34" fillId="9" borderId="16" xfId="0" applyFont="1" applyFill="1" applyBorder="1" applyAlignment="1">
      <alignment horizontal="left" vertical="center" wrapText="1" indent="1" readingOrder="1"/>
    </xf>
    <xf numFmtId="4" fontId="4" fillId="0" borderId="0" xfId="0" applyNumberFormat="1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5" fillId="0" borderId="0" xfId="0" applyFont="1"/>
    <xf numFmtId="4" fontId="35" fillId="0" borderId="0" xfId="0" applyNumberFormat="1" applyFont="1"/>
    <xf numFmtId="0" fontId="35" fillId="0" borderId="0" xfId="0" applyFont="1" applyAlignment="1">
      <alignment horizontal="center" vertical="center"/>
    </xf>
    <xf numFmtId="0" fontId="36" fillId="0" borderId="0" xfId="0" applyFont="1"/>
    <xf numFmtId="0" fontId="36" fillId="0" borderId="0" xfId="0" applyFont="1" applyAlignment="1">
      <alignment horizontal="left"/>
    </xf>
    <xf numFmtId="3" fontId="36" fillId="0" borderId="0" xfId="0" applyNumberFormat="1" applyFont="1" applyAlignment="1">
      <alignment horizontal="center"/>
    </xf>
    <xf numFmtId="3" fontId="38" fillId="6" borderId="24" xfId="0" applyNumberFormat="1" applyFont="1" applyFill="1" applyBorder="1" applyAlignment="1">
      <alignment horizontal="center" vertical="center" wrapText="1"/>
    </xf>
    <xf numFmtId="3" fontId="38" fillId="6" borderId="25" xfId="0" applyNumberFormat="1" applyFont="1" applyFill="1" applyBorder="1" applyAlignment="1">
      <alignment horizontal="center" vertical="center" wrapText="1"/>
    </xf>
    <xf numFmtId="3" fontId="38" fillId="6" borderId="26" xfId="0" applyNumberFormat="1" applyFont="1" applyFill="1" applyBorder="1" applyAlignment="1">
      <alignment horizontal="center" vertical="center" wrapText="1"/>
    </xf>
    <xf numFmtId="3" fontId="38" fillId="6" borderId="27" xfId="0" applyNumberFormat="1" applyFont="1" applyFill="1" applyBorder="1" applyAlignment="1">
      <alignment horizontal="center" vertical="center" wrapText="1"/>
    </xf>
    <xf numFmtId="0" fontId="38" fillId="0" borderId="28" xfId="0" applyFont="1" applyBorder="1" applyAlignment="1">
      <alignment horizontal="center" vertical="center" wrapText="1"/>
    </xf>
    <xf numFmtId="3" fontId="38" fillId="0" borderId="29" xfId="0" applyNumberFormat="1" applyFont="1" applyBorder="1" applyAlignment="1">
      <alignment horizontal="center" wrapText="1"/>
    </xf>
    <xf numFmtId="3" fontId="38" fillId="0" borderId="28" xfId="0" applyNumberFormat="1" applyFont="1" applyBorder="1" applyAlignment="1">
      <alignment horizontal="center" wrapText="1"/>
    </xf>
    <xf numFmtId="3" fontId="38" fillId="0" borderId="21" xfId="0" applyNumberFormat="1" applyFont="1" applyBorder="1" applyAlignment="1">
      <alignment horizontal="center" wrapText="1"/>
    </xf>
    <xf numFmtId="3" fontId="38" fillId="0" borderId="17" xfId="0" applyNumberFormat="1" applyFont="1" applyBorder="1" applyAlignment="1">
      <alignment horizontal="center" wrapText="1"/>
    </xf>
    <xf numFmtId="3" fontId="39" fillId="0" borderId="29" xfId="0" applyNumberFormat="1" applyFont="1" applyBorder="1" applyAlignment="1">
      <alignment horizontal="center"/>
    </xf>
    <xf numFmtId="0" fontId="38" fillId="0" borderId="6" xfId="0" applyFont="1" applyBorder="1" applyAlignment="1">
      <alignment horizontal="center" vertical="center" wrapText="1"/>
    </xf>
    <xf numFmtId="3" fontId="38" fillId="0" borderId="31" xfId="0" applyNumberFormat="1" applyFont="1" applyBorder="1" applyAlignment="1">
      <alignment horizontal="center" wrapText="1"/>
    </xf>
    <xf numFmtId="3" fontId="38" fillId="0" borderId="6" xfId="0" applyNumberFormat="1" applyFont="1" applyBorder="1" applyAlignment="1">
      <alignment horizontal="center" wrapText="1"/>
    </xf>
    <xf numFmtId="3" fontId="38" fillId="0" borderId="5" xfId="0" applyNumberFormat="1" applyFont="1" applyBorder="1" applyAlignment="1">
      <alignment horizontal="center" wrapText="1"/>
    </xf>
    <xf numFmtId="3" fontId="38" fillId="0" borderId="32" xfId="0" applyNumberFormat="1" applyFont="1" applyBorder="1" applyAlignment="1">
      <alignment horizontal="center" wrapText="1"/>
    </xf>
    <xf numFmtId="3" fontId="39" fillId="0" borderId="31" xfId="0" applyNumberFormat="1" applyFont="1" applyBorder="1" applyAlignment="1">
      <alignment horizontal="center"/>
    </xf>
    <xf numFmtId="3" fontId="38" fillId="12" borderId="34" xfId="0" applyNumberFormat="1" applyFont="1" applyFill="1" applyBorder="1" applyAlignment="1">
      <alignment horizontal="center" wrapText="1"/>
    </xf>
    <xf numFmtId="3" fontId="38" fillId="12" borderId="35" xfId="0" applyNumberFormat="1" applyFont="1" applyFill="1" applyBorder="1" applyAlignment="1">
      <alignment horizontal="center" wrapText="1"/>
    </xf>
    <xf numFmtId="3" fontId="38" fillId="13" borderId="36" xfId="0" applyNumberFormat="1" applyFont="1" applyFill="1" applyBorder="1" applyAlignment="1">
      <alignment horizontal="center" wrapText="1"/>
    </xf>
    <xf numFmtId="3" fontId="38" fillId="13" borderId="37" xfId="0" applyNumberFormat="1" applyFont="1" applyFill="1" applyBorder="1" applyAlignment="1">
      <alignment horizontal="center" wrapText="1"/>
    </xf>
    <xf numFmtId="0" fontId="41" fillId="0" borderId="6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9" fontId="42" fillId="0" borderId="6" xfId="0" applyNumberFormat="1" applyFont="1" applyBorder="1" applyAlignment="1">
      <alignment vertical="center"/>
    </xf>
    <xf numFmtId="0" fontId="25" fillId="0" borderId="43" xfId="0" applyFont="1" applyBorder="1" applyAlignment="1">
      <alignment horizontal="center" vertical="center"/>
    </xf>
    <xf numFmtId="4" fontId="43" fillId="7" borderId="43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right" vertical="center"/>
    </xf>
    <xf numFmtId="0" fontId="44" fillId="0" borderId="0" xfId="0" applyFont="1" applyAlignment="1">
      <alignment horizontal="left" vertical="center" wrapText="1"/>
    </xf>
    <xf numFmtId="0" fontId="44" fillId="0" borderId="0" xfId="0" applyFont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10" fontId="0" fillId="0" borderId="0" xfId="4" applyNumberFormat="1" applyFont="1" applyAlignment="1">
      <alignment vertical="center"/>
    </xf>
    <xf numFmtId="0" fontId="0" fillId="14" borderId="44" xfId="0" applyFill="1" applyBorder="1" applyAlignment="1">
      <alignment vertical="center"/>
    </xf>
    <xf numFmtId="0" fontId="0" fillId="14" borderId="45" xfId="0" applyFill="1" applyBorder="1" applyAlignment="1">
      <alignment horizontal="right" vertical="center"/>
    </xf>
    <xf numFmtId="4" fontId="0" fillId="14" borderId="46" xfId="0" applyNumberFormat="1" applyFill="1" applyBorder="1" applyAlignment="1">
      <alignment horizontal="center" vertical="center"/>
    </xf>
    <xf numFmtId="0" fontId="0" fillId="14" borderId="47" xfId="0" applyFill="1" applyBorder="1" applyAlignment="1">
      <alignment vertical="center"/>
    </xf>
    <xf numFmtId="0" fontId="45" fillId="14" borderId="0" xfId="0" applyFont="1" applyFill="1" applyAlignment="1">
      <alignment horizontal="right" vertical="center"/>
    </xf>
    <xf numFmtId="169" fontId="46" fillId="14" borderId="48" xfId="0" applyNumberFormat="1" applyFont="1" applyFill="1" applyBorder="1" applyAlignment="1">
      <alignment horizontal="center" vertical="center"/>
    </xf>
    <xf numFmtId="0" fontId="0" fillId="14" borderId="47" xfId="0" applyFill="1" applyBorder="1"/>
    <xf numFmtId="0" fontId="0" fillId="14" borderId="0" xfId="0" applyFill="1" applyAlignment="1">
      <alignment horizontal="right"/>
    </xf>
    <xf numFmtId="169" fontId="0" fillId="14" borderId="48" xfId="0" applyNumberFormat="1" applyFill="1" applyBorder="1" applyAlignment="1">
      <alignment horizontal="center" vertical="center"/>
    </xf>
    <xf numFmtId="0" fontId="47" fillId="0" borderId="0" xfId="0" applyFont="1" applyAlignment="1">
      <alignment horizontal="right"/>
    </xf>
    <xf numFmtId="165" fontId="48" fillId="0" borderId="0" xfId="0" applyNumberFormat="1" applyFont="1" applyAlignment="1">
      <alignment horizontal="left"/>
    </xf>
    <xf numFmtId="169" fontId="42" fillId="14" borderId="48" xfId="0" applyNumberFormat="1" applyFont="1" applyFill="1" applyBorder="1" applyAlignment="1">
      <alignment horizontal="center" vertical="center"/>
    </xf>
    <xf numFmtId="0" fontId="0" fillId="14" borderId="49" xfId="0" applyFill="1" applyBorder="1"/>
    <xf numFmtId="0" fontId="0" fillId="14" borderId="50" xfId="0" applyFill="1" applyBorder="1" applyAlignment="1">
      <alignment horizontal="right"/>
    </xf>
    <xf numFmtId="169" fontId="42" fillId="14" borderId="51" xfId="0" applyNumberFormat="1" applyFont="1" applyFill="1" applyBorder="1" applyAlignment="1">
      <alignment horizontal="center" vertical="center"/>
    </xf>
    <xf numFmtId="0" fontId="49" fillId="0" borderId="0" xfId="0" applyFont="1" applyAlignment="1">
      <alignment horizontal="center"/>
    </xf>
    <xf numFmtId="4" fontId="9" fillId="0" borderId="0" xfId="0" applyNumberFormat="1" applyFont="1" applyAlignment="1">
      <alignment horizontal="center"/>
    </xf>
    <xf numFmtId="165" fontId="47" fillId="0" borderId="0" xfId="0" applyNumberFormat="1" applyFont="1" applyAlignment="1">
      <alignment horizontal="left"/>
    </xf>
    <xf numFmtId="0" fontId="50" fillId="0" borderId="0" xfId="0" applyFont="1" applyAlignment="1">
      <alignment horizontal="left" vertical="center"/>
    </xf>
    <xf numFmtId="0" fontId="5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" fontId="0" fillId="8" borderId="0" xfId="0" applyNumberForma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72" fontId="8" fillId="0" borderId="3" xfId="0" applyNumberFormat="1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right" wrapText="1"/>
    </xf>
    <xf numFmtId="4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right" wrapText="1"/>
    </xf>
    <xf numFmtId="4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52" fillId="0" borderId="3" xfId="0" applyFont="1" applyBorder="1" applyAlignment="1">
      <alignment horizontal="left" vertical="center" wrapText="1" readingOrder="1"/>
    </xf>
    <xf numFmtId="0" fontId="52" fillId="9" borderId="3" xfId="0" applyFont="1" applyFill="1" applyBorder="1" applyAlignment="1">
      <alignment horizontal="left" vertical="center" wrapText="1" readingOrder="1"/>
    </xf>
    <xf numFmtId="0" fontId="53" fillId="0" borderId="3" xfId="0" applyFont="1" applyBorder="1" applyAlignment="1">
      <alignment horizontal="left" vertical="center" wrapText="1" readingOrder="1"/>
    </xf>
    <xf numFmtId="0" fontId="53" fillId="9" borderId="3" xfId="0" applyFont="1" applyFill="1" applyBorder="1" applyAlignment="1">
      <alignment horizontal="left" vertical="center" wrapText="1" readingOrder="1"/>
    </xf>
    <xf numFmtId="0" fontId="52" fillId="9" borderId="5" xfId="0" applyFont="1" applyFill="1" applyBorder="1" applyAlignment="1">
      <alignment horizontal="left" vertical="center" wrapText="1" readingOrder="1"/>
    </xf>
    <xf numFmtId="0" fontId="52" fillId="9" borderId="6" xfId="0" applyFont="1" applyFill="1" applyBorder="1" applyAlignment="1">
      <alignment horizontal="left" vertical="center" wrapText="1" readingOrder="1"/>
    </xf>
    <xf numFmtId="0" fontId="53" fillId="9" borderId="4" xfId="0" applyFont="1" applyFill="1" applyBorder="1" applyAlignment="1">
      <alignment horizontal="left" vertical="center" wrapText="1" readingOrder="1"/>
    </xf>
    <xf numFmtId="0" fontId="53" fillId="9" borderId="7" xfId="0" applyFont="1" applyFill="1" applyBorder="1" applyAlignment="1">
      <alignment horizontal="left" vertical="center" wrapText="1" readingOrder="1"/>
    </xf>
    <xf numFmtId="0" fontId="52" fillId="15" borderId="52" xfId="0" applyFont="1" applyFill="1" applyBorder="1" applyAlignment="1">
      <alignment horizontal="left" vertical="center" wrapText="1" readingOrder="1"/>
    </xf>
    <xf numFmtId="0" fontId="49" fillId="0" borderId="0" xfId="0" applyFont="1" applyAlignment="1">
      <alignment horizontal="left" vertical="center"/>
    </xf>
    <xf numFmtId="0" fontId="54" fillId="0" borderId="0" xfId="0" applyFont="1"/>
    <xf numFmtId="0" fontId="55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171" fontId="42" fillId="0" borderId="0" xfId="0" applyNumberFormat="1" applyFont="1" applyAlignment="1">
      <alignment horizontal="center"/>
    </xf>
    <xf numFmtId="0" fontId="51" fillId="0" borderId="0" xfId="0" applyFont="1" applyAlignment="1">
      <alignment horizontal="right" vertical="center"/>
    </xf>
    <xf numFmtId="0" fontId="58" fillId="0" borderId="0" xfId="0" applyFont="1"/>
    <xf numFmtId="0" fontId="5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4" fontId="18" fillId="4" borderId="10" xfId="2" applyNumberFormat="1" applyAlignment="1">
      <alignment horizontal="center"/>
    </xf>
    <xf numFmtId="165" fontId="25" fillId="0" borderId="0" xfId="0" applyNumberFormat="1" applyFont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0" fontId="23" fillId="5" borderId="0" xfId="3" applyFont="1" applyBorder="1" applyAlignment="1">
      <alignment horizontal="center"/>
    </xf>
    <xf numFmtId="0" fontId="23" fillId="5" borderId="0" xfId="3" applyFont="1" applyBorder="1" applyAlignment="1">
      <alignment horizontal="center" vertical="center"/>
    </xf>
    <xf numFmtId="0" fontId="35" fillId="10" borderId="3" xfId="0" applyFont="1" applyFill="1" applyBorder="1" applyAlignment="1">
      <alignment horizontal="center"/>
    </xf>
    <xf numFmtId="0" fontId="37" fillId="6" borderId="17" xfId="0" applyFont="1" applyFill="1" applyBorder="1" applyAlignment="1">
      <alignment horizontal="center" vertical="center" wrapText="1"/>
    </xf>
    <xf numFmtId="0" fontId="37" fillId="6" borderId="23" xfId="0" applyFont="1" applyFill="1" applyBorder="1" applyAlignment="1">
      <alignment horizontal="center" vertical="center" wrapText="1"/>
    </xf>
    <xf numFmtId="0" fontId="37" fillId="6" borderId="18" xfId="0" applyFont="1" applyFill="1" applyBorder="1" applyAlignment="1">
      <alignment horizontal="center" vertical="center" wrapText="1"/>
    </xf>
    <xf numFmtId="0" fontId="37" fillId="6" borderId="24" xfId="0" applyFont="1" applyFill="1" applyBorder="1" applyAlignment="1">
      <alignment horizontal="center" vertical="center" wrapText="1"/>
    </xf>
    <xf numFmtId="3" fontId="38" fillId="6" borderId="18" xfId="0" applyNumberFormat="1" applyFont="1" applyFill="1" applyBorder="1" applyAlignment="1">
      <alignment horizontal="center" vertical="center" wrapText="1"/>
    </xf>
    <xf numFmtId="3" fontId="38" fillId="6" borderId="24" xfId="0" applyNumberFormat="1" applyFont="1" applyFill="1" applyBorder="1" applyAlignment="1">
      <alignment horizontal="center" vertical="center" wrapText="1"/>
    </xf>
    <xf numFmtId="0" fontId="37" fillId="6" borderId="19" xfId="0" applyFont="1" applyFill="1" applyBorder="1" applyAlignment="1">
      <alignment horizontal="center" vertical="center" wrapText="1"/>
    </xf>
    <xf numFmtId="0" fontId="37" fillId="6" borderId="20" xfId="0" applyFont="1" applyFill="1" applyBorder="1" applyAlignment="1">
      <alignment horizontal="center" vertical="center" wrapText="1"/>
    </xf>
    <xf numFmtId="0" fontId="37" fillId="6" borderId="21" xfId="0" applyFont="1" applyFill="1" applyBorder="1" applyAlignment="1">
      <alignment horizontal="center" vertical="center" wrapText="1"/>
    </xf>
    <xf numFmtId="0" fontId="37" fillId="6" borderId="22" xfId="0" applyFont="1" applyFill="1" applyBorder="1" applyAlignment="1">
      <alignment horizontal="center" vertical="center" wrapText="1"/>
    </xf>
    <xf numFmtId="0" fontId="37" fillId="6" borderId="12" xfId="0" applyFont="1" applyFill="1" applyBorder="1" applyAlignment="1">
      <alignment horizontal="center" vertical="center" wrapText="1"/>
    </xf>
    <xf numFmtId="0" fontId="37" fillId="6" borderId="30" xfId="0" applyFont="1" applyFill="1" applyBorder="1" applyAlignment="1">
      <alignment horizontal="center" vertical="center" wrapText="1"/>
    </xf>
    <xf numFmtId="0" fontId="37" fillId="6" borderId="13" xfId="0" applyFont="1" applyFill="1" applyBorder="1" applyAlignment="1">
      <alignment horizontal="center" vertical="center" wrapText="1"/>
    </xf>
    <xf numFmtId="0" fontId="40" fillId="0" borderId="33" xfId="0" applyFont="1" applyBorder="1" applyAlignment="1">
      <alignment horizontal="center"/>
    </xf>
    <xf numFmtId="0" fontId="38" fillId="11" borderId="2" xfId="0" applyFont="1" applyFill="1" applyBorder="1" applyAlignment="1">
      <alignment horizontal="right" vertical="center" wrapText="1"/>
    </xf>
    <xf numFmtId="0" fontId="38" fillId="11" borderId="9" xfId="0" applyFont="1" applyFill="1" applyBorder="1" applyAlignment="1">
      <alignment horizontal="right" vertical="center" wrapText="1"/>
    </xf>
    <xf numFmtId="0" fontId="42" fillId="0" borderId="38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169" fontId="37" fillId="12" borderId="40" xfId="0" applyNumberFormat="1" applyFont="1" applyFill="1" applyBorder="1" applyAlignment="1">
      <alignment horizontal="center" wrapText="1"/>
    </xf>
    <xf numFmtId="169" fontId="37" fillId="12" borderId="41" xfId="0" applyNumberFormat="1" applyFont="1" applyFill="1" applyBorder="1" applyAlignment="1">
      <alignment horizontal="center" wrapText="1"/>
    </xf>
    <xf numFmtId="169" fontId="37" fillId="13" borderId="40" xfId="0" applyNumberFormat="1" applyFont="1" applyFill="1" applyBorder="1" applyAlignment="1">
      <alignment horizontal="center" wrapText="1"/>
    </xf>
    <xf numFmtId="169" fontId="37" fillId="13" borderId="42" xfId="0" applyNumberFormat="1" applyFont="1" applyFill="1" applyBorder="1" applyAlignment="1">
      <alignment horizont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</cellXfs>
  <cellStyles count="5">
    <cellStyle name="Bueno" xfId="1" builtinId="26"/>
    <cellStyle name="Cálculo" xfId="2" builtinId="22"/>
    <cellStyle name="Neutral" xfId="3" builtinId="28"/>
    <cellStyle name="Normal" xfId="0" builtinId="0"/>
    <cellStyle name="Porcentaje" xfId="4" builtinId="5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82825</xdr:colOff>
      <xdr:row>5</xdr:row>
      <xdr:rowOff>132522</xdr:rowOff>
    </xdr:from>
    <xdr:to>
      <xdr:col>8</xdr:col>
      <xdr:colOff>41412</xdr:colOff>
      <xdr:row>5</xdr:row>
      <xdr:rowOff>132522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3E3622CD-F207-ACD5-439A-7C3504A31008}"/>
            </a:ext>
          </a:extLst>
        </xdr:cNvPr>
        <xdr:cNvCxnSpPr/>
      </xdr:nvCxnSpPr>
      <xdr:spPr>
        <a:xfrm flipH="1">
          <a:off x="10096499" y="1118152"/>
          <a:ext cx="57150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86138</xdr:colOff>
      <xdr:row>6</xdr:row>
      <xdr:rowOff>135831</xdr:rowOff>
    </xdr:from>
    <xdr:to>
      <xdr:col>8</xdr:col>
      <xdr:colOff>44725</xdr:colOff>
      <xdr:row>6</xdr:row>
      <xdr:rowOff>135831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7611BA44-DD87-4B38-8333-FA6CDEE3BFB9}"/>
            </a:ext>
          </a:extLst>
        </xdr:cNvPr>
        <xdr:cNvCxnSpPr/>
      </xdr:nvCxnSpPr>
      <xdr:spPr>
        <a:xfrm flipH="1">
          <a:off x="10099812" y="1369940"/>
          <a:ext cx="57150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81169</xdr:colOff>
      <xdr:row>7</xdr:row>
      <xdr:rowOff>122581</xdr:rowOff>
    </xdr:from>
    <xdr:to>
      <xdr:col>8</xdr:col>
      <xdr:colOff>39756</xdr:colOff>
      <xdr:row>7</xdr:row>
      <xdr:rowOff>122581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2BB52F89-5075-42F1-9249-5D007C918E06}"/>
            </a:ext>
          </a:extLst>
        </xdr:cNvPr>
        <xdr:cNvCxnSpPr/>
      </xdr:nvCxnSpPr>
      <xdr:spPr>
        <a:xfrm flipH="1">
          <a:off x="10094843" y="1605168"/>
          <a:ext cx="571500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486049</xdr:colOff>
      <xdr:row>40</xdr:row>
      <xdr:rowOff>125990</xdr:rowOff>
    </xdr:from>
    <xdr:to>
      <xdr:col>11</xdr:col>
      <xdr:colOff>141812</xdr:colOff>
      <xdr:row>40</xdr:row>
      <xdr:rowOff>125990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CA5E6F04-0F86-4192-A66A-764BB336E369}"/>
            </a:ext>
          </a:extLst>
        </xdr:cNvPr>
        <xdr:cNvCxnSpPr/>
      </xdr:nvCxnSpPr>
      <xdr:spPr>
        <a:xfrm>
          <a:off x="12921889" y="8804081"/>
          <a:ext cx="265363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1391478</xdr:colOff>
      <xdr:row>11</xdr:row>
      <xdr:rowOff>99390</xdr:rowOff>
    </xdr:from>
    <xdr:to>
      <xdr:col>5</xdr:col>
      <xdr:colOff>389283</xdr:colOff>
      <xdr:row>11</xdr:row>
      <xdr:rowOff>99390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4055992D-D42E-4F78-A0B2-6E2148CABCA1}"/>
            </a:ext>
          </a:extLst>
        </xdr:cNvPr>
        <xdr:cNvCxnSpPr/>
      </xdr:nvCxnSpPr>
      <xdr:spPr>
        <a:xfrm>
          <a:off x="4489008" y="2884500"/>
          <a:ext cx="20934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1237422</xdr:colOff>
      <xdr:row>11</xdr:row>
      <xdr:rowOff>102704</xdr:rowOff>
    </xdr:from>
    <xdr:to>
      <xdr:col>7</xdr:col>
      <xdr:colOff>207066</xdr:colOff>
      <xdr:row>11</xdr:row>
      <xdr:rowOff>102704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D2909FDE-D7F5-49DF-894D-DED1EC42FBC2}"/>
            </a:ext>
          </a:extLst>
        </xdr:cNvPr>
        <xdr:cNvCxnSpPr/>
      </xdr:nvCxnSpPr>
      <xdr:spPr>
        <a:xfrm>
          <a:off x="7436292" y="2885909"/>
          <a:ext cx="18271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1394791</xdr:colOff>
      <xdr:row>12</xdr:row>
      <xdr:rowOff>102702</xdr:rowOff>
    </xdr:from>
    <xdr:to>
      <xdr:col>5</xdr:col>
      <xdr:colOff>392596</xdr:colOff>
      <xdr:row>12</xdr:row>
      <xdr:rowOff>102702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4BFFC953-0EE8-4EC5-B81E-5C64E7658187}"/>
            </a:ext>
          </a:extLst>
        </xdr:cNvPr>
        <xdr:cNvCxnSpPr/>
      </xdr:nvCxnSpPr>
      <xdr:spPr>
        <a:xfrm>
          <a:off x="4492321" y="3076407"/>
          <a:ext cx="209343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1240735</xdr:colOff>
      <xdr:row>12</xdr:row>
      <xdr:rowOff>106016</xdr:rowOff>
    </xdr:from>
    <xdr:to>
      <xdr:col>7</xdr:col>
      <xdr:colOff>210379</xdr:colOff>
      <xdr:row>12</xdr:row>
      <xdr:rowOff>106016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02627C4E-B03E-423E-A7BB-D52E095FEF97}"/>
            </a:ext>
          </a:extLst>
        </xdr:cNvPr>
        <xdr:cNvCxnSpPr/>
      </xdr:nvCxnSpPr>
      <xdr:spPr>
        <a:xfrm>
          <a:off x="7439605" y="3079721"/>
          <a:ext cx="1827144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25791</xdr:colOff>
      <xdr:row>10</xdr:row>
      <xdr:rowOff>117231</xdr:rowOff>
    </xdr:from>
    <xdr:to>
      <xdr:col>9</xdr:col>
      <xdr:colOff>720969</xdr:colOff>
      <xdr:row>12</xdr:row>
      <xdr:rowOff>117231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1EAF43BE-B005-47A5-A3FF-070B832E936B}"/>
            </a:ext>
          </a:extLst>
        </xdr:cNvPr>
        <xdr:cNvCxnSpPr/>
      </xdr:nvCxnSpPr>
      <xdr:spPr>
        <a:xfrm flipV="1">
          <a:off x="10002276" y="2708031"/>
          <a:ext cx="1455273" cy="381000"/>
        </a:xfrm>
        <a:prstGeom prst="straightConnector1">
          <a:avLst/>
        </a:prstGeom>
        <a:ln>
          <a:solidFill>
            <a:srgbClr val="FF0000"/>
          </a:solidFill>
          <a:prstDash val="lg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560657</xdr:colOff>
      <xdr:row>7</xdr:row>
      <xdr:rowOff>97595</xdr:rowOff>
    </xdr:from>
    <xdr:to>
      <xdr:col>9</xdr:col>
      <xdr:colOff>713339</xdr:colOff>
      <xdr:row>8</xdr:row>
      <xdr:rowOff>158262</xdr:rowOff>
    </xdr:to>
    <xdr:sp macro="" textlink="">
      <xdr:nvSpPr>
        <xdr:cNvPr id="7" name="Flecha: curvada hacia la derecha 6">
          <a:extLst>
            <a:ext uri="{FF2B5EF4-FFF2-40B4-BE49-F238E27FC236}">
              <a16:creationId xmlns:a16="http://schemas.microsoft.com/office/drawing/2014/main" id="{3E4CB6D7-BB99-4F5E-BB43-DD24DBDBF2D7}"/>
            </a:ext>
          </a:extLst>
        </xdr:cNvPr>
        <xdr:cNvSpPr/>
      </xdr:nvSpPr>
      <xdr:spPr>
        <a:xfrm>
          <a:off x="11299142" y="2120705"/>
          <a:ext cx="152682" cy="245452"/>
        </a:xfrm>
        <a:prstGeom prst="curvedRightArrow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197233</xdr:colOff>
      <xdr:row>21</xdr:row>
      <xdr:rowOff>73621</xdr:rowOff>
    </xdr:from>
    <xdr:to>
      <xdr:col>5</xdr:col>
      <xdr:colOff>1367569</xdr:colOff>
      <xdr:row>53</xdr:row>
      <xdr:rowOff>72917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4C6B685-23A9-14FB-67C7-CD2462325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233" y="4340821"/>
          <a:ext cx="7351613" cy="53718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</xdr:col>
      <xdr:colOff>681989</xdr:colOff>
      <xdr:row>50</xdr:row>
      <xdr:rowOff>23446</xdr:rowOff>
    </xdr:from>
    <xdr:to>
      <xdr:col>3</xdr:col>
      <xdr:colOff>11722</xdr:colOff>
      <xdr:row>52</xdr:row>
      <xdr:rowOff>115703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5C8E7DBC-9487-4597-BF9F-8B4826515C3E}"/>
            </a:ext>
          </a:extLst>
        </xdr:cNvPr>
        <xdr:cNvSpPr/>
      </xdr:nvSpPr>
      <xdr:spPr>
        <a:xfrm>
          <a:off x="2698358" y="8974015"/>
          <a:ext cx="402395" cy="408780"/>
        </a:xfrm>
        <a:prstGeom prst="ellipse">
          <a:avLst/>
        </a:prstGeom>
        <a:noFill/>
        <a:ln w="19050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903044</xdr:colOff>
      <xdr:row>51</xdr:row>
      <xdr:rowOff>113039</xdr:rowOff>
    </xdr:from>
    <xdr:to>
      <xdr:col>2</xdr:col>
      <xdr:colOff>961293</xdr:colOff>
      <xdr:row>54</xdr:row>
      <xdr:rowOff>128954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46A2F482-A925-4927-B3C8-A2ECD5EF423C}"/>
            </a:ext>
          </a:extLst>
        </xdr:cNvPr>
        <xdr:cNvCxnSpPr/>
      </xdr:nvCxnSpPr>
      <xdr:spPr>
        <a:xfrm flipH="1" flipV="1">
          <a:off x="2919413" y="9221870"/>
          <a:ext cx="58249" cy="490699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0</xdr:colOff>
      <xdr:row>56</xdr:row>
      <xdr:rowOff>0</xdr:rowOff>
    </xdr:from>
    <xdr:to>
      <xdr:col>15</xdr:col>
      <xdr:colOff>308145</xdr:colOff>
      <xdr:row>78</xdr:row>
      <xdr:rowOff>154854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E8E5BD7-8EDC-6CBB-1BF9-1D6335325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2200" y="10352314"/>
          <a:ext cx="6420746" cy="78401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227382</xdr:colOff>
      <xdr:row>7</xdr:row>
      <xdr:rowOff>0</xdr:rowOff>
    </xdr:from>
    <xdr:to>
      <xdr:col>31</xdr:col>
      <xdr:colOff>604972</xdr:colOff>
      <xdr:row>28</xdr:row>
      <xdr:rowOff>148744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053EB99-2D94-6373-0992-A8E2B49F6A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997" b="14005"/>
        <a:stretch>
          <a:fillRect/>
        </a:stretch>
      </xdr:blipFill>
      <xdr:spPr>
        <a:xfrm>
          <a:off x="13703896" y="1382486"/>
          <a:ext cx="7988065" cy="386633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285750</xdr:colOff>
      <xdr:row>1</xdr:row>
      <xdr:rowOff>55495</xdr:rowOff>
    </xdr:from>
    <xdr:to>
      <xdr:col>20</xdr:col>
      <xdr:colOff>651529</xdr:colOff>
      <xdr:row>26</xdr:row>
      <xdr:rowOff>150357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55E89B-9FAD-D228-035A-BE935D091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91150" y="217420"/>
          <a:ext cx="7987684" cy="461281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22</xdr:col>
      <xdr:colOff>156331</xdr:colOff>
      <xdr:row>16</xdr:row>
      <xdr:rowOff>51302</xdr:rowOff>
    </xdr:from>
    <xdr:to>
      <xdr:col>22</xdr:col>
      <xdr:colOff>575145</xdr:colOff>
      <xdr:row>18</xdr:row>
      <xdr:rowOff>122222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26CE7042-6580-AF55-4888-B1253C8981F6}"/>
            </a:ext>
          </a:extLst>
        </xdr:cNvPr>
        <xdr:cNvSpPr/>
      </xdr:nvSpPr>
      <xdr:spPr>
        <a:xfrm>
          <a:off x="14417763" y="3015081"/>
          <a:ext cx="418814" cy="439888"/>
        </a:xfrm>
        <a:prstGeom prst="ellipse">
          <a:avLst/>
        </a:prstGeom>
        <a:noFill/>
        <a:ln w="19050">
          <a:solidFill>
            <a:srgbClr val="00B05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22</xdr:col>
      <xdr:colOff>361936</xdr:colOff>
      <xdr:row>18</xdr:row>
      <xdr:rowOff>10503</xdr:rowOff>
    </xdr:from>
    <xdr:to>
      <xdr:col>22</xdr:col>
      <xdr:colOff>753624</xdr:colOff>
      <xdr:row>20</xdr:row>
      <xdr:rowOff>100263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8E1FA659-F34A-4AF6-9191-180599577796}"/>
            </a:ext>
          </a:extLst>
        </xdr:cNvPr>
        <xdr:cNvSpPr/>
      </xdr:nvSpPr>
      <xdr:spPr>
        <a:xfrm>
          <a:off x="14623368" y="3343250"/>
          <a:ext cx="391688" cy="442687"/>
        </a:xfrm>
        <a:prstGeom prst="ellipse">
          <a:avLst/>
        </a:prstGeom>
        <a:noFill/>
        <a:ln w="19050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0</xdr:col>
      <xdr:colOff>165652</xdr:colOff>
      <xdr:row>33</xdr:row>
      <xdr:rowOff>158682</xdr:rowOff>
    </xdr:from>
    <xdr:to>
      <xdr:col>10</xdr:col>
      <xdr:colOff>643475</xdr:colOff>
      <xdr:row>58</xdr:row>
      <xdr:rowOff>34381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87008E-564A-9D60-3330-0B185F9A3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652" y="5873682"/>
          <a:ext cx="5574195" cy="4543280"/>
        </a:xfrm>
        <a:prstGeom prst="rect">
          <a:avLst/>
        </a:prstGeom>
      </xdr:spPr>
    </xdr:pic>
    <xdr:clientData/>
  </xdr:twoCellAnchor>
  <xdr:twoCellAnchor>
    <xdr:from>
      <xdr:col>3</xdr:col>
      <xdr:colOff>45983</xdr:colOff>
      <xdr:row>53</xdr:row>
      <xdr:rowOff>118241</xdr:rowOff>
    </xdr:from>
    <xdr:to>
      <xdr:col>4</xdr:col>
      <xdr:colOff>159199</xdr:colOff>
      <xdr:row>56</xdr:row>
      <xdr:rowOff>166052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778CED55-17CC-4BAA-A62C-F03D9520D57C}"/>
            </a:ext>
          </a:extLst>
        </xdr:cNvPr>
        <xdr:cNvSpPr/>
      </xdr:nvSpPr>
      <xdr:spPr>
        <a:xfrm>
          <a:off x="2016673" y="9498724"/>
          <a:ext cx="559905" cy="560190"/>
        </a:xfrm>
        <a:prstGeom prst="ellipse">
          <a:avLst/>
        </a:prstGeom>
        <a:noFill/>
        <a:ln w="19050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133351</xdr:colOff>
      <xdr:row>63</xdr:row>
      <xdr:rowOff>85725</xdr:rowOff>
    </xdr:from>
    <xdr:to>
      <xdr:col>10</xdr:col>
      <xdr:colOff>690223</xdr:colOff>
      <xdr:row>93</xdr:row>
      <xdr:rowOff>155108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BD7118B-86E2-7FEA-EDC4-4C29CB630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51" y="11163300"/>
          <a:ext cx="5669892" cy="5125476"/>
        </a:xfrm>
        <a:prstGeom prst="rect">
          <a:avLst/>
        </a:prstGeom>
      </xdr:spPr>
    </xdr:pic>
    <xdr:clientData/>
  </xdr:twoCellAnchor>
  <xdr:twoCellAnchor>
    <xdr:from>
      <xdr:col>2</xdr:col>
      <xdr:colOff>367225</xdr:colOff>
      <xdr:row>85</xdr:row>
      <xdr:rowOff>116060</xdr:rowOff>
    </xdr:from>
    <xdr:to>
      <xdr:col>3</xdr:col>
      <xdr:colOff>370035</xdr:colOff>
      <xdr:row>88</xdr:row>
      <xdr:rowOff>78106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BD1835CF-871C-4A92-9CF3-DA83B00B4BE5}"/>
            </a:ext>
          </a:extLst>
        </xdr:cNvPr>
        <xdr:cNvSpPr/>
      </xdr:nvSpPr>
      <xdr:spPr>
        <a:xfrm>
          <a:off x="1891225" y="15303306"/>
          <a:ext cx="454148" cy="436831"/>
        </a:xfrm>
        <a:prstGeom prst="ellipse">
          <a:avLst/>
        </a:prstGeom>
        <a:noFill/>
        <a:ln w="19050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740229</xdr:colOff>
      <xdr:row>13</xdr:row>
      <xdr:rowOff>126274</xdr:rowOff>
    </xdr:from>
    <xdr:to>
      <xdr:col>22</xdr:col>
      <xdr:colOff>343989</xdr:colOff>
      <xdr:row>16</xdr:row>
      <xdr:rowOff>152400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C4A66FC9-A6AB-8A59-F2B8-6BCF2D328F63}"/>
            </a:ext>
          </a:extLst>
        </xdr:cNvPr>
        <xdr:cNvCxnSpPr/>
      </xdr:nvCxnSpPr>
      <xdr:spPr>
        <a:xfrm>
          <a:off x="14234160" y="2542903"/>
          <a:ext cx="365760" cy="548640"/>
        </a:xfrm>
        <a:prstGeom prst="straightConnector1">
          <a:avLst/>
        </a:prstGeom>
        <a:ln w="57150">
          <a:solidFill>
            <a:srgbClr val="00B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650984</xdr:colOff>
      <xdr:row>18</xdr:row>
      <xdr:rowOff>145700</xdr:rowOff>
    </xdr:from>
    <xdr:to>
      <xdr:col>23</xdr:col>
      <xdr:colOff>457199</xdr:colOff>
      <xdr:row>19</xdr:row>
      <xdr:rowOff>23236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97D1A508-326E-404F-A7CA-7DFEB947BF60}"/>
            </a:ext>
          </a:extLst>
        </xdr:cNvPr>
        <xdr:cNvCxnSpPr/>
      </xdr:nvCxnSpPr>
      <xdr:spPr>
        <a:xfrm flipH="1">
          <a:off x="14934543" y="3440693"/>
          <a:ext cx="568215" cy="50957"/>
        </a:xfrm>
        <a:prstGeom prst="straightConnector1">
          <a:avLst/>
        </a:prstGeom>
        <a:ln w="57150">
          <a:solidFill>
            <a:srgbClr val="FF0000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175700</xdr:colOff>
      <xdr:row>87</xdr:row>
      <xdr:rowOff>107895</xdr:rowOff>
    </xdr:from>
    <xdr:to>
      <xdr:col>3</xdr:col>
      <xdr:colOff>181708</xdr:colOff>
      <xdr:row>90</xdr:row>
      <xdr:rowOff>46892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7BD3A0C6-9789-4920-B423-FF9C84D558F9}"/>
            </a:ext>
          </a:extLst>
        </xdr:cNvPr>
        <xdr:cNvCxnSpPr/>
      </xdr:nvCxnSpPr>
      <xdr:spPr>
        <a:xfrm flipH="1" flipV="1">
          <a:off x="2151038" y="15611664"/>
          <a:ext cx="6008" cy="413782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351693</xdr:colOff>
      <xdr:row>56</xdr:row>
      <xdr:rowOff>58615</xdr:rowOff>
    </xdr:from>
    <xdr:to>
      <xdr:col>3</xdr:col>
      <xdr:colOff>355796</xdr:colOff>
      <xdr:row>58</xdr:row>
      <xdr:rowOff>116895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604899AE-CD01-425F-ABFB-D031FAB728E8}"/>
            </a:ext>
          </a:extLst>
        </xdr:cNvPr>
        <xdr:cNvCxnSpPr/>
      </xdr:nvCxnSpPr>
      <xdr:spPr>
        <a:xfrm flipH="1" flipV="1">
          <a:off x="2327031" y="10357338"/>
          <a:ext cx="4103" cy="409972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29135</xdr:colOff>
      <xdr:row>2</xdr:row>
      <xdr:rowOff>73959</xdr:rowOff>
    </xdr:from>
    <xdr:to>
      <xdr:col>11</xdr:col>
      <xdr:colOff>155507</xdr:colOff>
      <xdr:row>44</xdr:row>
      <xdr:rowOff>153969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75A8F2-1838-4845-B529-289CE75EA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76785" y="426384"/>
          <a:ext cx="7744467" cy="68008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bonilla\Desktop\EdP%20Rafael%20Ferm&#237;n\EdP%20Rafael%20Ferm&#237;n%202026\(B)%20-%20FEBRERO%20EdP%202026\535.2%20Guadalmar\535.2%20C&#225;lculo%20hidrol&#243;gico\C&#225;lculo%20Hidrol&#243;gico(nueva%20IC-5.2)_B_535.2.xlsx" TargetMode="External"/><Relationship Id="rId1" Type="http://schemas.openxmlformats.org/officeDocument/2006/relationships/externalLinkPath" Target="C&#225;lculo%20Hidrol&#243;gico(nueva%20IC-5.2)_B_535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culo Hidrológico T 25 - (A)"/>
      <sheetName val="Datos 1"/>
      <sheetName val="Datos 2"/>
      <sheetName val="SITUACIÓN"/>
    </sheetNames>
    <sheetDataSet>
      <sheetData sheetId="0">
        <row r="2">
          <cell r="B2" t="str">
            <v>CALCULO HIDROLOGICO: Mejora Carretera Guadalmar; 535.2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29DC-6BA3-4359-996E-771A6A9E7744}">
  <sheetPr>
    <tabColor rgb="FFFFFF00"/>
  </sheetPr>
  <dimension ref="B1:N75"/>
  <sheetViews>
    <sheetView tabSelected="1" zoomScaleNormal="100" workbookViewId="0">
      <selection activeCell="C9" sqref="C9"/>
    </sheetView>
  </sheetViews>
  <sheetFormatPr baseColWidth="10" defaultColWidth="9.140625" defaultRowHeight="12.75" x14ac:dyDescent="0.2"/>
  <cols>
    <col min="1" max="1" width="6" customWidth="1"/>
    <col min="2" max="2" width="46.28515625" customWidth="1"/>
    <col min="3" max="3" width="17.7109375" bestFit="1" customWidth="1"/>
    <col min="4" max="4" width="30.28515625" customWidth="1"/>
    <col min="5" max="5" width="7" style="7" customWidth="1"/>
    <col min="6" max="6" width="33.85546875" bestFit="1" customWidth="1"/>
    <col min="7" max="7" width="12.5703125" bestFit="1" customWidth="1"/>
    <col min="9" max="9" width="16.7109375" customWidth="1"/>
    <col min="11" max="13" width="9.140625" style="68"/>
    <col min="14" max="14" width="12" style="68" bestFit="1" customWidth="1"/>
  </cols>
  <sheetData>
    <row r="1" spans="2:14" x14ac:dyDescent="0.2">
      <c r="E1"/>
      <c r="F1" s="52" t="s">
        <v>51</v>
      </c>
      <c r="G1" s="51">
        <v>46079</v>
      </c>
      <c r="L1" s="129" t="s">
        <v>106</v>
      </c>
      <c r="M1" s="129" t="s">
        <v>107</v>
      </c>
      <c r="N1" s="129" t="s">
        <v>108</v>
      </c>
    </row>
    <row r="2" spans="2:14" ht="15" x14ac:dyDescent="0.25">
      <c r="B2" s="1" t="s">
        <v>95</v>
      </c>
      <c r="E2"/>
      <c r="F2" s="167" t="s">
        <v>94</v>
      </c>
      <c r="G2" s="167"/>
      <c r="K2" s="129" t="s">
        <v>97</v>
      </c>
      <c r="L2" s="68">
        <v>3.5030000000000001</v>
      </c>
    </row>
    <row r="3" spans="2:14" ht="15" customHeight="1" x14ac:dyDescent="0.2">
      <c r="B3" s="1"/>
      <c r="E3"/>
      <c r="F3" s="168" t="s">
        <v>96</v>
      </c>
      <c r="G3" s="168"/>
      <c r="K3" s="129" t="s">
        <v>98</v>
      </c>
      <c r="L3" s="68">
        <v>3.5</v>
      </c>
      <c r="M3" s="129" t="s">
        <v>103</v>
      </c>
      <c r="N3" s="68">
        <v>121</v>
      </c>
    </row>
    <row r="4" spans="2:14" ht="15" customHeight="1" thickBot="1" x14ac:dyDescent="0.25">
      <c r="B4" s="1" t="s">
        <v>0</v>
      </c>
      <c r="D4" s="4" t="s">
        <v>41</v>
      </c>
      <c r="E4"/>
      <c r="F4" s="168"/>
      <c r="G4" s="168"/>
      <c r="I4" s="134"/>
      <c r="K4" s="129" t="s">
        <v>99</v>
      </c>
      <c r="L4" s="68">
        <v>3.3410000000000002</v>
      </c>
      <c r="M4" s="129" t="s">
        <v>104</v>
      </c>
      <c r="N4" s="68">
        <v>83</v>
      </c>
    </row>
    <row r="5" spans="2:14" ht="20.100000000000001" customHeight="1" x14ac:dyDescent="0.2">
      <c r="E5"/>
      <c r="G5" s="5"/>
      <c r="I5" s="53" t="s">
        <v>52</v>
      </c>
      <c r="K5" s="129" t="s">
        <v>100</v>
      </c>
      <c r="L5" s="68">
        <v>3.6190000000000002</v>
      </c>
      <c r="M5" s="129" t="s">
        <v>105</v>
      </c>
      <c r="N5" s="68">
        <v>123</v>
      </c>
    </row>
    <row r="6" spans="2:14" s="45" customFormat="1" ht="20.100000000000001" customHeight="1" thickBot="1" x14ac:dyDescent="0.25">
      <c r="B6" s="44" t="s">
        <v>5</v>
      </c>
      <c r="F6" s="36" t="s">
        <v>17</v>
      </c>
      <c r="G6" s="133">
        <f>+I6/1000000</f>
        <v>7.4409999999999997E-3</v>
      </c>
      <c r="I6" s="54">
        <f>+'Datos 1'!C9</f>
        <v>7441</v>
      </c>
      <c r="J6" s="135" t="s">
        <v>175</v>
      </c>
      <c r="K6" s="129" t="s">
        <v>101</v>
      </c>
      <c r="L6" s="68">
        <v>3.5369999999999999</v>
      </c>
      <c r="M6" s="129" t="s">
        <v>109</v>
      </c>
      <c r="N6" s="68">
        <v>42</v>
      </c>
    </row>
    <row r="7" spans="2:14" s="45" customFormat="1" ht="20.100000000000001" customHeight="1" thickBot="1" x14ac:dyDescent="0.25">
      <c r="B7" s="44" t="s">
        <v>6</v>
      </c>
      <c r="F7" s="38" t="s">
        <v>26</v>
      </c>
      <c r="G7" s="37">
        <f>+I7/1000</f>
        <v>0.36899999999999999</v>
      </c>
      <c r="I7" s="55">
        <f>+N7</f>
        <v>369</v>
      </c>
      <c r="J7" s="135" t="s">
        <v>176</v>
      </c>
      <c r="K7" s="129"/>
      <c r="L7" s="68"/>
      <c r="N7" s="68">
        <f>+SUM(N2:N6)</f>
        <v>369</v>
      </c>
    </row>
    <row r="8" spans="2:14" s="45" customFormat="1" ht="20.100000000000001" customHeight="1" thickBot="1" x14ac:dyDescent="0.25">
      <c r="B8" s="44" t="s">
        <v>24</v>
      </c>
      <c r="C8" s="46"/>
      <c r="F8" s="38" t="s">
        <v>27</v>
      </c>
      <c r="G8" s="133">
        <f>+I8/100</f>
        <v>1.414634146341464E-3</v>
      </c>
      <c r="I8" s="56">
        <f>+N8</f>
        <v>0.14146341463414641</v>
      </c>
      <c r="J8" s="135" t="s">
        <v>177</v>
      </c>
      <c r="K8" s="129"/>
      <c r="L8" s="68"/>
      <c r="M8" s="68"/>
      <c r="N8" s="68">
        <f>100*(ABS(L2-L3)+ABS(L3-L4)+ABS(L4-L5)+ABS(L5-L6))/N7</f>
        <v>0.14146341463414641</v>
      </c>
    </row>
    <row r="9" spans="2:14" s="45" customFormat="1" ht="20.100000000000001" customHeight="1" x14ac:dyDescent="0.2">
      <c r="B9" s="44" t="s">
        <v>23</v>
      </c>
      <c r="C9" s="47">
        <f>1+((G9^1.25)/(G9^1.25+14))</f>
        <v>1.0283898209877864</v>
      </c>
      <c r="D9" s="48" t="s">
        <v>40</v>
      </c>
      <c r="E9" s="135" t="s">
        <v>173</v>
      </c>
      <c r="F9" s="38" t="s">
        <v>16</v>
      </c>
      <c r="G9" s="39">
        <f>0.3*(G7^0.76)*(G8^-0.19)</f>
        <v>0.48914645116786587</v>
      </c>
      <c r="H9" s="135" t="s">
        <v>98</v>
      </c>
      <c r="K9" s="129"/>
      <c r="L9" s="68"/>
      <c r="M9" s="68"/>
      <c r="N9" s="68"/>
    </row>
    <row r="10" spans="2:14" s="45" customFormat="1" ht="20.100000000000001" customHeight="1" x14ac:dyDescent="0.2">
      <c r="F10" s="41" t="s">
        <v>47</v>
      </c>
      <c r="G10" s="42">
        <f>C25</f>
        <v>9</v>
      </c>
      <c r="H10" s="135" t="s">
        <v>112</v>
      </c>
      <c r="K10" s="129"/>
      <c r="L10" s="68"/>
      <c r="M10" s="68"/>
      <c r="N10" s="68"/>
    </row>
    <row r="11" spans="2:14" s="45" customFormat="1" ht="20.100000000000001" customHeight="1" x14ac:dyDescent="0.2">
      <c r="B11" s="45" t="s">
        <v>1</v>
      </c>
      <c r="E11" s="49"/>
      <c r="F11" s="41" t="s">
        <v>48</v>
      </c>
      <c r="G11" s="39">
        <f>C21</f>
        <v>5.6864999999999997</v>
      </c>
      <c r="H11" s="135" t="s">
        <v>178</v>
      </c>
      <c r="K11" s="129"/>
      <c r="L11" s="68"/>
      <c r="M11" s="68"/>
      <c r="N11" s="68"/>
    </row>
    <row r="12" spans="2:14" s="45" customFormat="1" ht="20.100000000000001" customHeight="1" x14ac:dyDescent="0.2">
      <c r="D12" s="21"/>
      <c r="F12" s="41" t="s">
        <v>49</v>
      </c>
      <c r="G12" s="43">
        <f>C19</f>
        <v>75.095519100527312</v>
      </c>
      <c r="H12" s="135" t="s">
        <v>121</v>
      </c>
      <c r="K12" s="129"/>
      <c r="L12" s="68"/>
      <c r="M12" s="68"/>
      <c r="N12" s="68"/>
    </row>
    <row r="13" spans="2:14" s="45" customFormat="1" ht="20.100000000000001" customHeight="1" x14ac:dyDescent="0.2">
      <c r="B13" s="44" t="s">
        <v>26</v>
      </c>
      <c r="C13" s="50"/>
      <c r="F13" s="41" t="s">
        <v>50</v>
      </c>
      <c r="G13" s="39">
        <f>C39</f>
        <v>3.4417685794920043</v>
      </c>
      <c r="H13" s="135" t="s">
        <v>170</v>
      </c>
      <c r="K13" s="68"/>
      <c r="L13" s="68"/>
      <c r="M13" s="68"/>
      <c r="N13" s="68"/>
    </row>
    <row r="14" spans="2:14" s="45" customFormat="1" ht="20.100000000000001" customHeight="1" x14ac:dyDescent="0.2">
      <c r="B14" s="44" t="s">
        <v>27</v>
      </c>
      <c r="C14" s="50"/>
      <c r="F14" s="41" t="s">
        <v>19</v>
      </c>
      <c r="G14" s="39">
        <f>C38</f>
        <v>0.94387525418318674</v>
      </c>
      <c r="H14" s="135" t="s">
        <v>171</v>
      </c>
      <c r="K14" s="68"/>
      <c r="L14" s="68"/>
      <c r="M14" s="68"/>
      <c r="N14" s="68"/>
    </row>
    <row r="15" spans="2:14" s="45" customFormat="1" ht="20.100000000000001" customHeight="1" x14ac:dyDescent="0.2">
      <c r="B15" s="44" t="s">
        <v>7</v>
      </c>
      <c r="C15" s="47">
        <f>G9</f>
        <v>0.48914645116786587</v>
      </c>
      <c r="D15" s="20" t="s">
        <v>25</v>
      </c>
      <c r="E15" s="135" t="s">
        <v>124</v>
      </c>
      <c r="F15" s="34" t="s">
        <v>18</v>
      </c>
      <c r="G15" s="35">
        <f>((C19*C38*C9*G6)/3.6)</f>
        <v>0.15066597870842136</v>
      </c>
      <c r="H15" s="135" t="s">
        <v>174</v>
      </c>
      <c r="K15" s="68"/>
      <c r="L15" s="68"/>
      <c r="M15" s="68"/>
      <c r="N15" s="68"/>
    </row>
    <row r="16" spans="2:14" s="45" customFormat="1" ht="20.100000000000001" customHeight="1" x14ac:dyDescent="0.2">
      <c r="B16" s="44"/>
      <c r="D16" s="21"/>
      <c r="F16" s="38" t="s">
        <v>14</v>
      </c>
      <c r="G16" s="40">
        <f>G15*1000</f>
        <v>150.66597870842136</v>
      </c>
      <c r="H16" s="135" t="s">
        <v>102</v>
      </c>
      <c r="K16" s="68"/>
      <c r="L16" s="68"/>
      <c r="M16" s="68"/>
      <c r="N16" s="68"/>
    </row>
    <row r="17" spans="2:7" x14ac:dyDescent="0.2">
      <c r="B17" t="s">
        <v>30</v>
      </c>
      <c r="E17" s="8"/>
    </row>
    <row r="18" spans="2:7" x14ac:dyDescent="0.2">
      <c r="E18" s="8"/>
      <c r="F18" s="1"/>
      <c r="G18" s="10"/>
    </row>
    <row r="19" spans="2:7" ht="18" x14ac:dyDescent="0.25">
      <c r="B19" s="3" t="s">
        <v>42</v>
      </c>
      <c r="C19" s="33">
        <f>C21*C26</f>
        <v>75.095519100527312</v>
      </c>
      <c r="D19" s="6" t="s">
        <v>31</v>
      </c>
      <c r="E19" s="135" t="s">
        <v>122</v>
      </c>
    </row>
    <row r="20" spans="2:7" ht="15" x14ac:dyDescent="0.25">
      <c r="B20" s="3" t="s">
        <v>46</v>
      </c>
      <c r="C20" s="17"/>
      <c r="D20" s="18"/>
      <c r="E20" s="8"/>
      <c r="F20" s="1"/>
    </row>
    <row r="21" spans="2:7" ht="18" x14ac:dyDescent="0.25">
      <c r="B21" s="1" t="s">
        <v>3</v>
      </c>
      <c r="C21" s="15">
        <f>C22/24</f>
        <v>5.6864999999999997</v>
      </c>
      <c r="D21" s="6" t="s">
        <v>32</v>
      </c>
      <c r="E21" t="s">
        <v>33</v>
      </c>
      <c r="F21" s="1"/>
      <c r="G21" s="135" t="s">
        <v>120</v>
      </c>
    </row>
    <row r="22" spans="2:7" ht="18" x14ac:dyDescent="0.25">
      <c r="B22" s="1" t="s">
        <v>4</v>
      </c>
      <c r="C22" s="19">
        <f>C28</f>
        <v>136.476</v>
      </c>
      <c r="D22" s="135" t="s">
        <v>119</v>
      </c>
      <c r="E22"/>
      <c r="F22" s="1"/>
    </row>
    <row r="23" spans="2:7" x14ac:dyDescent="0.2">
      <c r="B23" t="s">
        <v>2</v>
      </c>
      <c r="E23"/>
      <c r="F23" s="1"/>
    </row>
    <row r="24" spans="2:7" x14ac:dyDescent="0.2">
      <c r="E24"/>
    </row>
    <row r="25" spans="2:7" ht="18" x14ac:dyDescent="0.2">
      <c r="B25" s="1" t="s">
        <v>15</v>
      </c>
      <c r="C25" s="14">
        <f>+'Datos 2'!L67</f>
        <v>9</v>
      </c>
      <c r="D25" s="127" t="s">
        <v>93</v>
      </c>
      <c r="E25" s="135" t="s">
        <v>110</v>
      </c>
    </row>
    <row r="26" spans="2:7" ht="18" x14ac:dyDescent="0.25">
      <c r="B26" s="1" t="s">
        <v>28</v>
      </c>
      <c r="C26" s="15">
        <f>C25^((3.5287-(2.5287*C15^0.1)))</f>
        <v>13.20592967564008</v>
      </c>
      <c r="D26" s="20" t="s">
        <v>29</v>
      </c>
      <c r="E26" s="135" t="s">
        <v>123</v>
      </c>
      <c r="F26" s="1"/>
      <c r="G26" s="2"/>
    </row>
    <row r="27" spans="2:7" x14ac:dyDescent="0.2">
      <c r="B27" s="1" t="s">
        <v>34</v>
      </c>
      <c r="D27" s="3" t="s">
        <v>35</v>
      </c>
      <c r="E27"/>
      <c r="F27" s="1"/>
      <c r="G27" s="2"/>
    </row>
    <row r="28" spans="2:7" ht="18" x14ac:dyDescent="0.25">
      <c r="B28" s="1" t="s">
        <v>12</v>
      </c>
      <c r="C28" s="164">
        <f>C32*C33</f>
        <v>136.476</v>
      </c>
      <c r="D28" s="6" t="s">
        <v>11</v>
      </c>
      <c r="E28" s="135" t="s">
        <v>118</v>
      </c>
      <c r="G28" s="8"/>
    </row>
    <row r="29" spans="2:7" x14ac:dyDescent="0.2">
      <c r="B29" s="1" t="s">
        <v>45</v>
      </c>
      <c r="E29"/>
      <c r="F29" s="1"/>
      <c r="G29" s="8"/>
    </row>
    <row r="30" spans="2:7" ht="18.75" thickBot="1" x14ac:dyDescent="0.25">
      <c r="B30" s="1" t="s">
        <v>8</v>
      </c>
      <c r="C30" s="13">
        <f>+'Datos 2'!B24</f>
        <v>0.48</v>
      </c>
      <c r="D30" s="127" t="s">
        <v>93</v>
      </c>
      <c r="E30" s="135" t="s">
        <v>116</v>
      </c>
      <c r="F30" s="1"/>
      <c r="G30" s="11"/>
    </row>
    <row r="31" spans="2:7" ht="15.75" thickBot="1" x14ac:dyDescent="0.3">
      <c r="B31" s="16" t="s">
        <v>22</v>
      </c>
      <c r="C31" s="32">
        <v>25</v>
      </c>
      <c r="D31" s="161" t="s">
        <v>179</v>
      </c>
      <c r="E31"/>
      <c r="F31" s="1"/>
      <c r="G31" s="11"/>
    </row>
    <row r="32" spans="2:7" ht="18" x14ac:dyDescent="0.2">
      <c r="B32" s="1" t="s">
        <v>9</v>
      </c>
      <c r="C32" s="13">
        <f>+'Datos 2'!V6</f>
        <v>68</v>
      </c>
      <c r="D32" s="127" t="s">
        <v>93</v>
      </c>
      <c r="E32" s="135" t="s">
        <v>115</v>
      </c>
      <c r="F32" s="1"/>
      <c r="G32" s="12"/>
    </row>
    <row r="33" spans="2:14" ht="18" x14ac:dyDescent="0.2">
      <c r="B33" s="1" t="s">
        <v>10</v>
      </c>
      <c r="C33" s="13">
        <f>+'Datos 2'!F24</f>
        <v>2.0070000000000001</v>
      </c>
      <c r="D33" s="127" t="s">
        <v>93</v>
      </c>
      <c r="E33" s="135" t="s">
        <v>117</v>
      </c>
    </row>
    <row r="34" spans="2:14" x14ac:dyDescent="0.2">
      <c r="E34"/>
      <c r="F34" s="1"/>
    </row>
    <row r="35" spans="2:14" ht="12.75" customHeight="1" x14ac:dyDescent="0.2">
      <c r="B35" s="3" t="s">
        <v>13</v>
      </c>
      <c r="D35" s="166" t="s">
        <v>21</v>
      </c>
      <c r="E35"/>
      <c r="F35" s="1"/>
      <c r="G35" s="12"/>
    </row>
    <row r="36" spans="2:14" ht="26.25" customHeight="1" x14ac:dyDescent="0.2">
      <c r="D36" s="166"/>
      <c r="E36"/>
      <c r="F36" s="1"/>
      <c r="G36" s="9"/>
    </row>
    <row r="37" spans="2:14" x14ac:dyDescent="0.2">
      <c r="C37" s="2"/>
      <c r="E37"/>
      <c r="G37" s="9"/>
    </row>
    <row r="38" spans="2:14" ht="18" x14ac:dyDescent="0.25">
      <c r="B38" s="3" t="s">
        <v>19</v>
      </c>
      <c r="C38" s="15">
        <f>((C22/C39)-1)*((C22/C39)+23)/((C22/C39)+11)^2</f>
        <v>0.94387525418318674</v>
      </c>
      <c r="D38" s="135" t="s">
        <v>172</v>
      </c>
      <c r="E38"/>
      <c r="F38" s="1"/>
      <c r="G38" s="2"/>
      <c r="K38" s="128" t="s">
        <v>93</v>
      </c>
    </row>
    <row r="39" spans="2:14" ht="18" x14ac:dyDescent="0.3">
      <c r="B39" s="3" t="s">
        <v>20</v>
      </c>
      <c r="C39" s="15">
        <f>C40*C41</f>
        <v>3.4417685794920043</v>
      </c>
      <c r="D39" s="4" t="s">
        <v>39</v>
      </c>
      <c r="E39" s="135" t="s">
        <v>169</v>
      </c>
      <c r="F39" s="1"/>
      <c r="G39" s="2"/>
      <c r="J39" s="57" t="s">
        <v>53</v>
      </c>
      <c r="K39" s="130">
        <f>+'Datos 2'!M52</f>
        <v>2</v>
      </c>
      <c r="L39" s="135" t="s">
        <v>161</v>
      </c>
    </row>
    <row r="40" spans="2:14" ht="18" x14ac:dyDescent="0.3">
      <c r="B40" t="s">
        <v>36</v>
      </c>
      <c r="C40" s="125">
        <f>+'Datos 1'!L11</f>
        <v>1.7879317296062358</v>
      </c>
      <c r="D40" s="3" t="s">
        <v>38</v>
      </c>
      <c r="E40" s="127" t="s">
        <v>92</v>
      </c>
      <c r="F40" s="135" t="s">
        <v>159</v>
      </c>
      <c r="G40" s="8"/>
      <c r="J40" s="57" t="s">
        <v>54</v>
      </c>
      <c r="K40" s="130">
        <f>+'Datos 2'!N52</f>
        <v>0.25</v>
      </c>
      <c r="L40" s="135" t="s">
        <v>165</v>
      </c>
    </row>
    <row r="41" spans="2:14" ht="18" x14ac:dyDescent="0.3">
      <c r="B41" s="3" t="s">
        <v>37</v>
      </c>
      <c r="C41" s="14">
        <f>+L41</f>
        <v>1.9250000000000003</v>
      </c>
      <c r="D41" s="3" t="s">
        <v>38</v>
      </c>
      <c r="E41" s="3" t="str">
        <f>+"Para T=25    βDT = (βm - ∆50) FT        βDT = "&amp;ROUND(L41,3)&amp;""</f>
        <v>Para T=25    βDT = (βm - ∆50) FT        βDT = 1,925</v>
      </c>
      <c r="F41" s="1"/>
      <c r="H41" s="63" t="str">
        <f>+"βdt= ("&amp;ROUND(K39, 2)&amp;" - "&amp;ROUND(K40, 2)&amp;") x "&amp;ROUND(K41, 2)&amp;""</f>
        <v>βdt= (2 - 0,25) x 1,1</v>
      </c>
      <c r="J41" s="58" t="s">
        <v>55</v>
      </c>
      <c r="K41" s="130">
        <f>+'Datos 2'!S52</f>
        <v>1.1000000000000001</v>
      </c>
      <c r="L41" s="131">
        <f>+(K39-K40)*K41</f>
        <v>1.9250000000000003</v>
      </c>
      <c r="M41" s="135" t="s">
        <v>167</v>
      </c>
    </row>
    <row r="42" spans="2:14" ht="18" x14ac:dyDescent="0.2">
      <c r="C42" s="134" t="s">
        <v>168</v>
      </c>
      <c r="E42"/>
      <c r="F42" s="1"/>
      <c r="G42" s="8"/>
      <c r="K42" s="134" t="s">
        <v>166</v>
      </c>
    </row>
    <row r="43" spans="2:14" s="22" customFormat="1" x14ac:dyDescent="0.2">
      <c r="G43" s="23"/>
      <c r="K43" s="132"/>
      <c r="L43" s="132"/>
      <c r="M43" s="132"/>
      <c r="N43" s="132"/>
    </row>
    <row r="44" spans="2:14" ht="14.45" customHeight="1" x14ac:dyDescent="0.2">
      <c r="E44"/>
      <c r="G44" s="9"/>
    </row>
    <row r="45" spans="2:14" x14ac:dyDescent="0.2">
      <c r="E45"/>
      <c r="F45" s="1"/>
      <c r="G45" s="2"/>
    </row>
    <row r="46" spans="2:14" x14ac:dyDescent="0.2">
      <c r="E46"/>
      <c r="F46" s="1"/>
      <c r="G46" s="2"/>
    </row>
    <row r="47" spans="2:14" x14ac:dyDescent="0.2">
      <c r="E47"/>
      <c r="F47" s="1"/>
      <c r="G47" s="8"/>
    </row>
    <row r="48" spans="2:14" x14ac:dyDescent="0.2">
      <c r="E48"/>
      <c r="F48" s="1"/>
      <c r="G48" s="8"/>
    </row>
    <row r="49" spans="5:7" x14ac:dyDescent="0.2">
      <c r="E49"/>
      <c r="F49" s="1"/>
      <c r="G49" s="8"/>
    </row>
    <row r="50" spans="5:7" x14ac:dyDescent="0.2">
      <c r="E50"/>
      <c r="F50" s="1"/>
      <c r="G50" s="2"/>
    </row>
    <row r="51" spans="5:7" x14ac:dyDescent="0.2">
      <c r="E51"/>
      <c r="F51" s="1"/>
      <c r="G51" s="10"/>
    </row>
    <row r="52" spans="5:7" x14ac:dyDescent="0.2">
      <c r="E52"/>
    </row>
    <row r="53" spans="5:7" x14ac:dyDescent="0.2">
      <c r="E53"/>
      <c r="F53" s="1"/>
    </row>
    <row r="54" spans="5:7" x14ac:dyDescent="0.2">
      <c r="E54"/>
    </row>
    <row r="55" spans="5:7" x14ac:dyDescent="0.2">
      <c r="E55"/>
      <c r="G55" s="9"/>
    </row>
    <row r="56" spans="5:7" x14ac:dyDescent="0.2">
      <c r="E56"/>
      <c r="G56" s="9"/>
    </row>
    <row r="57" spans="5:7" x14ac:dyDescent="0.2">
      <c r="E57"/>
      <c r="F57" s="1"/>
      <c r="G57" s="2"/>
    </row>
    <row r="58" spans="5:7" x14ac:dyDescent="0.2">
      <c r="E58"/>
      <c r="F58" s="1"/>
      <c r="G58" s="2"/>
    </row>
    <row r="59" spans="5:7" x14ac:dyDescent="0.2">
      <c r="E59"/>
      <c r="F59" s="1"/>
      <c r="G59" s="8"/>
    </row>
    <row r="60" spans="5:7" x14ac:dyDescent="0.2">
      <c r="E60"/>
      <c r="F60" s="1"/>
      <c r="G60" s="8"/>
    </row>
    <row r="61" spans="5:7" x14ac:dyDescent="0.2">
      <c r="E61"/>
      <c r="F61" s="1"/>
      <c r="G61" s="8"/>
    </row>
    <row r="62" spans="5:7" x14ac:dyDescent="0.2">
      <c r="E62"/>
      <c r="F62" s="1"/>
      <c r="G62" s="2"/>
    </row>
    <row r="63" spans="5:7" x14ac:dyDescent="0.2">
      <c r="E63"/>
      <c r="F63" s="1"/>
      <c r="G63" s="10"/>
    </row>
    <row r="64" spans="5:7" x14ac:dyDescent="0.2">
      <c r="E64"/>
    </row>
    <row r="65" spans="5:7" x14ac:dyDescent="0.2">
      <c r="E65"/>
      <c r="F65" s="1"/>
    </row>
    <row r="66" spans="5:7" x14ac:dyDescent="0.2">
      <c r="E66"/>
    </row>
    <row r="67" spans="5:7" x14ac:dyDescent="0.2">
      <c r="E67"/>
      <c r="G67" s="9"/>
    </row>
    <row r="68" spans="5:7" x14ac:dyDescent="0.2">
      <c r="E68"/>
      <c r="G68" s="9"/>
    </row>
    <row r="69" spans="5:7" x14ac:dyDescent="0.2">
      <c r="E69"/>
      <c r="F69" s="1"/>
      <c r="G69" s="2"/>
    </row>
    <row r="70" spans="5:7" x14ac:dyDescent="0.2">
      <c r="E70"/>
      <c r="F70" s="1"/>
      <c r="G70" s="2"/>
    </row>
    <row r="71" spans="5:7" x14ac:dyDescent="0.2">
      <c r="E71"/>
      <c r="F71" s="1"/>
      <c r="G71" s="8"/>
    </row>
    <row r="72" spans="5:7" x14ac:dyDescent="0.2">
      <c r="E72"/>
      <c r="F72" s="1"/>
      <c r="G72" s="8"/>
    </row>
    <row r="73" spans="5:7" x14ac:dyDescent="0.2">
      <c r="E73"/>
      <c r="F73" s="1"/>
      <c r="G73" s="8"/>
    </row>
    <row r="74" spans="5:7" x14ac:dyDescent="0.2">
      <c r="F74" s="1"/>
      <c r="G74" s="2"/>
    </row>
    <row r="75" spans="5:7" x14ac:dyDescent="0.2">
      <c r="F75" s="1"/>
      <c r="G75" s="10"/>
    </row>
  </sheetData>
  <mergeCells count="3">
    <mergeCell ref="D35:D36"/>
    <mergeCell ref="F2:G2"/>
    <mergeCell ref="F3:G4"/>
  </mergeCells>
  <printOptions horizontalCentered="1" verticalCentered="1"/>
  <pageMargins left="0.39370078740157483" right="0.39370078740157483" top="0.39370078740157483" bottom="0.39370078740157483" header="0" footer="0"/>
  <pageSetup paperSize="9" orientation="landscape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3127-3ADB-4253-8E20-ADD79AD34E83}">
  <sheetPr>
    <tabColor rgb="FF0070C0"/>
  </sheetPr>
  <dimension ref="A1:O78"/>
  <sheetViews>
    <sheetView topLeftCell="E5" zoomScale="115" zoomScaleNormal="115" workbookViewId="0">
      <selection activeCell="O16" sqref="O16"/>
    </sheetView>
  </sheetViews>
  <sheetFormatPr baseColWidth="10" defaultRowHeight="12.75" x14ac:dyDescent="0.2"/>
  <cols>
    <col min="1" max="1" width="11.5703125" customWidth="1"/>
    <col min="2" max="2" width="18.7109375" style="64" customWidth="1"/>
    <col min="3" max="3" width="16.140625" customWidth="1"/>
    <col min="4" max="4" width="24.28515625" customWidth="1"/>
    <col min="5" max="5" width="22.140625" style="65" customWidth="1"/>
    <col min="6" max="6" width="22.42578125" customWidth="1"/>
    <col min="7" max="7" width="20.42578125" customWidth="1"/>
    <col min="8" max="8" width="13.85546875" customWidth="1"/>
    <col min="11" max="11" width="12.85546875" style="66" customWidth="1"/>
    <col min="12" max="12" width="14.42578125" style="67" customWidth="1"/>
    <col min="13" max="13" width="18.5703125" style="68" customWidth="1"/>
    <col min="14" max="15" width="11.42578125" style="68"/>
    <col min="16" max="16" width="12.28515625" customWidth="1"/>
  </cols>
  <sheetData>
    <row r="1" spans="1:15" x14ac:dyDescent="0.2">
      <c r="F1" s="52" t="s">
        <v>51</v>
      </c>
      <c r="G1" s="51">
        <f>+'Calculo Hidrológico T 25 - (A)'!G1</f>
        <v>46079</v>
      </c>
    </row>
    <row r="2" spans="1:15" s="69" customFormat="1" ht="19.5" x14ac:dyDescent="0.3">
      <c r="A2" s="169" t="str">
        <f>+'Calculo Hidrológico T 25 - (A)'!B2</f>
        <v>CALCULO HIDROLOGICO: Mejora Carretera Guadalmar; 535.2</v>
      </c>
      <c r="B2" s="169"/>
      <c r="C2" s="169"/>
      <c r="D2" s="169"/>
      <c r="E2" s="169"/>
      <c r="F2" s="169"/>
      <c r="G2" s="169"/>
      <c r="L2" s="70"/>
      <c r="M2" s="71"/>
      <c r="N2" s="71"/>
      <c r="O2" s="71"/>
    </row>
    <row r="4" spans="1:15" ht="18.75" thickBot="1" x14ac:dyDescent="0.4">
      <c r="A4" s="72"/>
      <c r="B4" s="73"/>
      <c r="C4" s="134" t="s">
        <v>175</v>
      </c>
      <c r="D4" s="72"/>
      <c r="E4" s="74"/>
      <c r="F4" s="72"/>
    </row>
    <row r="5" spans="1:15" ht="13.5" x14ac:dyDescent="0.2">
      <c r="A5" s="170" t="s">
        <v>67</v>
      </c>
      <c r="B5" s="172" t="s">
        <v>68</v>
      </c>
      <c r="C5" s="174" t="s">
        <v>69</v>
      </c>
      <c r="D5" s="176" t="s">
        <v>70</v>
      </c>
      <c r="E5" s="177"/>
      <c r="F5" s="178" t="s">
        <v>71</v>
      </c>
      <c r="G5" s="179"/>
    </row>
    <row r="6" spans="1:15" ht="41.25" thickBot="1" x14ac:dyDescent="0.25">
      <c r="A6" s="171"/>
      <c r="B6" s="173"/>
      <c r="C6" s="175"/>
      <c r="D6" s="76" t="s">
        <v>72</v>
      </c>
      <c r="E6" s="75" t="s">
        <v>73</v>
      </c>
      <c r="F6" s="77" t="s">
        <v>74</v>
      </c>
      <c r="G6" s="78" t="s">
        <v>75</v>
      </c>
    </row>
    <row r="7" spans="1:15" ht="13.5" x14ac:dyDescent="0.25">
      <c r="A7" s="180"/>
      <c r="B7" s="79"/>
      <c r="C7" s="80"/>
      <c r="D7" s="81" t="s">
        <v>66</v>
      </c>
      <c r="E7" s="82" t="s">
        <v>66</v>
      </c>
      <c r="F7" s="83" t="s">
        <v>66</v>
      </c>
      <c r="G7" s="84">
        <f>C7</f>
        <v>0</v>
      </c>
    </row>
    <row r="8" spans="1:15" ht="13.5" x14ac:dyDescent="0.25">
      <c r="A8" s="181"/>
      <c r="B8" s="85"/>
      <c r="C8" s="86"/>
      <c r="D8" s="87">
        <f>C8*0.6</f>
        <v>0</v>
      </c>
      <c r="E8" s="88" t="s">
        <v>66</v>
      </c>
      <c r="F8" s="89">
        <f>C8-D8</f>
        <v>0</v>
      </c>
      <c r="G8" s="90" t="s">
        <v>66</v>
      </c>
      <c r="K8" s="64" t="s">
        <v>76</v>
      </c>
    </row>
    <row r="9" spans="1:15" ht="15.75" thickBot="1" x14ac:dyDescent="0.3">
      <c r="A9" s="181"/>
      <c r="B9" s="85" t="s">
        <v>96</v>
      </c>
      <c r="C9" s="86">
        <f>6990+451</f>
        <v>7441</v>
      </c>
      <c r="D9" s="87" t="s">
        <v>66</v>
      </c>
      <c r="E9" s="88">
        <v>6990</v>
      </c>
      <c r="F9" s="89" t="s">
        <v>66</v>
      </c>
      <c r="G9" s="90">
        <f>+M23</f>
        <v>451</v>
      </c>
      <c r="K9" s="183" t="str">
        <f>+"Poi =  ("&amp;ROUND(D14,1)&amp;" x "&amp;ROUND(D13,3)&amp;") + ("&amp;ROUND(F14,1)&amp;" x "&amp;ROUND(F13,3)&amp;") ="</f>
        <v>Poi =  (1 x 0,939) + (14 x 0,061) =</v>
      </c>
      <c r="L9" s="183"/>
      <c r="M9" s="165">
        <f>+L11</f>
        <v>1.7879317296062358</v>
      </c>
      <c r="N9" s="68">
        <f>1*0.939+14*0.061</f>
        <v>1.7929999999999999</v>
      </c>
    </row>
    <row r="10" spans="1:15" ht="15.75" thickBot="1" x14ac:dyDescent="0.3">
      <c r="A10" s="181"/>
      <c r="B10" s="184" t="s">
        <v>77</v>
      </c>
      <c r="C10" s="185"/>
      <c r="D10" s="91">
        <f>SUM(D7:D9)</f>
        <v>0</v>
      </c>
      <c r="E10" s="92">
        <f>SUM(E7:E9)</f>
        <v>6990</v>
      </c>
      <c r="F10" s="93">
        <f>SUM(F7:F9)</f>
        <v>0</v>
      </c>
      <c r="G10" s="94">
        <f>SUM(G7:G9)</f>
        <v>451</v>
      </c>
      <c r="H10" s="95" t="s">
        <v>78</v>
      </c>
      <c r="I10" s="96" t="s">
        <v>79</v>
      </c>
      <c r="J10" s="97"/>
      <c r="K10" s="186" t="s">
        <v>80</v>
      </c>
      <c r="L10" s="187"/>
    </row>
    <row r="11" spans="1:15" ht="18.75" thickBot="1" x14ac:dyDescent="0.3">
      <c r="A11" s="182"/>
      <c r="B11" s="184" t="s">
        <v>81</v>
      </c>
      <c r="C11" s="185"/>
      <c r="D11" s="188">
        <f>D10+E10</f>
        <v>6990</v>
      </c>
      <c r="E11" s="189"/>
      <c r="F11" s="190">
        <f>F10+G10</f>
        <v>451</v>
      </c>
      <c r="G11" s="191"/>
      <c r="H11" s="98">
        <f>D11+F11</f>
        <v>7441</v>
      </c>
      <c r="I11" s="96">
        <f>((D11/H11)*D14)+((F11/H11)*F14)</f>
        <v>1.7879317296062358</v>
      </c>
      <c r="J11" s="97"/>
      <c r="K11" s="99">
        <f>(D13*D14)+(F13*F14)</f>
        <v>1.7879317296062358</v>
      </c>
      <c r="L11" s="100">
        <f>+K11</f>
        <v>1.7879317296062358</v>
      </c>
      <c r="M11" s="135" t="s">
        <v>158</v>
      </c>
    </row>
    <row r="12" spans="1:15" s="45" customFormat="1" x14ac:dyDescent="0.2">
      <c r="B12" s="101"/>
      <c r="D12" s="102">
        <f>+D11*100/SUM($D$11:$G$11)</f>
        <v>93.938986695336652</v>
      </c>
      <c r="E12" s="103"/>
      <c r="F12" s="102">
        <f>+F11*100/SUM($D$11:$G$11)</f>
        <v>6.0610133046633514</v>
      </c>
      <c r="H12" s="104">
        <f>+D12+F12</f>
        <v>100</v>
      </c>
      <c r="K12" s="67"/>
      <c r="L12" s="68"/>
      <c r="M12" s="68"/>
      <c r="N12" s="68"/>
      <c r="O12" s="68"/>
    </row>
    <row r="13" spans="1:15" s="45" customFormat="1" ht="15.75" thickBot="1" x14ac:dyDescent="0.25">
      <c r="A13" s="105"/>
      <c r="B13" s="106"/>
      <c r="D13" s="107">
        <f>+D11/H11</f>
        <v>0.93938986695336646</v>
      </c>
      <c r="E13" s="67"/>
      <c r="F13" s="107">
        <f>+F11/H11</f>
        <v>6.061013304663352E-2</v>
      </c>
      <c r="H13" s="108">
        <f>+D13+F13</f>
        <v>1</v>
      </c>
      <c r="K13" s="67"/>
      <c r="L13" s="68"/>
      <c r="M13" s="68"/>
      <c r="N13" s="68"/>
      <c r="O13" s="68"/>
    </row>
    <row r="14" spans="1:15" ht="18.75" thickTop="1" x14ac:dyDescent="0.25">
      <c r="D14" s="159">
        <f>+G67</f>
        <v>1</v>
      </c>
      <c r="E14" s="135" t="s">
        <v>156</v>
      </c>
      <c r="F14" s="159">
        <f>+G75</f>
        <v>14</v>
      </c>
      <c r="G14" s="135" t="s">
        <v>157</v>
      </c>
      <c r="K14" s="109"/>
      <c r="L14" s="110"/>
      <c r="M14" s="111">
        <v>14395.11</v>
      </c>
    </row>
    <row r="15" spans="1:15" ht="19.5" x14ac:dyDescent="0.2">
      <c r="D15" s="158" t="str">
        <f>+"GRUPO DE SUELO: "&amp;G29&amp;""</f>
        <v>GRUPO DE SUELO: C</v>
      </c>
      <c r="F15" s="158" t="str">
        <f>+"GRUPO DE SUELO: "&amp;G29&amp;""</f>
        <v>GRUPO DE SUELO: C</v>
      </c>
      <c r="K15" s="112"/>
      <c r="L15" s="113" t="s">
        <v>82</v>
      </c>
      <c r="M15" s="114">
        <f>+C9</f>
        <v>7441</v>
      </c>
    </row>
    <row r="16" spans="1:15" x14ac:dyDescent="0.2">
      <c r="D16" s="158" t="str">
        <f>+B67</f>
        <v>Redes viarias, ferroviarias y terrenos asociados</v>
      </c>
      <c r="F16" s="158" t="str">
        <f>+B75</f>
        <v>Zonas verdes urbanas</v>
      </c>
      <c r="K16" s="115"/>
      <c r="L16" s="116" t="s">
        <v>83</v>
      </c>
      <c r="M16" s="117"/>
    </row>
    <row r="17" spans="4:13" x14ac:dyDescent="0.2">
      <c r="D17" s="157"/>
      <c r="F17" s="157"/>
      <c r="K17" s="115"/>
      <c r="L17" s="116" t="s">
        <v>85</v>
      </c>
      <c r="M17" s="117"/>
    </row>
    <row r="18" spans="4:13" ht="15" x14ac:dyDescent="0.25">
      <c r="D18" s="154"/>
      <c r="F18" s="118" t="s">
        <v>84</v>
      </c>
      <c r="G18" s="119">
        <f>+'Calculo Hidrológico T 25 - (A)'!L41</f>
        <v>1.9250000000000003</v>
      </c>
      <c r="K18" s="115"/>
      <c r="L18" s="116" t="s">
        <v>86</v>
      </c>
      <c r="M18" s="117"/>
    </row>
    <row r="19" spans="4:13" ht="15" x14ac:dyDescent="0.25">
      <c r="F19" s="118" t="s">
        <v>79</v>
      </c>
      <c r="G19" s="119">
        <f>+L11</f>
        <v>1.7879317296062358</v>
      </c>
      <c r="K19" s="115"/>
      <c r="L19" s="116" t="s">
        <v>88</v>
      </c>
      <c r="M19" s="117"/>
    </row>
    <row r="20" spans="4:13" ht="15" x14ac:dyDescent="0.25">
      <c r="F20" s="118" t="s">
        <v>87</v>
      </c>
      <c r="G20" s="126">
        <f>+G18*G19</f>
        <v>3.4417685794920043</v>
      </c>
      <c r="K20" s="115"/>
      <c r="L20" s="116" t="s">
        <v>89</v>
      </c>
      <c r="M20" s="117"/>
    </row>
    <row r="21" spans="4:13" x14ac:dyDescent="0.2">
      <c r="K21" s="115"/>
      <c r="L21" s="116" t="s">
        <v>90</v>
      </c>
      <c r="M21" s="117"/>
    </row>
    <row r="22" spans="4:13" ht="15" x14ac:dyDescent="0.2">
      <c r="K22" s="115"/>
      <c r="L22" s="116" t="s">
        <v>70</v>
      </c>
      <c r="M22" s="120">
        <f>+M15-M23</f>
        <v>6990</v>
      </c>
    </row>
    <row r="23" spans="4:13" ht="15.75" thickBot="1" x14ac:dyDescent="0.25">
      <c r="K23" s="121"/>
      <c r="L23" s="122" t="s">
        <v>91</v>
      </c>
      <c r="M23" s="123">
        <v>451</v>
      </c>
    </row>
    <row r="24" spans="4:13" ht="13.5" thickTop="1" x14ac:dyDescent="0.2"/>
    <row r="28" spans="4:13" x14ac:dyDescent="0.2">
      <c r="G28" s="155" t="s">
        <v>125</v>
      </c>
    </row>
    <row r="29" spans="4:13" ht="23.25" x14ac:dyDescent="0.2">
      <c r="G29" s="156" t="s">
        <v>99</v>
      </c>
      <c r="H29" s="135" t="s">
        <v>153</v>
      </c>
    </row>
    <row r="56" spans="1:15" s="136" customFormat="1" ht="13.5" x14ac:dyDescent="0.25">
      <c r="A56"/>
      <c r="B56" s="64"/>
      <c r="C56"/>
      <c r="D56"/>
      <c r="E56" s="65"/>
      <c r="F56"/>
      <c r="G56"/>
      <c r="H56"/>
      <c r="I56"/>
      <c r="J56"/>
      <c r="K56" s="137"/>
      <c r="L56" s="138"/>
      <c r="M56" s="139"/>
      <c r="N56" s="139"/>
      <c r="O56" s="139"/>
    </row>
    <row r="57" spans="1:15" s="136" customFormat="1" ht="13.5" x14ac:dyDescent="0.25">
      <c r="A57" s="144" t="s">
        <v>126</v>
      </c>
      <c r="B57" s="144" t="s">
        <v>127</v>
      </c>
      <c r="C57" s="144" t="s">
        <v>128</v>
      </c>
      <c r="D57" s="144" t="s">
        <v>129</v>
      </c>
      <c r="E57" s="145" t="s">
        <v>130</v>
      </c>
      <c r="F57" s="144" t="s">
        <v>131</v>
      </c>
      <c r="K57" s="137"/>
      <c r="L57" s="138"/>
      <c r="M57" s="139"/>
      <c r="N57" s="139"/>
      <c r="O57" s="139"/>
    </row>
    <row r="58" spans="1:15" s="136" customFormat="1" ht="27" x14ac:dyDescent="0.25">
      <c r="A58" s="146">
        <v>11100</v>
      </c>
      <c r="B58" s="146" t="s">
        <v>132</v>
      </c>
      <c r="C58" s="146">
        <v>1</v>
      </c>
      <c r="D58" s="146">
        <v>1</v>
      </c>
      <c r="E58" s="147">
        <v>1</v>
      </c>
      <c r="F58" s="146">
        <v>1</v>
      </c>
      <c r="K58" s="137"/>
      <c r="L58" s="138"/>
      <c r="M58" s="139"/>
      <c r="N58" s="139"/>
      <c r="O58" s="139"/>
    </row>
    <row r="59" spans="1:15" s="136" customFormat="1" ht="27" x14ac:dyDescent="0.25">
      <c r="A59" s="146">
        <v>11200</v>
      </c>
      <c r="B59" s="146" t="s">
        <v>133</v>
      </c>
      <c r="C59" s="146">
        <v>24</v>
      </c>
      <c r="D59" s="146">
        <v>14</v>
      </c>
      <c r="E59" s="147">
        <v>8</v>
      </c>
      <c r="F59" s="146">
        <v>6</v>
      </c>
      <c r="K59" s="137"/>
      <c r="L59" s="138"/>
      <c r="M59" s="139"/>
      <c r="N59" s="139"/>
      <c r="O59" s="139"/>
    </row>
    <row r="60" spans="1:15" s="136" customFormat="1" ht="13.5" x14ac:dyDescent="0.25">
      <c r="A60" s="146">
        <v>11200</v>
      </c>
      <c r="B60" s="146" t="s">
        <v>134</v>
      </c>
      <c r="C60" s="146">
        <v>24</v>
      </c>
      <c r="D60" s="146">
        <v>14</v>
      </c>
      <c r="E60" s="147">
        <v>8</v>
      </c>
      <c r="F60" s="146">
        <v>6</v>
      </c>
      <c r="K60" s="137"/>
      <c r="L60" s="138"/>
      <c r="M60" s="139"/>
      <c r="N60" s="139"/>
      <c r="O60" s="139"/>
    </row>
    <row r="61" spans="1:15" s="136" customFormat="1" ht="27" x14ac:dyDescent="0.25">
      <c r="A61" s="146">
        <v>11210</v>
      </c>
      <c r="B61" s="146" t="s">
        <v>135</v>
      </c>
      <c r="C61" s="146">
        <v>24</v>
      </c>
      <c r="D61" s="146">
        <v>14</v>
      </c>
      <c r="E61" s="147">
        <v>8</v>
      </c>
      <c r="F61" s="146">
        <v>6</v>
      </c>
      <c r="K61" s="137"/>
      <c r="L61" s="138"/>
      <c r="M61" s="139"/>
      <c r="N61" s="139"/>
      <c r="O61" s="139"/>
    </row>
    <row r="62" spans="1:15" s="136" customFormat="1" ht="40.5" x14ac:dyDescent="0.25">
      <c r="A62" s="146">
        <v>11220</v>
      </c>
      <c r="B62" s="146" t="s">
        <v>136</v>
      </c>
      <c r="C62" s="146">
        <v>24</v>
      </c>
      <c r="D62" s="146">
        <v>14</v>
      </c>
      <c r="E62" s="147">
        <v>8</v>
      </c>
      <c r="F62" s="146">
        <v>6</v>
      </c>
      <c r="K62" s="137"/>
      <c r="L62" s="138"/>
      <c r="M62" s="139"/>
      <c r="N62" s="139"/>
      <c r="O62" s="139"/>
    </row>
    <row r="63" spans="1:15" s="136" customFormat="1" ht="27" x14ac:dyDescent="0.25">
      <c r="A63" s="146">
        <v>12100</v>
      </c>
      <c r="B63" s="146" t="s">
        <v>137</v>
      </c>
      <c r="C63" s="146">
        <v>6</v>
      </c>
      <c r="D63" s="146">
        <v>4</v>
      </c>
      <c r="E63" s="147">
        <v>3</v>
      </c>
      <c r="F63" s="146">
        <v>3</v>
      </c>
      <c r="K63" s="137"/>
      <c r="L63" s="138"/>
      <c r="M63" s="139"/>
      <c r="N63" s="139"/>
      <c r="O63" s="139"/>
    </row>
    <row r="64" spans="1:15" s="136" customFormat="1" ht="13.5" x14ac:dyDescent="0.25">
      <c r="A64" s="146">
        <v>12100</v>
      </c>
      <c r="B64" s="146" t="s">
        <v>138</v>
      </c>
      <c r="C64" s="146">
        <v>24</v>
      </c>
      <c r="D64" s="146">
        <v>14</v>
      </c>
      <c r="E64" s="147">
        <v>8</v>
      </c>
      <c r="F64" s="146">
        <v>6</v>
      </c>
      <c r="K64" s="137"/>
      <c r="L64" s="138"/>
      <c r="M64" s="139"/>
      <c r="N64" s="139"/>
      <c r="O64" s="139"/>
    </row>
    <row r="65" spans="1:15" s="136" customFormat="1" ht="13.5" x14ac:dyDescent="0.25">
      <c r="A65" s="146">
        <v>12110</v>
      </c>
      <c r="B65" s="146" t="s">
        <v>139</v>
      </c>
      <c r="C65" s="146">
        <v>12</v>
      </c>
      <c r="D65" s="146">
        <v>7</v>
      </c>
      <c r="E65" s="147">
        <v>5</v>
      </c>
      <c r="F65" s="146">
        <v>4</v>
      </c>
      <c r="K65" s="137"/>
      <c r="L65" s="138"/>
      <c r="M65" s="139"/>
      <c r="N65" s="139"/>
      <c r="O65" s="139"/>
    </row>
    <row r="66" spans="1:15" s="140" customFormat="1" ht="41.25" thickBot="1" x14ac:dyDescent="0.3">
      <c r="A66" s="146">
        <v>12120</v>
      </c>
      <c r="B66" s="146" t="s">
        <v>140</v>
      </c>
      <c r="C66" s="146">
        <v>6</v>
      </c>
      <c r="D66" s="146">
        <v>4</v>
      </c>
      <c r="E66" s="150">
        <v>3</v>
      </c>
      <c r="F66" s="146">
        <v>3</v>
      </c>
      <c r="G66" s="136"/>
      <c r="H66" s="136"/>
      <c r="I66" s="136"/>
      <c r="J66" s="136"/>
      <c r="K66" s="141"/>
      <c r="L66" s="142"/>
      <c r="M66" s="143"/>
      <c r="N66" s="143"/>
      <c r="O66" s="143"/>
    </row>
    <row r="67" spans="1:15" s="136" customFormat="1" ht="42" thickTop="1" thickBot="1" x14ac:dyDescent="0.3">
      <c r="A67" s="145">
        <v>12200</v>
      </c>
      <c r="B67" s="145" t="s">
        <v>141</v>
      </c>
      <c r="C67" s="145">
        <v>1</v>
      </c>
      <c r="D67" s="148">
        <v>1</v>
      </c>
      <c r="E67" s="152">
        <v>1</v>
      </c>
      <c r="F67" s="149">
        <v>1</v>
      </c>
      <c r="G67" s="153">
        <f>+E67</f>
        <v>1</v>
      </c>
      <c r="H67" s="135" t="s">
        <v>154</v>
      </c>
      <c r="I67" s="140"/>
      <c r="J67" s="140"/>
      <c r="K67" s="137"/>
      <c r="L67" s="138"/>
      <c r="M67" s="139"/>
      <c r="N67" s="139"/>
      <c r="O67" s="139"/>
    </row>
    <row r="68" spans="1:15" s="136" customFormat="1" ht="27.75" thickTop="1" x14ac:dyDescent="0.25">
      <c r="A68" s="146">
        <v>12210</v>
      </c>
      <c r="B68" s="146" t="s">
        <v>142</v>
      </c>
      <c r="C68" s="146">
        <v>1</v>
      </c>
      <c r="D68" s="146">
        <v>1</v>
      </c>
      <c r="E68" s="151">
        <v>1</v>
      </c>
      <c r="F68" s="146">
        <v>1</v>
      </c>
      <c r="K68" s="137"/>
      <c r="L68" s="138"/>
      <c r="M68" s="139"/>
      <c r="N68" s="139"/>
      <c r="O68" s="139"/>
    </row>
    <row r="69" spans="1:15" s="136" customFormat="1" ht="27" x14ac:dyDescent="0.25">
      <c r="A69" s="146">
        <v>12220</v>
      </c>
      <c r="B69" s="146" t="s">
        <v>143</v>
      </c>
      <c r="C69" s="146">
        <v>12</v>
      </c>
      <c r="D69" s="146">
        <v>7</v>
      </c>
      <c r="E69" s="147">
        <v>5</v>
      </c>
      <c r="F69" s="146">
        <v>4</v>
      </c>
      <c r="K69" s="137"/>
      <c r="L69" s="138"/>
      <c r="M69" s="139"/>
      <c r="N69" s="139"/>
      <c r="O69" s="139"/>
    </row>
    <row r="70" spans="1:15" s="136" customFormat="1" ht="13.5" x14ac:dyDescent="0.25">
      <c r="A70" s="146">
        <v>12300</v>
      </c>
      <c r="B70" s="146" t="s">
        <v>144</v>
      </c>
      <c r="C70" s="146">
        <v>1</v>
      </c>
      <c r="D70" s="146">
        <v>1</v>
      </c>
      <c r="E70" s="147">
        <v>1</v>
      </c>
      <c r="F70" s="146">
        <v>1</v>
      </c>
      <c r="K70" s="137"/>
      <c r="L70" s="138"/>
      <c r="M70" s="139"/>
      <c r="N70" s="139"/>
      <c r="O70" s="139"/>
    </row>
    <row r="71" spans="1:15" s="136" customFormat="1" ht="13.5" x14ac:dyDescent="0.25">
      <c r="A71" s="146">
        <v>12400</v>
      </c>
      <c r="B71" s="146" t="s">
        <v>145</v>
      </c>
      <c r="C71" s="146">
        <v>24</v>
      </c>
      <c r="D71" s="146">
        <v>14</v>
      </c>
      <c r="E71" s="147">
        <v>8</v>
      </c>
      <c r="F71" s="146">
        <v>6</v>
      </c>
      <c r="K71" s="137"/>
      <c r="L71" s="138"/>
      <c r="M71" s="139"/>
      <c r="N71" s="139"/>
      <c r="O71" s="139"/>
    </row>
    <row r="72" spans="1:15" s="136" customFormat="1" ht="27" x14ac:dyDescent="0.25">
      <c r="A72" s="146">
        <v>13100</v>
      </c>
      <c r="B72" s="146" t="s">
        <v>146</v>
      </c>
      <c r="C72" s="146">
        <v>16</v>
      </c>
      <c r="D72" s="146">
        <v>9</v>
      </c>
      <c r="E72" s="147">
        <v>6</v>
      </c>
      <c r="F72" s="146">
        <v>5</v>
      </c>
      <c r="K72" s="137"/>
      <c r="L72" s="138"/>
      <c r="M72" s="139"/>
      <c r="N72" s="139"/>
      <c r="O72" s="139"/>
    </row>
    <row r="73" spans="1:15" s="136" customFormat="1" ht="27" x14ac:dyDescent="0.25">
      <c r="A73" s="146">
        <v>13200</v>
      </c>
      <c r="B73" s="146" t="s">
        <v>147</v>
      </c>
      <c r="C73" s="146">
        <v>20</v>
      </c>
      <c r="D73" s="146">
        <v>11</v>
      </c>
      <c r="E73" s="147">
        <v>8</v>
      </c>
      <c r="F73" s="146">
        <v>6</v>
      </c>
      <c r="K73" s="137"/>
      <c r="L73" s="138"/>
      <c r="M73" s="139"/>
      <c r="N73" s="139"/>
      <c r="O73" s="139"/>
    </row>
    <row r="74" spans="1:15" s="140" customFormat="1" ht="27.75" thickBot="1" x14ac:dyDescent="0.3">
      <c r="A74" s="146">
        <v>13300</v>
      </c>
      <c r="B74" s="146" t="s">
        <v>148</v>
      </c>
      <c r="C74" s="146">
        <v>24</v>
      </c>
      <c r="D74" s="146">
        <v>14</v>
      </c>
      <c r="E74" s="147">
        <v>8</v>
      </c>
      <c r="F74" s="146">
        <v>6</v>
      </c>
      <c r="G74" s="136"/>
      <c r="H74" s="136"/>
      <c r="I74" s="136"/>
      <c r="J74" s="136"/>
      <c r="K74" s="141"/>
      <c r="L74" s="142"/>
      <c r="M74" s="143"/>
      <c r="N74" s="143"/>
      <c r="O74" s="143"/>
    </row>
    <row r="75" spans="1:15" s="136" customFormat="1" ht="28.5" thickTop="1" thickBot="1" x14ac:dyDescent="0.3">
      <c r="A75" s="145">
        <v>14100</v>
      </c>
      <c r="B75" s="145" t="s">
        <v>149</v>
      </c>
      <c r="C75" s="145">
        <v>53</v>
      </c>
      <c r="D75" s="145">
        <v>23</v>
      </c>
      <c r="E75" s="152">
        <v>14</v>
      </c>
      <c r="F75" s="145">
        <v>10</v>
      </c>
      <c r="G75" s="153">
        <f>+E75</f>
        <v>14</v>
      </c>
      <c r="H75" s="135" t="s">
        <v>155</v>
      </c>
      <c r="I75" s="140"/>
      <c r="J75" s="140"/>
      <c r="K75" s="137"/>
      <c r="L75" s="138"/>
      <c r="M75" s="139"/>
      <c r="N75" s="139"/>
      <c r="O75" s="139"/>
    </row>
    <row r="76" spans="1:15" s="136" customFormat="1" ht="41.25" thickTop="1" x14ac:dyDescent="0.25">
      <c r="A76" s="146">
        <v>14200</v>
      </c>
      <c r="B76" s="146" t="s">
        <v>150</v>
      </c>
      <c r="C76" s="146">
        <v>79</v>
      </c>
      <c r="D76" s="146">
        <v>32</v>
      </c>
      <c r="E76" s="147">
        <v>18</v>
      </c>
      <c r="F76" s="146">
        <v>13</v>
      </c>
      <c r="K76" s="137"/>
      <c r="L76" s="138"/>
      <c r="M76" s="139"/>
      <c r="N76" s="139"/>
      <c r="O76" s="139"/>
    </row>
    <row r="77" spans="1:15" s="136" customFormat="1" ht="13.5" x14ac:dyDescent="0.25">
      <c r="A77" s="146">
        <v>14210</v>
      </c>
      <c r="B77" s="146" t="s">
        <v>151</v>
      </c>
      <c r="C77" s="146">
        <v>79</v>
      </c>
      <c r="D77" s="146">
        <v>32</v>
      </c>
      <c r="E77" s="147">
        <v>18</v>
      </c>
      <c r="F77" s="146">
        <v>13</v>
      </c>
      <c r="K77" s="137"/>
      <c r="L77" s="138"/>
      <c r="M77" s="139"/>
      <c r="N77" s="139"/>
      <c r="O77" s="139"/>
    </row>
    <row r="78" spans="1:15" ht="54" x14ac:dyDescent="0.25">
      <c r="A78" s="146">
        <v>14220</v>
      </c>
      <c r="B78" s="146" t="s">
        <v>152</v>
      </c>
      <c r="C78" s="146">
        <v>53</v>
      </c>
      <c r="D78" s="146">
        <v>23</v>
      </c>
      <c r="E78" s="147">
        <v>14</v>
      </c>
      <c r="F78" s="146">
        <v>10</v>
      </c>
      <c r="G78" s="136"/>
      <c r="H78" s="136"/>
      <c r="I78" s="136"/>
      <c r="J78" s="136"/>
    </row>
  </sheetData>
  <mergeCells count="13">
    <mergeCell ref="A7:A11"/>
    <mergeCell ref="K9:L9"/>
    <mergeCell ref="B10:C10"/>
    <mergeCell ref="K10:L10"/>
    <mergeCell ref="B11:C11"/>
    <mergeCell ref="D11:E11"/>
    <mergeCell ref="F11:G11"/>
    <mergeCell ref="A2:G2"/>
    <mergeCell ref="A5:A6"/>
    <mergeCell ref="B5:B6"/>
    <mergeCell ref="C5:C6"/>
    <mergeCell ref="D5:E5"/>
    <mergeCell ref="F5:G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BD1D-5870-41C7-A96E-DA541D87EDFA}">
  <sheetPr>
    <tabColor rgb="FF0070C0"/>
  </sheetPr>
  <dimension ref="A1:Y67"/>
  <sheetViews>
    <sheetView zoomScaleNormal="100" workbookViewId="0"/>
  </sheetViews>
  <sheetFormatPr baseColWidth="10" defaultRowHeight="12.75" x14ac:dyDescent="0.2"/>
  <cols>
    <col min="3" max="10" width="6.7109375" customWidth="1"/>
  </cols>
  <sheetData>
    <row r="1" spans="2:25" x14ac:dyDescent="0.2">
      <c r="T1" s="52" t="s">
        <v>51</v>
      </c>
      <c r="U1" s="51">
        <f>+'Calculo Hidrológico T 25 - (A)'!G1</f>
        <v>46079</v>
      </c>
    </row>
    <row r="2" spans="2:25" x14ac:dyDescent="0.2">
      <c r="B2" s="1" t="str">
        <f>+'Calculo Hidrológico T 25 - (A)'!B2</f>
        <v>CALCULO HIDROLOGICO: Mejora Carretera Guadalmar; 535.2</v>
      </c>
    </row>
    <row r="4" spans="2:25" ht="14.25" thickBot="1" x14ac:dyDescent="0.25">
      <c r="B4" s="24"/>
      <c r="C4" s="192" t="s">
        <v>43</v>
      </c>
      <c r="D4" s="192"/>
      <c r="E4" s="192"/>
      <c r="F4" s="193"/>
      <c r="G4" s="192"/>
      <c r="H4" s="192"/>
      <c r="I4" s="192"/>
      <c r="J4" s="192"/>
    </row>
    <row r="5" spans="2:25" ht="18.75" thickBot="1" x14ac:dyDescent="0.25">
      <c r="B5" s="24" t="s">
        <v>44</v>
      </c>
      <c r="C5" s="24">
        <v>2</v>
      </c>
      <c r="D5" s="24">
        <v>5</v>
      </c>
      <c r="E5" s="26">
        <v>10</v>
      </c>
      <c r="F5" s="30">
        <v>25</v>
      </c>
      <c r="G5" s="27">
        <v>50</v>
      </c>
      <c r="H5" s="24">
        <v>100</v>
      </c>
      <c r="I5" s="24">
        <v>200</v>
      </c>
      <c r="J5" s="28">
        <v>500</v>
      </c>
      <c r="V5" s="1" t="s">
        <v>9</v>
      </c>
      <c r="Y5" s="135" t="s">
        <v>113</v>
      </c>
    </row>
    <row r="6" spans="2:25" ht="23.25" x14ac:dyDescent="0.35">
      <c r="B6" s="24">
        <v>0.3</v>
      </c>
      <c r="C6" s="24">
        <v>0.93500000000000005</v>
      </c>
      <c r="D6" s="24">
        <v>1.194</v>
      </c>
      <c r="E6" s="24">
        <v>1.377</v>
      </c>
      <c r="F6" s="29">
        <v>1.625</v>
      </c>
      <c r="G6" s="24">
        <v>1.823</v>
      </c>
      <c r="H6" s="24">
        <v>2.0219999999999998</v>
      </c>
      <c r="I6" s="24">
        <v>2.2509999999999999</v>
      </c>
      <c r="J6" s="24">
        <v>2.5409999999999999</v>
      </c>
      <c r="V6" s="124">
        <v>68</v>
      </c>
    </row>
    <row r="7" spans="2:25" ht="13.5" x14ac:dyDescent="0.2">
      <c r="B7" s="24">
        <v>0.31</v>
      </c>
      <c r="C7" s="24">
        <v>0.93200000000000005</v>
      </c>
      <c r="D7" s="24">
        <v>1.198</v>
      </c>
      <c r="E7" s="24">
        <v>1.385</v>
      </c>
      <c r="F7" s="24">
        <v>1.64</v>
      </c>
      <c r="G7" s="24">
        <v>1.8540000000000001</v>
      </c>
      <c r="H7" s="24">
        <v>2.0680000000000001</v>
      </c>
      <c r="I7" s="24">
        <v>2.2959999999999998</v>
      </c>
      <c r="J7" s="24">
        <v>2.6019999999999999</v>
      </c>
    </row>
    <row r="8" spans="2:25" ht="13.5" x14ac:dyDescent="0.2">
      <c r="B8" s="24">
        <v>0.32</v>
      </c>
      <c r="C8" s="24">
        <v>0.92900000000000005</v>
      </c>
      <c r="D8" s="24">
        <v>1.202</v>
      </c>
      <c r="E8" s="24">
        <v>1.4</v>
      </c>
      <c r="F8" s="24">
        <v>1.671</v>
      </c>
      <c r="G8" s="24">
        <v>1.8839999999999999</v>
      </c>
      <c r="H8" s="24">
        <v>2.0979999999999999</v>
      </c>
      <c r="I8" s="24">
        <v>2.3420000000000001</v>
      </c>
      <c r="J8" s="24">
        <v>2.6629999999999998</v>
      </c>
    </row>
    <row r="9" spans="2:25" ht="13.5" x14ac:dyDescent="0.2">
      <c r="B9" s="24">
        <v>0.33</v>
      </c>
      <c r="C9" s="24">
        <v>0.92700000000000005</v>
      </c>
      <c r="D9" s="24">
        <v>1.2090000000000001</v>
      </c>
      <c r="E9" s="24">
        <v>1.415</v>
      </c>
      <c r="F9" s="24">
        <v>1.6859999999999999</v>
      </c>
      <c r="G9" s="24">
        <v>1.915</v>
      </c>
      <c r="H9" s="24">
        <v>2.1440000000000001</v>
      </c>
      <c r="I9" s="24">
        <v>2.3879999999999999</v>
      </c>
      <c r="J9" s="24">
        <v>2.7240000000000002</v>
      </c>
    </row>
    <row r="10" spans="2:25" ht="13.5" x14ac:dyDescent="0.2">
      <c r="B10" s="24">
        <v>0.34</v>
      </c>
      <c r="C10" s="24">
        <v>0.92400000000000004</v>
      </c>
      <c r="D10" s="24">
        <v>1.2130000000000001</v>
      </c>
      <c r="E10" s="24">
        <v>1.423</v>
      </c>
      <c r="F10" s="24">
        <v>1.7170000000000001</v>
      </c>
      <c r="G10" s="24">
        <v>1.93</v>
      </c>
      <c r="H10" s="24">
        <v>2.1739999999999999</v>
      </c>
      <c r="I10" s="24">
        <v>2.4340000000000002</v>
      </c>
      <c r="J10" s="24">
        <v>2.7850000000000001</v>
      </c>
    </row>
    <row r="11" spans="2:25" ht="13.5" x14ac:dyDescent="0.2">
      <c r="B11" s="24">
        <v>0.35</v>
      </c>
      <c r="C11" s="24">
        <v>0.92100000000000004</v>
      </c>
      <c r="D11" s="24">
        <v>1.2170000000000001</v>
      </c>
      <c r="E11" s="24">
        <v>1.4379999999999999</v>
      </c>
      <c r="F11" s="24">
        <v>1.732</v>
      </c>
      <c r="G11" s="24">
        <v>1.9610000000000001</v>
      </c>
      <c r="H11" s="24">
        <v>2.2200000000000002</v>
      </c>
      <c r="I11" s="24">
        <v>2.48</v>
      </c>
      <c r="J11" s="24">
        <v>2.831</v>
      </c>
    </row>
    <row r="12" spans="2:25" ht="13.5" x14ac:dyDescent="0.2">
      <c r="B12" s="24">
        <v>0.36</v>
      </c>
      <c r="C12" s="24">
        <v>0.91900000000000004</v>
      </c>
      <c r="D12" s="24">
        <v>1.2250000000000001</v>
      </c>
      <c r="E12" s="24">
        <v>1.446</v>
      </c>
      <c r="F12" s="24">
        <v>1.7470000000000001</v>
      </c>
      <c r="G12" s="24">
        <v>1.9910000000000001</v>
      </c>
      <c r="H12" s="24">
        <v>2.2509999999999999</v>
      </c>
      <c r="I12" s="24">
        <v>2.5249999999999999</v>
      </c>
      <c r="J12" s="24">
        <v>2.8919999999999999</v>
      </c>
    </row>
    <row r="13" spans="2:25" ht="13.5" x14ac:dyDescent="0.2">
      <c r="B13" s="24">
        <v>0.37</v>
      </c>
      <c r="C13" s="24">
        <v>0.91700000000000004</v>
      </c>
      <c r="D13" s="24">
        <v>1.232</v>
      </c>
      <c r="E13" s="24">
        <v>1.4610000000000001</v>
      </c>
      <c r="F13" s="24">
        <v>1.778</v>
      </c>
      <c r="G13" s="24">
        <v>2.0219999999999998</v>
      </c>
      <c r="H13" s="24">
        <v>2.2810000000000001</v>
      </c>
      <c r="I13" s="24">
        <v>2.5710000000000002</v>
      </c>
      <c r="J13" s="24">
        <v>2.9529999999999998</v>
      </c>
    </row>
    <row r="14" spans="2:25" ht="13.5" x14ac:dyDescent="0.2">
      <c r="B14" s="24">
        <v>0.38</v>
      </c>
      <c r="C14" s="24">
        <v>0.91400000000000003</v>
      </c>
      <c r="D14" s="24">
        <v>1.24</v>
      </c>
      <c r="E14" s="24">
        <v>1.4690000000000001</v>
      </c>
      <c r="F14" s="24">
        <v>1.7929999999999999</v>
      </c>
      <c r="G14" s="24">
        <v>2.052</v>
      </c>
      <c r="H14" s="24">
        <v>2.327</v>
      </c>
      <c r="I14" s="24">
        <v>2.617</v>
      </c>
      <c r="J14" s="24">
        <v>3.0139999999999998</v>
      </c>
    </row>
    <row r="15" spans="2:25" ht="13.5" x14ac:dyDescent="0.2">
      <c r="B15" s="24">
        <v>0.39</v>
      </c>
      <c r="C15" s="24">
        <v>0.91200000000000003</v>
      </c>
      <c r="D15" s="24">
        <v>1.2430000000000001</v>
      </c>
      <c r="E15" s="24">
        <v>1.484</v>
      </c>
      <c r="F15" s="24">
        <v>1.8080000000000001</v>
      </c>
      <c r="G15" s="24">
        <v>2.0830000000000002</v>
      </c>
      <c r="H15" s="24">
        <v>2.3570000000000002</v>
      </c>
      <c r="I15" s="24">
        <v>2.6629999999999998</v>
      </c>
      <c r="J15" s="24">
        <v>3.0670000000000002</v>
      </c>
    </row>
    <row r="16" spans="2:25" ht="13.5" x14ac:dyDescent="0.2">
      <c r="B16" s="24">
        <v>0.4</v>
      </c>
      <c r="C16" s="24">
        <v>0.90900000000000003</v>
      </c>
      <c r="D16" s="24">
        <v>1.2470000000000001</v>
      </c>
      <c r="E16" s="24">
        <v>1.492</v>
      </c>
      <c r="F16" s="24">
        <v>1.839</v>
      </c>
      <c r="G16" s="24">
        <v>2.113</v>
      </c>
      <c r="H16" s="24">
        <v>2.403</v>
      </c>
      <c r="I16" s="24">
        <v>2.7080000000000002</v>
      </c>
      <c r="J16" s="24">
        <v>3.1280000000000001</v>
      </c>
    </row>
    <row r="17" spans="1:10" ht="13.5" x14ac:dyDescent="0.2">
      <c r="B17" s="25">
        <v>0.41</v>
      </c>
      <c r="C17" s="24">
        <v>0.90600000000000003</v>
      </c>
      <c r="D17" s="24">
        <v>1.2549999999999999</v>
      </c>
      <c r="E17" s="24">
        <v>1.5069999999999999</v>
      </c>
      <c r="F17" s="25">
        <v>1.8540000000000001</v>
      </c>
      <c r="G17" s="24">
        <v>2.1440000000000001</v>
      </c>
      <c r="H17" s="24">
        <v>2.4340000000000002</v>
      </c>
      <c r="I17" s="24">
        <v>2.754</v>
      </c>
      <c r="J17" s="24">
        <v>3.1890000000000001</v>
      </c>
    </row>
    <row r="18" spans="1:10" ht="13.5" x14ac:dyDescent="0.2">
      <c r="B18" s="24">
        <v>0.42</v>
      </c>
      <c r="C18" s="24">
        <v>0.90400000000000003</v>
      </c>
      <c r="D18" s="24">
        <v>1.2589999999999999</v>
      </c>
      <c r="E18" s="24">
        <v>1.514</v>
      </c>
      <c r="F18" s="24">
        <v>1.8839999999999999</v>
      </c>
      <c r="G18" s="24">
        <v>2.1739999999999999</v>
      </c>
      <c r="H18" s="24">
        <v>2.48</v>
      </c>
      <c r="I18" s="24">
        <v>2.8</v>
      </c>
      <c r="J18" s="24">
        <v>3.25</v>
      </c>
    </row>
    <row r="19" spans="1:10" ht="13.5" x14ac:dyDescent="0.2">
      <c r="B19" s="24">
        <v>0.43</v>
      </c>
      <c r="C19" s="24">
        <v>0.90100000000000002</v>
      </c>
      <c r="D19" s="24">
        <v>1.2629999999999999</v>
      </c>
      <c r="E19" s="24">
        <v>1.534</v>
      </c>
      <c r="F19" s="24">
        <v>1.9</v>
      </c>
      <c r="G19" s="24">
        <v>2.2050000000000001</v>
      </c>
      <c r="H19" s="24">
        <v>2.5099999999999998</v>
      </c>
      <c r="I19" s="24">
        <v>2.8460000000000001</v>
      </c>
      <c r="J19" s="24">
        <v>3.3109999999999999</v>
      </c>
    </row>
    <row r="20" spans="1:10" ht="13.5" x14ac:dyDescent="0.2">
      <c r="B20" s="24">
        <v>0.44</v>
      </c>
      <c r="C20" s="24">
        <v>0.89800000000000002</v>
      </c>
      <c r="D20" s="24">
        <v>1.27</v>
      </c>
      <c r="E20" s="24">
        <v>1.5409999999999999</v>
      </c>
      <c r="F20" s="24">
        <v>1.915</v>
      </c>
      <c r="G20" s="24">
        <v>2.2200000000000002</v>
      </c>
      <c r="H20" s="24">
        <v>2.556</v>
      </c>
      <c r="I20" s="24">
        <v>2.8919999999999999</v>
      </c>
      <c r="J20" s="24">
        <v>3.3719999999999999</v>
      </c>
    </row>
    <row r="21" spans="1:10" ht="13.5" x14ac:dyDescent="0.2">
      <c r="B21" s="24">
        <v>0.45</v>
      </c>
      <c r="C21" s="24">
        <v>0.89600000000000002</v>
      </c>
      <c r="D21" s="24">
        <v>1.274</v>
      </c>
      <c r="E21" s="24">
        <v>1.5489999999999999</v>
      </c>
      <c r="F21" s="24">
        <v>1.9450000000000001</v>
      </c>
      <c r="G21" s="24">
        <v>2.2509999999999999</v>
      </c>
      <c r="H21" s="24">
        <v>2.5859999999999999</v>
      </c>
      <c r="I21" s="24">
        <v>2.9369999999999998</v>
      </c>
      <c r="J21" s="24">
        <v>3.4329999999999998</v>
      </c>
    </row>
    <row r="22" spans="1:10" ht="13.5" x14ac:dyDescent="0.2">
      <c r="B22" s="24">
        <v>0.46</v>
      </c>
      <c r="C22" s="24">
        <v>0.89400000000000002</v>
      </c>
      <c r="D22" s="24">
        <v>1.278</v>
      </c>
      <c r="E22" s="24">
        <v>1.5640000000000001</v>
      </c>
      <c r="F22" s="24">
        <v>1.9610000000000001</v>
      </c>
      <c r="G22" s="24">
        <v>2.2810000000000001</v>
      </c>
      <c r="H22" s="24">
        <v>2.6320000000000001</v>
      </c>
      <c r="I22" s="24">
        <v>2.9830000000000001</v>
      </c>
      <c r="J22" s="24">
        <v>3.4940000000000002</v>
      </c>
    </row>
    <row r="23" spans="1:10" ht="14.25" thickBot="1" x14ac:dyDescent="0.25">
      <c r="B23" s="24">
        <v>0.47</v>
      </c>
      <c r="C23" s="24">
        <v>0.89200000000000002</v>
      </c>
      <c r="D23" s="24">
        <v>1.286</v>
      </c>
      <c r="E23" s="24">
        <v>1.579</v>
      </c>
      <c r="F23" s="24">
        <v>1.9910000000000001</v>
      </c>
      <c r="G23" s="24">
        <v>2.3119999999999998</v>
      </c>
      <c r="H23" s="24">
        <v>2.6629999999999998</v>
      </c>
      <c r="I23" s="24">
        <v>3.044</v>
      </c>
      <c r="J23" s="24">
        <v>3.5550000000000002</v>
      </c>
    </row>
    <row r="24" spans="1:10" ht="18.75" thickBot="1" x14ac:dyDescent="0.25">
      <c r="A24" s="160" t="s">
        <v>114</v>
      </c>
      <c r="B24" s="30">
        <v>0.48</v>
      </c>
      <c r="C24" s="24">
        <v>0.89</v>
      </c>
      <c r="D24" s="24">
        <v>1.2889999999999999</v>
      </c>
      <c r="E24" s="24">
        <v>1.595</v>
      </c>
      <c r="F24" s="31">
        <v>2.0070000000000001</v>
      </c>
      <c r="G24" s="24">
        <v>2.3420000000000001</v>
      </c>
      <c r="H24" s="24">
        <v>2.7080000000000002</v>
      </c>
      <c r="I24" s="24">
        <v>3.0979999999999999</v>
      </c>
      <c r="J24" s="24">
        <v>3.6160000000000001</v>
      </c>
    </row>
    <row r="25" spans="1:10" ht="13.5" x14ac:dyDescent="0.2">
      <c r="B25" s="24">
        <v>0.49</v>
      </c>
      <c r="C25" s="24">
        <v>0.88700000000000001</v>
      </c>
      <c r="D25" s="24">
        <v>1.2929999999999999</v>
      </c>
      <c r="E25" s="24">
        <v>1.603</v>
      </c>
      <c r="F25" s="24">
        <v>2.0219999999999998</v>
      </c>
      <c r="G25" s="24">
        <v>2.3730000000000002</v>
      </c>
      <c r="H25" s="24">
        <v>2.7389999999999999</v>
      </c>
      <c r="I25" s="24">
        <v>3.1280000000000001</v>
      </c>
      <c r="J25" s="24">
        <v>3.677</v>
      </c>
    </row>
    <row r="26" spans="1:10" ht="13.5" x14ac:dyDescent="0.2">
      <c r="B26" s="24">
        <v>0.5</v>
      </c>
      <c r="C26" s="24">
        <v>0.88500000000000001</v>
      </c>
      <c r="D26" s="24">
        <v>1.2969999999999999</v>
      </c>
      <c r="E26" s="24">
        <v>1.61</v>
      </c>
      <c r="F26" s="24">
        <v>2.052</v>
      </c>
      <c r="G26" s="24">
        <v>2.403</v>
      </c>
      <c r="H26" s="24">
        <v>2.7850000000000001</v>
      </c>
      <c r="I26" s="24">
        <v>3.1890000000000001</v>
      </c>
      <c r="J26" s="24">
        <v>3.738</v>
      </c>
    </row>
    <row r="27" spans="1:10" ht="13.5" x14ac:dyDescent="0.2">
      <c r="B27" s="24">
        <v>0.51</v>
      </c>
      <c r="C27" s="24">
        <v>0.88300000000000001</v>
      </c>
      <c r="D27" s="24">
        <v>1.3009999999999999</v>
      </c>
      <c r="E27" s="24">
        <v>1.625</v>
      </c>
      <c r="F27" s="24">
        <v>2.0680000000000001</v>
      </c>
      <c r="G27" s="24">
        <v>2.4340000000000002</v>
      </c>
      <c r="H27" s="24">
        <v>2.8149999999999999</v>
      </c>
      <c r="I27" s="24">
        <v>3.22</v>
      </c>
      <c r="J27" s="24">
        <v>3.7989999999999999</v>
      </c>
    </row>
    <row r="28" spans="1:10" ht="13.5" x14ac:dyDescent="0.2">
      <c r="B28" s="24">
        <v>0.52</v>
      </c>
      <c r="C28" s="24">
        <v>0.88100000000000001</v>
      </c>
      <c r="D28" s="24">
        <v>1.3080000000000001</v>
      </c>
      <c r="E28" s="24">
        <v>1.64</v>
      </c>
      <c r="F28" s="24">
        <v>2.0979999999999999</v>
      </c>
      <c r="G28" s="24">
        <v>2.464</v>
      </c>
      <c r="H28" s="24">
        <v>2.8610000000000002</v>
      </c>
      <c r="I28" s="24">
        <v>3.2810000000000001</v>
      </c>
      <c r="J28" s="24">
        <v>3.86</v>
      </c>
    </row>
    <row r="33" spans="7:21" ht="18.75" thickBot="1" x14ac:dyDescent="0.25">
      <c r="M33" s="134" t="s">
        <v>162</v>
      </c>
      <c r="N33" s="134" t="s">
        <v>163</v>
      </c>
      <c r="P33" s="134"/>
      <c r="S33" s="134" t="s">
        <v>164</v>
      </c>
    </row>
    <row r="34" spans="7:21" ht="39" thickBot="1" x14ac:dyDescent="0.25">
      <c r="G34" s="1"/>
      <c r="L34" s="59" t="s">
        <v>56</v>
      </c>
      <c r="M34" s="62" t="s">
        <v>57</v>
      </c>
      <c r="N34" s="62" t="s">
        <v>58</v>
      </c>
      <c r="O34" s="59" t="s">
        <v>59</v>
      </c>
      <c r="P34" s="59" t="s">
        <v>60</v>
      </c>
      <c r="Q34" s="59" t="s">
        <v>61</v>
      </c>
      <c r="R34" s="59" t="s">
        <v>62</v>
      </c>
      <c r="S34" s="62" t="s">
        <v>63</v>
      </c>
      <c r="T34" s="59" t="s">
        <v>64</v>
      </c>
      <c r="U34" s="59" t="s">
        <v>65</v>
      </c>
    </row>
    <row r="35" spans="7:21" ht="13.5" thickBot="1" x14ac:dyDescent="0.25">
      <c r="L35" s="60">
        <v>11</v>
      </c>
      <c r="M35" s="61">
        <v>0.9</v>
      </c>
      <c r="N35" s="61">
        <v>0.2</v>
      </c>
      <c r="O35" s="60">
        <v>0.3</v>
      </c>
      <c r="P35" s="60">
        <v>0.5</v>
      </c>
      <c r="Q35" s="60">
        <v>0.8</v>
      </c>
      <c r="R35" s="60">
        <v>0.9</v>
      </c>
      <c r="S35" s="61">
        <v>1.1299999999999999</v>
      </c>
      <c r="T35" s="60">
        <v>1.34</v>
      </c>
      <c r="U35" s="60">
        <v>1.59</v>
      </c>
    </row>
    <row r="36" spans="7:21" ht="13.5" thickBot="1" x14ac:dyDescent="0.25">
      <c r="L36" s="60">
        <v>12</v>
      </c>
      <c r="M36" s="61">
        <v>0.95</v>
      </c>
      <c r="N36" s="61">
        <v>0.2</v>
      </c>
      <c r="O36" s="60">
        <v>0.25</v>
      </c>
      <c r="P36" s="60">
        <v>0.45</v>
      </c>
      <c r="Q36" s="60">
        <v>0.75</v>
      </c>
      <c r="R36" s="60">
        <v>0.9</v>
      </c>
      <c r="S36" s="61">
        <v>1.1399999999999999</v>
      </c>
      <c r="T36" s="60">
        <v>1.33</v>
      </c>
      <c r="U36" s="60">
        <v>1.56</v>
      </c>
    </row>
    <row r="37" spans="7:21" ht="13.5" thickBot="1" x14ac:dyDescent="0.25">
      <c r="L37" s="60">
        <v>13</v>
      </c>
      <c r="M37" s="61">
        <v>0.6</v>
      </c>
      <c r="N37" s="61">
        <v>0.15</v>
      </c>
      <c r="O37" s="60">
        <v>0.25</v>
      </c>
      <c r="P37" s="60">
        <v>0.4</v>
      </c>
      <c r="Q37" s="60">
        <v>0.74</v>
      </c>
      <c r="R37" s="60">
        <v>0.9</v>
      </c>
      <c r="S37" s="61">
        <v>1.1499999999999999</v>
      </c>
      <c r="T37" s="60">
        <v>1.34</v>
      </c>
      <c r="U37" s="60">
        <v>1.55</v>
      </c>
    </row>
    <row r="38" spans="7:21" ht="13.5" thickBot="1" x14ac:dyDescent="0.25">
      <c r="L38" s="60">
        <v>21</v>
      </c>
      <c r="M38" s="61">
        <v>1.2</v>
      </c>
      <c r="N38" s="61">
        <v>0.2</v>
      </c>
      <c r="O38" s="60">
        <v>0.35</v>
      </c>
      <c r="P38" s="60">
        <v>0.55000000000000004</v>
      </c>
      <c r="Q38" s="60">
        <v>0.74</v>
      </c>
      <c r="R38" s="60">
        <v>0.88</v>
      </c>
      <c r="S38" s="61">
        <v>1.18</v>
      </c>
      <c r="T38" s="60">
        <v>1.47</v>
      </c>
      <c r="U38" s="60">
        <v>1.9</v>
      </c>
    </row>
    <row r="39" spans="7:21" ht="13.5" thickBot="1" x14ac:dyDescent="0.25">
      <c r="L39" s="60">
        <v>22</v>
      </c>
      <c r="M39" s="61">
        <v>1.5</v>
      </c>
      <c r="N39" s="61">
        <v>0.15</v>
      </c>
      <c r="O39" s="60">
        <v>0.2</v>
      </c>
      <c r="P39" s="60">
        <v>0.35</v>
      </c>
      <c r="Q39" s="60">
        <v>0.74</v>
      </c>
      <c r="R39" s="60">
        <v>0.9</v>
      </c>
      <c r="S39" s="61">
        <v>1.1200000000000001</v>
      </c>
      <c r="T39" s="60">
        <v>1.27</v>
      </c>
      <c r="U39" s="60">
        <v>1.37</v>
      </c>
    </row>
    <row r="40" spans="7:21" ht="13.5" thickBot="1" x14ac:dyDescent="0.25">
      <c r="L40" s="60">
        <v>23</v>
      </c>
      <c r="M40" s="61">
        <v>0.7</v>
      </c>
      <c r="N40" s="61">
        <v>0.2</v>
      </c>
      <c r="O40" s="60">
        <v>0.35</v>
      </c>
      <c r="P40" s="60">
        <v>0.55000000000000004</v>
      </c>
      <c r="Q40" s="60">
        <v>0.77</v>
      </c>
      <c r="R40" s="60">
        <v>0.89</v>
      </c>
      <c r="S40" s="61">
        <v>1.1499999999999999</v>
      </c>
      <c r="T40" s="60">
        <v>1.44</v>
      </c>
      <c r="U40" s="60">
        <v>1.82</v>
      </c>
    </row>
    <row r="41" spans="7:21" ht="13.5" thickBot="1" x14ac:dyDescent="0.25">
      <c r="L41" s="60">
        <v>24</v>
      </c>
      <c r="M41" s="61">
        <v>1.1000000000000001</v>
      </c>
      <c r="N41" s="61">
        <v>0.15</v>
      </c>
      <c r="O41" s="60">
        <v>0.2</v>
      </c>
      <c r="P41" s="60">
        <v>0.35</v>
      </c>
      <c r="Q41" s="60">
        <v>0.76</v>
      </c>
      <c r="R41" s="60">
        <v>0.9</v>
      </c>
      <c r="S41" s="61">
        <v>1.1399999999999999</v>
      </c>
      <c r="T41" s="60">
        <v>1.36</v>
      </c>
      <c r="U41" s="60">
        <v>1.63</v>
      </c>
    </row>
    <row r="42" spans="7:21" ht="13.5" thickBot="1" x14ac:dyDescent="0.25">
      <c r="L42" s="60">
        <v>25</v>
      </c>
      <c r="M42" s="61">
        <v>0.6</v>
      </c>
      <c r="N42" s="61">
        <v>0.15</v>
      </c>
      <c r="O42" s="60">
        <v>0.2</v>
      </c>
      <c r="P42" s="60">
        <v>0.35</v>
      </c>
      <c r="Q42" s="60">
        <v>0.82</v>
      </c>
      <c r="R42" s="60">
        <v>0.92</v>
      </c>
      <c r="S42" s="61">
        <v>1.1200000000000001</v>
      </c>
      <c r="T42" s="60">
        <v>1.29</v>
      </c>
      <c r="U42" s="60">
        <v>1.48</v>
      </c>
    </row>
    <row r="43" spans="7:21" ht="13.5" thickBot="1" x14ac:dyDescent="0.25">
      <c r="L43" s="60">
        <v>31</v>
      </c>
      <c r="M43" s="61">
        <v>0.9</v>
      </c>
      <c r="N43" s="61">
        <v>0.2</v>
      </c>
      <c r="O43" s="60">
        <v>0.3</v>
      </c>
      <c r="P43" s="60">
        <v>0.5</v>
      </c>
      <c r="Q43" s="60">
        <v>0.87</v>
      </c>
      <c r="R43" s="60">
        <v>0.93</v>
      </c>
      <c r="S43" s="61">
        <v>1.1000000000000001</v>
      </c>
      <c r="T43" s="60">
        <v>1.26</v>
      </c>
      <c r="U43" s="60">
        <v>1.45</v>
      </c>
    </row>
    <row r="44" spans="7:21" ht="13.5" thickBot="1" x14ac:dyDescent="0.25">
      <c r="L44" s="60">
        <v>32</v>
      </c>
      <c r="M44" s="61">
        <v>1</v>
      </c>
      <c r="N44" s="61">
        <v>0.2</v>
      </c>
      <c r="O44" s="60">
        <v>0.3</v>
      </c>
      <c r="P44" s="60">
        <v>0.5</v>
      </c>
      <c r="Q44" s="60">
        <v>0.82</v>
      </c>
      <c r="R44" s="60">
        <v>0.91</v>
      </c>
      <c r="S44" s="61">
        <v>1.1200000000000001</v>
      </c>
      <c r="T44" s="60">
        <v>1.31</v>
      </c>
      <c r="U44" s="60">
        <v>1.54</v>
      </c>
    </row>
    <row r="45" spans="7:21" ht="13.5" thickBot="1" x14ac:dyDescent="0.25">
      <c r="L45" s="60">
        <v>33</v>
      </c>
      <c r="M45" s="61">
        <v>2.15</v>
      </c>
      <c r="N45" s="61">
        <v>0.25</v>
      </c>
      <c r="O45" s="60">
        <v>0.4</v>
      </c>
      <c r="P45" s="60">
        <v>0.65</v>
      </c>
      <c r="Q45" s="60">
        <v>0.7</v>
      </c>
      <c r="R45" s="60">
        <v>0.88</v>
      </c>
      <c r="S45" s="61">
        <v>1.1499999999999999</v>
      </c>
      <c r="T45" s="60">
        <v>1.38</v>
      </c>
      <c r="U45" s="60">
        <v>1.62</v>
      </c>
    </row>
    <row r="46" spans="7:21" ht="13.5" thickBot="1" x14ac:dyDescent="0.25">
      <c r="L46" s="60">
        <v>41</v>
      </c>
      <c r="M46" s="61">
        <v>1.2</v>
      </c>
      <c r="N46" s="61">
        <v>0.2</v>
      </c>
      <c r="O46" s="60">
        <v>0.25</v>
      </c>
      <c r="P46" s="60">
        <v>0.45</v>
      </c>
      <c r="Q46" s="60">
        <v>0.91</v>
      </c>
      <c r="R46" s="60">
        <v>0.96</v>
      </c>
      <c r="S46" s="61">
        <v>1</v>
      </c>
      <c r="T46" s="60">
        <v>1</v>
      </c>
      <c r="U46" s="60">
        <v>1</v>
      </c>
    </row>
    <row r="47" spans="7:21" ht="13.5" thickBot="1" x14ac:dyDescent="0.25">
      <c r="L47" s="60">
        <v>42</v>
      </c>
      <c r="M47" s="61">
        <v>2.25</v>
      </c>
      <c r="N47" s="61">
        <v>0.2</v>
      </c>
      <c r="O47" s="60">
        <v>0.35</v>
      </c>
      <c r="P47" s="60">
        <v>0.55000000000000004</v>
      </c>
      <c r="Q47" s="60">
        <v>0.67</v>
      </c>
      <c r="R47" s="60">
        <v>0.86</v>
      </c>
      <c r="S47" s="61">
        <v>1.18</v>
      </c>
      <c r="T47" s="60">
        <v>1.46</v>
      </c>
      <c r="U47" s="60">
        <v>1.78</v>
      </c>
    </row>
    <row r="48" spans="7:21" ht="13.5" thickBot="1" x14ac:dyDescent="0.25">
      <c r="L48" s="60">
        <v>511</v>
      </c>
      <c r="M48" s="61">
        <v>2.15</v>
      </c>
      <c r="N48" s="61">
        <v>0.1</v>
      </c>
      <c r="O48" s="60">
        <v>0.15</v>
      </c>
      <c r="P48" s="60">
        <v>0.2</v>
      </c>
      <c r="Q48" s="60">
        <v>0.81</v>
      </c>
      <c r="R48" s="60">
        <v>0.91</v>
      </c>
      <c r="S48" s="61">
        <v>1.1200000000000001</v>
      </c>
      <c r="T48" s="60">
        <v>1.3</v>
      </c>
      <c r="U48" s="60">
        <v>1.5</v>
      </c>
    </row>
    <row r="49" spans="4:21" ht="13.5" thickBot="1" x14ac:dyDescent="0.25">
      <c r="L49" s="60">
        <v>512</v>
      </c>
      <c r="M49" s="61">
        <v>0.7</v>
      </c>
      <c r="N49" s="61">
        <v>0.2</v>
      </c>
      <c r="O49" s="60">
        <v>0.3</v>
      </c>
      <c r="P49" s="60">
        <v>0.5</v>
      </c>
      <c r="Q49" s="60">
        <v>1</v>
      </c>
      <c r="R49" s="60">
        <v>1</v>
      </c>
      <c r="S49" s="61">
        <v>1</v>
      </c>
      <c r="T49" s="60">
        <v>1</v>
      </c>
      <c r="U49" s="60">
        <v>1</v>
      </c>
    </row>
    <row r="50" spans="4:21" ht="13.5" thickBot="1" x14ac:dyDescent="0.25">
      <c r="L50" s="60">
        <v>52</v>
      </c>
      <c r="M50" s="61">
        <v>0.95</v>
      </c>
      <c r="N50" s="61">
        <v>0.2</v>
      </c>
      <c r="O50" s="60">
        <v>0.25</v>
      </c>
      <c r="P50" s="60">
        <v>0.45</v>
      </c>
      <c r="Q50" s="60">
        <v>0.89</v>
      </c>
      <c r="R50" s="60">
        <v>0.94</v>
      </c>
      <c r="S50" s="61">
        <v>1.0900000000000001</v>
      </c>
      <c r="T50" s="60">
        <v>1.22</v>
      </c>
      <c r="U50" s="60">
        <v>1.36</v>
      </c>
    </row>
    <row r="51" spans="4:21" ht="13.5" thickBot="1" x14ac:dyDescent="0.25">
      <c r="L51" s="60">
        <v>53</v>
      </c>
      <c r="M51" s="61">
        <v>2.1</v>
      </c>
      <c r="N51" s="61">
        <v>0.25</v>
      </c>
      <c r="O51" s="60">
        <v>0.35</v>
      </c>
      <c r="P51" s="60">
        <v>0.6</v>
      </c>
      <c r="Q51" s="60">
        <v>0.68</v>
      </c>
      <c r="R51" s="60">
        <v>0.87</v>
      </c>
      <c r="S51" s="61">
        <v>1.1599999999999999</v>
      </c>
      <c r="T51" s="60">
        <v>1.38</v>
      </c>
      <c r="U51" s="60">
        <v>1.56</v>
      </c>
    </row>
    <row r="52" spans="4:21" ht="13.5" thickBot="1" x14ac:dyDescent="0.25">
      <c r="L52" s="61">
        <v>61</v>
      </c>
      <c r="M52" s="61">
        <v>2</v>
      </c>
      <c r="N52" s="61">
        <v>0.25</v>
      </c>
      <c r="O52" s="61">
        <v>0.35</v>
      </c>
      <c r="P52" s="61">
        <v>0.6</v>
      </c>
      <c r="Q52" s="61">
        <v>0.77</v>
      </c>
      <c r="R52" s="61">
        <v>0.91</v>
      </c>
      <c r="S52" s="61">
        <v>1.1000000000000001</v>
      </c>
      <c r="T52" s="61">
        <v>1.18</v>
      </c>
      <c r="U52" s="61">
        <v>1.17</v>
      </c>
    </row>
    <row r="53" spans="4:21" ht="13.5" thickBot="1" x14ac:dyDescent="0.25">
      <c r="L53" s="60">
        <v>71</v>
      </c>
      <c r="M53" s="61">
        <v>1.2</v>
      </c>
      <c r="N53" s="61">
        <v>0.15</v>
      </c>
      <c r="O53" s="60">
        <v>0.2</v>
      </c>
      <c r="P53" s="60">
        <v>0.35</v>
      </c>
      <c r="Q53" s="60">
        <v>0.82</v>
      </c>
      <c r="R53" s="60">
        <v>0.94</v>
      </c>
      <c r="S53" s="61">
        <v>1</v>
      </c>
      <c r="T53" s="60">
        <v>1</v>
      </c>
      <c r="U53" s="60">
        <v>1</v>
      </c>
    </row>
    <row r="54" spans="4:21" ht="13.5" thickBot="1" x14ac:dyDescent="0.25">
      <c r="L54" s="60">
        <v>72</v>
      </c>
      <c r="M54" s="61">
        <v>2.1</v>
      </c>
      <c r="N54" s="61">
        <v>0.3</v>
      </c>
      <c r="O54" s="60">
        <v>0.45</v>
      </c>
      <c r="P54" s="60">
        <v>0.7</v>
      </c>
      <c r="Q54" s="60">
        <v>0.67</v>
      </c>
      <c r="R54" s="60">
        <v>0.86</v>
      </c>
      <c r="S54" s="61">
        <v>1</v>
      </c>
      <c r="T54" s="60" t="s">
        <v>66</v>
      </c>
      <c r="U54" s="60" t="s">
        <v>66</v>
      </c>
    </row>
    <row r="55" spans="4:21" ht="13.5" thickBot="1" x14ac:dyDescent="0.25">
      <c r="L55" s="60">
        <v>81</v>
      </c>
      <c r="M55" s="61">
        <v>1.3</v>
      </c>
      <c r="N55" s="61">
        <v>0.25</v>
      </c>
      <c r="O55" s="60">
        <v>0.35</v>
      </c>
      <c r="P55" s="60">
        <v>0.6</v>
      </c>
      <c r="Q55" s="60">
        <v>0.76</v>
      </c>
      <c r="R55" s="60">
        <v>0.9</v>
      </c>
      <c r="S55" s="61">
        <v>1.1399999999999999</v>
      </c>
      <c r="T55" s="60">
        <v>1.34</v>
      </c>
      <c r="U55" s="60">
        <v>1.58</v>
      </c>
    </row>
    <row r="56" spans="4:21" ht="13.5" thickBot="1" x14ac:dyDescent="0.25">
      <c r="L56" s="60">
        <v>821</v>
      </c>
      <c r="M56" s="61">
        <v>1.3</v>
      </c>
      <c r="N56" s="61">
        <v>0.35</v>
      </c>
      <c r="O56" s="60">
        <v>0.5</v>
      </c>
      <c r="P56" s="60">
        <v>0.85</v>
      </c>
      <c r="Q56" s="60">
        <v>0.82</v>
      </c>
      <c r="R56" s="60">
        <v>0.91</v>
      </c>
      <c r="S56" s="61">
        <v>1.07</v>
      </c>
      <c r="T56" s="60" t="s">
        <v>66</v>
      </c>
      <c r="U56" s="60" t="s">
        <v>66</v>
      </c>
    </row>
    <row r="57" spans="4:21" ht="13.5" thickBot="1" x14ac:dyDescent="0.25">
      <c r="L57" s="60">
        <v>822</v>
      </c>
      <c r="M57" s="61">
        <v>2.4</v>
      </c>
      <c r="N57" s="61">
        <v>0.25</v>
      </c>
      <c r="O57" s="60">
        <v>0.35</v>
      </c>
      <c r="P57" s="60">
        <v>0.6</v>
      </c>
      <c r="Q57" s="60">
        <v>0.7</v>
      </c>
      <c r="R57" s="60">
        <v>0.86</v>
      </c>
      <c r="S57" s="61">
        <v>1.1599999999999999</v>
      </c>
      <c r="T57" s="60" t="s">
        <v>66</v>
      </c>
      <c r="U57" s="60" t="s">
        <v>66</v>
      </c>
    </row>
    <row r="58" spans="4:21" ht="13.5" thickBot="1" x14ac:dyDescent="0.25">
      <c r="L58" s="60">
        <v>83</v>
      </c>
      <c r="M58" s="61">
        <v>2.2999999999999998</v>
      </c>
      <c r="N58" s="61">
        <v>0.15</v>
      </c>
      <c r="O58" s="60">
        <v>0.25</v>
      </c>
      <c r="P58" s="60">
        <v>0.4</v>
      </c>
      <c r="Q58" s="60">
        <v>0.63</v>
      </c>
      <c r="R58" s="60">
        <v>0.85</v>
      </c>
      <c r="S58" s="61">
        <v>1.21</v>
      </c>
      <c r="T58" s="60">
        <v>1.51</v>
      </c>
      <c r="U58" s="60">
        <v>1.85</v>
      </c>
    </row>
    <row r="59" spans="4:21" ht="13.5" thickBot="1" x14ac:dyDescent="0.25">
      <c r="L59" s="60">
        <v>91</v>
      </c>
      <c r="M59" s="61">
        <v>0.85</v>
      </c>
      <c r="N59" s="61">
        <v>0.15</v>
      </c>
      <c r="O59" s="60">
        <v>0.25</v>
      </c>
      <c r="P59" s="60">
        <v>0.4</v>
      </c>
      <c r="Q59" s="60">
        <v>0.72</v>
      </c>
      <c r="R59" s="60">
        <v>0.88</v>
      </c>
      <c r="S59" s="61">
        <v>1.19</v>
      </c>
      <c r="T59" s="60">
        <v>1.52</v>
      </c>
      <c r="U59" s="60">
        <v>1.95</v>
      </c>
    </row>
    <row r="60" spans="4:21" ht="18.75" thickBot="1" x14ac:dyDescent="0.25">
      <c r="D60" s="134" t="s">
        <v>160</v>
      </c>
      <c r="L60" s="60">
        <v>92</v>
      </c>
      <c r="M60" s="61">
        <v>1.45</v>
      </c>
      <c r="N60" s="61">
        <v>0.3</v>
      </c>
      <c r="O60" s="60">
        <v>0.4</v>
      </c>
      <c r="P60" s="60">
        <v>0.7</v>
      </c>
      <c r="Q60" s="60">
        <v>0.82</v>
      </c>
      <c r="R60" s="60">
        <v>0.94</v>
      </c>
      <c r="S60" s="61">
        <v>1</v>
      </c>
      <c r="T60" s="60">
        <v>1</v>
      </c>
      <c r="U60" s="60">
        <v>1</v>
      </c>
    </row>
    <row r="61" spans="4:21" ht="13.5" thickBot="1" x14ac:dyDescent="0.25">
      <c r="L61" s="60">
        <v>93</v>
      </c>
      <c r="M61" s="61">
        <v>1.7</v>
      </c>
      <c r="N61" s="61">
        <v>0.2</v>
      </c>
      <c r="O61" s="60">
        <v>0.25</v>
      </c>
      <c r="P61" s="60">
        <v>0.45</v>
      </c>
      <c r="Q61" s="60">
        <v>0.77</v>
      </c>
      <c r="R61" s="60">
        <v>0.92</v>
      </c>
      <c r="S61" s="61">
        <v>1</v>
      </c>
      <c r="T61" s="60">
        <v>1</v>
      </c>
      <c r="U61" s="60">
        <v>1</v>
      </c>
    </row>
    <row r="66" spans="12:14" ht="18" x14ac:dyDescent="0.2">
      <c r="L66" s="1" t="s">
        <v>15</v>
      </c>
      <c r="N66" s="135" t="s">
        <v>111</v>
      </c>
    </row>
    <row r="67" spans="12:14" ht="23.25" x14ac:dyDescent="0.35">
      <c r="L67" s="124">
        <v>9</v>
      </c>
    </row>
  </sheetData>
  <mergeCells count="1">
    <mergeCell ref="C4:J4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E3DC5-1811-4DC9-9F42-599912A7B53B}">
  <sheetPr>
    <tabColor rgb="FFFF0000"/>
  </sheetPr>
  <dimension ref="A2:K2"/>
  <sheetViews>
    <sheetView workbookViewId="0"/>
  </sheetViews>
  <sheetFormatPr baseColWidth="10" defaultRowHeight="12.75" x14ac:dyDescent="0.2"/>
  <cols>
    <col min="1" max="1" width="3.7109375" customWidth="1"/>
    <col min="2" max="16384" width="11.42578125" style="45"/>
  </cols>
  <sheetData>
    <row r="2" spans="2:11" s="45" customFormat="1" ht="15" x14ac:dyDescent="0.2">
      <c r="B2" s="162" t="str">
        <f>+'[1]Calculo Hidrológico T 25 - (A)'!B2</f>
        <v>CALCULO HIDROLOGICO: Mejora Carretera Guadalmar; 535.2</v>
      </c>
      <c r="K2" s="163" t="s">
        <v>180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Calculo Hidrológico T 25 - (A)</vt:lpstr>
      <vt:lpstr>Datos 1</vt:lpstr>
      <vt:lpstr>Datos 2</vt:lpstr>
      <vt:lpstr>SITUACIÓN</vt:lpstr>
      <vt:lpstr>'Calculo Hidrológico T 25 - (A)'!Área_de_impresión</vt:lpstr>
    </vt:vector>
  </TitlesOfParts>
  <Company>CDC Ingenieros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Fermín</dc:creator>
  <cp:lastModifiedBy>CARLOS BONILLA</cp:lastModifiedBy>
  <cp:lastPrinted>2011-06-09T10:48:57Z</cp:lastPrinted>
  <dcterms:created xsi:type="dcterms:W3CDTF">2003-02-07T17:30:21Z</dcterms:created>
  <dcterms:modified xsi:type="dcterms:W3CDTF">2026-03-02T08:02:20Z</dcterms:modified>
</cp:coreProperties>
</file>