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67865ABB-2DD9-3A48-A871-C14CB6370775}" xr6:coauthVersionLast="47" xr6:coauthVersionMax="47" xr10:uidLastSave="{00000000-0000-0000-0000-000000000000}"/>
  <bookViews>
    <workbookView xWindow="-40720" yWindow="-880" windowWidth="35060" windowHeight="20780" firstSheet="1"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PrEP!$B$14:$O$39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T15" i="44" l="1"/>
  <c r="K15" i="44"/>
  <c r="R15" i="44"/>
  <c r="S15" i="44"/>
  <c r="W15" i="44"/>
  <c r="K4" i="44"/>
  <c r="I4" i="44"/>
  <c r="G4" i="44"/>
  <c r="J4" i="44"/>
  <c r="T15" i="9"/>
  <c r="AK15" i="5" l="1"/>
  <c r="AJ15" i="5"/>
  <c r="BK19" i="49" l="1"/>
  <c r="K16" i="49"/>
  <c r="K17" i="49"/>
  <c r="K18" i="49"/>
  <c r="K19" i="49"/>
  <c r="K20" i="49"/>
  <c r="K21" i="49"/>
  <c r="K22" i="49"/>
  <c r="K23" i="49"/>
  <c r="K24" i="49"/>
  <c r="K25" i="49"/>
  <c r="K26" i="49"/>
  <c r="K27" i="49"/>
  <c r="K28" i="49"/>
  <c r="K15" i="49"/>
  <c r="J16" i="49"/>
  <c r="J17" i="49"/>
  <c r="J18" i="49"/>
  <c r="J19" i="49"/>
  <c r="J20" i="49"/>
  <c r="J21" i="49"/>
  <c r="J22" i="49"/>
  <c r="J23" i="49"/>
  <c r="J24" i="49"/>
  <c r="J25" i="49"/>
  <c r="L25" i="49" s="1"/>
  <c r="J26" i="49"/>
  <c r="J27" i="49"/>
  <c r="J28" i="49"/>
  <c r="J15" i="49"/>
  <c r="L15" i="49" s="1"/>
  <c r="M15" i="10"/>
  <c r="M16" i="49"/>
  <c r="M17" i="49"/>
  <c r="M18" i="49"/>
  <c r="M19" i="49"/>
  <c r="M20" i="49"/>
  <c r="M21" i="49"/>
  <c r="M22" i="49"/>
  <c r="M23" i="49"/>
  <c r="M24" i="49"/>
  <c r="M25" i="49"/>
  <c r="M26" i="49"/>
  <c r="M27" i="49"/>
  <c r="M28" i="49"/>
  <c r="M15" i="49"/>
  <c r="I17" i="49"/>
  <c r="I18" i="49"/>
  <c r="I19" i="49"/>
  <c r="I20" i="49"/>
  <c r="I21" i="49"/>
  <c r="I22" i="49"/>
  <c r="I23" i="49"/>
  <c r="I24" i="49"/>
  <c r="I25" i="49"/>
  <c r="I26" i="49"/>
  <c r="I27" i="49"/>
  <c r="I28" i="49"/>
  <c r="H17" i="49"/>
  <c r="H18" i="49"/>
  <c r="H19" i="49"/>
  <c r="H20" i="49"/>
  <c r="H21" i="49"/>
  <c r="H22" i="49"/>
  <c r="H23" i="49"/>
  <c r="H24" i="49"/>
  <c r="H25" i="49"/>
  <c r="H26" i="49"/>
  <c r="H27" i="49"/>
  <c r="H28" i="49"/>
  <c r="G17" i="49"/>
  <c r="G18" i="49"/>
  <c r="G19" i="49"/>
  <c r="G20" i="49"/>
  <c r="G21" i="49"/>
  <c r="G22" i="49"/>
  <c r="G23" i="49"/>
  <c r="G24" i="49"/>
  <c r="G25" i="49"/>
  <c r="G26" i="49"/>
  <c r="G27" i="49"/>
  <c r="G28" i="49"/>
  <c r="E17" i="49"/>
  <c r="AO17" i="49" s="1"/>
  <c r="AX17" i="49" s="1"/>
  <c r="E18" i="49"/>
  <c r="AP18" i="49" s="1"/>
  <c r="AY18" i="49" s="1"/>
  <c r="E19" i="49"/>
  <c r="AJ19" i="49" s="1"/>
  <c r="AS19" i="49" s="1"/>
  <c r="E20" i="49"/>
  <c r="AP20" i="49" s="1"/>
  <c r="AY20" i="49" s="1"/>
  <c r="E21" i="49"/>
  <c r="AN21" i="49" s="1"/>
  <c r="AW21" i="49" s="1"/>
  <c r="E22" i="49"/>
  <c r="AP22" i="49" s="1"/>
  <c r="AY22" i="49" s="1"/>
  <c r="E23" i="49"/>
  <c r="E24" i="49"/>
  <c r="E25" i="49"/>
  <c r="AP25" i="49" s="1"/>
  <c r="AY25" i="49" s="1"/>
  <c r="E26" i="49"/>
  <c r="AO26" i="49" s="1"/>
  <c r="AX26" i="49" s="1"/>
  <c r="E27" i="49"/>
  <c r="AP27" i="49" s="1"/>
  <c r="AY27" i="49" s="1"/>
  <c r="E28" i="49"/>
  <c r="AO28" i="49" s="1"/>
  <c r="AX28" i="49" s="1"/>
  <c r="F17" i="49"/>
  <c r="F18" i="49"/>
  <c r="F19" i="49"/>
  <c r="F20" i="49"/>
  <c r="F21" i="49"/>
  <c r="F22" i="49"/>
  <c r="F23" i="49"/>
  <c r="F24" i="49"/>
  <c r="F25" i="49"/>
  <c r="F26" i="49"/>
  <c r="F27" i="49"/>
  <c r="F28" i="49"/>
  <c r="EG39" i="49"/>
  <c r="EO39" i="49" s="1"/>
  <c r="EG40" i="49"/>
  <c r="EO40" i="49" s="1"/>
  <c r="EG41" i="49"/>
  <c r="EO41" i="49" s="1"/>
  <c r="EG42" i="49"/>
  <c r="EO42" i="49" s="1"/>
  <c r="EG43" i="49"/>
  <c r="EO43" i="49" s="1"/>
  <c r="EG44" i="49"/>
  <c r="EO44" i="49" s="1"/>
  <c r="EG45" i="49"/>
  <c r="EO45" i="49" s="1"/>
  <c r="EG46" i="49"/>
  <c r="EO46" i="49" s="1"/>
  <c r="EG47" i="49"/>
  <c r="EO47" i="49" s="1"/>
  <c r="EG48" i="49"/>
  <c r="EO48" i="49" s="1"/>
  <c r="EG49" i="49"/>
  <c r="EO49" i="49" s="1"/>
  <c r="EG50" i="49"/>
  <c r="EO50" i="49" s="1"/>
  <c r="EG51" i="49"/>
  <c r="EO51" i="49" s="1"/>
  <c r="EG38" i="49"/>
  <c r="EF39" i="49"/>
  <c r="EN39" i="49" s="1"/>
  <c r="EF40" i="49"/>
  <c r="EN40" i="49" s="1"/>
  <c r="EF41" i="49"/>
  <c r="EN41" i="49" s="1"/>
  <c r="EF42" i="49"/>
  <c r="EN42" i="49" s="1"/>
  <c r="EF43" i="49"/>
  <c r="EN43" i="49" s="1"/>
  <c r="EF44" i="49"/>
  <c r="EN44" i="49" s="1"/>
  <c r="EF45" i="49"/>
  <c r="EJ45" i="49" s="1"/>
  <c r="EF46" i="49"/>
  <c r="EN46" i="49" s="1"/>
  <c r="EF47" i="49"/>
  <c r="EN47" i="49" s="1"/>
  <c r="EF48" i="49"/>
  <c r="EN48" i="49" s="1"/>
  <c r="EF49" i="49"/>
  <c r="EN49" i="49" s="1"/>
  <c r="EF50" i="49"/>
  <c r="EN50" i="49" s="1"/>
  <c r="EF51" i="49"/>
  <c r="EN51" i="49" s="1"/>
  <c r="EF38" i="49"/>
  <c r="EN38" i="49" s="1"/>
  <c r="EE39" i="49"/>
  <c r="EM39" i="49" s="1"/>
  <c r="EE40" i="49"/>
  <c r="EM40" i="49" s="1"/>
  <c r="EE41" i="49"/>
  <c r="EM41" i="49" s="1"/>
  <c r="EE42" i="49"/>
  <c r="EM42" i="49" s="1"/>
  <c r="EE43" i="49"/>
  <c r="EM43" i="49" s="1"/>
  <c r="EE44" i="49"/>
  <c r="EM44" i="49" s="1"/>
  <c r="EE45" i="49"/>
  <c r="EM45" i="49" s="1"/>
  <c r="EE46" i="49"/>
  <c r="EM46" i="49" s="1"/>
  <c r="EE47" i="49"/>
  <c r="EM47" i="49" s="1"/>
  <c r="EE48" i="49"/>
  <c r="EM48" i="49" s="1"/>
  <c r="EE49" i="49"/>
  <c r="EM49" i="49" s="1"/>
  <c r="EE50" i="49"/>
  <c r="EM50" i="49" s="1"/>
  <c r="EE51" i="49"/>
  <c r="EM51" i="49" s="1"/>
  <c r="EE38" i="49"/>
  <c r="EM38" i="49" s="1"/>
  <c r="ED39" i="49"/>
  <c r="EL39" i="49" s="1"/>
  <c r="ED40" i="49"/>
  <c r="EL40" i="49" s="1"/>
  <c r="ED41" i="49"/>
  <c r="EH41" i="49" s="1"/>
  <c r="ED42" i="49"/>
  <c r="EL42" i="49" s="1"/>
  <c r="ED43" i="49"/>
  <c r="EL43" i="49" s="1"/>
  <c r="ED44" i="49"/>
  <c r="EL44" i="49" s="1"/>
  <c r="ED45" i="49"/>
  <c r="EL45" i="49" s="1"/>
  <c r="ED46" i="49"/>
  <c r="EL46" i="49" s="1"/>
  <c r="ED47" i="49"/>
  <c r="EL47" i="49" s="1"/>
  <c r="ED48" i="49"/>
  <c r="EL48" i="49" s="1"/>
  <c r="ED49" i="49"/>
  <c r="EL49" i="49" s="1"/>
  <c r="ED50" i="49"/>
  <c r="EL50" i="49" s="1"/>
  <c r="ED51" i="49"/>
  <c r="EL51" i="49" s="1"/>
  <c r="ED38" i="49"/>
  <c r="EL38" i="49" s="1"/>
  <c r="DU35" i="49"/>
  <c r="DU36" i="49"/>
  <c r="DU37" i="49"/>
  <c r="DU34" i="49"/>
  <c r="DK35" i="49"/>
  <c r="DL35" i="49"/>
  <c r="DO35" i="49"/>
  <c r="DP35" i="49"/>
  <c r="DQ35" i="49" a="1"/>
  <c r="DQ35" i="49" s="1"/>
  <c r="DK36" i="49"/>
  <c r="DL36" i="49"/>
  <c r="DO36" i="49"/>
  <c r="DP36" i="49"/>
  <c r="DK37" i="49"/>
  <c r="DL37" i="49"/>
  <c r="DO37" i="49"/>
  <c r="DP37" i="49"/>
  <c r="DQ34" i="49" a="1"/>
  <c r="DQ34" i="49" s="1"/>
  <c r="DR34" i="49" s="1" a="1"/>
  <c r="DR34" i="49" s="1"/>
  <c r="DP34" i="49"/>
  <c r="DO34" i="49"/>
  <c r="DL34" i="49"/>
  <c r="DK34" i="49"/>
  <c r="AP21" i="49"/>
  <c r="AY21" i="49" s="1"/>
  <c r="AO20" i="49"/>
  <c r="AX20" i="49" s="1"/>
  <c r="AO22" i="49"/>
  <c r="AX22" i="49" s="1"/>
  <c r="AN20" i="49"/>
  <c r="AW20" i="49" s="1"/>
  <c r="AN22" i="49"/>
  <c r="AW22" i="49" s="1"/>
  <c r="AM20" i="49"/>
  <c r="AV20" i="49" s="1"/>
  <c r="AM21" i="49"/>
  <c r="AV21" i="49" s="1"/>
  <c r="AM22" i="49"/>
  <c r="AV22" i="49" s="1"/>
  <c r="AL21" i="49"/>
  <c r="AU21" i="49" s="1"/>
  <c r="AL22" i="49"/>
  <c r="AU22" i="49" s="1"/>
  <c r="AL17" i="49"/>
  <c r="AU17" i="49" s="1"/>
  <c r="AK28" i="49"/>
  <c r="AT28" i="49" s="1"/>
  <c r="AK22" i="49"/>
  <c r="AT22" i="49" s="1"/>
  <c r="AJ21" i="49"/>
  <c r="AS21" i="49" s="1"/>
  <c r="AJ22" i="49"/>
  <c r="AS22" i="49" s="1"/>
  <c r="AJ27" i="49"/>
  <c r="AS27" i="49" s="1"/>
  <c r="AI25" i="49"/>
  <c r="AR25" i="49" s="1"/>
  <c r="AI21" i="49"/>
  <c r="AR21" i="49" s="1"/>
  <c r="AH27" i="49"/>
  <c r="AQ27" i="49" s="1"/>
  <c r="AH21" i="49"/>
  <c r="AQ21" i="49" s="1"/>
  <c r="G15" i="40"/>
  <c r="AP15" i="12"/>
  <c r="AO15" i="12"/>
  <c r="I15" i="12"/>
  <c r="H15" i="12"/>
  <c r="AY15" i="7"/>
  <c r="AX15" i="7"/>
  <c r="V15" i="8"/>
  <c r="AB15" i="13"/>
  <c r="Z15" i="13"/>
  <c r="X15" i="13"/>
  <c r="P15" i="13"/>
  <c r="Q15" i="13"/>
  <c r="CG18" i="49"/>
  <c r="CG19" i="49"/>
  <c r="CG20" i="49"/>
  <c r="CG21" i="49"/>
  <c r="CG22" i="49"/>
  <c r="CG23" i="49"/>
  <c r="CG24" i="49"/>
  <c r="CG25" i="49"/>
  <c r="CG26" i="49"/>
  <c r="CG27" i="49"/>
  <c r="CG28" i="49"/>
  <c r="CG17" i="49"/>
  <c r="BS27" i="49"/>
  <c r="BS25" i="49"/>
  <c r="BS23" i="49"/>
  <c r="BS21" i="49"/>
  <c r="BS19" i="49"/>
  <c r="S15" i="13"/>
  <c r="R4" i="13"/>
  <c r="AC15" i="5"/>
  <c r="AC4" i="5" s="1"/>
  <c r="V15" i="5"/>
  <c r="V4" i="5" s="1"/>
  <c r="R2" i="3"/>
  <c r="Q2" i="3"/>
  <c r="EI40" i="49"/>
  <c r="EI41" i="49"/>
  <c r="EK42" i="49"/>
  <c r="EK44" i="49"/>
  <c r="EK45" i="49"/>
  <c r="EJ46" i="49"/>
  <c r="EK46" i="49"/>
  <c r="EJ48" i="49"/>
  <c r="EK49" i="49"/>
  <c r="EI50" i="49"/>
  <c r="EK50" i="49"/>
  <c r="EO38" i="49"/>
  <c r="EX57" i="49"/>
  <c r="EY57" i="49" s="1"/>
  <c r="EX56" i="49"/>
  <c r="EZ56" i="49" s="1"/>
  <c r="ER53" i="49"/>
  <c r="ET53" i="49" s="1"/>
  <c r="ES53" i="49"/>
  <c r="EU53" i="49" s="1"/>
  <c r="ER54" i="49"/>
  <c r="EV54" i="49" s="1"/>
  <c r="ES54" i="49"/>
  <c r="EW54" i="49" s="1"/>
  <c r="ER55" i="49"/>
  <c r="ET55" i="49" s="1"/>
  <c r="ES55" i="49"/>
  <c r="EU55" i="49" s="1"/>
  <c r="ES52" i="49"/>
  <c r="EW52" i="49" s="1"/>
  <c r="ER52" i="49"/>
  <c r="EV52" i="49" s="1"/>
  <c r="G30" i="49"/>
  <c r="CS22" i="49"/>
  <c r="CU22" i="49" s="1"/>
  <c r="BB21" i="49"/>
  <c r="BC21" i="49" s="1"/>
  <c r="BB22" i="49"/>
  <c r="BC22" i="49" s="1"/>
  <c r="BB23" i="49"/>
  <c r="BC23" i="49" s="1"/>
  <c r="BB24" i="49"/>
  <c r="BC24" i="49" s="1"/>
  <c r="CY20" i="49"/>
  <c r="CZ20" i="49" s="1"/>
  <c r="CY21" i="49"/>
  <c r="CZ21" i="49" s="1"/>
  <c r="CY22" i="49"/>
  <c r="CZ22" i="49" s="1"/>
  <c r="CY23" i="49"/>
  <c r="CZ23" i="49" s="1"/>
  <c r="CY24" i="49"/>
  <c r="CZ24" i="49" s="1"/>
  <c r="CY25" i="49"/>
  <c r="CZ25" i="49" s="1"/>
  <c r="CY26" i="49"/>
  <c r="CZ26" i="49" s="1"/>
  <c r="CY27" i="49"/>
  <c r="CZ27" i="49" s="1"/>
  <c r="CY28" i="49"/>
  <c r="CZ28" i="49" s="1"/>
  <c r="CY19" i="49"/>
  <c r="CZ19" i="49" s="1"/>
  <c r="CT22" i="49"/>
  <c r="CV22" i="49" s="1"/>
  <c r="CS23" i="49"/>
  <c r="CU23" i="49" s="1"/>
  <c r="CT23" i="49"/>
  <c r="CV23" i="49" s="1"/>
  <c r="CS24" i="49"/>
  <c r="CU24" i="49" s="1"/>
  <c r="CT24" i="49"/>
  <c r="CV24" i="49" s="1"/>
  <c r="CS25" i="49"/>
  <c r="CU25" i="49" s="1"/>
  <c r="CT25" i="49"/>
  <c r="CV25" i="49" s="1"/>
  <c r="CS26" i="49"/>
  <c r="CU26" i="49" s="1"/>
  <c r="CT26" i="49"/>
  <c r="CV26" i="49" s="1"/>
  <c r="CS27" i="49"/>
  <c r="CU27" i="49" s="1"/>
  <c r="CT27" i="49"/>
  <c r="CV27" i="49" s="1"/>
  <c r="CS28" i="49"/>
  <c r="CU28" i="49" s="1"/>
  <c r="CT28" i="49"/>
  <c r="CV28" i="49" s="1"/>
  <c r="CT21" i="49"/>
  <c r="CV21" i="49" s="1"/>
  <c r="CS21" i="49"/>
  <c r="CU21" i="49" s="1"/>
  <c r="BE28" i="49"/>
  <c r="BF28" i="49" s="1"/>
  <c r="BE27" i="49"/>
  <c r="BF27" i="49" s="1"/>
  <c r="BE26" i="49"/>
  <c r="BF26" i="49" s="1"/>
  <c r="BE25" i="49"/>
  <c r="BF25" i="49" s="1"/>
  <c r="BE24" i="49"/>
  <c r="BF24" i="49" s="1"/>
  <c r="BE23" i="49"/>
  <c r="BF23" i="49" s="1"/>
  <c r="BE22" i="49"/>
  <c r="BF22" i="49" s="1"/>
  <c r="BE21" i="49"/>
  <c r="BF21" i="49" s="1"/>
  <c r="BE20" i="49"/>
  <c r="BF20" i="49" s="1"/>
  <c r="BE19" i="49"/>
  <c r="BF19" i="49" s="1"/>
  <c r="BA28" i="49"/>
  <c r="BA27" i="49"/>
  <c r="BA26" i="49"/>
  <c r="BA25" i="49"/>
  <c r="BA24" i="49"/>
  <c r="BA23" i="49"/>
  <c r="BA22" i="49"/>
  <c r="BA21" i="49"/>
  <c r="DE25" i="49"/>
  <c r="DF25" i="49" s="1"/>
  <c r="DE23" i="49"/>
  <c r="DF23" i="49" s="1"/>
  <c r="BA30" i="49"/>
  <c r="BA31" i="49"/>
  <c r="BA32" i="49"/>
  <c r="BA33" i="49"/>
  <c r="BA29" i="49"/>
  <c r="BE30" i="49"/>
  <c r="BF30" i="49" s="1"/>
  <c r="BE31" i="49"/>
  <c r="BF31" i="49" s="1"/>
  <c r="BE32" i="49"/>
  <c r="BF32" i="49" s="1"/>
  <c r="BE33" i="49"/>
  <c r="BF33" i="49" s="1"/>
  <c r="BE29" i="49"/>
  <c r="BF29" i="49" s="1"/>
  <c r="DB30" i="49"/>
  <c r="DC30" i="49" s="1"/>
  <c r="DB31" i="49"/>
  <c r="DC31" i="49" s="1"/>
  <c r="DB32" i="49"/>
  <c r="DC32" i="49" s="1"/>
  <c r="DB33" i="49"/>
  <c r="DC33" i="49" s="1"/>
  <c r="DB29" i="49"/>
  <c r="DC29" i="49" s="1"/>
  <c r="CT30" i="49"/>
  <c r="CV30" i="49" s="1"/>
  <c r="CT31" i="49"/>
  <c r="CV31" i="49" s="1"/>
  <c r="CT32" i="49"/>
  <c r="CV32" i="49" s="1"/>
  <c r="CT33" i="49"/>
  <c r="CV33" i="49" s="1"/>
  <c r="CT29" i="49"/>
  <c r="CV29" i="49" s="1"/>
  <c r="CS30" i="49"/>
  <c r="CU30" i="49" s="1"/>
  <c r="CS31" i="49"/>
  <c r="CU31" i="49" s="1"/>
  <c r="CS32" i="49"/>
  <c r="CU32" i="49" s="1"/>
  <c r="CS33" i="49"/>
  <c r="CU33" i="49" s="1"/>
  <c r="CS29" i="49"/>
  <c r="CU29" i="49" s="1"/>
  <c r="J30" i="49"/>
  <c r="N30" i="49" s="1"/>
  <c r="J31" i="49"/>
  <c r="N31" i="49" s="1"/>
  <c r="J32" i="49"/>
  <c r="N32" i="49" s="1"/>
  <c r="J33" i="49"/>
  <c r="N33" i="49" s="1"/>
  <c r="G31" i="49"/>
  <c r="G32" i="49"/>
  <c r="G33" i="49"/>
  <c r="Q29" i="49"/>
  <c r="Q32" i="49"/>
  <c r="Q33" i="49"/>
  <c r="O30" i="49"/>
  <c r="O29" i="49"/>
  <c r="O33" i="49"/>
  <c r="O32" i="49"/>
  <c r="Q31" i="49"/>
  <c r="O31" i="49"/>
  <c r="Q30" i="49"/>
  <c r="J29" i="49"/>
  <c r="N29" i="49" s="1"/>
  <c r="I30" i="49"/>
  <c r="I31" i="49"/>
  <c r="I32" i="49"/>
  <c r="I33" i="49"/>
  <c r="I29" i="49"/>
  <c r="H30" i="49"/>
  <c r="H31" i="49"/>
  <c r="H32" i="49"/>
  <c r="H33" i="49"/>
  <c r="H29" i="49"/>
  <c r="G29" i="49"/>
  <c r="F30" i="49"/>
  <c r="F31" i="49"/>
  <c r="F32" i="49"/>
  <c r="F33" i="49"/>
  <c r="F29" i="49"/>
  <c r="E30" i="49"/>
  <c r="BB30" i="49" s="1"/>
  <c r="BC30" i="49" s="1"/>
  <c r="E31" i="49"/>
  <c r="BB31" i="49" s="1"/>
  <c r="BC31" i="49" s="1"/>
  <c r="E32" i="49"/>
  <c r="BB32" i="49" s="1"/>
  <c r="BC32" i="49" s="1"/>
  <c r="E33" i="49"/>
  <c r="BB33" i="49" s="1"/>
  <c r="BC33" i="49" s="1"/>
  <c r="Q16" i="49"/>
  <c r="Q18" i="49"/>
  <c r="Q19" i="49"/>
  <c r="Q20" i="49"/>
  <c r="Q21" i="49"/>
  <c r="Q22" i="49"/>
  <c r="L16" i="49"/>
  <c r="L17" i="49"/>
  <c r="L18" i="49"/>
  <c r="L19" i="49"/>
  <c r="L20" i="49"/>
  <c r="L21" i="49"/>
  <c r="L23" i="49"/>
  <c r="L24" i="49"/>
  <c r="L26" i="49"/>
  <c r="L27" i="49"/>
  <c r="L28" i="49"/>
  <c r="DI23" i="49"/>
  <c r="DJ23" i="49" s="1"/>
  <c r="DI25" i="49"/>
  <c r="DJ25" i="49" s="1"/>
  <c r="E29" i="49"/>
  <c r="BB29" i="49" s="1"/>
  <c r="BC29" i="49" s="1"/>
  <c r="BB28" i="49" l="1"/>
  <c r="BC28" i="49" s="1"/>
  <c r="AL20" i="49"/>
  <c r="AU20" i="49" s="1"/>
  <c r="AJ20" i="49"/>
  <c r="AS20" i="49" s="1"/>
  <c r="EH48" i="49"/>
  <c r="EJ44" i="49"/>
  <c r="EH43" i="49"/>
  <c r="EJ39" i="49"/>
  <c r="AM17" i="49"/>
  <c r="AV17" i="49" s="1"/>
  <c r="EH51" i="49"/>
  <c r="EI49" i="49"/>
  <c r="DV37" i="49" a="1"/>
  <c r="DV37" i="49" s="1"/>
  <c r="N28" i="49"/>
  <c r="N20" i="49"/>
  <c r="P20" i="49" s="1"/>
  <c r="R20" i="49" s="1"/>
  <c r="S20" i="49" s="1"/>
  <c r="EH44" i="49"/>
  <c r="EI48" i="49"/>
  <c r="EJ40" i="49"/>
  <c r="N15" i="49"/>
  <c r="N21" i="49"/>
  <c r="EJ50" i="49"/>
  <c r="N24" i="49"/>
  <c r="DQ36" i="49" a="1"/>
  <c r="DQ36" i="49" s="1"/>
  <c r="DS36" i="49" s="1" a="1"/>
  <c r="DS36" i="49" s="1"/>
  <c r="EJ42" i="49"/>
  <c r="EJ41" i="49"/>
  <c r="N26" i="49"/>
  <c r="P26" i="49" s="1"/>
  <c r="N18" i="49"/>
  <c r="EH47" i="49"/>
  <c r="EK41" i="49"/>
  <c r="AJ17" i="49"/>
  <c r="AS17" i="49" s="1"/>
  <c r="N16" i="49"/>
  <c r="EJ49" i="49"/>
  <c r="EI45" i="49"/>
  <c r="DV36" i="49" a="1"/>
  <c r="DV36" i="49" s="1"/>
  <c r="BB25" i="49"/>
  <c r="BC25" i="49" s="1"/>
  <c r="EJ51" i="49"/>
  <c r="EJ43" i="49"/>
  <c r="EK39" i="49"/>
  <c r="AI19" i="49"/>
  <c r="AR19" i="49" s="1"/>
  <c r="EK47" i="49"/>
  <c r="EK51" i="49"/>
  <c r="EK48" i="49"/>
  <c r="AN18" i="49"/>
  <c r="AW18" i="49" s="1"/>
  <c r="N17" i="49"/>
  <c r="N23" i="49"/>
  <c r="N22" i="49"/>
  <c r="P22" i="49" s="1"/>
  <c r="R22" i="49" s="1"/>
  <c r="S22" i="49" s="1"/>
  <c r="EH39" i="49"/>
  <c r="EI42" i="49"/>
  <c r="EI39" i="49"/>
  <c r="N27" i="49"/>
  <c r="P27" i="49" s="1"/>
  <c r="N19" i="49"/>
  <c r="EI46" i="49"/>
  <c r="N25" i="49"/>
  <c r="EH40" i="49"/>
  <c r="EJ47" i="49"/>
  <c r="EP47" i="49" s="1"/>
  <c r="EK43" i="49"/>
  <c r="EK40" i="49"/>
  <c r="AJ28" i="49"/>
  <c r="AS28" i="49" s="1"/>
  <c r="AL28" i="49"/>
  <c r="AU28" i="49" s="1"/>
  <c r="AM18" i="49"/>
  <c r="AV18" i="49" s="1"/>
  <c r="EI47" i="49"/>
  <c r="EI44" i="49"/>
  <c r="EL41" i="49"/>
  <c r="EI43" i="49"/>
  <c r="EI51" i="49"/>
  <c r="EN45" i="49"/>
  <c r="AP28" i="49"/>
  <c r="AY28" i="49" s="1"/>
  <c r="AH25" i="49"/>
  <c r="AQ25" i="49" s="1"/>
  <c r="AN28" i="49"/>
  <c r="AW28" i="49" s="1"/>
  <c r="AM28" i="49"/>
  <c r="AV28" i="49" s="1"/>
  <c r="AO25" i="49"/>
  <c r="AX25" i="49" s="1"/>
  <c r="AJ18" i="49"/>
  <c r="AS18" i="49" s="1"/>
  <c r="AL19" i="49"/>
  <c r="AU19" i="49" s="1"/>
  <c r="AN17" i="49"/>
  <c r="AW17" i="49" s="1"/>
  <c r="AL18" i="49"/>
  <c r="AU18" i="49" s="1"/>
  <c r="AO21" i="49"/>
  <c r="AX21" i="49" s="1"/>
  <c r="AZ21" i="49" s="1"/>
  <c r="AP17" i="49"/>
  <c r="AY17" i="49" s="1"/>
  <c r="AN26" i="49"/>
  <c r="AW26" i="49" s="1"/>
  <c r="BB27" i="49"/>
  <c r="BC27" i="49" s="1"/>
  <c r="AH19" i="49"/>
  <c r="AQ19" i="49" s="1"/>
  <c r="BB26" i="49"/>
  <c r="BC26" i="49" s="1"/>
  <c r="AN25" i="49"/>
  <c r="AW25" i="49" s="1"/>
  <c r="AO27" i="49"/>
  <c r="AX27" i="49" s="1"/>
  <c r="AJ25" i="49"/>
  <c r="AS25" i="49" s="1"/>
  <c r="AM19" i="49"/>
  <c r="AV19" i="49" s="1"/>
  <c r="AL27" i="49"/>
  <c r="AU27" i="49" s="1"/>
  <c r="AN19" i="49"/>
  <c r="AW19" i="49" s="1"/>
  <c r="AP19" i="49"/>
  <c r="AY19" i="49" s="1"/>
  <c r="AL25" i="49"/>
  <c r="AU25" i="49" s="1"/>
  <c r="AM27" i="49"/>
  <c r="AV27" i="49" s="1"/>
  <c r="AO19" i="49"/>
  <c r="AX19" i="49" s="1"/>
  <c r="AI27" i="49"/>
  <c r="AR27" i="49" s="1"/>
  <c r="AM25" i="49"/>
  <c r="AV25" i="49" s="1"/>
  <c r="AN27" i="49"/>
  <c r="AW27" i="49" s="1"/>
  <c r="AO18" i="49"/>
  <c r="AX18" i="49" s="1"/>
  <c r="DQ37" i="49" a="1"/>
  <c r="DQ37" i="49" s="1"/>
  <c r="DS37" i="49" s="1" a="1"/>
  <c r="DS37" i="49" s="1"/>
  <c r="AL26" i="49"/>
  <c r="AU26" i="49" s="1"/>
  <c r="AP26" i="49"/>
  <c r="AY26" i="49" s="1"/>
  <c r="AJ26" i="49"/>
  <c r="AS26" i="49" s="1"/>
  <c r="AK26" i="49"/>
  <c r="AT26" i="49" s="1"/>
  <c r="AM26" i="49"/>
  <c r="AV26" i="49" s="1"/>
  <c r="DS35" i="49" a="1"/>
  <c r="DS35" i="49" s="1"/>
  <c r="DR35" i="49" a="1"/>
  <c r="DR35" i="49" s="1"/>
  <c r="DY35" i="49" s="1"/>
  <c r="EB35" i="49" s="1"/>
  <c r="DY34" i="49"/>
  <c r="EB34" i="49" s="1"/>
  <c r="AM24" i="49"/>
  <c r="AV24" i="49" s="1"/>
  <c r="AP24" i="49"/>
  <c r="AY24" i="49" s="1"/>
  <c r="AN24" i="49"/>
  <c r="AW24" i="49" s="1"/>
  <c r="AK24" i="49"/>
  <c r="AT24" i="49" s="1"/>
  <c r="AL24" i="49"/>
  <c r="AU24" i="49" s="1"/>
  <c r="AJ24" i="49"/>
  <c r="AS24" i="49" s="1"/>
  <c r="AO24" i="49"/>
  <c r="AX24" i="49" s="1"/>
  <c r="AI23" i="49"/>
  <c r="AR23" i="49" s="1"/>
  <c r="AJ23" i="49"/>
  <c r="AS23" i="49" s="1"/>
  <c r="AL23" i="49"/>
  <c r="AU23" i="49" s="1"/>
  <c r="AN23" i="49"/>
  <c r="AW23" i="49" s="1"/>
  <c r="AP23" i="49"/>
  <c r="AY23" i="49" s="1"/>
  <c r="AH23" i="49"/>
  <c r="AQ23" i="49" s="1"/>
  <c r="AM23" i="49"/>
  <c r="AV23" i="49" s="1"/>
  <c r="AO23" i="49"/>
  <c r="AX23" i="49" s="1"/>
  <c r="DV35" i="49" a="1"/>
  <c r="DV35" i="49" s="1"/>
  <c r="DV34" i="49" a="1"/>
  <c r="DV34" i="49" s="1"/>
  <c r="P30" i="49"/>
  <c r="R30" i="49" s="1"/>
  <c r="W30" i="49" s="1"/>
  <c r="Y30" i="49" s="1"/>
  <c r="AG30" i="49" s="1"/>
  <c r="EQ41" i="49"/>
  <c r="EQ40" i="49"/>
  <c r="EP45" i="49"/>
  <c r="EQ47" i="49"/>
  <c r="EQ39" i="49"/>
  <c r="EQ43" i="49"/>
  <c r="EQ42" i="49"/>
  <c r="EQ44" i="49"/>
  <c r="EP46" i="49"/>
  <c r="EP44" i="49"/>
  <c r="EQ46" i="49"/>
  <c r="EP43" i="49"/>
  <c r="EQ45" i="49"/>
  <c r="EP42" i="49"/>
  <c r="EP41" i="49"/>
  <c r="EP40" i="49"/>
  <c r="EP39" i="49"/>
  <c r="P29" i="49"/>
  <c r="R29" i="49" s="1"/>
  <c r="W29" i="49" s="1"/>
  <c r="Y29" i="49" s="1"/>
  <c r="AG29" i="49" s="1"/>
  <c r="L22" i="49"/>
  <c r="O22" i="49" s="1"/>
  <c r="EH49" i="49"/>
  <c r="EH45" i="49"/>
  <c r="EI38" i="49"/>
  <c r="EJ38" i="49"/>
  <c r="EK38" i="49"/>
  <c r="EH50" i="49"/>
  <c r="EH46" i="49"/>
  <c r="EH42" i="49"/>
  <c r="P21" i="49"/>
  <c r="R21" i="49" s="1"/>
  <c r="W21" i="49" s="1"/>
  <c r="EU54" i="49"/>
  <c r="EW53" i="49"/>
  <c r="ET54" i="49"/>
  <c r="EV53" i="49"/>
  <c r="EW55" i="49"/>
  <c r="EZ57" i="49"/>
  <c r="EV55" i="49"/>
  <c r="ET52" i="49"/>
  <c r="EU52" i="49"/>
  <c r="EY56" i="49"/>
  <c r="EH38" i="49"/>
  <c r="P33" i="49"/>
  <c r="R33" i="49" s="1"/>
  <c r="W33" i="49" s="1"/>
  <c r="Y33" i="49" s="1"/>
  <c r="AG33" i="49" s="1"/>
  <c r="P23" i="49"/>
  <c r="P32" i="49"/>
  <c r="R32" i="49" s="1"/>
  <c r="S32" i="49" s="1"/>
  <c r="P31" i="49"/>
  <c r="R31" i="49" s="1"/>
  <c r="S31" i="49" s="1"/>
  <c r="P28" i="49"/>
  <c r="P19" i="49"/>
  <c r="R19" i="49" s="1"/>
  <c r="S19" i="49" s="1"/>
  <c r="P18" i="49"/>
  <c r="R18" i="49" s="1"/>
  <c r="W18" i="49" s="1"/>
  <c r="P25" i="49"/>
  <c r="P17" i="49"/>
  <c r="P24" i="49"/>
  <c r="DA27" i="49"/>
  <c r="DA26" i="49"/>
  <c r="DA25" i="49"/>
  <c r="DA24" i="49"/>
  <c r="DA23" i="49"/>
  <c r="DA22" i="49"/>
  <c r="DA19" i="49"/>
  <c r="DA21" i="49"/>
  <c r="DA28" i="49"/>
  <c r="DA20" i="49"/>
  <c r="BG26" i="49"/>
  <c r="BG33" i="49"/>
  <c r="BG25" i="49"/>
  <c r="BG32" i="49"/>
  <c r="BG24" i="49"/>
  <c r="BG31" i="49"/>
  <c r="BG23" i="49"/>
  <c r="BG30" i="49"/>
  <c r="BG22" i="49"/>
  <c r="BG29" i="49"/>
  <c r="BG21" i="49"/>
  <c r="BG28" i="49"/>
  <c r="BG20" i="49"/>
  <c r="BG27" i="49"/>
  <c r="BG19" i="49"/>
  <c r="DD29" i="49"/>
  <c r="DD33" i="49"/>
  <c r="DD32" i="49"/>
  <c r="DD31" i="49"/>
  <c r="DD30" i="49"/>
  <c r="CW32" i="49"/>
  <c r="CW24" i="49"/>
  <c r="CX29" i="49"/>
  <c r="CW31" i="49"/>
  <c r="CW23" i="49"/>
  <c r="CX28" i="49"/>
  <c r="CW30" i="49"/>
  <c r="CX27" i="49"/>
  <c r="CW29" i="49"/>
  <c r="CX21" i="49"/>
  <c r="CX26" i="49"/>
  <c r="CW28" i="49"/>
  <c r="CX33" i="49"/>
  <c r="CX25" i="49"/>
  <c r="CW27" i="49"/>
  <c r="CX32" i="49"/>
  <c r="CX24" i="49"/>
  <c r="CW21" i="49"/>
  <c r="CW26" i="49"/>
  <c r="CX31" i="49"/>
  <c r="CX23" i="49"/>
  <c r="CW33" i="49"/>
  <c r="CW25" i="49"/>
  <c r="CX30" i="49"/>
  <c r="CX22" i="49"/>
  <c r="CW22" i="49"/>
  <c r="AZ22" i="49"/>
  <c r="AZ20" i="49"/>
  <c r="T29" i="49"/>
  <c r="T33" i="49"/>
  <c r="T30" i="49"/>
  <c r="T20" i="49"/>
  <c r="Q24" i="49"/>
  <c r="O18" i="49"/>
  <c r="Q26" i="49"/>
  <c r="Q27" i="49"/>
  <c r="Q23" i="49"/>
  <c r="Q17" i="49"/>
  <c r="Q25" i="49"/>
  <c r="O26" i="49"/>
  <c r="O19" i="49"/>
  <c r="O27" i="49"/>
  <c r="O20" i="49"/>
  <c r="O16" i="49"/>
  <c r="O17" i="49"/>
  <c r="O21" i="49"/>
  <c r="O23" i="49"/>
  <c r="O24" i="49"/>
  <c r="O15" i="49"/>
  <c r="Q15" i="49"/>
  <c r="S15" i="9"/>
  <c r="S4" i="9" s="1"/>
  <c r="AZ28" i="49" l="1"/>
  <c r="DR36" i="49" a="1"/>
  <c r="DR36" i="49" s="1"/>
  <c r="DY36" i="49" s="1"/>
  <c r="EB36" i="49" s="1"/>
  <c r="AZ17" i="49"/>
  <c r="AZ18" i="49"/>
  <c r="DR37" i="49" a="1"/>
  <c r="DR37" i="49" s="1"/>
  <c r="DY37" i="49" s="1"/>
  <c r="EB37" i="49" s="1"/>
  <c r="AZ19" i="49"/>
  <c r="AZ27" i="49"/>
  <c r="AZ25" i="49"/>
  <c r="AZ26" i="49"/>
  <c r="AZ23" i="49"/>
  <c r="AZ24" i="49"/>
  <c r="EQ38" i="49"/>
  <c r="EP38" i="49"/>
  <c r="R26" i="49"/>
  <c r="W26" i="49" s="1"/>
  <c r="Y18" i="49"/>
  <c r="AG18" i="49" s="1"/>
  <c r="CI18" i="49" s="1"/>
  <c r="Y21" i="49"/>
  <c r="AG21" i="49" s="1"/>
  <c r="R23" i="49"/>
  <c r="S23" i="49" s="1"/>
  <c r="S29" i="49"/>
  <c r="W31" i="49"/>
  <c r="Y31" i="49" s="1"/>
  <c r="AG31" i="49" s="1"/>
  <c r="S33" i="49"/>
  <c r="S30" i="49"/>
  <c r="W32" i="49"/>
  <c r="W20" i="49"/>
  <c r="Y20" i="49" s="1"/>
  <c r="AG20" i="49" s="1"/>
  <c r="CI20" i="49" s="1"/>
  <c r="R27" i="49"/>
  <c r="W27" i="49" s="1"/>
  <c r="W19" i="49"/>
  <c r="W22" i="49"/>
  <c r="AA33" i="49"/>
  <c r="AC33" i="49" s="1"/>
  <c r="AE33" i="49" s="1"/>
  <c r="R24" i="49"/>
  <c r="S24" i="49" s="1"/>
  <c r="S18" i="49"/>
  <c r="R17" i="49"/>
  <c r="W17" i="49" s="1"/>
  <c r="S21" i="49"/>
  <c r="R25" i="49"/>
  <c r="W25" i="49" s="1"/>
  <c r="DT36" i="49" s="1" a="1"/>
  <c r="DT36" i="49" s="1"/>
  <c r="AA21" i="49"/>
  <c r="AC21" i="49" s="1"/>
  <c r="AE21" i="49" s="1"/>
  <c r="AA18" i="49"/>
  <c r="AC18" i="49" s="1"/>
  <c r="AE18" i="49" s="1"/>
  <c r="AA29" i="49"/>
  <c r="AC29" i="49" s="1"/>
  <c r="AE29" i="49" s="1"/>
  <c r="AA30" i="49"/>
  <c r="AC30" i="49" s="1"/>
  <c r="AE30" i="49" s="1"/>
  <c r="T25" i="49"/>
  <c r="BD33" i="49"/>
  <c r="T32" i="49"/>
  <c r="BD29" i="49"/>
  <c r="T31" i="49"/>
  <c r="Q28" i="49"/>
  <c r="O28" i="49"/>
  <c r="T24" i="49"/>
  <c r="O25" i="49"/>
  <c r="T21" i="49"/>
  <c r="T23" i="49"/>
  <c r="T16" i="49"/>
  <c r="T18" i="49"/>
  <c r="T19" i="49"/>
  <c r="M15" i="46" a="1"/>
  <c r="M15" i="46" s="1"/>
  <c r="L15" i="46" a="1"/>
  <c r="L15" i="46" s="1"/>
  <c r="K15" i="46" a="1"/>
  <c r="K15" i="46" s="1"/>
  <c r="E15" i="46" a="1"/>
  <c r="E15" i="46" s="1"/>
  <c r="D15" i="46" a="1"/>
  <c r="D15" i="46" s="1"/>
  <c r="C15" i="46" a="1"/>
  <c r="C15" i="46" s="1"/>
  <c r="I15" i="16" a="1"/>
  <c r="I15" i="16" s="1"/>
  <c r="H15" i="16" a="1"/>
  <c r="H15" i="16" s="1"/>
  <c r="O15" i="8"/>
  <c r="AC15" i="7"/>
  <c r="P15" i="8"/>
  <c r="AB15" i="7"/>
  <c r="A15" i="46"/>
  <c r="A15" i="40"/>
  <c r="A15" i="44"/>
  <c r="A15" i="34"/>
  <c r="A15" i="14"/>
  <c r="A15" i="15"/>
  <c r="A15" i="9"/>
  <c r="A15" i="6"/>
  <c r="A15" i="12"/>
  <c r="A15" i="16"/>
  <c r="A15" i="13"/>
  <c r="A15" i="10"/>
  <c r="A15" i="8"/>
  <c r="A15" i="20"/>
  <c r="A15" i="7"/>
  <c r="A15" i="5"/>
  <c r="D15" i="45"/>
  <c r="BG15" i="5"/>
  <c r="BD15" i="5"/>
  <c r="BA15" i="5"/>
  <c r="AY15" i="5"/>
  <c r="O15" i="5"/>
  <c r="R15" i="5" s="1"/>
  <c r="E15" i="5"/>
  <c r="F15" i="9" a="1"/>
  <c r="F15" i="9" s="1"/>
  <c r="G15" i="9" a="1"/>
  <c r="G15" i="9" s="1"/>
  <c r="AZ15" i="12"/>
  <c r="AX15" i="12"/>
  <c r="AY15" i="12"/>
  <c r="E15" i="14"/>
  <c r="L15" i="14"/>
  <c r="N15" i="14"/>
  <c r="O15" i="14" l="1"/>
  <c r="P15" i="14"/>
  <c r="DT35" i="49" a="1"/>
  <c r="DT35" i="49" s="1"/>
  <c r="DZ35" i="49" s="1"/>
  <c r="EC35" i="49" s="1"/>
  <c r="DS34" i="49" a="1"/>
  <c r="DS34" i="49" s="1"/>
  <c r="DT34" i="49" s="1" a="1"/>
  <c r="DT34" i="49" s="1"/>
  <c r="DZ34" i="49" s="1"/>
  <c r="EC34" i="49" s="1"/>
  <c r="S26" i="49"/>
  <c r="BU21" i="49"/>
  <c r="CI21" i="49"/>
  <c r="Y22" i="49"/>
  <c r="AG22" i="49" s="1"/>
  <c r="CI22" i="49" s="1"/>
  <c r="W23" i="49"/>
  <c r="AA31" i="49"/>
  <c r="AC31" i="49" s="1"/>
  <c r="AE31" i="49" s="1"/>
  <c r="AA22" i="49"/>
  <c r="AC22" i="49" s="1"/>
  <c r="AE22" i="49" s="1"/>
  <c r="AA20" i="49"/>
  <c r="AC20" i="49" s="1"/>
  <c r="AE20" i="49" s="1"/>
  <c r="S27" i="49"/>
  <c r="Y32" i="49"/>
  <c r="AG32" i="49" s="1"/>
  <c r="BD32" i="49" s="1"/>
  <c r="AA32" i="49"/>
  <c r="AC32" i="49" s="1"/>
  <c r="AE32" i="49" s="1"/>
  <c r="W24" i="49"/>
  <c r="Y24" i="49" s="1"/>
  <c r="AG24" i="49" s="1"/>
  <c r="S17" i="49"/>
  <c r="Y19" i="49"/>
  <c r="AG19" i="49" s="1"/>
  <c r="BM19" i="49" s="1"/>
  <c r="BO19" i="49" s="1"/>
  <c r="AA19" i="49"/>
  <c r="AC19" i="49" s="1"/>
  <c r="AE19" i="49" s="1"/>
  <c r="S25" i="49"/>
  <c r="Y27" i="49"/>
  <c r="AG27" i="49" s="1"/>
  <c r="CI27" i="49" s="1"/>
  <c r="AA27" i="49"/>
  <c r="AC27" i="49" s="1"/>
  <c r="AE27" i="49" s="1"/>
  <c r="Y17" i="49"/>
  <c r="AG17" i="49" s="1"/>
  <c r="CI17" i="49" s="1"/>
  <c r="AA17" i="49"/>
  <c r="AC17" i="49" s="1"/>
  <c r="AE17" i="49" s="1"/>
  <c r="Y25" i="49"/>
  <c r="AG25" i="49" s="1"/>
  <c r="CI25" i="49" s="1"/>
  <c r="AA25" i="49"/>
  <c r="AC25" i="49" s="1"/>
  <c r="AE25" i="49" s="1"/>
  <c r="T28" i="49"/>
  <c r="R28" i="49"/>
  <c r="Y26" i="49"/>
  <c r="AG26" i="49" s="1"/>
  <c r="AA26" i="49"/>
  <c r="AC26" i="49" s="1"/>
  <c r="AE26" i="49" s="1"/>
  <c r="T27" i="49"/>
  <c r="BD30" i="49"/>
  <c r="T26" i="49"/>
  <c r="T17" i="49"/>
  <c r="BD31" i="49"/>
  <c r="T22" i="49"/>
  <c r="T15" i="49"/>
  <c r="AO4" i="13"/>
  <c r="AV15" i="46" a="1"/>
  <c r="AV15" i="46" s="1"/>
  <c r="AU15" i="46" a="1"/>
  <c r="AU15" i="46" s="1"/>
  <c r="T15" i="46" a="1"/>
  <c r="T15" i="46" s="1"/>
  <c r="S15" i="46" a="1"/>
  <c r="S15" i="46" s="1"/>
  <c r="Y23" i="49" l="1"/>
  <c r="AG23" i="49" s="1"/>
  <c r="CI23" i="49" s="1"/>
  <c r="DZ36" i="49"/>
  <c r="EC36" i="49" s="1"/>
  <c r="BU19" i="49"/>
  <c r="CI19" i="49"/>
  <c r="BD26" i="49"/>
  <c r="CI26" i="49"/>
  <c r="BD24" i="49"/>
  <c r="CI24" i="49"/>
  <c r="BD22" i="49"/>
  <c r="BD27" i="49"/>
  <c r="BU27" i="49"/>
  <c r="BD25" i="49"/>
  <c r="BU25" i="49"/>
  <c r="AA23" i="49"/>
  <c r="AC23" i="49" s="1"/>
  <c r="AE23" i="49" s="1"/>
  <c r="AA24" i="49"/>
  <c r="AC24" i="49" s="1"/>
  <c r="AE24" i="49" s="1"/>
  <c r="W28" i="49"/>
  <c r="S28" i="49"/>
  <c r="BD21" i="49"/>
  <c r="DT37" i="49" l="1" a="1"/>
  <c r="DT37" i="49" s="1"/>
  <c r="DZ37" i="49" s="1"/>
  <c r="EC37" i="49" s="1"/>
  <c r="BU23" i="49"/>
  <c r="BD23" i="49"/>
  <c r="W15" i="13"/>
  <c r="P4" i="13"/>
  <c r="Y28" i="49"/>
  <c r="AG28" i="49" s="1"/>
  <c r="AA28" i="49"/>
  <c r="AC28" i="49" s="1"/>
  <c r="AE28" i="49" s="1"/>
  <c r="E15" i="12"/>
  <c r="K15" i="40"/>
  <c r="BD28" i="49" l="1"/>
  <c r="CI28" i="49"/>
  <c r="AK15" i="13"/>
  <c r="AL15" i="13" s="1"/>
  <c r="X4" i="13"/>
  <c r="AA4" i="13" s="1"/>
  <c r="M15" i="9"/>
  <c r="W15" i="9" s="1"/>
  <c r="Z15" i="9" s="1"/>
  <c r="N15" i="9"/>
  <c r="H15" i="6"/>
  <c r="M15" i="6" s="1"/>
  <c r="O15" i="16"/>
  <c r="Q15" i="16" s="1"/>
  <c r="AS15" i="12" s="1"/>
  <c r="AE15" i="10"/>
  <c r="AE4" i="10" s="1"/>
  <c r="V15" i="10"/>
  <c r="S15" i="10"/>
  <c r="N15" i="10"/>
  <c r="V4" i="8"/>
  <c r="T15" i="8"/>
  <c r="R15" i="8"/>
  <c r="Q15" i="8"/>
  <c r="AQ15" i="12" s="1"/>
  <c r="N15" i="8"/>
  <c r="M15" i="8"/>
  <c r="K15" i="8"/>
  <c r="AQ15" i="7"/>
  <c r="H15" i="8"/>
  <c r="AJ15" i="7"/>
  <c r="AA15" i="7"/>
  <c r="T15" i="7"/>
  <c r="AI15" i="5"/>
  <c r="AH15" i="5"/>
  <c r="AF15" i="5"/>
  <c r="AD15" i="5"/>
  <c r="Z15" i="5"/>
  <c r="X15" i="5"/>
  <c r="W15" i="5"/>
  <c r="H15" i="7" s="1"/>
  <c r="U15" i="5"/>
  <c r="AA15" i="5" s="1"/>
  <c r="T15" i="5"/>
  <c r="F15" i="7" s="1"/>
  <c r="S15" i="5"/>
  <c r="P15" i="7"/>
  <c r="O15" i="7"/>
  <c r="N15" i="7"/>
  <c r="M15" i="7"/>
  <c r="L15" i="7"/>
  <c r="K15" i="7"/>
  <c r="Z15" i="7" s="1"/>
  <c r="AN15" i="5"/>
  <c r="AD15" i="13" l="1"/>
  <c r="AF15" i="13" s="1"/>
  <c r="AB4" i="13"/>
  <c r="AC4" i="13" s="1"/>
  <c r="Y4" i="13"/>
  <c r="U15" i="7"/>
  <c r="F15" i="16"/>
  <c r="AJ4" i="5"/>
  <c r="AR4" i="5" s="1"/>
  <c r="G15" i="7"/>
  <c r="I15" i="7"/>
  <c r="AE15" i="5"/>
  <c r="L15" i="9"/>
  <c r="O15" i="9"/>
  <c r="X15" i="9" s="1"/>
  <c r="AA15" i="9" s="1"/>
  <c r="AL4" i="5" l="1"/>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L15" i="16"/>
  <c r="O4" i="5" l="1"/>
  <c r="K15" i="6"/>
  <c r="AN4" i="5" l="1"/>
  <c r="AT15" i="5" l="1"/>
  <c r="AS15" i="5"/>
  <c r="S4" i="5"/>
  <c r="R4" i="5" l="1"/>
  <c r="Q4" i="16" l="1"/>
  <c r="AG15" i="5" l="1"/>
  <c r="AB15" i="5"/>
  <c r="Y15" i="5" l="1"/>
  <c r="AW15" i="5"/>
  <c r="AD4" i="5"/>
  <c r="AG4" i="5" s="1"/>
  <c r="AI4" i="5"/>
  <c r="T4" i="5"/>
  <c r="Q4" i="5"/>
  <c r="P4" i="5"/>
  <c r="N4" i="5"/>
  <c r="M4" i="5"/>
  <c r="L4" i="5"/>
  <c r="K4" i="5"/>
  <c r="J4" i="5"/>
  <c r="I4" i="5"/>
  <c r="H4" i="5"/>
  <c r="G4" i="5"/>
  <c r="AF4" i="5"/>
  <c r="Z4" i="5"/>
  <c r="AE4" i="5" s="1"/>
  <c r="X4" i="5"/>
  <c r="AB4" i="5" s="1"/>
  <c r="U4" i="5"/>
  <c r="AA4" i="5" l="1"/>
  <c r="Y4" i="5"/>
  <c r="AL15" i="5"/>
  <c r="AM15" i="5" s="1"/>
  <c r="J15" i="7"/>
  <c r="AR15" i="5"/>
  <c r="AH4" i="5"/>
  <c r="W4" i="5"/>
  <c r="AO15" i="5" l="1"/>
  <c r="AP15" i="5" s="1"/>
  <c r="AM4" i="5"/>
  <c r="J15" i="40"/>
  <c r="AO4" i="5" l="1"/>
  <c r="AQ15" i="5"/>
  <c r="AQ4" i="5" s="1"/>
  <c r="AP4" i="5"/>
  <c r="AV15" i="5"/>
  <c r="AZ15" i="5" s="1"/>
  <c r="AU15" i="5"/>
  <c r="C15" i="20"/>
  <c r="AC15" i="9" l="1"/>
  <c r="P4" i="9"/>
  <c r="X15" i="10"/>
  <c r="S15" i="8" l="1"/>
  <c r="X15" i="7" l="1"/>
  <c r="AD15" i="7"/>
  <c r="Q15" i="7"/>
  <c r="V15" i="7" l="1"/>
  <c r="AE15" i="7" l="1"/>
  <c r="AH15" i="7" s="1"/>
  <c r="AG15" i="7"/>
  <c r="AN15" i="7" s="1"/>
  <c r="AF15" i="7"/>
  <c r="AM15" i="7" s="1"/>
  <c r="AM4" i="7" s="1"/>
  <c r="W15" i="8" l="1"/>
  <c r="W4" i="8" s="1"/>
  <c r="AX4" i="7"/>
  <c r="AO15" i="7"/>
  <c r="AS15" i="7" s="1"/>
  <c r="AI15" i="7"/>
  <c r="AK15" i="7"/>
  <c r="AL15" i="7"/>
  <c r="AR15" i="7" l="1"/>
  <c r="AT15" i="7"/>
  <c r="X15" i="8" l="1"/>
  <c r="X4" i="8" s="1"/>
  <c r="AY4" i="7"/>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G16" i="49" l="1"/>
  <c r="G15" i="49"/>
  <c r="R15" i="20"/>
  <c r="T15" i="20" s="1"/>
  <c r="V15" i="20" s="1"/>
  <c r="P15" i="49" l="1"/>
  <c r="R15" i="49" s="1"/>
  <c r="P16" i="49"/>
  <c r="R16" i="49" s="1"/>
  <c r="R4" i="20"/>
  <c r="S4" i="20" s="1"/>
  <c r="G4" i="14"/>
  <c r="M4" i="16"/>
  <c r="J4" i="16"/>
  <c r="M4" i="13"/>
  <c r="L4" i="13"/>
  <c r="AH4" i="13"/>
  <c r="AG4" i="13"/>
  <c r="D4" i="46"/>
  <c r="L4" i="46"/>
  <c r="W16" i="49" l="1"/>
  <c r="S16" i="49"/>
  <c r="W15" i="49"/>
  <c r="S15" i="49"/>
  <c r="P15" i="44"/>
  <c r="P4" i="44"/>
  <c r="Y15" i="49" l="1"/>
  <c r="AG15" i="49" s="1"/>
  <c r="AA15" i="49"/>
  <c r="AC15" i="49" s="1"/>
  <c r="AE15" i="49" s="1"/>
  <c r="Y16" i="49"/>
  <c r="AG16" i="49" s="1"/>
  <c r="AA16" i="49"/>
  <c r="AC16" i="49" s="1"/>
  <c r="AE16" i="49" s="1"/>
  <c r="Q4" i="44"/>
  <c r="R4" i="44"/>
  <c r="U15" i="44"/>
  <c r="Q15" i="44"/>
  <c r="T15" i="10" l="1"/>
  <c r="C15" i="45" l="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F4" i="16" l="1"/>
  <c r="I4" i="16"/>
  <c r="H4" i="16"/>
  <c r="N4" i="16"/>
  <c r="Q4" i="9"/>
  <c r="AB4" i="9" s="1"/>
  <c r="R4" i="9"/>
  <c r="AC4" i="9" s="1"/>
  <c r="D4" i="34" l="1"/>
  <c r="F4" i="34" s="1"/>
  <c r="C4" i="34"/>
  <c r="E4" i="34" s="1"/>
  <c r="O4" i="16"/>
  <c r="P4" i="16"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FA58" i="49" s="1"/>
  <c r="FC58" i="49" s="1"/>
  <c r="T4" i="7"/>
  <c r="E15" i="9"/>
  <c r="AY4" i="12"/>
  <c r="E15" i="6"/>
  <c r="E15" i="10"/>
  <c r="E15" i="8"/>
  <c r="AZ15" i="7" s="1"/>
  <c r="AZ4" i="7" s="1"/>
  <c r="E15" i="7"/>
  <c r="H4" i="15"/>
  <c r="R4" i="14"/>
  <c r="H4" i="8"/>
  <c r="AP4" i="12" l="1"/>
  <c r="AO4" i="12"/>
  <c r="F15" i="12"/>
  <c r="J15" i="12"/>
  <c r="H15" i="10"/>
  <c r="F15" i="10"/>
  <c r="P15" i="10" s="1"/>
  <c r="I15" i="10"/>
  <c r="I4" i="10" s="1"/>
  <c r="G15" i="10"/>
  <c r="G4" i="10" s="1"/>
  <c r="J15" i="10"/>
  <c r="G4" i="7"/>
  <c r="J4" i="7" s="1"/>
  <c r="AQ4" i="12"/>
  <c r="F4" i="7"/>
  <c r="H4" i="7" s="1"/>
  <c r="I4" i="7"/>
  <c r="S4" i="14"/>
  <c r="M4" i="14"/>
  <c r="T4" i="14"/>
  <c r="Q15" i="10" l="1"/>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H16" i="49"/>
  <c r="H15" i="49"/>
  <c r="M4" i="20"/>
  <c r="E15" i="49"/>
  <c r="E16" i="49"/>
  <c r="I15" i="49"/>
  <c r="I16" i="49"/>
  <c r="AV4" i="46"/>
  <c r="AU4" i="46"/>
  <c r="N4" i="20"/>
  <c r="F15" i="49" l="1"/>
  <c r="F16" i="49"/>
  <c r="Q4" i="20"/>
  <c r="O4" i="20"/>
  <c r="G4" i="9"/>
  <c r="I4" i="9" s="1"/>
  <c r="N4" i="9"/>
  <c r="O4" i="9"/>
  <c r="V4" i="9" s="1"/>
  <c r="K4" i="9" l="1"/>
  <c r="F4" i="9"/>
  <c r="T4" i="9" s="1"/>
  <c r="L4" i="9"/>
  <c r="X4" i="9"/>
  <c r="H4" i="9" l="1"/>
  <c r="AA4" i="9"/>
  <c r="M4" i="9"/>
  <c r="U4" i="9" s="1"/>
  <c r="Z4" i="9"/>
  <c r="W4" i="9"/>
  <c r="Y4" i="9" l="1"/>
  <c r="J4" i="9"/>
  <c r="BI4" i="46" l="1"/>
  <c r="H4" i="6" l="1"/>
  <c r="M4" i="6"/>
  <c r="I15" i="6" l="1"/>
  <c r="I4" i="6" s="1"/>
  <c r="AU4" i="5"/>
  <c r="AV4" i="5"/>
  <c r="AX15" i="5"/>
  <c r="AX4" i="5" s="1"/>
  <c r="BB15" i="5" l="1"/>
  <c r="BC15" i="5" s="1"/>
  <c r="BC4" i="5" s="1"/>
  <c r="AZ4" i="5"/>
  <c r="BA4" i="5" s="1"/>
  <c r="AY4" i="5"/>
  <c r="AW4" i="5"/>
  <c r="BH15" i="5"/>
  <c r="BH4" i="5" s="1"/>
  <c r="BG4" i="5" s="1"/>
  <c r="BB4" i="5"/>
  <c r="BD4" i="5" s="1"/>
  <c r="BE15" i="5"/>
  <c r="U15" i="8" l="1"/>
  <c r="Z15" i="8" s="1"/>
  <c r="Z4" i="8" s="1"/>
  <c r="BE4" i="5"/>
  <c r="BF15" i="5"/>
  <c r="BF4" i="5" s="1"/>
  <c r="G15" i="12"/>
  <c r="V15" i="12" s="1"/>
  <c r="AC15" i="10"/>
  <c r="AC4" i="10" s="1"/>
  <c r="AW15" i="7"/>
  <c r="BA15" i="7" s="1"/>
  <c r="BA4" i="7" s="1"/>
  <c r="U4" i="8"/>
  <c r="AJ15" i="12" l="1"/>
  <c r="AK15"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P4" i="12"/>
  <c r="AK4" i="12"/>
  <c r="AJ4" i="12"/>
  <c r="AD4" i="12"/>
  <c r="S4" i="12" l="1"/>
  <c r="AA4" i="12"/>
  <c r="R4" i="12" s="1"/>
  <c r="O4" i="12"/>
  <c r="N4" i="12"/>
  <c r="U4" i="12"/>
  <c r="X4" i="12"/>
  <c r="Q4" i="12" s="1"/>
  <c r="AM15" i="12"/>
  <c r="BA15" i="12" s="1"/>
  <c r="BA4" i="12" s="1"/>
  <c r="AG4" i="12"/>
  <c r="T4" i="12" s="1"/>
  <c r="AI4" i="12"/>
  <c r="AC4" i="12"/>
  <c r="Y4" i="12"/>
  <c r="AT15" i="12"/>
  <c r="Z4" i="12"/>
  <c r="V4" i="12" l="1"/>
  <c r="W4" i="12"/>
  <c r="AM4" i="12"/>
  <c r="AZ4" i="12" s="1"/>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Y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BB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G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Q3" authorId="0" shapeId="0" xr:uid="{8DDE7E9D-EC8D-A84F-8321-F3065236EA2D}">
      <text>
        <r>
          <rPr>
            <sz val="10"/>
            <color rgb="FF000000"/>
            <rFont val="Tahoma"/>
            <family val="2"/>
          </rPr>
          <t>HIV Tests among PrEP follow-up patients.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AY3" authorId="0" shapeId="0" xr:uid="{EEEFC336-BDF3-0241-9F2A-0DF9293E3137}">
      <text>
        <r>
          <rPr>
            <sz val="10"/>
            <color rgb="FF000000"/>
            <rFont val="Tahoma"/>
            <family val="34"/>
          </rPr>
          <t>If HTS_SELF was not reported or performed previously, but will be in upcoming targets, set manually below.</t>
        </r>
      </text>
    </comment>
    <comment ref="AZ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U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<sst xmlns="http://schemas.openxmlformats.org/spreadsheetml/2006/main" count="4745" uniqueCount="1245">
  <si>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</si>
  <si>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</si>
  <si>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</si>
  <si>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</si>
  <si>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</si>
  <si>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</si>
  <si>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</si>
  <si>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</si>
  <si>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</si>
  <si>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</si>
  <si>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</si>
  <si>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</si>
  <si>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</si>
  <si>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</si>
  <si>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</si>
  <si>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</si>
  <si>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</si>
  <si>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</si>
  <si>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</si>
  <si>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</si>
  <si>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</si>
  <si>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</si>
  <si>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</si>
  <si>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</si>
  <si>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</si>
  <si>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</si>
  <si>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</si>
  <si>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</si>
  <si>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</si>
  <si>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</si>
  <si>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</si>
  <si>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</si>
  <si>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</si>
  <si>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</si>
  <si>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</si>
  <si>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</si>
  <si>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</si>
  <si>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</si>
  <si>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</si>
  <si>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</si>
  <si>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</si>
  <si>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</si>
  <si>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</si>
  <si>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</si>
  <si>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</si>
  <si>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</si>
  <si>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</si>
  <si>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</si>
  <si>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</si>
  <si>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</si>
  <si>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</si>
  <si>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</si>
  <si>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</si>
  <si>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</si>
  <si>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</si>
  <si>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</si>
  <si>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</si>
  <si>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</si>
  <si>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</si>
  <si>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</si>
  <si>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</si>
  <si>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</si>
  <si>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</si>
  <si>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</si>
  <si>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</si>
  <si>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</si>
  <si>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</si>
  <si>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</si>
  <si>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</si>
  <si>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</si>
  <si>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</si>
  <si>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</si>
  <si>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</si>
  <si>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</si>
  <si>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</si>
  <si>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</si>
  <si>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</si>
  <si>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</si>
  <si>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</si>
  <si>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</si>
  <si>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</si>
  <si>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</si>
  <si>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</si>
  <si>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</si>
  <si>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</si>
  <si>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</si>
  <si>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</si>
  <si>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</si>
  <si>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</si>
  <si>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</si>
  <si>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</si>
  <si>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</si>
  <si>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</si>
  <si>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</si>
  <si>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</si>
  <si>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</si>
  <si>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</si>
  <si>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</si>
  <si>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</si>
  <si>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</si>
  <si>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</si>
  <si>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</si>
  <si>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</si>
  <si>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</si>
  <si>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</si>
  <si>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</si>
  <si>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</si>
  <si>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</si>
  <si>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</si>
  <si>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</si>
  <si>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</si>
  <si>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</si>
  <si>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</si>
  <si>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</si>
  <si>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</si>
  <si>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</si>
  <si>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</si>
  <si>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</si>
  <si>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</si>
  <si>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</si>
  <si>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</si>
  <si>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</si>
  <si>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</si>
  <si>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</si>
  <si>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</si>
  <si>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</si>
  <si>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</si>
  <si>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</si>
  <si>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</si>
  <si>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</si>
  <si>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</si>
  <si>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</si>
  <si>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</si>
  <si>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</si>
  <si>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</si>
  <si>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</si>
  <si>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</si>
  <si>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</si>
  <si>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</si>
  <si>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</si>
  <si>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</si>
  <si>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</si>
  <si>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</si>
  <si>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</si>
  <si>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</si>
  <si>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</si>
  <si>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</si>
  <si>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</si>
  <si>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</si>
  <si>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</si>
  <si>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</si>
  <si>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</si>
  <si>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</si>
  <si>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</si>
  <si>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</si>
  <si>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</si>
  <si>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</si>
  <si>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</si>
  <si>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</si>
  <si>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</si>
  <si>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</si>
  <si>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</si>
  <si>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</si>
  <si>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</si>
  <si>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</si>
  <si>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</si>
  <si>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</si>
  <si>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</si>
  <si>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</si>
  <si>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</si>
  <si>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</si>
  <si>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</si>
  <si>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</si>
  <si>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</si>
  <si>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</si>
  <si>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</si>
  <si>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</si>
  <si>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</si>
  <si>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</si>
  <si>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</si>
  <si>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</si>
  <si>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</si>
  <si>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</si>
  <si>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</si>
  <si>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</si>
  <si>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</si>
  <si>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</si>
  <si>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</si>
  <si>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</si>
  <si>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</si>
  <si>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</si>
  <si>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</si>
  <si>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</si>
  <si>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</si>
  <si>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</si>
  <si>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</si>
  <si>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</si>
  <si>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</si>
  <si>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</si>
  <si>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</si>
  <si>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</si>
  <si>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</si>
  <si>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</si>
  <si>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</si>
  <si>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</si>
  <si>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</si>
  <si>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</si>
  <si>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</si>
  <si>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</si>
  <si>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</si>
  <si>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</si>
  <si>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</si>
  <si>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</si>
  <si>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</si>
  <si>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</si>
  <si>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</si>
  <si>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</si>
  <si>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</si>
  <si>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</si>
  <si>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</si>
  <si>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</si>
  <si>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</si>
  <si>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</si>
  <si>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</si>
  <si>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</si>
  <si>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</si>
  <si>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</si>
  <si>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</si>
  <si>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</si>
  <si>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</si>
  <si>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</si>
  <si>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</si>
  <si>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</si>
  <si>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</si>
  <si>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</si>
  <si>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</si>
  <si>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</si>
  <si>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</si>
  <si>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</si>
  <si>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</si>
  <si>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</si>
  <si>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</si>
  <si>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</si>
  <si>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</si>
  <si>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</si>
  <si>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</si>
  <si>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</si>
  <si>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</si>
  <si>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</si>
  <si>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</si>
  <si>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</si>
  <si>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</si>
  <si>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</si>
  <si>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</si>
  <si>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</si>
  <si>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</si>
  <si>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</si>
  <si>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</si>
  <si>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</si>
  <si>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</si>
  <si>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</si>
  <si>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</si>
  <si>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</si>
  <si>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</si>
  <si>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</si>
  <si>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</si>
  <si>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</si>
  <si>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</si>
  <si>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</si>
  <si>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</si>
  <si>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</si>
  <si>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</si>
  <si>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</si>
  <si>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</si>
  <si>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</si>
  <si>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</si>
  <si>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</si>
  <si>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</si>
  <si>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</si>
  <si>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</si>
  <si>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</si>
  <si>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</si>
  <si>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</si>
  <si>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</si>
  <si>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</si>
  <si>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</si>
  <si>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</si>
  <si>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</si>
  <si>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</si>
  <si>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</si>
  <si>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</si>
  <si>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</si>
  <si>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</si>
  <si>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</si>
  <si>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</si>
  <si>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</si>
  <si>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</si>
  <si>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</si>
  <si>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</si>
  <si>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</si>
  <si>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</si>
  <si>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</si>
  <si>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</si>
  <si>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</si>
  <si>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</si>
  <si>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</si>
  <si>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</si>
  <si>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</si>
  <si>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</si>
  <si>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</si>
  <si>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</si>
  <si>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PMTCT_STAT.N.KnownPosRt.T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</si>
  <si>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</si>
  <si>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</si>
  <si>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</si>
  <si>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</si>
  <si>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</si>
  <si>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</si>
  <si>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</si>
  <si>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</si>
  <si>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</si>
  <si>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</si>
  <si>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</si>
  <si>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</si>
  <si>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</si>
  <si>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</si>
  <si>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</si>
  <si>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</si>
  <si>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</si>
  <si>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</si>
  <si>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</si>
  <si>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</si>
  <si>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</si>
  <si>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</si>
  <si>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</si>
  <si>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</si>
  <si>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</si>
  <si>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</si>
  <si>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</si>
  <si>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</si>
  <si>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</si>
  <si>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</si>
  <si>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</si>
  <si>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</si>
  <si>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</si>
  <si>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</si>
  <si>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</si>
  <si>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</si>
  <si>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</si>
  <si>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</si>
  <si>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</si>
  <si>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</si>
  <si>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</si>
  <si>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</si>
  <si>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</si>
  <si>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</si>
  <si>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</si>
  <si>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</si>
  <si>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</si>
  <si>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</si>
  <si>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</si>
  <si>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</si>
  <si>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</si>
  <si>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</si>
  <si>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</si>
  <si>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</si>
  <si>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</si>
  <si>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</si>
  <si>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</si>
  <si>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</si>
  <si>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</si>
  <si>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</si>
  <si>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</si>
  <si>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</si>
  <si>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</si>
  <si>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</si>
  <si>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</si>
  <si>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</si>
  <si>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</si>
  <si>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</si>
  <si>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</si>
  <si>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</si>
  <si>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PMTCT_STAT.N.KnownPosRt.R</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</si>
  <si>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</si>
  <si>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</si>
  <si>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</si>
  <si>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</si>
  <si>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</si>
  <si>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</si>
  <si>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</si>
  <si>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</si>
  <si>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</si>
  <si>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</si>
  <si>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</si>
  <si>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</si>
  <si>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</si>
  <si>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</si>
  <si>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</si>
  <si>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</si>
  <si>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</si>
  <si>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</si>
  <si>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</si>
  <si>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</si>
  <si>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</si>
  <si>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</si>
  <si>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</si>
  <si>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</si>
  <si>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</si>
  <si>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</si>
  <si>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</si>
  <si>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</si>
  <si>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</si>
  <si>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</si>
  <si>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</si>
  <si>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</si>
  <si>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</si>
  <si>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</si>
  <si>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</si>
  <si>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</si>
  <si>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</si>
  <si>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</si>
  <si>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</si>
  <si>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</si>
  <si>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</si>
  <si>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</si>
  <si>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</si>
  <si>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</si>
  <si>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</si>
  <si>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</si>
  <si>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</si>
  <si>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</si>
  <si>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</si>
  <si>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</si>
  <si>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</si>
  <si>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</si>
  <si>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</si>
  <si>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</si>
  <si>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</si>
  <si>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</si>
  <si>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</si>
  <si>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</si>
  <si>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</si>
  <si>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</si>
  <si>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</si>
  <si>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</si>
  <si>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</si>
  <si>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</si>
  <si>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</si>
  <si>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</si>
  <si>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</si>
  <si>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</si>
  <si>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</si>
  <si>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</si>
  <si>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</si>
  <si>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</si>
  <si>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</si>
  <si>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</si>
  <si>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</si>
  <si>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</si>
  <si>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</si>
  <si>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</si>
  <si>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</si>
  <si>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</si>
  <si>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</si>
  <si>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</si>
  <si>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</si>
  <si>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</si>
  <si>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</si>
  <si>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</si>
  <si>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</si>
  <si>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</si>
  <si>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</si>
  <si>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</si>
  <si>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</si>
  <si>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</si>
  <si>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</si>
  <si>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</si>
  <si>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</si>
  <si>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</si>
  <si>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</si>
  <si>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</si>
  <si>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</si>
  <si>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</si>
  <si>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</si>
  <si>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</si>
  <si>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</si>
  <si>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</si>
  <si>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</si>
  <si>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</si>
  <si>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</si>
  <si>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</si>
  <si>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</si>
  <si>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</si>
  <si>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</si>
  <si>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</si>
  <si>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</si>
  <si>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</si>
  <si>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</si>
  <si>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</si>
  <si>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</si>
  <si>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</si>
  <si>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</si>
  <si>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</si>
  <si>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</si>
  <si>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</si>
  <si>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</si>
  <si>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</si>
  <si>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</si>
  <si>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</si>
  <si>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</si>
  <si>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</si>
  <si>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</si>
  <si>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</si>
  <si>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</si>
  <si>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</si>
  <si>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</si>
  <si>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</si>
  <si>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</si>
  <si>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</si>
  <si>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</si>
  <si>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</si>
  <si>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</si>
  <si>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</si>
  <si>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</si>
  <si>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</si>
  <si>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</si>
  <si>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</si>
  <si>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</si>
  <si>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</si>
  <si>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</si>
  <si>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</si>
  <si>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</si>
  <si>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</si>
  <si>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</si>
  <si>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</si>
  <si>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</si>
  <si>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</si>
  <si>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</si>
  <si>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</si>
  <si>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</si>
  <si>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</si>
  <si>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</si>
  <si>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TX_PVLS.N.Routine.T</t>
  </si>
  <si>
    <t>SNU Prioritization (FY23)</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</si>
  <si>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</si>
  <si>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</si>
  <si>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</si>
  <si>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</si>
  <si>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</si>
  <si>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</si>
  <si>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</si>
  <si>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</si>
  <si>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</si>
  <si>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</si>
  <si>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</si>
  <si>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</si>
  <si>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</si>
  <si>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</si>
  <si>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</si>
  <si>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</si>
  <si>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</si>
  <si>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</si>
  <si>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</si>
  <si>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</si>
  <si>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</si>
  <si>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</si>
  <si>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agoURWZyPpn</t>
  </si>
  <si>
    <t>G7SQxPyGfFo</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</si>
  <si>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</si>
  <si>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</si>
  <si>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</si>
  <si>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</si>
  <si>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</si>
  <si>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</si>
  <si>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</si>
  <si>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</si>
  <si>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</si>
  <si>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</si>
  <si>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</si>
  <si>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</si>
  <si>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</si>
  <si>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</si>
  <si>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</si>
  <si>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TX_NET_NEW (FY24)</t>
  </si>
  <si>
    <t>TX_CURR (FY24)</t>
  </si>
  <si>
    <t>TX_NEW
(FY24)</t>
  </si>
  <si>
    <t>TX_PVLS (D) Routine (FY24)</t>
  </si>
  <si>
    <t>PEPFAR FY23 Cascade (Planned)</t>
  </si>
  <si>
    <t>PEPFAR FY22 Cascade (Observed)</t>
  </si>
  <si>
    <t>Targeted VL Suppression Rate (FY24) (%)</t>
  </si>
  <si>
    <t>Year 2 Targets</t>
  </si>
  <si>
    <t>TX_CURR (FY25)</t>
  </si>
  <si>
    <t>TX_PVLS (D) Routine (FY25)</t>
  </si>
  <si>
    <t>PMTCT_STAT (D) (FY24)</t>
  </si>
  <si>
    <t>Total PMTCT_STAT (N) (FY24)</t>
  </si>
  <si>
    <t>Already on ART (FY24)</t>
  </si>
  <si>
    <t>New on ART (FY24)</t>
  </si>
  <si>
    <t>Positive (FY24)</t>
  </si>
  <si>
    <t>Negative (FY24)</t>
  </si>
  <si>
    <t>Active SNS (Facility and Community SNS)</t>
  </si>
  <si>
    <t>Active Other (Community Other and Community Mobile)</t>
  </si>
  <si>
    <t>01-09</t>
  </si>
  <si>
    <t>10-14</t>
  </si>
  <si>
    <t>15-24</t>
  </si>
  <si>
    <t>35-49</t>
  </si>
  <si>
    <t>50+</t>
  </si>
  <si>
    <t>Male</t>
  </si>
  <si>
    <t>TX_NET_NEW</t>
  </si>
  <si>
    <t>Population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</si>
  <si>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</si>
  <si>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</si>
  <si>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</si>
  <si>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</si>
  <si>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</si>
  <si>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</si>
  <si>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</si>
  <si>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</si>
  <si>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</si>
  <si>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VLT Coverage (FY23) (%)</t>
  </si>
  <si>
    <t>PLHIV (FY24)</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</si>
  <si>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</si>
  <si>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</si>
  <si>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</si>
  <si>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</si>
  <si>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</si>
  <si>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</si>
  <si>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</si>
  <si>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</si>
  <si>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</si>
  <si>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ART</t>
  </si>
  <si>
    <t>ART Initiation</t>
  </si>
  <si>
    <t>FY22 (Observed)</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</si>
  <si>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</si>
  <si>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</si>
  <si>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</si>
  <si>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</si>
  <si>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</si>
  <si>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</si>
  <si>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</si>
  <si>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</si>
  <si>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</si>
  <si>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</si>
  <si>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</si>
  <si>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</si>
  <si>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</si>
  <si>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</si>
  <si>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</si>
  <si>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</si>
  <si>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</si>
  <si>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</si>
  <si>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</si>
  <si>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</si>
  <si>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</si>
  <si>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Total HTS_RECENT (FY24)</t>
  </si>
  <si>
    <t>Not Tested by PEPFAR</t>
  </si>
  <si>
    <t>Targeted ART Linkage Rate (FY24) (%)</t>
  </si>
  <si>
    <t>Total eligible for Post ANC1 retesting (FY24)</t>
  </si>
  <si>
    <t>Yield
(FY24) (%)</t>
  </si>
  <si>
    <t>Linked to ART (FY24)</t>
  </si>
  <si>
    <t>Total HTS_TST_POS (FY24)</t>
  </si>
  <si>
    <t>Total Positives from TB_STAT (FY24)</t>
  </si>
  <si>
    <t>Total Positives from All Other Modalities (FY24)</t>
  </si>
  <si>
    <t>Yield
(FY22 Results)
(%)</t>
  </si>
  <si>
    <t>PREP_CT (FY24)</t>
  </si>
  <si>
    <t>Est. # infants born to HIV-positive women (FY24)</t>
  </si>
  <si>
    <t>Total HIV+ infants identified (FY24)</t>
  </si>
  <si>
    <t>Targeted TX Retention Rate (FY24) (%)</t>
  </si>
  <si>
    <t>HIV+ infants retained on ART at end of FY24</t>
  </si>
  <si>
    <t>HIV+ Infants Eligible for VLT (FY24)</t>
  </si>
  <si>
    <t>HIV+ infants tested for VLS (FY24)</t>
  </si>
  <si>
    <t>Targeted VLS Rate (FY24) (%)</t>
  </si>
  <si>
    <t>HIV+ infants  Virally Suppressed (FY24)</t>
  </si>
  <si>
    <t>To shut off TB_STAT entirely:
1. Replace all formulas for "TB_STAT (D) (FY24) targets with zeros.</t>
  </si>
  <si>
    <t>TB_STAT (D) (FY24)</t>
  </si>
  <si>
    <t>Total HTS_TST (FY24)</t>
  </si>
  <si>
    <t>PrEP_CT - KeyPop (FY24)</t>
  </si>
  <si>
    <t>PrEP_NEW - KeyPop (FY24)</t>
  </si>
  <si>
    <t>KP_PREV (FY24)</t>
  </si>
  <si>
    <t>TX_CURR - KeyPop (FY24)</t>
  </si>
  <si>
    <t>TX_NET_NEW - KeyPop (FY24)</t>
  </si>
  <si>
    <t>TX_NEW - KeyPop (FY24)</t>
  </si>
  <si>
    <t>TX_PVLS (D) - KeyPop (FY24)</t>
  </si>
  <si>
    <t>TX_PVLS (N) - KeyPop (FY24)</t>
  </si>
  <si>
    <t>Yield (FY24) (%)</t>
  </si>
  <si>
    <t>KeyPop, Positive (FY24)</t>
  </si>
  <si>
    <t>KeyPop, Negative (FY24)</t>
  </si>
  <si>
    <t>HTS_RECENT - KeyPop (FY24)</t>
  </si>
  <si>
    <t>HTS_SELF - KeyPop (FY24)</t>
  </si>
  <si>
    <t>PrEP_NEW - KeyPop (FY23 Targets)</t>
  </si>
  <si>
    <t>KP_PREV (FY23 Targets)</t>
  </si>
  <si>
    <t>TX_CURR - KeyPop (FY23 Targets)</t>
  </si>
  <si>
    <t>TX_NEW - KeyPop (FY23 Targets)</t>
  </si>
  <si>
    <t>HTS_SELF - KeyPop (FY23 Targets)</t>
  </si>
  <si>
    <t>TX_CURR - KeyPop (FY22 Results)</t>
  </si>
  <si>
    <t>HTS_TST_NEG
(FY24)</t>
  </si>
  <si>
    <t>AGYW_PREV (D) (FY24)</t>
  </si>
  <si>
    <t>AGYW_PREV (N) (FY24)</t>
  </si>
  <si>
    <t>PrEP_NEW (FY24)</t>
  </si>
  <si>
    <t>PrEP_NEW (FY23 Targets)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</si>
  <si>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</si>
  <si>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</si>
  <si>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</si>
  <si>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</si>
  <si>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</si>
  <si>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</si>
  <si>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</si>
  <si>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</si>
  <si>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</si>
  <si>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</si>
  <si>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</si>
  <si>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</si>
  <si>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HTS_SELF (FY23 Targets)</t>
  </si>
  <si>
    <t>TX_NEW (FY24)</t>
  </si>
  <si>
    <t>CXCA_SCRN (FY24)</t>
  </si>
  <si>
    <t>CXCA_SCRN (FY23 Targets)</t>
  </si>
  <si>
    <t>CXCA_SCRN (FY22 Results)</t>
  </si>
  <si>
    <t>Targeted coverage: New on ART (FY24) (%)</t>
  </si>
  <si>
    <t>Targeted coverage: Already on ART (FY24) (%)</t>
  </si>
  <si>
    <t>Est. TB Screen Positivity Rate: New on ART (FY24) (%)</t>
  </si>
  <si>
    <t>Est. TB Screen Positivity Rate: Already on ART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</si>
  <si>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</si>
  <si>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</si>
  <si>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</si>
  <si>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</si>
  <si>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</si>
  <si>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</si>
  <si>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</si>
  <si>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</si>
  <si>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</si>
  <si>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</si>
  <si>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Physical/Emotional Violence (FY24)</t>
  </si>
  <si>
    <t>Sexual Violence (FY24)</t>
  </si>
  <si>
    <t>Physical/Emotional Violence (FY23 Targets)</t>
  </si>
  <si>
    <t>Sexual Violence (FY23 Targets)</t>
  </si>
  <si>
    <t>Targeted Percent Completion (FY24) (%)</t>
  </si>
  <si>
    <t>Denominator - Started or Completed any DREAMS Service (FY24)</t>
  </si>
  <si>
    <t>Numerator - Completed at least Primary Package (FY24)</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</si>
  <si>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</si>
  <si>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</si>
  <si>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</si>
  <si>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</si>
  <si>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</si>
  <si>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</si>
  <si>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</si>
  <si>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</si>
  <si>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KP_MAT (FY24)</t>
  </si>
  <si>
    <t>PEPFAR KP_MAT (FY23 Targets)</t>
  </si>
  <si>
    <t>Observed PEPFAR Coverage of KP_MAT_SUBNAT (FY23 Targets) (%)</t>
  </si>
  <si>
    <t>Female, 15+ (FY24)</t>
  </si>
  <si>
    <t>Male, 15+ (FY24)</t>
  </si>
  <si>
    <t>FY24 SNU Prioritization Translation</t>
  </si>
  <si>
    <t>PrEP_CT Total (FY24)</t>
  </si>
  <si>
    <t>PrEP_CT.Total.T</t>
  </si>
  <si>
    <t>HIV Positive</t>
  </si>
  <si>
    <t>HIV Negative</t>
  </si>
  <si>
    <t>VMMC_CIRC.Pos.T</t>
  </si>
  <si>
    <t>VMMC_CIRC.Neg.T</t>
  </si>
  <si>
    <t>PrEP_CT (FY23 Targets)</t>
  </si>
  <si>
    <t>PrEP_NEW (FY22 Results)</t>
  </si>
  <si>
    <t>PrEP_CT (FY22 Results)</t>
  </si>
  <si>
    <t>TB_PREV (N) - New on ART (FY23 Targets)</t>
  </si>
  <si>
    <t>TB_PREV (N) - Already on ART (FY23 Targets)</t>
  </si>
  <si>
    <t>VMMC_CIRC New Positives (FY24)</t>
  </si>
  <si>
    <t>VMMC_CIRC New Negatives (FY24)</t>
  </si>
  <si>
    <t>COP23 Target Setting Tool</t>
  </si>
  <si>
    <t>SNU Prioritization (FY24)</t>
  </si>
  <si>
    <t>TX_CURR: Expected Achievement (FY23)</t>
  </si>
  <si>
    <t>On ART (FY22)</t>
  </si>
  <si>
    <t>On ART (FY23)</t>
  </si>
  <si>
    <t>VLS Rate (Virally Suppressed/Documented VLT) (FY23) (%)</t>
  </si>
  <si>
    <t>FY24 (Projected)</t>
  </si>
  <si>
    <t>FY23 (Estimated)</t>
  </si>
  <si>
    <t>Calculated TX_CURR (FY24)</t>
  </si>
  <si>
    <r>
      <t xml:space="preserve">If TX_CURR Target derived by OU analysis, enter here: 
</t>
    </r>
    <r>
      <rPr>
        <b/>
        <sz val="12"/>
        <color theme="1"/>
        <rFont val="Calibri"/>
        <family val="2"/>
        <scheme val="minor"/>
      </rPr>
      <t>TX_CURR (FY24)</t>
    </r>
  </si>
  <si>
    <t>[TARGET]</t>
  </si>
  <si>
    <t>TX_PVLS (N) Routine (FY24)</t>
  </si>
  <si>
    <t>Total Positives from VMMC_CIRC (FY24)</t>
  </si>
  <si>
    <t>Total Tests from All Other Modalities (FY24)</t>
  </si>
  <si>
    <t>Targeted % HIV-exposed infants tested by 2 months (FY24) (%)</t>
  </si>
  <si>
    <t>Targeted % HIV-exposed infants tested by 12 months (FY24) (%)</t>
  </si>
  <si>
    <t>02 - 12 months (FY24)</t>
  </si>
  <si>
    <t>≤ 02 months (FY24)</t>
  </si>
  <si>
    <t>Est. Positivity Rate, ≤ 02 months (FY24) (%)</t>
  </si>
  <si>
    <t>Est. Positivity Rate, ≤ 02 months (FY22 Results) (%)</t>
  </si>
  <si>
    <t>Est. Positivity Rate, 02 - 12 months (FY22 Results) (%)</t>
  </si>
  <si>
    <t>Est. Positivity Rate, 02 - 12 months (FY24) (%)</t>
  </si>
  <si>
    <t>Targeted VLT Coverage (FY24) (%)</t>
  </si>
  <si>
    <t>% Eligible for VLT (FY24) (%)</t>
  </si>
  <si>
    <t>PMTCT_HEI_POS Linked &amp; Retained on ART (FY24)</t>
  </si>
  <si>
    <t>HIV+ infants Initiated on ART (FY24)</t>
  </si>
  <si>
    <t>PMTCT_STAT (D) (FY23)</t>
  </si>
  <si>
    <t>New ANC Clients</t>
  </si>
  <si>
    <t>Post ANC1</t>
  </si>
  <si>
    <t>Yield among Newly Tested ANC1 clients (FY22 Results) (%)</t>
  </si>
  <si>
    <t>Yield among Newly Tested ANC1 clients (FY24) (%)</t>
  </si>
  <si>
    <t>ANC1 Testing - PEPFAR</t>
  </si>
  <si>
    <t>PMTCT_STAT (N) - Known Positive (FY24)</t>
  </si>
  <si>
    <t>PMTCT_STAT (N) - New Positive (FY24)</t>
  </si>
  <si>
    <t>PMTCT_STAT (N) - New Negative (FY24)</t>
  </si>
  <si>
    <t>ART - PEPFAR</t>
  </si>
  <si>
    <t>Total PMTCT: Positives (ANC1 + Post ANC1, incl. Known Pos) (FY24)</t>
  </si>
  <si>
    <t>Total New Positives from PMTCT_STAT ANC1 (FY24)</t>
  </si>
  <si>
    <t>Total New Positives from PMTCT Post ANC1 (FY24)</t>
  </si>
  <si>
    <t>HTS_TST.PMTCT_STAT.New.Pos.T</t>
  </si>
  <si>
    <t>HTS_TST.PostANC1.New.Pos.T</t>
  </si>
  <si>
    <t>HTS_TST.Total_Other.Pos.T</t>
  </si>
  <si>
    <t>TB_STAT (D) (FY23)</t>
  </si>
  <si>
    <t>Expected Change in Incidence (%)</t>
  </si>
  <si>
    <t>TB_STAT (N): New Positives (FY23)</t>
  </si>
  <si>
    <t>Total TB_STAT (N) (FY24)</t>
  </si>
  <si>
    <t>% TB clients already Known HIV+ (FY24) (%)</t>
  </si>
  <si>
    <t>% TB clients Known HIV+ (FY22 Results) (%)</t>
  </si>
  <si>
    <t>% ANC1 clients Known HIV+ (FY24) (%)</t>
  </si>
  <si>
    <t>Yield among Newly Tested (FY22 Results) (%)</t>
  </si>
  <si>
    <t xml:space="preserve"> % ANC1 clients Known HIV+ (FY22 Results) (%)</t>
  </si>
  <si>
    <t>Yield among Newly Tested (FY24) (%)</t>
  </si>
  <si>
    <t>Known HIV+ (FY24)</t>
  </si>
  <si>
    <t>New Positive (FY24)</t>
  </si>
  <si>
    <t>New Negative (FY24)</t>
  </si>
  <si>
    <t>Total New Positives from TB_STAT (FY24)</t>
  </si>
  <si>
    <t>HTS_TST.TB.New.Pos.T</t>
  </si>
  <si>
    <t>_Military ONLY: Expected change in VMMC_CIRC (%)</t>
  </si>
  <si>
    <t>Indeterminate/Not Tested rate
(FY24) (%)</t>
  </si>
  <si>
    <t>Indeterminate/Not Tested rate
(FY22 Results) (%)</t>
  </si>
  <si>
    <t>HTS_TST.VMMC.Pos.T</t>
  </si>
  <si>
    <t>PrEP_CT - HIV Testing</t>
  </si>
  <si>
    <t># of PrEP follow-up visits per year</t>
  </si>
  <si>
    <t>PrEP_CT - # HIV tests administered (FY24)</t>
  </si>
  <si>
    <t>PrEP_CT.R</t>
  </si>
  <si>
    <t>PrEP_CT.T_1</t>
  </si>
  <si>
    <t>PrEP_CT.Freq.T</t>
  </si>
  <si>
    <t>PrEP_CT.TestResult.T</t>
  </si>
  <si>
    <t>CXCA_SCRN Coverage (FY22 Results) (%)</t>
  </si>
  <si>
    <t>TX_CURR (FY23)</t>
  </si>
  <si>
    <t>TX_CURR.Expected.T_1</t>
  </si>
  <si>
    <t>CXCA_SCRN Coverage - Already on ART (FY24) (%)</t>
  </si>
  <si>
    <t>CXCA_SCRN Coverage - Initiated on ART (FY24) (%)</t>
  </si>
  <si>
    <t>CXCA_SCRN.Already.Rt.T</t>
  </si>
  <si>
    <t>CXCA_SCRN.Initiated.Rt.T</t>
  </si>
  <si>
    <t>HTS_TST.PostANC1.Yield</t>
  </si>
  <si>
    <t>HTS_TST.SNS.Pos.Share</t>
  </si>
  <si>
    <t>HTS_TST.ActiveOther.Pos.Share</t>
  </si>
  <si>
    <t>VMMC: New Positive (%)</t>
  </si>
  <si>
    <t>Active Index (%)</t>
  </si>
  <si>
    <t>HTS_TST.VMMC.Pos.Share</t>
  </si>
  <si>
    <t>PP_PREV (FY23)</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</si>
  <si>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</si>
  <si>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</si>
  <si>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</si>
  <si>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</si>
  <si>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</si>
  <si>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</si>
  <si>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</si>
  <si>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</si>
  <si>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</si>
  <si>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</si>
  <si>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</si>
  <si>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</si>
  <si>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</si>
  <si>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</si>
  <si>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</si>
  <si>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HTS_TST, KeyPop, Positive (FY23 Targets)</t>
  </si>
  <si>
    <t>HTS_TST, KeyPop, Negative (FY23 Targets)</t>
  </si>
  <si>
    <t>TX_CURR - KeyPop - Expected Achievement (FY23)</t>
  </si>
  <si>
    <t>Aggregate Recency Test Coverage (FY24) (%)</t>
  </si>
  <si>
    <t>PrEP_CT.KP.T_1</t>
  </si>
  <si>
    <t>PrEP_CT - KeyPop (FY23 Targets)</t>
  </si>
  <si>
    <t>TX_CURR.KP.Expected.T_1</t>
  </si>
  <si>
    <t>TX_INITIATED.KP.T</t>
  </si>
  <si>
    <t>TX_INITIATED.KP.NewRt.T</t>
  </si>
  <si>
    <t>TX_PVLS.D.KP.Rt.T</t>
  </si>
  <si>
    <t>HTS_RECENT.KP.Rt.T</t>
  </si>
  <si>
    <t>HTS_TST.Index.Pos.Share.T_1</t>
  </si>
  <si>
    <t>Cumulative Previous Completion of TPT (Results FY17-22)</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</si>
  <si>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</si>
  <si>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</si>
  <si>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</si>
  <si>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</si>
  <si>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</si>
  <si>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</si>
  <si>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</si>
  <si>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</si>
  <si>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</si>
  <si>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</si>
  <si>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</si>
  <si>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</si>
  <si>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</si>
  <si>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</si>
  <si>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SsqfZeIs1Va</t>
  </si>
  <si>
    <t>p17Oj2I1PVH</t>
  </si>
  <si>
    <t>PEPFAR Total VMMC_CIRC (FY23 Targets)</t>
  </si>
  <si>
    <t>PEPFAR Total VMMC_CIRC (FY22 Results)</t>
  </si>
  <si>
    <t>alP4jHSfacs</t>
  </si>
  <si>
    <t>kznQBykTtJt</t>
  </si>
  <si>
    <t>CWZXh58dLvF</t>
  </si>
  <si>
    <t>ectUGvYjtaK</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</si>
  <si>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</si>
  <si>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</si>
  <si>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</si>
  <si>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</si>
  <si>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</si>
  <si>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</si>
  <si>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</si>
  <si>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</si>
  <si>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</si>
  <si>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PMTCT_STAT_SUBNAT.N.KnownPos.T_1</t>
  </si>
  <si>
    <t>PMTCT_STAT_SUBNAT.N.KnownPos.T</t>
  </si>
  <si>
    <t>VLS_SUBNAT.Rt.T_1</t>
  </si>
  <si>
    <t>VL_SUPPRESSED.T_1</t>
  </si>
  <si>
    <t>VL_SUPPRESSED.T</t>
  </si>
  <si>
    <t>New on ART, TB Screen + (FY24)</t>
  </si>
  <si>
    <t>New on ART, TB Screen - (FY24)</t>
  </si>
  <si>
    <t>Already on ART, TB Screen + (FY24)</t>
  </si>
  <si>
    <t>Already on ART, TB Screen - (FY24)</t>
  </si>
  <si>
    <t>Projected Change: Already on ART (FY24) (%)</t>
  </si>
  <si>
    <t>Projected Change: New on ART (FY24) (%)</t>
  </si>
  <si>
    <t>Total OVC_SERV (FY22)</t>
  </si>
  <si>
    <t>Total OVC_SERV (FY23 Targets)</t>
  </si>
  <si>
    <t>Projected Net Change in OVC_SERV (FY24) (%)</t>
  </si>
  <si>
    <t>Total OVC_SERV (FY24)</t>
  </si>
  <si>
    <t>DREAMS (FY24)</t>
  </si>
  <si>
    <t>Preventive (FY24)</t>
  </si>
  <si>
    <t>Comprehensive - Graduated (FY24)</t>
  </si>
  <si>
    <t>Comprehensive - Active (FY24)</t>
  </si>
  <si>
    <t>10 yr, 15-29</t>
  </si>
  <si>
    <t>ovFwBkjVLZA</t>
  </si>
  <si>
    <t>DNuQYS2nIPf</t>
  </si>
  <si>
    <t>AGYW, 15-34 (FY24)</t>
  </si>
  <si>
    <t>New Infections (FY25)</t>
  </si>
  <si>
    <t>PLHIV
(FY25)</t>
  </si>
  <si>
    <t>PLHIV
(FY24)</t>
  </si>
  <si>
    <t>Initiated on ART
(FY25)</t>
  </si>
  <si>
    <t>Retention - Initiated on ART (FY25)
(%)</t>
  </si>
  <si>
    <t>Retention - Already on ART (FY25)
(%)</t>
  </si>
  <si>
    <t>TX_NEW (FY25)</t>
  </si>
  <si>
    <t>% Initiated on ART Eligible for VLT (FY25) (%)</t>
  </si>
  <si>
    <t>Eligible for VLT (FY25)</t>
  </si>
  <si>
    <t>Planned VLT Coverage (FY25) (%)</t>
  </si>
  <si>
    <t>Targeted VL Suppression Rate (FY25) (%)</t>
  </si>
  <si>
    <t>TX_PVLS (N) Routine (FY25)</t>
  </si>
  <si>
    <t>VL Suppression</t>
  </si>
  <si>
    <t>Targeted ART Linkage Rate (FY25) (%)</t>
  </si>
  <si>
    <t>% Initiated on ART that are TX Naïve (FY25) (%)</t>
  </si>
  <si>
    <t>HTS_RECENT.T</t>
  </si>
  <si>
    <t>Est. total # completed TPT in last 7 years (FY24)</t>
  </si>
  <si>
    <t>Est. % Eligible for TPT among Already on ART, TB Screen - (FY24) (%)</t>
  </si>
  <si>
    <t>FY24 Targets</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</si>
  <si>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</si>
  <si>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</si>
  <si>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</si>
  <si>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</si>
  <si>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</si>
  <si>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</si>
  <si>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</si>
  <si>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</si>
  <si>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</si>
  <si>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</si>
  <si>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</si>
  <si>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</si>
  <si>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</si>
  <si>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</si>
  <si>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</si>
  <si>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</si>
  <si>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</si>
  <si>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TX_PVLS.D.Routine.T2</t>
  </si>
  <si>
    <t>TX_PVLS.N.Rt.T2</t>
  </si>
  <si>
    <t>TX_PVLS.N.Routine.T2</t>
  </si>
  <si>
    <t>HTS_TST.Linkage.T2</t>
  </si>
  <si>
    <t>HTS_TST.Pos.Total_With_HEI.T2</t>
  </si>
  <si>
    <t>PLHIV to Identify (HTS_TST_POS + PMTCT_HEI_POS) (FY25)</t>
  </si>
  <si>
    <t>PLHIV to Identify (HTS_TST_POS + PMTCT_HEI_POS) (FY24)</t>
  </si>
  <si>
    <t>You may manually enter TX_CURR in column Q, or follow the optional Modeled ART section, as needed.</t>
  </si>
  <si>
    <t>Total Positives (FY24)</t>
  </si>
  <si>
    <t>Testing Distribution</t>
  </si>
  <si>
    <t>FY24</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</si>
  <si>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</si>
  <si>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</si>
  <si>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</si>
  <si>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</si>
  <si>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</si>
  <si>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</si>
  <si>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</si>
  <si>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</si>
  <si>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</si>
  <si>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FY25</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</si>
  <si>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</si>
  <si>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</si>
  <si>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</si>
  <si>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</si>
  <si>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</si>
  <si>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</si>
  <si>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</si>
  <si>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</si>
  <si>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</si>
  <si>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</si>
  <si>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</si>
  <si>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PrEP_CT (FY24)</t>
  </si>
  <si>
    <t>PrEP_NEW (FY25)</t>
  </si>
  <si>
    <t>PrEP_CT (FY25)</t>
  </si>
  <si>
    <t>PrEP_NEW.T2</t>
  </si>
  <si>
    <t>PrEP_CT.T2</t>
  </si>
  <si>
    <t>HTS_SELF (FY25)</t>
  </si>
  <si>
    <t>HTS_RECENT (FY24)</t>
  </si>
  <si>
    <t>HTS_RECENT (FY25)</t>
  </si>
  <si>
    <t>CXCA_SCRN (FY25)</t>
  </si>
  <si>
    <t>PP_PREV (FY25)</t>
  </si>
  <si>
    <t>GEND_GBV (FY24)</t>
  </si>
  <si>
    <t>GEND_GBV (FY25)</t>
  </si>
  <si>
    <t>AGYW_PREV (D) (FY25)</t>
  </si>
  <si>
    <t>AGYW_PREV (N) (FY25)</t>
  </si>
  <si>
    <t>KP_MAT (FY25)</t>
  </si>
  <si>
    <t>HTS_SELF.T2</t>
  </si>
  <si>
    <t>HTS_RECENT.T2</t>
  </si>
  <si>
    <t>CXCA_SCRN.T2</t>
  </si>
  <si>
    <t>KP_PREV (FY25)</t>
  </si>
  <si>
    <t>KP_PREV.T2</t>
  </si>
  <si>
    <t>PP_PREV.T2</t>
  </si>
  <si>
    <t>GEND_GBV.T</t>
  </si>
  <si>
    <t>AGYW_PREV.D.T2</t>
  </si>
  <si>
    <t>AGYW_PREV.N.T2</t>
  </si>
  <si>
    <t>KP_MAT.T2</t>
  </si>
  <si>
    <t>Aggregate Recency Test Coverage (FY24)
(%)</t>
  </si>
  <si>
    <t>Aggregate Recency Test Coverage (FY25)
(%)</t>
  </si>
  <si>
    <t>HTS_RECENT.Rt.T2</t>
  </si>
  <si>
    <t>Change in PrEP_NEW (%)</t>
  </si>
  <si>
    <t>Change in PrEP_CT (%)</t>
  </si>
  <si>
    <t>Change in KP_PREV (%)</t>
  </si>
  <si>
    <t>Change in HTS_SELF (%)</t>
  </si>
  <si>
    <t>Change in PP_PREV (%)</t>
  </si>
  <si>
    <t>Overall CXCA_SCRN Coverage (FY25) (%)</t>
  </si>
  <si>
    <t>Overall CXCA_SCRN Coverage (FY24) (%)</t>
  </si>
  <si>
    <t>CXCA_SCRN Coverage - Already on ART (FY25) (%)</t>
  </si>
  <si>
    <t>CXCA_SCRN Coverage - Initiated on ART (FY25) (%)</t>
  </si>
  <si>
    <t>Change in KP_MAT (FY25) (%)</t>
  </si>
  <si>
    <t>Change in AGYW_PREV (D) (FY25) (%)</t>
  </si>
  <si>
    <t>Change in AGYW_PREV (N) (FY25) (%)</t>
  </si>
  <si>
    <t>Change in GEND_GBV (FY25) (%)</t>
  </si>
  <si>
    <t>PrEP_NEW.Change.T2</t>
  </si>
  <si>
    <t>PrEP_CT.Change.T2</t>
  </si>
  <si>
    <t>HTS_SELF.Change.T2</t>
  </si>
  <si>
    <t>PP_PREV.Change.T2</t>
  </si>
  <si>
    <t>KP_PREV.Change.T2</t>
  </si>
  <si>
    <t>CXCA_SCRN.Coverage.T</t>
  </si>
  <si>
    <t>CXCA_SCRN.Coverage.T2</t>
  </si>
  <si>
    <t>CXCA_SCRN.Coverage.Already.T2</t>
  </si>
  <si>
    <t>CXCA_SCRN.Coverage.Initiated.T2</t>
  </si>
  <si>
    <t>Targeted Coverage: New on ART (FY25) (%)</t>
  </si>
  <si>
    <t>Targeted Coverage: Already on ART (FY25) (%)</t>
  </si>
  <si>
    <t>AGYW_PREV.D.Change.T2</t>
  </si>
  <si>
    <t>AGYW_PREV.N.Change.T2</t>
  </si>
  <si>
    <t>KP_MAT.Change.T2</t>
  </si>
  <si>
    <t>GEND_GBV.Change.T2</t>
  </si>
  <si>
    <t>GEND_GBV.T2</t>
  </si>
  <si>
    <t>{EID}euzbW4INAqn.{KP}ef1o9r1kDIH</t>
  </si>
  <si>
    <t>N55pM5ZuWcI.{KP}tGtB1nLnQjC</t>
  </si>
  <si>
    <t>WpZwPieQ060.{KP}P9OjdVVMHMW</t>
  </si>
  <si>
    <t>vmfKLKi1NBA.{KP}ktZYUSS0Zjo</t>
  </si>
  <si>
    <t>di4b6joXm84.{KP}OLbhrUez4dP</t>
  </si>
  <si>
    <t>iwSejvD8cXl.{KP}LADGHYIE9m1</t>
  </si>
  <si>
    <t>rXV784LlUQ4.{KP}lXqlw8UxoqF</t>
  </si>
  <si>
    <t>agoURWZyPpn.{KP}bwlf1Jfww0L</t>
  </si>
  <si>
    <t>r9N46a1q942.{KP}qL1qysWLZoq</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</si>
  <si>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</si>
  <si>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</si>
  <si>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</si>
  <si>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</si>
  <si>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</si>
  <si>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</si>
  <si>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</si>
  <si>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</si>
  <si>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</si>
  <si>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</si>
  <si>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</si>
  <si>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</si>
  <si>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</si>
  <si>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</si>
  <si>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</si>
  <si>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</si>
  <si>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</si>
  <si>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</si>
  <si>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</si>
  <si>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</si>
  <si>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</si>
  <si>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</si>
  <si>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 (D) Coverage: Already on ART (FY24) (%)</t>
  </si>
  <si>
    <t>TX_TB (D) Coverage: New on ART (FY24) (%)</t>
  </si>
  <si>
    <t>TX_TB.D.New.Cov.T</t>
  </si>
  <si>
    <t>TX_TB.D.Already.Cov.T</t>
  </si>
  <si>
    <t>TX_TB.D.New.Cov.T2</t>
  </si>
  <si>
    <t>TX_TB.D.Already.Cov.T2</t>
  </si>
  <si>
    <t>TX_TB.D.New.Pos.T2</t>
  </si>
  <si>
    <t>TX_TB.D.New.Neg.T2</t>
  </si>
  <si>
    <t>TX_TB.D.Already.Pos.T2</t>
  </si>
  <si>
    <t>TX_TB.D.Already.Neg.T2</t>
  </si>
  <si>
    <t>Est. TB Screen Positivity Rate: New on ART (FY25) (%)</t>
  </si>
  <si>
    <t>Est. TB Screen Positivity Rate: Already on ART (FY25) (%)</t>
  </si>
  <si>
    <t>TX_TB.D.New.Yield.T2</t>
  </si>
  <si>
    <t>TX_TB.D.Already.Yield.T2</t>
  </si>
  <si>
    <t>Already on ART, TB Screen + (FY25)</t>
  </si>
  <si>
    <t>Already on ART, TB Screen - (FY25)</t>
  </si>
  <si>
    <t>New on ART, TB Screen + (FY25)</t>
  </si>
  <si>
    <t>New on ART, TB Screen - (FY25)</t>
  </si>
  <si>
    <t>TB_PREV (D): Already on ART (FY25)</t>
  </si>
  <si>
    <t>TB_PREV (D): New on ART (FY25)</t>
  </si>
  <si>
    <t>TB_PREV.D.New.T2</t>
  </si>
  <si>
    <t>TB_PREV.D.Already.T2</t>
  </si>
  <si>
    <t>TB_PREV (N): Already on ART (FY25)</t>
  </si>
  <si>
    <t>TB_PREV (N): New on ART (FY25)</t>
  </si>
  <si>
    <t>TB_PREV.N.Already.T2</t>
  </si>
  <si>
    <t>TB_PREV.N.New.T2</t>
  </si>
  <si>
    <t>Targeted TPT Completion (%) (FY25)</t>
  </si>
  <si>
    <t>TB_PREV.N.Rt.T2</t>
  </si>
  <si>
    <t>TX_TB.D.Already.Neg.Linkage.T2</t>
  </si>
  <si>
    <t>TX_TB.D.New.Neg.Linkage.T2</t>
  </si>
  <si>
    <t>% TPT Initiation Rate - Already on ART (FY25) (%)</t>
  </si>
  <si>
    <t>% TPT Initiation Rate - New on ART (FY25) (%)</t>
  </si>
  <si>
    <t>TX_TB.D.Already.Eligible.T2</t>
  </si>
  <si>
    <t>TX_TB.D.Already.Ineligible.T2</t>
  </si>
  <si>
    <t>Est. total # completed TPT in last 8 years (FY25)</t>
  </si>
  <si>
    <t>Est. % Eligible for TPT among Already on ART, TB Screen - (FY25) (%)</t>
  </si>
  <si>
    <t xml:space="preserve">TX_TB (D) </t>
  </si>
  <si>
    <t>DREAMS (FY25)</t>
  </si>
  <si>
    <t>Preventive (FY25)</t>
  </si>
  <si>
    <t>Comprehensive - Graduated (FY25)</t>
  </si>
  <si>
    <t>Comprehensive - Active (FY25)</t>
  </si>
  <si>
    <t>Change in DREAMS (FY25) (%)</t>
  </si>
  <si>
    <t>Change in Comprehensive - Graduated (FY25) (%)</t>
  </si>
  <si>
    <t>Change in Comprehensive - Active (FY25) (%)</t>
  </si>
  <si>
    <t>Change in Preventive (FY25)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</si>
  <si>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</si>
  <si>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</si>
  <si>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</si>
  <si>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</si>
  <si>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</si>
  <si>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</si>
  <si>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</si>
  <si>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</si>
  <si>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</si>
  <si>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</si>
  <si>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Targeted P.C. ART Coverage (ART/PLHIV) (FY24) (%)</t>
  </si>
  <si>
    <t>Targeted P.C. # on ART (FY24)</t>
  </si>
  <si>
    <t>P.C. # on ART (FY24)</t>
  </si>
  <si>
    <t>P.C. ART Coverage (ART/PLHIV) (FY24) (%)</t>
  </si>
  <si>
    <t>P.C. ART Patients with Documented VLT (FY24)</t>
  </si>
  <si>
    <t>P.C. Virally Suppressed ART Patients (FY24)</t>
  </si>
  <si>
    <t>P.C. Est. Total Size (FY23)</t>
  </si>
  <si>
    <t>P.C. Est. KPLHIV (FY23)</t>
  </si>
  <si>
    <t>P.C. Est. HIV Prevalence (FY23) (%)</t>
  </si>
  <si>
    <t>P.C. # on ART
(FY24)</t>
  </si>
  <si>
    <t>P.C. ART Coverage (ART/PLHIV)
(FY24)
(%)</t>
  </si>
  <si>
    <t>Targeted P.C. ART Coverage (ART/PLHIV)
(FY25)
(%)</t>
  </si>
  <si>
    <t>Targeted P.C. # on ART
(FY25)</t>
  </si>
  <si>
    <t>P.C. % ART clients at PEPFAR-supported sites (FY25) (%)</t>
  </si>
  <si>
    <t>P.C. # on ART
(FY25)</t>
  </si>
  <si>
    <t>P.C. ART Coverage
(ART/PHIV)
(FY25)
(%)</t>
  </si>
  <si>
    <t>Partner Country (P.C.) Context</t>
  </si>
  <si>
    <t>P.C. Est. Female Population (FY23)</t>
  </si>
  <si>
    <t>P.C. Est. PLHIV (FY23)</t>
  </si>
  <si>
    <t>P.C. Est. # on ART (FY23)</t>
  </si>
  <si>
    <t>P.C. Est. ART Coverage (ART/PLHIV) (FY23) (%)</t>
  </si>
  <si>
    <t>P.C. New ANC Clients (FY23)</t>
  </si>
  <si>
    <t>P.C. ANC Clients - Known Positive (FY23)</t>
  </si>
  <si>
    <t>P.C. ANC Clients - New Positive (FY23)</t>
  </si>
  <si>
    <t>P.C. ANC Clients - New Negative (FY23)</t>
  </si>
  <si>
    <t>P.C. HIV-positive pregnant women (FY23)</t>
  </si>
  <si>
    <t>P.C. ANC Clients - Already on ART (FY23)</t>
  </si>
  <si>
    <t>P.C. ANC Clients - New on ART (FY23)</t>
  </si>
  <si>
    <t>P.C. % ANC clients served at PEPFAR-supported sites (FY24) (%)</t>
  </si>
  <si>
    <t>P.C. PMTCT_STAT_SUBNAT (D) (FY24)</t>
  </si>
  <si>
    <t>Total P.C. PMTCT_STAT_SUBNAT (N) (FY24)</t>
  </si>
  <si>
    <t>P.C. PMTCT_STAT_SUBNAT (N) - Known Positive (FY24)</t>
  </si>
  <si>
    <t>P.C. PMTCT_STAT_SUBNAT (N) - New Positive (FY24)</t>
  </si>
  <si>
    <t>P.C. PMTCT_STAT_SUBNAT (N) - New Negative (FY24)</t>
  </si>
  <si>
    <t>P.C. HIV+ Pregnant Women (FY24)</t>
  </si>
  <si>
    <t>P.C. HIV+ Pregnant Women Already on ART (FY24)</t>
  </si>
  <si>
    <t>P.C. HIV+ Pregnant Women New on ART (FY24)</t>
  </si>
  <si>
    <t>P.C. Est. Male Population (FY23)</t>
  </si>
  <si>
    <t>P.C. # Circumcised in FY23</t>
  </si>
  <si>
    <t>P.C. Total # Ever Circumcised (FY23)</t>
  </si>
  <si>
    <t>P.C. Est. VMMC Coverage (FY23) (%)</t>
  </si>
  <si>
    <t>Targeted P.C. VMMC Coverage (FY24) (%)</t>
  </si>
  <si>
    <t>Targeted P.C. Total # Ever Circumcised (FY24)</t>
  </si>
  <si>
    <t>Targeted P.C. # Circumcised in FY24</t>
  </si>
  <si>
    <t>% P.C. VMMC provided at PEPFAR-supported sites (FY24) (%)</t>
  </si>
  <si>
    <t>P.C. Est. KP_MAT_SUBNAT (FY23)</t>
  </si>
  <si>
    <t>P.C. KP_MAT_SUBNAT (FY24)</t>
  </si>
  <si>
    <t>KEY:
- Est.: Estimated
- P.C.: Partner Country
- Prev.: Previously
- VL: Viral Load
- VLS: Viral Load Suppression
- VLT: Viral Load Test(ing)
- EVLT: Eligible for Viral Load Testing</t>
  </si>
  <si>
    <t>PLHIV by Residence (FY23)</t>
  </si>
  <si>
    <t>PLHIV by ART attendance (FY23)</t>
  </si>
  <si>
    <t>PLHIV_Attend.T_1</t>
  </si>
  <si>
    <t>Untreated PLHIV in health facility catchment area (FY23)</t>
  </si>
  <si>
    <t>Untreated_PLHIV_Attend.T_1</t>
  </si>
  <si>
    <t>parsed_age</t>
  </si>
  <si>
    <t>8) In columns Q &amp; R, drag formulas down to extend to last row of Spectrum import file.</t>
  </si>
  <si>
    <t>TX_CURR_SUBNAT.KP.T</t>
  </si>
  <si>
    <t>PopART.KP.Rt.T_1</t>
  </si>
  <si>
    <t>KP ART Coverage (P.C. ART / KPLHIV) (FY24) (%)</t>
  </si>
  <si>
    <t>P.C. # KPLHIV on ART - KeyPop (FY24)</t>
  </si>
  <si>
    <t>PMTCT_ART</t>
  </si>
  <si>
    <t>PMTCT_STAT.Linkage.T2</t>
  </si>
  <si>
    <t>PMTCT_ART.Already.T2</t>
  </si>
  <si>
    <t>PMTCT_ART.New.T2</t>
  </si>
  <si>
    <t>TB_STAT.Linkage.T2</t>
  </si>
  <si>
    <t>TB_ART.Already.T2</t>
  </si>
  <si>
    <t>TB_ART.New.T2</t>
  </si>
  <si>
    <t>SsqfZeIs1Va.{KP}y42bZItNsea</t>
  </si>
  <si>
    <t>KM4dyooZHUP.{KP}KM4dyooZHUP</t>
  </si>
  <si>
    <t>rGptWqlhaVU.KM4dyooZHUP.{KP}KM4dyooZHUP</t>
  </si>
  <si>
    <t>{EID}J4SQd7SnDi2.pbXCUjm50XK.{KP}KM4dyooZHUP</t>
  </si>
  <si>
    <t>OVC_HIVSTAT.T2</t>
  </si>
  <si>
    <t>OVC_HIVSTAT.Rt.T2</t>
  </si>
  <si>
    <t>OVC_SERV.DREAMS.Change.T2</t>
  </si>
  <si>
    <t>25-34</t>
  </si>
  <si>
    <t>PMTCT_STAT</t>
  </si>
  <si>
    <t>Total PMTCT_STAT (N) (FY25)</t>
  </si>
  <si>
    <t>PMTCT_STAT (N) - New Negative (FY25)</t>
  </si>
  <si>
    <t>PMTCT_STAT (N) - New Positive (FY25)</t>
  </si>
  <si>
    <t>PMTCT_STAT (N) - Known Positive (FY25)</t>
  </si>
  <si>
    <t>Change in PMTCT_STAT (N) Total (%)</t>
  </si>
  <si>
    <t>Already on ART (FY25)</t>
  </si>
  <si>
    <t>New on ART (FY25)</t>
  </si>
  <si>
    <t>TB_STAT</t>
  </si>
  <si>
    <t>Known HIV+ (FY25)</t>
  </si>
  <si>
    <t>New Positive (FY25)</t>
  </si>
  <si>
    <t>New Negative (FY25)</t>
  </si>
  <si>
    <t>Total TB_STAT (N) (FY25)</t>
  </si>
  <si>
    <t>Change in TB_STAT (N) Total (%)</t>
  </si>
  <si>
    <t>Change in VMMC_CIRC (N) Total (%)</t>
  </si>
  <si>
    <t>Not Tested by PEPFAR (FY24)</t>
  </si>
  <si>
    <t>HIV Positive (FY24)</t>
  </si>
  <si>
    <t>HIV Negative (FY24)</t>
  </si>
  <si>
    <t>Total VMMC_CIRC (FY24)</t>
  </si>
  <si>
    <t>Not Tested by PEPFAR (FY25)</t>
  </si>
  <si>
    <t>HIV Positive (FY25)</t>
  </si>
  <si>
    <t>HIV Negative (FY25)</t>
  </si>
  <si>
    <t>Total VMMC_CIRC (FY25)</t>
  </si>
  <si>
    <t>PLHIV by ART attendance (FY24)</t>
  </si>
  <si>
    <t>PLHIV_Attend.T</t>
  </si>
  <si>
    <t>From AGYW Sat App
Est. Female Population (FY23)</t>
  </si>
  <si>
    <t>H.C. Est. # of Vulnerable AGYW (FY23)</t>
  </si>
  <si>
    <t>DREAMS Sat App
Percent Coverage - Saturation
(%)</t>
  </si>
  <si>
    <t>DREAMS Sat App
DREAMS Eligible Girls Not Yet Reached</t>
  </si>
  <si>
    <t>AGYW_PREV.D.T_1</t>
  </si>
  <si>
    <t>Projected DREAMS Eligible Girls Not Yet Reached (FY24)</t>
  </si>
  <si>
    <t>hmTKCv0EtgT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</si>
</sst>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39"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s>
  <fills count="10">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7" tint="0.59999389629810485"/>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49">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20" fillId="0" borderId="0" xfId="1" applyFont="1" applyFill="1"/>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3" fontId="0" fillId="7" borderId="2" xfId="0" applyNumberFormat="1" applyFill="1" applyBorder="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3" fontId="20" fillId="0" borderId="2" xfId="0" applyNumberFormat="1" applyFont="1" applyBorder="1"/>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21" fillId="3" borderId="2" xfId="0" applyNumberFormat="1" applyFont="1" applyFill="1" applyBorder="1" applyAlignment="1">
      <alignment horizontal="center" vertical="center" wrapText="1"/>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3" fontId="21" fillId="7" borderId="0" xfId="0" applyNumberFormat="1" applyFont="1" applyFill="1" applyAlignment="1">
      <alignment horizontal="center" vertical="center" wrapText="1"/>
    </xf>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xf numFmtId="3" fontId="0" fillId="0" borderId="0" xfId="0" applyNumberFormat="1" applyFont="1" applyAlignment="1">
      <alignment horizontal="right"/>
    </xf>
    <xf numFmtId="3" fontId="0" fillId="0" borderId="0" xfId="0" applyNumberFormat="1" applyFont="1"/>
    <xf numFmtId="3" fontId="0" fillId="8" borderId="0" xfId="0" applyNumberFormat="1" applyFont="1" applyFill="1"/>
    <xf numFmtId="3" fontId="38" fillId="7" borderId="0" xfId="0" applyNumberFormat="1" applyFont="1" applyFill="1" applyAlignment="1">
      <alignment horizontal="center" vertical="center" wrapText="1"/>
    </xf>
    <xf numFmtId="3" fontId="1" fillId="9" borderId="0" xfId="1" applyNumberFormat="1" applyFont="1" applyFill="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7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patternType="darkUp">
          <bgColor auto="1"/>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patternType="darkUp"/>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C00000"/>
      </font>
      <fill>
        <patternFill patternType="darkUp">
          <fgColor theme="1"/>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F4CCCC"/>
      <color rgb="FF6D9EEB"/>
      <color rgb="FFA4C2F4"/>
      <color rgb="FF073763"/>
      <color rgb="FF666666"/>
      <color rgb="FF999999"/>
      <color rgb="FF434343"/>
      <color rgb="FFC9DAF8"/>
      <color rgb="FFEA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workbookViewId="0"/>
  </sheetViews>
  <sheetFormatPr baseColWidth="10" defaultRowHeight="16" x14ac:dyDescent="0.2"/>
  <cols>
    <col min="1" max="1" width="4.83203125" customWidth="1"/>
  </cols>
  <sheetData>
    <row r="2" spans="2:2" ht="47" x14ac:dyDescent="0.2">
      <c r="B2" s="7" t="s">
        <v>23</v>
      </c>
    </row>
    <row r="10" spans="2:2" ht="97" x14ac:dyDescent="0.2">
      <c r="B10" s="6" t="s">
        <v>764</v>
      </c>
    </row>
    <row r="20" spans="2:2" ht="82" x14ac:dyDescent="0.9">
      <c r="B20" s="236" t="s">
        <v>307</v>
      </c>
    </row>
    <row r="25" spans="2:2" x14ac:dyDescent="0.2">
      <c r="B25" t="s">
        <v>361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heetViews>
  <sheetFormatPr baseColWidth="10" defaultColWidth="10.83203125" defaultRowHeight="16" x14ac:dyDescent="0.2"/>
  <cols>
    <col min="1" max="1" width="1.83203125" style="250" customWidth="1"/>
    <col min="2" max="2" width="49" style="250" customWidth="1"/>
    <col min="3" max="3" width="3.1640625" style="250"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166</v>
      </c>
      <c r="E1" s="8" t="s">
        <v>308</v>
      </c>
      <c r="F1" s="8" t="s">
        <v>490</v>
      </c>
      <c r="G1" s="8" t="s">
        <v>182</v>
      </c>
      <c r="H1" s="8" t="s">
        <v>509</v>
      </c>
      <c r="I1" s="9" t="s">
        <v>183</v>
      </c>
      <c r="J1" s="8" t="s">
        <v>184</v>
      </c>
      <c r="K1" s="8" t="s">
        <v>185</v>
      </c>
      <c r="L1" s="8" t="s">
        <v>186</v>
      </c>
      <c r="M1" s="8" t="s">
        <v>489</v>
      </c>
      <c r="N1" s="8" t="s">
        <v>48</v>
      </c>
      <c r="O1" s="8" t="s">
        <v>180</v>
      </c>
      <c r="P1" s="8" t="s">
        <v>179</v>
      </c>
      <c r="Q1" s="8" t="s">
        <v>1192</v>
      </c>
      <c r="R1" s="8" t="s">
        <v>47</v>
      </c>
      <c r="S1" s="8"/>
    </row>
    <row r="2" spans="2:19" ht="17" thickBot="1" x14ac:dyDescent="0.25">
      <c r="B2" s="10" t="s">
        <v>174</v>
      </c>
      <c r="C2" s="253" t="s">
        <v>49</v>
      </c>
      <c r="D2" s="5"/>
      <c r="E2" s="5"/>
      <c r="F2" s="5"/>
      <c r="G2" s="5"/>
      <c r="H2" s="5"/>
      <c r="J2" s="5"/>
      <c r="K2" s="5"/>
      <c r="L2" s="5"/>
      <c r="Q2" t="str">
        <f>SUBSTITUTE(SUBSTITUTE($I2,CHAR(61),""),CHAR(34),"")</f>
        <v/>
      </c>
      <c r="R2" t="str">
        <f>IF($D2&lt;&gt;"","["&amp;$E2&amp;"]"&amp;"|"&amp;$Q2&amp;"|"&amp;$K2&amp;"|"&amp;$G2&amp;"|"&amp;IF($G2="TX_CURR_SUBNAT.R","CY2022Q4",$M2),"")</f>
        <v/>
      </c>
    </row>
    <row r="3" spans="2:19" x14ac:dyDescent="0.2">
      <c r="D3" s="5"/>
      <c r="E3" s="5"/>
      <c r="F3" s="5"/>
      <c r="G3" s="5"/>
      <c r="H3" s="5"/>
      <c r="J3" s="5"/>
      <c r="K3" s="5"/>
      <c r="L3" s="5"/>
    </row>
    <row r="4" spans="2:19" x14ac:dyDescent="0.2">
      <c r="B4" s="251" t="s">
        <v>50</v>
      </c>
      <c r="D4" s="5"/>
      <c r="E4" s="5"/>
      <c r="F4" s="5"/>
      <c r="G4" s="5"/>
      <c r="H4" s="5"/>
      <c r="J4" s="5"/>
      <c r="K4" s="5"/>
      <c r="L4" s="5"/>
    </row>
    <row r="5" spans="2:19" x14ac:dyDescent="0.2">
      <c r="D5" s="5"/>
      <c r="E5" s="5"/>
      <c r="F5" s="5"/>
      <c r="G5" s="5"/>
      <c r="H5" s="5"/>
      <c r="J5" s="5"/>
      <c r="K5" s="5"/>
      <c r="L5" s="5"/>
    </row>
    <row r="6" spans="2:19" x14ac:dyDescent="0.2">
      <c r="B6" s="437" t="s">
        <v>167</v>
      </c>
      <c r="D6" s="5"/>
      <c r="E6" s="5"/>
      <c r="F6" s="5"/>
      <c r="G6" s="5"/>
      <c r="H6" s="5"/>
      <c r="J6" s="5"/>
      <c r="K6" s="5"/>
      <c r="L6" s="5"/>
    </row>
    <row r="7" spans="2:19" x14ac:dyDescent="0.2">
      <c r="B7" s="437"/>
      <c r="D7" s="5"/>
      <c r="E7" s="5"/>
      <c r="F7" s="5"/>
      <c r="G7" s="5"/>
      <c r="H7" s="5"/>
      <c r="J7" s="5"/>
      <c r="K7" s="5"/>
      <c r="L7" s="5"/>
    </row>
    <row r="8" spans="2:19" x14ac:dyDescent="0.2">
      <c r="B8" s="252"/>
      <c r="D8" s="5"/>
      <c r="E8" s="5"/>
      <c r="F8" s="5"/>
      <c r="G8" s="5"/>
      <c r="H8" s="5"/>
      <c r="J8" s="5"/>
      <c r="K8" s="5"/>
      <c r="L8" s="5"/>
    </row>
    <row r="9" spans="2:19" ht="17" x14ac:dyDescent="0.2">
      <c r="B9" s="252" t="s">
        <v>168</v>
      </c>
      <c r="D9" s="5"/>
      <c r="E9" s="5"/>
      <c r="F9" s="5"/>
      <c r="G9" s="5"/>
      <c r="H9" s="5"/>
      <c r="J9" s="5"/>
      <c r="K9" s="5"/>
      <c r="L9" s="5"/>
    </row>
    <row r="10" spans="2:19" x14ac:dyDescent="0.2">
      <c r="B10" s="252"/>
      <c r="D10" s="5"/>
      <c r="E10" s="5"/>
      <c r="F10" s="5"/>
      <c r="G10" s="5"/>
      <c r="H10" s="5"/>
      <c r="J10" s="5"/>
      <c r="K10" s="5"/>
      <c r="L10" s="5"/>
    </row>
    <row r="11" spans="2:19" x14ac:dyDescent="0.2">
      <c r="B11" s="437" t="s">
        <v>169</v>
      </c>
      <c r="D11" s="5"/>
      <c r="E11" s="5"/>
      <c r="F11" s="5"/>
      <c r="G11" s="5"/>
      <c r="H11" s="5"/>
      <c r="J11" s="5"/>
      <c r="K11" s="5"/>
      <c r="L11" s="5"/>
    </row>
    <row r="12" spans="2:19" x14ac:dyDescent="0.2">
      <c r="B12" s="437"/>
      <c r="D12" s="5"/>
      <c r="E12" s="5"/>
      <c r="F12" s="5"/>
      <c r="G12" s="5"/>
      <c r="H12" s="5"/>
      <c r="J12" s="5"/>
      <c r="K12" s="5"/>
      <c r="L12" s="5"/>
    </row>
    <row r="13" spans="2:19" x14ac:dyDescent="0.2">
      <c r="B13" s="252"/>
      <c r="D13" s="5"/>
      <c r="E13" s="5"/>
      <c r="F13" s="5"/>
      <c r="G13" s="5"/>
      <c r="H13" s="5"/>
      <c r="J13" s="5"/>
      <c r="K13" s="5"/>
      <c r="L13" s="5"/>
    </row>
    <row r="14" spans="2:19" ht="17" x14ac:dyDescent="0.2">
      <c r="B14" s="252" t="s">
        <v>170</v>
      </c>
      <c r="D14" s="5"/>
      <c r="E14" s="5"/>
      <c r="F14" s="5"/>
      <c r="G14" s="5"/>
      <c r="H14" s="5"/>
      <c r="J14" s="5"/>
      <c r="K14" s="5"/>
      <c r="L14" s="5"/>
    </row>
    <row r="15" spans="2:19" x14ac:dyDescent="0.2">
      <c r="B15" s="252"/>
      <c r="D15" s="5"/>
      <c r="E15" s="5"/>
      <c r="F15" s="5"/>
      <c r="G15" s="5"/>
      <c r="H15" s="5"/>
      <c r="J15" s="5"/>
      <c r="K15" s="5"/>
      <c r="L15" s="5"/>
    </row>
    <row r="16" spans="2:19" x14ac:dyDescent="0.2">
      <c r="B16" s="437" t="s">
        <v>171</v>
      </c>
      <c r="D16" s="5"/>
      <c r="E16" s="5"/>
      <c r="F16" s="5"/>
      <c r="G16" s="5"/>
      <c r="H16" s="5"/>
      <c r="J16" s="5"/>
      <c r="K16" s="5"/>
      <c r="L16" s="5"/>
    </row>
    <row r="17" spans="2:12" x14ac:dyDescent="0.2">
      <c r="B17" s="437"/>
      <c r="D17" s="5"/>
      <c r="E17" s="5"/>
      <c r="F17" s="5"/>
      <c r="G17" s="5"/>
      <c r="H17" s="5"/>
      <c r="J17" s="5"/>
      <c r="K17" s="5"/>
      <c r="L17" s="5"/>
    </row>
    <row r="18" spans="2:12" x14ac:dyDescent="0.2">
      <c r="B18" s="252"/>
      <c r="D18" s="5"/>
      <c r="E18" s="5"/>
      <c r="F18" s="5"/>
      <c r="G18" s="5"/>
      <c r="H18" s="5"/>
      <c r="J18" s="5"/>
      <c r="K18" s="5"/>
      <c r="L18" s="5"/>
    </row>
    <row r="19" spans="2:12" x14ac:dyDescent="0.2">
      <c r="B19" s="437" t="s">
        <v>172</v>
      </c>
      <c r="D19" s="5"/>
      <c r="E19" s="5"/>
      <c r="F19" s="5"/>
      <c r="G19" s="5"/>
      <c r="H19" s="5"/>
      <c r="J19" s="5"/>
      <c r="K19" s="5"/>
      <c r="L19" s="5"/>
    </row>
    <row r="20" spans="2:12" x14ac:dyDescent="0.2">
      <c r="B20" s="437"/>
      <c r="D20" s="5"/>
      <c r="E20" s="5"/>
      <c r="F20" s="5"/>
      <c r="G20" s="5"/>
      <c r="H20" s="5"/>
      <c r="J20" s="5"/>
      <c r="K20" s="5"/>
      <c r="L20" s="5"/>
    </row>
    <row r="21" spans="2:12" x14ac:dyDescent="0.2">
      <c r="D21" s="5"/>
      <c r="E21" s="5"/>
      <c r="F21" s="5"/>
      <c r="G21" s="5"/>
      <c r="H21" s="5"/>
      <c r="J21" s="5"/>
      <c r="K21" s="5"/>
      <c r="L21" s="5"/>
    </row>
    <row r="22" spans="2:12" ht="16" customHeight="1" x14ac:dyDescent="0.2">
      <c r="B22" s="252" t="s">
        <v>513</v>
      </c>
      <c r="D22" s="5"/>
      <c r="E22" s="5"/>
      <c r="F22" s="5"/>
      <c r="G22" s="5"/>
      <c r="H22" s="5"/>
      <c r="J22" s="5"/>
      <c r="K22" s="5"/>
      <c r="L22" s="5"/>
    </row>
    <row r="23" spans="2:12" x14ac:dyDescent="0.2">
      <c r="B23" s="252"/>
      <c r="D23" s="5"/>
      <c r="E23" s="5"/>
      <c r="F23" s="5"/>
      <c r="G23" s="5"/>
      <c r="H23" s="5"/>
      <c r="J23" s="5"/>
      <c r="K23" s="5"/>
      <c r="L23" s="5"/>
    </row>
    <row r="24" spans="2:12" x14ac:dyDescent="0.2">
      <c r="B24" s="250" t="s">
        <v>173</v>
      </c>
      <c r="D24" s="5"/>
      <c r="E24" s="5"/>
      <c r="F24" s="5"/>
      <c r="G24" s="5"/>
      <c r="H24" s="5"/>
      <c r="J24" s="5"/>
      <c r="K24" s="5"/>
      <c r="L24" s="5"/>
    </row>
    <row r="25" spans="2:12" x14ac:dyDescent="0.2">
      <c r="D25" s="5"/>
      <c r="E25" s="5"/>
      <c r="F25" s="5"/>
      <c r="G25" s="5"/>
      <c r="H25" s="5"/>
      <c r="J25" s="5"/>
      <c r="K25" s="5"/>
      <c r="L25" s="5"/>
    </row>
    <row r="26" spans="2:12" x14ac:dyDescent="0.2">
      <c r="B26" s="437" t="s">
        <v>1193</v>
      </c>
      <c r="D26" s="5"/>
      <c r="E26" s="5"/>
      <c r="F26" s="5"/>
      <c r="G26" s="5"/>
      <c r="H26" s="5"/>
      <c r="J26" s="5"/>
      <c r="K26" s="5"/>
      <c r="L26" s="5"/>
    </row>
    <row r="27" spans="2:12" x14ac:dyDescent="0.2">
      <c r="B27" s="437"/>
      <c r="D27" s="5"/>
      <c r="E27" s="5"/>
      <c r="F27" s="5"/>
      <c r="G27" s="5"/>
      <c r="H27" s="5"/>
      <c r="J27" s="5"/>
      <c r="K27" s="5"/>
      <c r="L27" s="5"/>
    </row>
    <row r="28" spans="2:12" x14ac:dyDescent="0.2">
      <c r="D28" s="5"/>
      <c r="E28" s="5"/>
      <c r="F28" s="5"/>
      <c r="G28" s="5"/>
      <c r="H28" s="5"/>
      <c r="J28" s="5"/>
      <c r="K28" s="5"/>
      <c r="L28" s="5"/>
    </row>
    <row r="29" spans="2:12" x14ac:dyDescent="0.2">
      <c r="B29" s="252"/>
      <c r="D29" s="5"/>
      <c r="E29" s="5"/>
      <c r="F29" s="5"/>
      <c r="G29" s="5"/>
      <c r="H29" s="5"/>
      <c r="J29" s="5"/>
      <c r="K29" s="5"/>
      <c r="L29" s="5"/>
    </row>
    <row r="30" spans="2:12" x14ac:dyDescent="0.2">
      <c r="B30" s="252"/>
      <c r="D30" s="5"/>
      <c r="E30" s="5"/>
      <c r="F30" s="5"/>
      <c r="G30" s="5"/>
      <c r="H30" s="5"/>
      <c r="J30" s="5"/>
      <c r="K30" s="5"/>
      <c r="L30" s="5"/>
    </row>
    <row r="31" spans="2:12" x14ac:dyDescent="0.2">
      <c r="B31" s="252"/>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activeCell="B1" sqref="B1"/>
      <selection pane="bottomLeft" activeCell="A15" sqref="A15"/>
      <selection pane="bottomRight"/>
    </sheetView>
  </sheetViews>
  <sheetFormatPr baseColWidth="10" defaultRowHeight="16" x14ac:dyDescent="0.2"/>
  <cols>
    <col min="1" max="1" width="62.33203125" style="5" customWidth="1"/>
    <col min="2" max="2" width="13.1640625" style="169" customWidth="1"/>
    <col min="3" max="3" width="13.1640625" style="87" customWidth="1"/>
    <col min="4" max="4" width="28" customWidth="1"/>
  </cols>
  <sheetData>
    <row r="1" spans="1:4" s="22" customFormat="1" ht="31" customHeight="1" x14ac:dyDescent="0.3">
      <c r="A1" s="4" t="s">
        <v>44</v>
      </c>
      <c r="B1" s="203" t="s">
        <v>44</v>
      </c>
      <c r="C1" s="204"/>
      <c r="D1" s="205"/>
    </row>
    <row r="2" spans="1:4" s="85" customFormat="1" ht="19" x14ac:dyDescent="0.25">
      <c r="A2" s="14"/>
      <c r="B2" s="167"/>
      <c r="C2" s="268" t="s">
        <v>774</v>
      </c>
      <c r="D2" s="76"/>
    </row>
    <row r="3" spans="1:4" ht="117" customHeight="1" x14ac:dyDescent="0.2">
      <c r="A3" s="17"/>
      <c r="B3" s="150" t="s">
        <v>543</v>
      </c>
      <c r="C3" s="206" t="s">
        <v>765</v>
      </c>
      <c r="D3" s="77" t="s">
        <v>750</v>
      </c>
    </row>
    <row r="4" spans="1:4" x14ac:dyDescent="0.2">
      <c r="A4" s="15"/>
      <c r="B4" s="168"/>
      <c r="C4" s="88"/>
      <c r="D4" s="86" t="str">
        <f>IF(COUNTIF(C$15:INDEX($C:$C,COUNTA($A:$A)+14-COUNTA($A$1:$A$14)),"")&gt;0,"BLANK PRIORITIZATIONS","")</f>
        <v>BLANK PRIORITIZATIONS</v>
      </c>
    </row>
    <row r="5" spans="1:4" x14ac:dyDescent="0.2">
      <c r="A5" s="5" t="s">
        <v>59</v>
      </c>
      <c r="B5" s="168" t="s">
        <v>67</v>
      </c>
      <c r="C5" s="88" t="s">
        <v>67</v>
      </c>
      <c r="D5" t="s">
        <v>59</v>
      </c>
    </row>
    <row r="6" spans="1:4" x14ac:dyDescent="0.2">
      <c r="A6" s="5" t="s">
        <v>137</v>
      </c>
      <c r="B6" s="168" t="s">
        <v>71</v>
      </c>
      <c r="C6" s="88" t="s">
        <v>53</v>
      </c>
      <c r="D6" t="s">
        <v>54</v>
      </c>
    </row>
    <row r="7" spans="1:4" x14ac:dyDescent="0.2">
      <c r="A7" s="5" t="s">
        <v>69</v>
      </c>
      <c r="B7" s="168" t="s">
        <v>55</v>
      </c>
      <c r="C7" s="88" t="s">
        <v>55</v>
      </c>
      <c r="D7" t="s">
        <v>69</v>
      </c>
    </row>
    <row r="8" spans="1:4" x14ac:dyDescent="0.2">
      <c r="B8" s="288" t="s">
        <v>66</v>
      </c>
      <c r="C8" s="289" t="s">
        <v>66</v>
      </c>
    </row>
    <row r="9" spans="1:4" x14ac:dyDescent="0.2">
      <c r="B9" s="288"/>
      <c r="C9" s="289"/>
    </row>
    <row r="10" spans="1:4" x14ac:dyDescent="0.2">
      <c r="B10" s="288"/>
      <c r="C10" s="289"/>
    </row>
    <row r="11" spans="1:4" x14ac:dyDescent="0.2">
      <c r="B11" s="168"/>
      <c r="C11" s="88"/>
    </row>
    <row r="12" spans="1:4" x14ac:dyDescent="0.2">
      <c r="B12" s="168"/>
      <c r="C12" s="88"/>
    </row>
    <row r="13" spans="1:4" x14ac:dyDescent="0.2">
      <c r="B13" s="168"/>
      <c r="C13" s="88"/>
    </row>
    <row r="14" spans="1:4" x14ac:dyDescent="0.2">
      <c r="A14" s="207" t="s">
        <v>3</v>
      </c>
      <c r="B14" s="208" t="s">
        <v>364</v>
      </c>
      <c r="C14" s="209" t="s">
        <v>365</v>
      </c>
      <c r="D14" s="210" t="s">
        <v>485</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D4">
    <cfRule type="containsText" dxfId="169" priority="3" operator="containsText" text="BLANK PRIORITIZATIONS">
      <formula>NOT(ISERROR(SEARCH("BLANK PRIORITIZATIONS",D4)))</formula>
    </cfRule>
  </conditionalFormatting>
  <conditionalFormatting sqref="B1:C1048576">
    <cfRule type="expression" dxfId="168" priority="2">
      <formula>AND(ROW(B1)&gt;14,LEFT($A1,4)&lt;&gt;"_Mil",$A1&lt;&gt;"",B1&lt;&gt;1,B1&lt;&gt;2,B1&lt;&gt;4,B1&lt;&gt;5,B1&lt;&gt;6,B1&lt;&gt;7,B1&lt;&gt;8,B1&lt;&gt;"M",B1&lt;&gt;"NA")</formula>
    </cfRule>
  </conditionalFormatting>
  <conditionalFormatting sqref="C1:C1048576">
    <cfRule type="expression" dxfId="167" priority="729">
      <formula>AND(LEFT($A1,4)&lt;&gt;"_Mil",ROW($C1)&gt;14,$C1&lt;&gt;$B1,$A1&lt;&gt;"")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H3876"/>
  <sheetViews>
    <sheetView tabSelected="1" zoomScale="130" zoomScaleNormal="130" workbookViewId="0">
      <pane xSplit="5" ySplit="14" topLeftCell="AC15" activePane="bottomRight" state="frozen"/>
      <selection pane="topRight" activeCell="F1" sqref="F1"/>
      <selection pane="bottomLeft" activeCell="A15" sqref="A15"/>
      <selection pane="bottomRight" activeCell="AI10" sqref="AI10"/>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29" width="13.1640625" style="407" customWidth="1"/>
    <col min="30" max="30" width="13.1640625" style="19" customWidth="1"/>
    <col min="31" max="31" width="13.1640625" style="141" customWidth="1"/>
    <col min="32" max="32" width="13.1640625" style="36" customWidth="1"/>
    <col min="33" max="33" width="13.1640625" style="141" customWidth="1"/>
    <col min="34" max="34" width="13.1640625" style="82" customWidth="1"/>
    <col min="35" max="37" width="13.1640625" style="36" customWidth="1"/>
    <col min="38" max="38" width="13.1640625" style="81" customWidth="1"/>
    <col min="39" max="41" width="13.1640625" style="36" customWidth="1"/>
    <col min="42" max="42" width="13.1640625" style="60" customWidth="1"/>
    <col min="43" max="43" width="13.1640625" style="33" customWidth="1"/>
    <col min="44" max="44" width="13.1640625" style="124" customWidth="1"/>
    <col min="45" max="45" width="13.1640625" style="81" customWidth="1"/>
    <col min="46" max="46" width="13.1640625" style="124" customWidth="1"/>
    <col min="47" max="48" width="13.1640625" style="36" customWidth="1"/>
    <col min="49" max="49" width="13.1640625" style="19" customWidth="1"/>
    <col min="50" max="50" width="13.1640625" style="47" customWidth="1"/>
    <col min="51" max="51" width="13.1640625" style="149" customWidth="1"/>
    <col min="52" max="52" width="13.1640625" style="324" customWidth="1"/>
    <col min="53" max="53" width="13.1640625" style="19" customWidth="1"/>
    <col min="54" max="54" width="13.1640625" style="33" customWidth="1"/>
    <col min="55" max="55" width="13.1640625" style="429" customWidth="1"/>
    <col min="56" max="56" width="13.1640625" style="81" customWidth="1"/>
    <col min="57" max="57" width="13.1640625" style="36" customWidth="1"/>
    <col min="58" max="58" width="13.1640625" style="33" customWidth="1"/>
    <col min="59" max="59" width="13.1640625" style="149" customWidth="1"/>
    <col min="60" max="60" width="13.1640625" style="33" customWidth="1"/>
  </cols>
  <sheetData>
    <row r="1" spans="1:60" ht="31" customHeight="1" thickBot="1" x14ac:dyDescent="0.25">
      <c r="A1" s="300" t="s">
        <v>187</v>
      </c>
      <c r="B1" s="4"/>
      <c r="C1" s="4"/>
      <c r="D1" s="4"/>
      <c r="E1" s="300"/>
      <c r="F1" s="212" t="s">
        <v>584</v>
      </c>
      <c r="G1" s="212" t="s">
        <v>588</v>
      </c>
      <c r="H1" s="180"/>
      <c r="I1" s="181"/>
      <c r="J1" s="182"/>
      <c r="K1" s="181"/>
      <c r="L1" s="212" t="s">
        <v>587</v>
      </c>
      <c r="M1" s="180"/>
      <c r="N1" s="180"/>
      <c r="O1" s="179"/>
      <c r="P1" s="183"/>
      <c r="Q1" s="181"/>
      <c r="R1" s="181"/>
      <c r="S1" s="212" t="s">
        <v>1138</v>
      </c>
      <c r="T1" s="179"/>
      <c r="U1" s="181"/>
      <c r="V1" s="181"/>
      <c r="W1" s="230"/>
      <c r="X1" s="181"/>
      <c r="Y1" s="185"/>
      <c r="Z1" s="181"/>
      <c r="AA1" s="332"/>
      <c r="AB1" s="185"/>
      <c r="AC1" s="400"/>
      <c r="AD1" s="229"/>
      <c r="AE1" s="332"/>
      <c r="AF1" s="187"/>
      <c r="AG1" s="332"/>
      <c r="AH1" s="230"/>
      <c r="AI1" s="187"/>
      <c r="AJ1" s="182"/>
      <c r="AK1" s="182"/>
      <c r="AL1" s="214" t="s">
        <v>632</v>
      </c>
      <c r="AM1" s="182"/>
      <c r="AN1" s="182"/>
      <c r="AO1" s="182"/>
      <c r="AP1" s="212" t="s">
        <v>629</v>
      </c>
      <c r="AQ1" s="179"/>
      <c r="AR1" s="332"/>
      <c r="AS1" s="214" t="s">
        <v>630</v>
      </c>
      <c r="AT1" s="332"/>
      <c r="AU1" s="182"/>
      <c r="AV1" s="182"/>
      <c r="AW1" s="186"/>
      <c r="AX1" s="187"/>
      <c r="AY1" s="310" t="s">
        <v>628</v>
      </c>
      <c r="AZ1" s="320"/>
      <c r="BA1" s="188"/>
      <c r="BB1" s="181"/>
      <c r="BC1" s="350"/>
      <c r="BD1" s="214" t="s">
        <v>627</v>
      </c>
      <c r="BE1" s="181"/>
      <c r="BF1" s="181"/>
      <c r="BG1" s="214" t="s">
        <v>582</v>
      </c>
      <c r="BH1" s="181"/>
    </row>
    <row r="2" spans="1:60" ht="19" x14ac:dyDescent="0.25">
      <c r="A2" s="438" t="s">
        <v>1186</v>
      </c>
      <c r="B2" s="439"/>
      <c r="C2" s="2"/>
      <c r="D2" s="2"/>
      <c r="E2" s="13"/>
      <c r="F2" s="52"/>
      <c r="G2" s="52"/>
      <c r="H2" s="43"/>
      <c r="I2" s="43"/>
      <c r="J2" s="55"/>
      <c r="K2" s="43"/>
      <c r="L2" s="52"/>
      <c r="M2" s="43"/>
      <c r="N2" s="43"/>
      <c r="O2" s="55"/>
      <c r="P2" s="46"/>
      <c r="Q2" s="43"/>
      <c r="R2" s="43"/>
      <c r="S2" s="52" t="s">
        <v>631</v>
      </c>
      <c r="T2" s="55" t="s">
        <v>771</v>
      </c>
      <c r="U2" s="46"/>
      <c r="V2" s="46"/>
      <c r="W2" s="89"/>
      <c r="X2" s="46"/>
      <c r="Y2" s="3"/>
      <c r="Z2" s="46"/>
      <c r="AA2" s="121"/>
      <c r="AB2" s="3"/>
      <c r="AC2" s="401"/>
      <c r="AD2" s="3"/>
      <c r="AE2" s="121"/>
      <c r="AF2" s="46"/>
      <c r="AG2" s="121"/>
      <c r="AH2" s="89" t="s">
        <v>770</v>
      </c>
      <c r="AI2" s="46"/>
      <c r="AJ2" s="55"/>
      <c r="AK2" s="55"/>
      <c r="AL2" s="120" t="s">
        <v>633</v>
      </c>
      <c r="AM2" s="55"/>
      <c r="AN2" s="55"/>
      <c r="AO2" s="55"/>
      <c r="AP2" s="308" t="s">
        <v>774</v>
      </c>
      <c r="AQ2" s="255" t="s">
        <v>774</v>
      </c>
      <c r="AR2" s="121"/>
      <c r="AS2" s="120"/>
      <c r="AT2" s="121"/>
      <c r="AU2" s="55"/>
      <c r="AV2" s="55"/>
      <c r="AW2" s="340"/>
      <c r="AX2" s="256" t="s">
        <v>774</v>
      </c>
      <c r="AY2" s="311"/>
      <c r="AZ2" s="321"/>
      <c r="BA2" s="249"/>
      <c r="BB2" s="254" t="s">
        <v>774</v>
      </c>
      <c r="BC2" s="426"/>
      <c r="BD2" s="342"/>
      <c r="BE2" s="254" t="s">
        <v>774</v>
      </c>
      <c r="BF2" s="254" t="s">
        <v>774</v>
      </c>
      <c r="BG2" s="316"/>
      <c r="BH2" s="254" t="s">
        <v>774</v>
      </c>
    </row>
    <row r="3" spans="1:60" ht="134" customHeight="1" thickBot="1" x14ac:dyDescent="0.25">
      <c r="A3" s="440"/>
      <c r="B3" s="441"/>
      <c r="C3" s="17"/>
      <c r="D3" s="17"/>
      <c r="E3" s="297"/>
      <c r="F3" s="305" t="s">
        <v>773</v>
      </c>
      <c r="G3" s="105" t="s">
        <v>574</v>
      </c>
      <c r="H3" s="145" t="s">
        <v>1</v>
      </c>
      <c r="I3" s="145" t="s">
        <v>0</v>
      </c>
      <c r="J3" s="140" t="s">
        <v>36</v>
      </c>
      <c r="K3" s="145" t="s">
        <v>35</v>
      </c>
      <c r="L3" s="105" t="s">
        <v>574</v>
      </c>
      <c r="M3" s="145" t="s">
        <v>1</v>
      </c>
      <c r="N3" s="145" t="s">
        <v>0</v>
      </c>
      <c r="O3" s="319" t="s">
        <v>766</v>
      </c>
      <c r="P3" s="74" t="s">
        <v>36</v>
      </c>
      <c r="Q3" s="145" t="s">
        <v>35</v>
      </c>
      <c r="R3" s="145" t="s">
        <v>607</v>
      </c>
      <c r="S3" s="306" t="s">
        <v>767</v>
      </c>
      <c r="T3" s="200" t="s">
        <v>608</v>
      </c>
      <c r="U3" s="201" t="s">
        <v>1187</v>
      </c>
      <c r="V3" s="201" t="s">
        <v>1188</v>
      </c>
      <c r="W3" s="327" t="s">
        <v>609</v>
      </c>
      <c r="X3" s="201" t="s">
        <v>612</v>
      </c>
      <c r="Y3" s="202" t="s">
        <v>613</v>
      </c>
      <c r="Z3" s="201" t="s">
        <v>768</v>
      </c>
      <c r="AA3" s="333" t="s">
        <v>614</v>
      </c>
      <c r="AB3" s="202" t="s">
        <v>615</v>
      </c>
      <c r="AC3" s="402" t="s">
        <v>1190</v>
      </c>
      <c r="AD3" s="202" t="s">
        <v>616</v>
      </c>
      <c r="AE3" s="333" t="s">
        <v>618</v>
      </c>
      <c r="AF3" s="201" t="s">
        <v>617</v>
      </c>
      <c r="AG3" s="333" t="s">
        <v>769</v>
      </c>
      <c r="AH3" s="327" t="s">
        <v>610</v>
      </c>
      <c r="AI3" s="201" t="s">
        <v>611</v>
      </c>
      <c r="AJ3" s="244" t="s">
        <v>619</v>
      </c>
      <c r="AK3" s="244" t="s">
        <v>1236</v>
      </c>
      <c r="AL3" s="247" t="s">
        <v>1139</v>
      </c>
      <c r="AM3" s="75" t="s">
        <v>1140</v>
      </c>
      <c r="AN3" s="68" t="s">
        <v>788</v>
      </c>
      <c r="AO3" s="200" t="s">
        <v>772</v>
      </c>
      <c r="AP3" s="309" t="s">
        <v>584</v>
      </c>
      <c r="AQ3" s="257" t="s">
        <v>1141</v>
      </c>
      <c r="AR3" s="339" t="s">
        <v>1142</v>
      </c>
      <c r="AS3" s="247" t="s">
        <v>623</v>
      </c>
      <c r="AT3" s="333" t="s">
        <v>622</v>
      </c>
      <c r="AU3" s="75" t="s">
        <v>583</v>
      </c>
      <c r="AV3" s="75" t="s">
        <v>621</v>
      </c>
      <c r="AW3" s="333" t="s">
        <v>620</v>
      </c>
      <c r="AX3" s="30" t="s">
        <v>585</v>
      </c>
      <c r="AY3" s="312" t="s">
        <v>624</v>
      </c>
      <c r="AZ3" s="322" t="s">
        <v>625</v>
      </c>
      <c r="BA3" s="178" t="s">
        <v>626</v>
      </c>
      <c r="BB3" s="30" t="s">
        <v>586</v>
      </c>
      <c r="BC3" s="427" t="s">
        <v>1143</v>
      </c>
      <c r="BD3" s="247" t="s">
        <v>589</v>
      </c>
      <c r="BE3" s="30" t="s">
        <v>775</v>
      </c>
      <c r="BF3" s="257" t="s">
        <v>1144</v>
      </c>
      <c r="BG3" s="312" t="s">
        <v>655</v>
      </c>
      <c r="BH3" s="30" t="s">
        <v>970</v>
      </c>
    </row>
    <row r="4" spans="1:60" x14ac:dyDescent="0.2">
      <c r="A4" s="298"/>
      <c r="B4" s="15"/>
      <c r="C4" s="15"/>
      <c r="D4" s="15" t="s">
        <v>2</v>
      </c>
      <c r="E4" s="298"/>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8" t="str">
        <f>IF(SUM($T4)=0,"",SUM($U4)/$T4)</f>
        <v/>
      </c>
      <c r="X4" s="44">
        <f>SUBTOTAL(109,X$15:INDEX(X:X,COUNTA($B:$B)+14-COUNTA($B$1:$B$14)))</f>
        <v>0</v>
      </c>
      <c r="Y4" s="151" t="str">
        <f>IF(SUM($U4)=0,"",SUM($X4)/$U4)</f>
        <v/>
      </c>
      <c r="Z4" s="44">
        <f>SUBTOTAL(109,Z$15:INDEX(Z:Z,COUNTA($B:$B)+14-COUNTA($B$1:$B$14)))</f>
        <v>0</v>
      </c>
      <c r="AA4" s="334" t="str">
        <f>IF(SUM($U4)=0,"",SUM($Z4)/$U4)</f>
        <v/>
      </c>
      <c r="AB4" s="151" t="str">
        <f>IF(SUM($X4)=0,"",SUM($Z4)/$X4)</f>
        <v/>
      </c>
      <c r="AC4" s="403">
        <f>SUBTOTAL(109,AC$15:INDEX(AC:AC,COUNTA($B:$B)+14-COUNTA($B$1:$B$14)))</f>
        <v>0</v>
      </c>
      <c r="AD4" s="151">
        <f>SUBTOTAL(109,AD$15:INDEX(AD:AD,COUNTA($B:$B)+14-COUNTA($B$1:$B$14)))</f>
        <v>0</v>
      </c>
      <c r="AE4" s="334" t="str">
        <f>IF(SUM($Z4)=0,"",SUM($AD4)/$Z4)</f>
        <v/>
      </c>
      <c r="AF4" s="44">
        <f>SUBTOTAL(109,AF$15:INDEX(AF:AF,COUNTA($B:$B)+14-COUNTA($B$1:$B$14)))</f>
        <v>0</v>
      </c>
      <c r="AG4" s="334" t="str">
        <f>IF(SUM($AD4)=0,"",SUM($AF4)/$AD4)</f>
        <v/>
      </c>
      <c r="AH4" s="328" t="str">
        <f>IF(SUM($T4)=0,"",SUM($AI4)/$T4)</f>
        <v/>
      </c>
      <c r="AI4" s="103">
        <f>SUBTOTAL(109,AI$15:INDEX(AI:AI,COUNTA($B:$B)+14-COUNTA($B$1:$B$14)))</f>
        <v>0</v>
      </c>
      <c r="AJ4" s="79">
        <f>SUBTOTAL(109,AJ$15:INDEX(AJ:AJ,COUNTA($B:$B)+14-COUNTA($B$1:$B$14)))</f>
        <v>0</v>
      </c>
      <c r="AK4" s="79">
        <v>0</v>
      </c>
      <c r="AL4" s="337" t="str">
        <f>IF(SUM($AJ4)=0,"",SUM($AM4)/$AJ4)</f>
        <v/>
      </c>
      <c r="AM4" s="79">
        <f>SUBTOTAL(109,AM$15:INDEX(AM:AM,COUNTA($B:$B)+14-COUNTA($B$1:$B$14)))</f>
        <v>0</v>
      </c>
      <c r="AN4" s="79">
        <f>SUBTOTAL(109,AN$15:INDEX(AN:AN,COUNTA($B:$B)+14-COUNTA($B$1:$B$14)))</f>
        <v>0</v>
      </c>
      <c r="AO4" s="79">
        <f>SUBTOTAL(109,AO$15:INDEX(AO:AO,COUNTA($B:$B)+14-COUNTA($B$1:$B$14)))</f>
        <v>0</v>
      </c>
      <c r="AP4" s="60">
        <f>SUBTOTAL(109,AP$15:INDEX(AP:AP,COUNTA($B:$B)+14-COUNTA($B$1:$B$14)))</f>
        <v>0</v>
      </c>
      <c r="AQ4" s="33">
        <f>SUBTOTAL(109,AQ$15:INDEX(AQ:AQ,COUNTA($B:$B)+14-COUNTA($B$1:$B$14)))</f>
        <v>0</v>
      </c>
      <c r="AR4" s="334" t="str">
        <f>IF(SUM($AJ4)=0,"",SUM($AQ4)/$AJ4)</f>
        <v/>
      </c>
      <c r="AS4" s="337"/>
      <c r="AT4" s="334"/>
      <c r="AU4" s="49">
        <f>SUBTOTAL(109,AU$15:INDEX(AU:AU,COUNTA($B:$B)+14-COUNTA($B$1:$B$14)))</f>
        <v>0</v>
      </c>
      <c r="AV4" s="49">
        <f>SUBTOTAL(109,AV$15:INDEX(AV:AV,COUNTA($B:$B)+14-COUNTA($B$1:$B$14)))</f>
        <v>0</v>
      </c>
      <c r="AW4" s="334" t="str">
        <f>IF(SUM($AV4)=0,"",SUM($AX4)/$AV4)</f>
        <v/>
      </c>
      <c r="AX4" s="41">
        <f>SUBTOTAL(109,AX$15:INDEX(AX:AX,COUNTA($B:$B)+14-COUNTA($B$1:$B$14)))</f>
        <v>0</v>
      </c>
      <c r="AY4" s="313" t="str">
        <f>IF(SUM($AV4)=0,"",(SUM($AZ4)-SUM($O4))/$AV4)</f>
        <v/>
      </c>
      <c r="AZ4" s="323">
        <f>SUBTOTAL(109,AZ$15:INDEX(AZ:AZ,COUNTA($B:$B)+14-COUNTA($B$1:$B$14)))</f>
        <v>0</v>
      </c>
      <c r="BA4" s="177" t="str">
        <f>IF(SUM($AZ4)=0,"",SUM($BB4)/$AZ4)</f>
        <v/>
      </c>
      <c r="BB4" s="173">
        <f>SUBTOTAL(109,BB$15:INDEX(BB:BB,COUNTA($B:$B)+14-COUNTA($B$1:$B$14)))</f>
        <v>0</v>
      </c>
      <c r="BC4" s="428">
        <f>SUBTOTAL(109,BC$15:INDEX(BC:BC,COUNTA($B:$B)+14-COUNTA($B$1:$B$14)))</f>
        <v>0</v>
      </c>
      <c r="BD4" s="80" t="str">
        <f>IF(SUM($BB4)=0,"",SUM($BE4)/$BB4)</f>
        <v/>
      </c>
      <c r="BE4" s="173">
        <f>SUBTOTAL(109,BE$15:INDEX(BE:BE,COUNTA($B:$B)+14-COUNTA($B$1:$B$14)))</f>
        <v>0</v>
      </c>
      <c r="BF4" s="173">
        <f>SUBTOTAL(109,BF$15:INDEX(BF:BF,COUNTA($B:$B)+14-COUNTA($B$1:$B$14)))</f>
        <v>0</v>
      </c>
      <c r="BG4" s="317" t="str">
        <f>IF(SUM($BH4)=0,"",SUM($AX4)/$BH4)</f>
        <v/>
      </c>
      <c r="BH4" s="173">
        <f>SUBTOTAL(109,BH$15:INDEX(BH:BH,COUNTA($B:$B)+14-COUNTA($B$1:$B$14)))</f>
        <v>0</v>
      </c>
    </row>
    <row r="5" spans="1:60"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4" t="s">
        <v>59</v>
      </c>
      <c r="AD5" s="19" t="s">
        <v>59</v>
      </c>
      <c r="AE5" s="141" t="s">
        <v>59</v>
      </c>
      <c r="AF5" s="36" t="s">
        <v>68</v>
      </c>
      <c r="AG5" s="141" t="s">
        <v>59</v>
      </c>
      <c r="AH5" s="93" t="s">
        <v>59</v>
      </c>
      <c r="AI5" s="37" t="s">
        <v>59</v>
      </c>
      <c r="AJ5" s="36" t="s">
        <v>67</v>
      </c>
      <c r="AK5" s="36" t="s">
        <v>59</v>
      </c>
      <c r="AL5" s="81" t="s">
        <v>59</v>
      </c>
      <c r="AM5" s="36" t="s">
        <v>59</v>
      </c>
      <c r="AN5" s="36" t="s">
        <v>59</v>
      </c>
      <c r="AO5" s="36" t="s">
        <v>59</v>
      </c>
      <c r="AP5" s="60" t="s">
        <v>70</v>
      </c>
      <c r="AQ5" s="33" t="s">
        <v>68</v>
      </c>
      <c r="AR5" s="124" t="s">
        <v>59</v>
      </c>
      <c r="AS5" s="81" t="s">
        <v>59</v>
      </c>
      <c r="AT5" s="124" t="s">
        <v>59</v>
      </c>
      <c r="AU5" s="36" t="s">
        <v>59</v>
      </c>
      <c r="AV5" s="36" t="s">
        <v>59</v>
      </c>
      <c r="AW5" s="141" t="s">
        <v>59</v>
      </c>
      <c r="AX5" s="102" t="s">
        <v>70</v>
      </c>
      <c r="AY5" s="149" t="s">
        <v>59</v>
      </c>
      <c r="AZ5" s="324" t="s">
        <v>59</v>
      </c>
      <c r="BA5" s="19" t="s">
        <v>59</v>
      </c>
      <c r="BB5" s="33" t="s">
        <v>70</v>
      </c>
      <c r="BC5" s="429" t="s">
        <v>59</v>
      </c>
      <c r="BD5" s="81" t="s">
        <v>59</v>
      </c>
      <c r="BE5" s="33" t="s">
        <v>70</v>
      </c>
      <c r="BF5" s="33" t="s">
        <v>68</v>
      </c>
      <c r="BG5" s="149" t="s">
        <v>59</v>
      </c>
      <c r="BH5" s="33" t="s">
        <v>59</v>
      </c>
    </row>
    <row r="6" spans="1:60" x14ac:dyDescent="0.2">
      <c r="A6" t="s">
        <v>137</v>
      </c>
      <c r="B6" s="5" t="s">
        <v>137</v>
      </c>
      <c r="C6" s="5" t="s">
        <v>137</v>
      </c>
      <c r="D6" s="5" t="s">
        <v>137</v>
      </c>
      <c r="E6" t="s">
        <v>137</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520</v>
      </c>
      <c r="T6" s="36" t="s">
        <v>53</v>
      </c>
      <c r="U6" s="36" t="s">
        <v>53</v>
      </c>
      <c r="V6" s="36" t="s">
        <v>73</v>
      </c>
      <c r="W6" s="82" t="s">
        <v>53</v>
      </c>
      <c r="X6" s="36" t="s">
        <v>53</v>
      </c>
      <c r="Y6" s="98" t="s">
        <v>54</v>
      </c>
      <c r="Z6" s="36" t="s">
        <v>53</v>
      </c>
      <c r="AA6" s="124" t="s">
        <v>54</v>
      </c>
      <c r="AB6" s="98" t="s">
        <v>54</v>
      </c>
      <c r="AC6" s="404" t="s">
        <v>73</v>
      </c>
      <c r="AD6" s="19" t="s">
        <v>54</v>
      </c>
      <c r="AE6" s="141" t="s">
        <v>54</v>
      </c>
      <c r="AF6" s="36" t="s">
        <v>53</v>
      </c>
      <c r="AG6" s="141" t="s">
        <v>54</v>
      </c>
      <c r="AH6" s="93" t="s">
        <v>54</v>
      </c>
      <c r="AI6" s="37" t="s">
        <v>54</v>
      </c>
      <c r="AJ6" s="36" t="s">
        <v>53</v>
      </c>
      <c r="AK6" s="36" t="s">
        <v>73</v>
      </c>
      <c r="AL6" s="81" t="s">
        <v>73</v>
      </c>
      <c r="AM6" s="36" t="s">
        <v>54</v>
      </c>
      <c r="AN6" s="36" t="s">
        <v>54</v>
      </c>
      <c r="AO6" s="36" t="s">
        <v>73</v>
      </c>
      <c r="AP6" s="60" t="s">
        <v>53</v>
      </c>
      <c r="AQ6" s="33" t="s">
        <v>53</v>
      </c>
      <c r="AR6" s="124" t="s">
        <v>54</v>
      </c>
      <c r="AS6" s="81" t="s">
        <v>73</v>
      </c>
      <c r="AT6" s="124" t="s">
        <v>73</v>
      </c>
      <c r="AU6" s="36" t="s">
        <v>54</v>
      </c>
      <c r="AV6" s="36" t="s">
        <v>54</v>
      </c>
      <c r="AW6" s="141" t="s">
        <v>73</v>
      </c>
      <c r="AX6" s="102" t="s">
        <v>53</v>
      </c>
      <c r="AY6" s="149" t="s">
        <v>73</v>
      </c>
      <c r="AZ6" s="324" t="s">
        <v>54</v>
      </c>
      <c r="BA6" s="19" t="s">
        <v>73</v>
      </c>
      <c r="BB6" s="33" t="s">
        <v>53</v>
      </c>
      <c r="BC6" s="429" t="s">
        <v>73</v>
      </c>
      <c r="BD6" s="81" t="s">
        <v>73</v>
      </c>
      <c r="BE6" s="33" t="s">
        <v>53</v>
      </c>
      <c r="BF6" s="33" t="s">
        <v>53</v>
      </c>
      <c r="BG6" s="149" t="s">
        <v>73</v>
      </c>
      <c r="BH6" s="33" t="s">
        <v>54</v>
      </c>
    </row>
    <row r="7" spans="1:60"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4" t="s">
        <v>55</v>
      </c>
      <c r="AD7" s="19" t="s">
        <v>55</v>
      </c>
      <c r="AE7" s="141" t="s">
        <v>56</v>
      </c>
      <c r="AF7" s="36" t="s">
        <v>55</v>
      </c>
      <c r="AG7" s="141" t="s">
        <v>56</v>
      </c>
      <c r="AH7" s="93" t="s">
        <v>56</v>
      </c>
      <c r="AI7" s="37" t="s">
        <v>55</v>
      </c>
      <c r="AJ7" s="36" t="s">
        <v>55</v>
      </c>
      <c r="AK7" s="36" t="s">
        <v>55</v>
      </c>
      <c r="AL7" s="81" t="s">
        <v>56</v>
      </c>
      <c r="AM7" s="36" t="s">
        <v>55</v>
      </c>
      <c r="AN7" s="36" t="s">
        <v>55</v>
      </c>
      <c r="AO7" s="36" t="s">
        <v>55</v>
      </c>
      <c r="AP7" s="60" t="s">
        <v>55</v>
      </c>
      <c r="AQ7" s="33" t="s">
        <v>55</v>
      </c>
      <c r="AR7" s="124" t="s">
        <v>56</v>
      </c>
      <c r="AS7" s="81" t="s">
        <v>56</v>
      </c>
      <c r="AT7" s="124" t="s">
        <v>56</v>
      </c>
      <c r="AU7" s="36" t="s">
        <v>55</v>
      </c>
      <c r="AV7" s="36" t="s">
        <v>55</v>
      </c>
      <c r="AW7" s="141" t="s">
        <v>56</v>
      </c>
      <c r="AX7" s="102" t="s">
        <v>55</v>
      </c>
      <c r="AY7" s="149" t="s">
        <v>56</v>
      </c>
      <c r="AZ7" s="324" t="s">
        <v>55</v>
      </c>
      <c r="BA7" s="19" t="s">
        <v>56</v>
      </c>
      <c r="BB7" s="33" t="s">
        <v>55</v>
      </c>
      <c r="BC7" s="429" t="s">
        <v>55</v>
      </c>
      <c r="BD7" s="81" t="s">
        <v>56</v>
      </c>
      <c r="BE7" s="33" t="s">
        <v>55</v>
      </c>
      <c r="BF7" s="33" t="s">
        <v>55</v>
      </c>
      <c r="BG7" s="149" t="s">
        <v>56</v>
      </c>
      <c r="BH7" s="33" t="s">
        <v>55</v>
      </c>
    </row>
    <row r="8" spans="1:60" x14ac:dyDescent="0.2">
      <c r="B8" s="5"/>
      <c r="D8" s="36"/>
      <c r="G8" s="279"/>
      <c r="H8" s="292" t="s">
        <v>547</v>
      </c>
      <c r="I8" s="292" t="s">
        <v>515</v>
      </c>
      <c r="J8" s="277" t="s">
        <v>893</v>
      </c>
      <c r="K8" s="277" t="s">
        <v>529</v>
      </c>
      <c r="L8" s="279"/>
      <c r="M8" s="292" t="s">
        <v>98</v>
      </c>
      <c r="N8" s="292" t="s">
        <v>96</v>
      </c>
      <c r="P8" s="277" t="s">
        <v>100</v>
      </c>
      <c r="Q8" s="277" t="s">
        <v>527</v>
      </c>
      <c r="S8" s="279" t="s">
        <v>388</v>
      </c>
      <c r="T8" s="277" t="s">
        <v>57</v>
      </c>
      <c r="U8" s="277" t="s">
        <v>177</v>
      </c>
      <c r="V8" s="277"/>
      <c r="W8" s="329" t="s">
        <v>58</v>
      </c>
      <c r="X8" s="277" t="s">
        <v>60</v>
      </c>
      <c r="Y8" s="166"/>
      <c r="Z8" s="277" t="s">
        <v>181</v>
      </c>
      <c r="AB8" s="166"/>
      <c r="AC8" s="405"/>
      <c r="AF8" s="277" t="s">
        <v>61</v>
      </c>
      <c r="AH8" s="330"/>
      <c r="AI8" s="277" t="s">
        <v>1244</v>
      </c>
      <c r="AJ8" s="277" t="s">
        <v>177</v>
      </c>
      <c r="AK8" s="277"/>
      <c r="AP8" s="290" t="s">
        <v>96</v>
      </c>
      <c r="AQ8" s="273" t="s">
        <v>181</v>
      </c>
      <c r="AW8" s="141"/>
      <c r="AX8" s="276" t="s">
        <v>98</v>
      </c>
      <c r="BB8" s="273" t="s">
        <v>100</v>
      </c>
      <c r="BE8" s="273" t="s">
        <v>527</v>
      </c>
      <c r="BF8" s="273" t="s">
        <v>61</v>
      </c>
    </row>
    <row r="9" spans="1:60" x14ac:dyDescent="0.2">
      <c r="B9" s="5"/>
      <c r="D9" s="36"/>
      <c r="G9" s="279"/>
      <c r="H9" s="292" t="s">
        <v>548</v>
      </c>
      <c r="I9" s="292" t="s">
        <v>165</v>
      </c>
      <c r="J9" s="277" t="s">
        <v>892</v>
      </c>
      <c r="K9" s="277" t="s">
        <v>530</v>
      </c>
      <c r="L9" s="279"/>
      <c r="M9" s="292" t="s">
        <v>99</v>
      </c>
      <c r="N9" s="292" t="s">
        <v>97</v>
      </c>
      <c r="P9" s="277" t="s">
        <v>101</v>
      </c>
      <c r="Q9" s="277" t="s">
        <v>528</v>
      </c>
      <c r="S9" s="279"/>
      <c r="T9" s="277"/>
      <c r="U9" s="277"/>
      <c r="V9" s="277"/>
      <c r="W9" s="329"/>
      <c r="X9" s="277"/>
      <c r="Y9" s="166"/>
      <c r="Z9" s="277"/>
      <c r="AB9" s="166"/>
      <c r="AC9" s="405"/>
      <c r="AF9" s="277"/>
      <c r="AH9" s="330"/>
      <c r="AI9" s="104"/>
      <c r="AJ9" s="277"/>
      <c r="AK9" s="277"/>
      <c r="AP9" s="290" t="s">
        <v>97</v>
      </c>
      <c r="AQ9" s="273"/>
      <c r="AW9" s="141"/>
      <c r="AX9" s="276" t="s">
        <v>99</v>
      </c>
      <c r="BB9" s="273" t="s">
        <v>101</v>
      </c>
      <c r="BE9" s="273" t="s">
        <v>528</v>
      </c>
      <c r="BF9" s="273"/>
    </row>
    <row r="10" spans="1:60" x14ac:dyDescent="0.2">
      <c r="B10" s="5"/>
      <c r="D10" s="36"/>
      <c r="G10" s="279"/>
      <c r="H10" s="292" t="s">
        <v>65</v>
      </c>
      <c r="I10" s="292" t="s">
        <v>65</v>
      </c>
      <c r="J10" s="277" t="s">
        <v>102</v>
      </c>
      <c r="K10" s="277" t="s">
        <v>102</v>
      </c>
      <c r="L10" s="279"/>
      <c r="M10" s="292" t="s">
        <v>65</v>
      </c>
      <c r="N10" s="292" t="s">
        <v>65</v>
      </c>
      <c r="P10" s="292" t="s">
        <v>102</v>
      </c>
      <c r="Q10" s="292" t="s">
        <v>102</v>
      </c>
      <c r="R10" s="156"/>
      <c r="S10" s="279" t="s">
        <v>65</v>
      </c>
      <c r="T10" s="277"/>
      <c r="U10" s="277" t="s">
        <v>65</v>
      </c>
      <c r="V10" s="277"/>
      <c r="W10" s="329"/>
      <c r="X10" s="277" t="s">
        <v>65</v>
      </c>
      <c r="Y10" s="166"/>
      <c r="Z10" s="277" t="s">
        <v>65</v>
      </c>
      <c r="AB10" s="166"/>
      <c r="AC10" s="405"/>
      <c r="AF10" s="277" t="s">
        <v>65</v>
      </c>
      <c r="AH10" s="330"/>
      <c r="AI10" s="448"/>
      <c r="AJ10" s="277" t="s">
        <v>65</v>
      </c>
      <c r="AK10" s="277"/>
      <c r="AP10" s="290" t="s">
        <v>65</v>
      </c>
      <c r="AQ10" s="273" t="s">
        <v>65</v>
      </c>
      <c r="AW10" s="141"/>
      <c r="AX10" s="276" t="s">
        <v>65</v>
      </c>
      <c r="BB10" s="273" t="s">
        <v>102</v>
      </c>
      <c r="BE10" s="273" t="s">
        <v>102</v>
      </c>
      <c r="BF10" s="273" t="s">
        <v>65</v>
      </c>
    </row>
    <row r="11" spans="1:60" x14ac:dyDescent="0.2">
      <c r="B11" s="5"/>
      <c r="D11" s="36"/>
      <c r="F11" s="47" t="s">
        <v>877</v>
      </c>
      <c r="G11" s="47" t="s">
        <v>878</v>
      </c>
      <c r="H11" s="155" t="s">
        <v>878</v>
      </c>
      <c r="I11" s="155" t="s">
        <v>878</v>
      </c>
      <c r="J11" s="36" t="s">
        <v>878</v>
      </c>
      <c r="K11" s="36" t="s">
        <v>878</v>
      </c>
      <c r="L11" s="47" t="s">
        <v>878</v>
      </c>
      <c r="M11" s="155" t="s">
        <v>878</v>
      </c>
      <c r="N11" s="155" t="s">
        <v>878</v>
      </c>
      <c r="O11" s="57" t="s">
        <v>878</v>
      </c>
      <c r="P11" s="36" t="s">
        <v>878</v>
      </c>
      <c r="Q11" s="155" t="s">
        <v>878</v>
      </c>
      <c r="R11" s="155" t="s">
        <v>878</v>
      </c>
      <c r="S11" s="47" t="s">
        <v>878</v>
      </c>
      <c r="T11" s="36" t="s">
        <v>878</v>
      </c>
      <c r="U11" s="36" t="s">
        <v>878</v>
      </c>
      <c r="V11" s="36" t="s">
        <v>878</v>
      </c>
      <c r="W11" s="82" t="s">
        <v>878</v>
      </c>
      <c r="X11" s="36" t="s">
        <v>878</v>
      </c>
      <c r="Y11" s="98" t="s">
        <v>878</v>
      </c>
      <c r="Z11" s="36" t="s">
        <v>878</v>
      </c>
      <c r="AA11" s="124" t="s">
        <v>878</v>
      </c>
      <c r="AB11" s="98" t="s">
        <v>878</v>
      </c>
      <c r="AC11" s="404" t="s">
        <v>878</v>
      </c>
      <c r="AD11" s="19" t="s">
        <v>878</v>
      </c>
      <c r="AE11" s="141" t="s">
        <v>878</v>
      </c>
      <c r="AF11" s="36" t="s">
        <v>878</v>
      </c>
      <c r="AG11" s="141" t="s">
        <v>878</v>
      </c>
      <c r="AH11" s="93" t="s">
        <v>878</v>
      </c>
      <c r="AI11" s="37" t="s">
        <v>878</v>
      </c>
      <c r="AJ11" s="36" t="s">
        <v>878</v>
      </c>
      <c r="AK11" s="36" t="s">
        <v>878</v>
      </c>
      <c r="AL11" s="81" t="s">
        <v>877</v>
      </c>
      <c r="AM11" s="36" t="s">
        <v>877</v>
      </c>
      <c r="AN11" s="36" t="s">
        <v>26</v>
      </c>
      <c r="AO11" s="36" t="s">
        <v>878</v>
      </c>
      <c r="AP11" s="60" t="s">
        <v>878</v>
      </c>
      <c r="AQ11" s="33" t="s">
        <v>878</v>
      </c>
      <c r="AR11" s="124" t="s">
        <v>878</v>
      </c>
      <c r="AS11" s="81" t="s">
        <v>877</v>
      </c>
      <c r="AT11" s="124" t="s">
        <v>877</v>
      </c>
      <c r="AU11" s="36" t="s">
        <v>878</v>
      </c>
      <c r="AV11" s="36" t="s">
        <v>878</v>
      </c>
      <c r="AW11" s="141" t="s">
        <v>877</v>
      </c>
      <c r="AX11" s="102" t="s">
        <v>878</v>
      </c>
      <c r="AY11" s="149" t="s">
        <v>877</v>
      </c>
      <c r="AZ11" s="324" t="s">
        <v>878</v>
      </c>
      <c r="BA11" s="19" t="s">
        <v>877</v>
      </c>
      <c r="BB11" s="33" t="s">
        <v>878</v>
      </c>
      <c r="BC11" s="429" t="s">
        <v>878</v>
      </c>
      <c r="BD11" s="81" t="s">
        <v>877</v>
      </c>
      <c r="BE11" s="33" t="s">
        <v>878</v>
      </c>
      <c r="BF11" s="33" t="s">
        <v>878</v>
      </c>
      <c r="BG11" s="149" t="s">
        <v>877</v>
      </c>
      <c r="BH11" s="33" t="s">
        <v>878</v>
      </c>
    </row>
    <row r="12" spans="1:60" x14ac:dyDescent="0.2">
      <c r="B12" s="5"/>
      <c r="D12" s="36"/>
      <c r="F12" s="47" t="s">
        <v>138</v>
      </c>
      <c r="G12" s="47" t="s">
        <v>138</v>
      </c>
      <c r="H12" s="155" t="s">
        <v>138</v>
      </c>
      <c r="I12" s="155" t="s">
        <v>138</v>
      </c>
      <c r="J12" s="36" t="s">
        <v>138</v>
      </c>
      <c r="K12" s="36" t="s">
        <v>138</v>
      </c>
      <c r="L12" s="47" t="s">
        <v>138</v>
      </c>
      <c r="M12" s="155" t="s">
        <v>138</v>
      </c>
      <c r="N12" s="155" t="s">
        <v>138</v>
      </c>
      <c r="O12" s="57" t="s">
        <v>138</v>
      </c>
      <c r="P12" s="36" t="s">
        <v>138</v>
      </c>
      <c r="Q12" s="155" t="s">
        <v>138</v>
      </c>
      <c r="R12" s="155" t="s">
        <v>138</v>
      </c>
      <c r="S12" s="47" t="s">
        <v>138</v>
      </c>
      <c r="T12" s="36" t="s">
        <v>138</v>
      </c>
      <c r="U12" s="36" t="s">
        <v>138</v>
      </c>
      <c r="V12" s="36" t="s">
        <v>138</v>
      </c>
      <c r="W12" s="82" t="s">
        <v>138</v>
      </c>
      <c r="X12" s="36" t="s">
        <v>138</v>
      </c>
      <c r="Y12" s="98" t="s">
        <v>138</v>
      </c>
      <c r="Z12" s="36" t="s">
        <v>138</v>
      </c>
      <c r="AA12" s="124" t="s">
        <v>138</v>
      </c>
      <c r="AB12" s="98" t="s">
        <v>138</v>
      </c>
      <c r="AC12" s="404" t="s">
        <v>138</v>
      </c>
      <c r="AD12" s="19" t="s">
        <v>138</v>
      </c>
      <c r="AE12" s="141" t="s">
        <v>138</v>
      </c>
      <c r="AF12" s="36" t="s">
        <v>138</v>
      </c>
      <c r="AG12" s="141" t="s">
        <v>138</v>
      </c>
      <c r="AH12" s="93" t="s">
        <v>138</v>
      </c>
      <c r="AI12" s="37" t="s">
        <v>138</v>
      </c>
      <c r="AJ12" s="36" t="s">
        <v>138</v>
      </c>
      <c r="AK12" s="36" t="s">
        <v>138</v>
      </c>
      <c r="AL12" s="81" t="s">
        <v>138</v>
      </c>
      <c r="AM12" s="36" t="s">
        <v>138</v>
      </c>
      <c r="AN12" s="36" t="s">
        <v>138</v>
      </c>
      <c r="AO12" s="36" t="s">
        <v>138</v>
      </c>
      <c r="AP12" s="60" t="s">
        <v>138</v>
      </c>
      <c r="AQ12" s="33" t="s">
        <v>138</v>
      </c>
      <c r="AR12" s="124" t="s">
        <v>138</v>
      </c>
      <c r="AS12" s="81" t="s">
        <v>138</v>
      </c>
      <c r="AT12" s="124" t="s">
        <v>138</v>
      </c>
      <c r="AU12" s="36" t="s">
        <v>138</v>
      </c>
      <c r="AV12" s="36" t="s">
        <v>138</v>
      </c>
      <c r="AW12" s="141" t="s">
        <v>138</v>
      </c>
      <c r="AX12" s="102" t="s">
        <v>138</v>
      </c>
      <c r="AY12" s="149" t="s">
        <v>138</v>
      </c>
      <c r="AZ12" s="324" t="s">
        <v>138</v>
      </c>
      <c r="BA12" s="19" t="s">
        <v>138</v>
      </c>
      <c r="BB12" s="33" t="s">
        <v>138</v>
      </c>
      <c r="BC12" s="429" t="s">
        <v>138</v>
      </c>
      <c r="BD12" s="81" t="s">
        <v>138</v>
      </c>
      <c r="BE12" s="33" t="s">
        <v>138</v>
      </c>
      <c r="BF12" s="33" t="s">
        <v>138</v>
      </c>
      <c r="BG12" s="149" t="s">
        <v>138</v>
      </c>
      <c r="BH12" s="33" t="s">
        <v>138</v>
      </c>
    </row>
    <row r="13" spans="1:60" x14ac:dyDescent="0.2">
      <c r="B13" s="5"/>
      <c r="D13" s="36"/>
      <c r="H13" s="155"/>
      <c r="I13" s="155"/>
      <c r="M13" s="155"/>
      <c r="N13" s="155"/>
      <c r="Y13" s="98"/>
      <c r="AB13" s="98"/>
      <c r="AC13" s="404"/>
      <c r="AH13" s="93"/>
      <c r="AI13" s="37"/>
      <c r="AW13" s="141"/>
      <c r="AX13" s="40"/>
      <c r="BE13" s="33"/>
    </row>
    <row r="14" spans="1:60" x14ac:dyDescent="0.2">
      <c r="A14" s="303" t="s">
        <v>44</v>
      </c>
      <c r="B14" s="189" t="s">
        <v>3</v>
      </c>
      <c r="C14" s="190" t="s">
        <v>25</v>
      </c>
      <c r="D14" s="190" t="s">
        <v>4</v>
      </c>
      <c r="E14" s="301" t="s">
        <v>47</v>
      </c>
      <c r="F14" s="218" t="s">
        <v>642</v>
      </c>
      <c r="G14" s="218" t="s">
        <v>572</v>
      </c>
      <c r="H14" s="192" t="s">
        <v>549</v>
      </c>
      <c r="I14" s="192" t="s">
        <v>199</v>
      </c>
      <c r="J14" s="191" t="s">
        <v>571</v>
      </c>
      <c r="K14" s="193" t="s">
        <v>545</v>
      </c>
      <c r="L14" s="218" t="s">
        <v>573</v>
      </c>
      <c r="M14" s="192" t="s">
        <v>550</v>
      </c>
      <c r="N14" s="192" t="s">
        <v>200</v>
      </c>
      <c r="O14" s="191" t="s">
        <v>834</v>
      </c>
      <c r="P14" s="194" t="s">
        <v>570</v>
      </c>
      <c r="Q14" s="193" t="s">
        <v>544</v>
      </c>
      <c r="R14" s="193" t="s">
        <v>578</v>
      </c>
      <c r="S14" s="218" t="s">
        <v>387</v>
      </c>
      <c r="T14" s="191" t="s">
        <v>188</v>
      </c>
      <c r="U14" s="194" t="s">
        <v>189</v>
      </c>
      <c r="V14" s="194" t="s">
        <v>1189</v>
      </c>
      <c r="W14" s="216" t="s">
        <v>191</v>
      </c>
      <c r="X14" s="194" t="s">
        <v>190</v>
      </c>
      <c r="Y14" s="195" t="s">
        <v>634</v>
      </c>
      <c r="Z14" s="194" t="s">
        <v>192</v>
      </c>
      <c r="AA14" s="196" t="s">
        <v>638</v>
      </c>
      <c r="AB14" s="195" t="s">
        <v>306</v>
      </c>
      <c r="AC14" s="406" t="s">
        <v>1191</v>
      </c>
      <c r="AD14" s="195" t="s">
        <v>526</v>
      </c>
      <c r="AE14" s="196" t="s">
        <v>635</v>
      </c>
      <c r="AF14" s="194" t="s">
        <v>908</v>
      </c>
      <c r="AG14" s="196" t="s">
        <v>907</v>
      </c>
      <c r="AH14" s="216" t="s">
        <v>1063</v>
      </c>
      <c r="AI14" s="194" t="s">
        <v>1062</v>
      </c>
      <c r="AJ14" s="191" t="s">
        <v>636</v>
      </c>
      <c r="AK14" s="191" t="s">
        <v>1237</v>
      </c>
      <c r="AL14" s="223" t="s">
        <v>641</v>
      </c>
      <c r="AM14" s="191" t="s">
        <v>639</v>
      </c>
      <c r="AN14" s="191" t="s">
        <v>326</v>
      </c>
      <c r="AO14" s="191" t="s">
        <v>640</v>
      </c>
      <c r="AP14" s="238" t="s">
        <v>201</v>
      </c>
      <c r="AQ14" s="197" t="s">
        <v>551</v>
      </c>
      <c r="AR14" s="196" t="s">
        <v>637</v>
      </c>
      <c r="AS14" s="223" t="s">
        <v>287</v>
      </c>
      <c r="AT14" s="196" t="s">
        <v>286</v>
      </c>
      <c r="AU14" s="191" t="s">
        <v>579</v>
      </c>
      <c r="AV14" s="191" t="s">
        <v>643</v>
      </c>
      <c r="AW14" s="341" t="s">
        <v>644</v>
      </c>
      <c r="AX14" s="198" t="s">
        <v>202</v>
      </c>
      <c r="AY14" s="314" t="s">
        <v>645</v>
      </c>
      <c r="AZ14" s="325" t="s">
        <v>646</v>
      </c>
      <c r="BA14" s="199" t="s">
        <v>647</v>
      </c>
      <c r="BB14" s="193" t="s">
        <v>204</v>
      </c>
      <c r="BC14" s="430" t="s">
        <v>879</v>
      </c>
      <c r="BD14" s="343" t="s">
        <v>546</v>
      </c>
      <c r="BE14" s="193" t="s">
        <v>542</v>
      </c>
      <c r="BF14" s="193" t="s">
        <v>909</v>
      </c>
      <c r="BG14" s="318" t="s">
        <v>309</v>
      </c>
      <c r="BH14" s="193" t="s">
        <v>360</v>
      </c>
    </row>
    <row r="15" spans="1:60"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7" t="str">
        <f>IF(LEFT($B15,4)="_Mil","",_xlfn.IFNA(ROUND(INDEX(Spectrum!$N:$N,MATCH(RIGHT($B15,13)&amp;"|"&amp;$C15&amp;"|"&amp;$D15&amp;"|"&amp;S$14&amp;"|"&amp;"CY2022Q4",Spectrum!$R:$R,0)),0),""))</f>
        <v/>
      </c>
      <c r="T15" s="45" t="str">
        <f>IF(LEFT($B15,4)="_Mil","",_xlfn.IFNA(ROUND(INDEX(Spectrum!$N:$N,MATCH(RIGHT($B15,13)&amp;"|"&amp;$C15&amp;"|"&amp;$D15&amp;"|"&amp;T$14&amp;"|"&amp;"CY2023Q3",Spectrum!$R:$R,0)),0),""))</f>
        <v/>
      </c>
      <c r="U15" s="37" t="str">
        <f>IF(LEFT($B15,4)="_Mil","",_xlfn.IFNA(ROUND(INDEX(Spectrum!$N:$N,MATCH(RIGHT($B15,13)&amp;"|"&amp;$C15&amp;"|"&amp;$D15&amp;"|"&amp;U$14&amp;"|"&amp;"CY2023Q3",Spectrum!$R:$R,0)),0),""))</f>
        <v/>
      </c>
      <c r="V15" s="37" t="str">
        <f>IF(LEFT($B15,4)="_Mil","",_xlfn.IFNA(ROUND(INDEX(Spectrum!$N:$N,MATCH(RIGHT($B15,13)&amp;"|"&amp;$C15&amp;"|"&amp;$D15&amp;"|"&amp;V$14&amp;"|"&amp;"CY2023Q3",Spectrum!$R:$R,0)),0),""))</f>
        <v/>
      </c>
      <c r="W15" s="82" t="str">
        <f>IF(LEFT($B15,4)="_Mil","",_xlfn.IFNA(INDEX(Spectrum!$N:$N,MATCH(RIGHT($B15,13)&amp;"|"&amp;$C15&amp;"|"&amp;$D15&amp;"|"&amp;W$14&amp;"|"&amp;"CY2023Q3",Spectrum!$R:$R,0)),""))</f>
        <v/>
      </c>
      <c r="X15" s="37" t="str">
        <f>IF(LEFT($B15,4)="_Mil","",_xlfn.IFNA(ROUND(INDEX(Spectrum!$N:$N,MATCH(RIGHT($B15,13)&amp;"|"&amp;$C15&amp;"|"&amp;$D15&amp;"|"&amp;X$14&amp;"|"&amp;"CY2023Q3",Spectrum!$R:$R,0)),0),""))</f>
        <v/>
      </c>
      <c r="Y15" s="98" t="str">
        <f>IF(OR(SUM($U15)=0,LEFT($B15,4)="_Mil"),"",SUM($X15)/$U15)</f>
        <v/>
      </c>
      <c r="Z15" s="36" t="str">
        <f>IF(LEFT($B15,4)="_Mil","",_xlfn.IFNA(ROUND(INDEX(Spectrum!$N:$N,MATCH(RIGHT($B15,13)&amp;"|"&amp;$C15&amp;"|"&amp;$D15&amp;"|"&amp;Z$14&amp;"|"&amp;"CY2023Q3",Spectrum!$R:$R,0)),0),""))</f>
        <v/>
      </c>
      <c r="AA15" s="335" t="str">
        <f>IF(LEFT($B15,4)="_Mil","",IFERROR(1/(1/INDEX(Spectrum!$N:$N,MATCH(RIGHT($B15,13)&amp;"|"&amp;$C15&amp;"|"&amp;$D15&amp;"|"&amp;AA$14&amp;"|"&amp;"CY2023Q3",Spectrum!$R:$R,0))),IF(SUM($U15)=0,"",SUM($Z15)/$U15)))</f>
        <v/>
      </c>
      <c r="AB15" s="98" t="str">
        <f>IF(OR(LEFT($B15,4)="_Mil",SUM($X15)=0),"",SUM($Z15)/$X15)</f>
        <v/>
      </c>
      <c r="AC15" s="404" t="str">
        <f>IF(LEFT($B15,4)="_Mil","",_xlfn.IFNA(ROUND(INDEX(Spectrum!$N:$N,MATCH(RIGHT($B15,13)&amp;"|"&amp;$C15&amp;"|"&amp;$D15&amp;"|"&amp;AC$14&amp;"|"&amp;"CY2023Q3",Spectrum!$R:$R,0)),0),""))</f>
        <v/>
      </c>
      <c r="AD15" s="175" t="str">
        <f>IF(LEFT($B15,4)="_Mil","",_xlfn.IFNA(ROUND(INDEX(Spectrum!$N:$N,MATCH(RIGHT($B15,13)&amp;"|"&amp;$C15&amp;"|"&amp;$D15&amp;"|"&amp;AD$14&amp;"|"&amp;"CY2023Q3",Spectrum!$R:$R,0)),0),""))</f>
        <v/>
      </c>
      <c r="AE15" s="335" t="str">
        <f>IF(OR(LEFT($B15,4)="_Mil",SUM($Z15)=0),"",SUM($AD15)/$Z15)</f>
        <v/>
      </c>
      <c r="AF15" s="37" t="str">
        <f>IF(LEFT($B15,4)="_Mil","",_xlfn.IFNA(ROUND(INDEX(Spectrum!$N:$N,MATCH(RIGHT($B15,13)&amp;"|"&amp;$C15&amp;"|"&amp;$D15&amp;"|"&amp;AF$14&amp;"|"&amp;"CY2023Q3",Spectrum!$R:$R,0)),0),""))</f>
        <v/>
      </c>
      <c r="AG15" s="335" t="str">
        <f>IF(OR(LEFT($B15,4)="_Mil",SUM($AD15)=0),"",SUM($AF15)/$AD15)</f>
        <v/>
      </c>
      <c r="AH15" s="331" t="str">
        <f>IF(LEFT($B15,4)="_Mil","",_xlfn.IFNA(INDEX(Spectrum!$N:$N,MATCH(RIGHT($B15,13)&amp;"|"&amp;$C15&amp;"|"&amp;$D15&amp;"|"&amp;AH$14&amp;"|"&amp;"CY2023Q3",Spectrum!$R:$R,0)),""))</f>
        <v/>
      </c>
      <c r="AI15" s="174" t="str">
        <f>IF(LEFT($B15,4)="_Mil","",_xlfn.IFNA(ROUND(INDEX(Spectrum!$N:$N,MATCH(RIGHT($B15,13)&amp;"|"&amp;$C15&amp;"|"&amp;$D15&amp;"|"&amp;AI$14&amp;"|"&amp;"CY2023Q3",Spectrum!$R:$R,0)),0),""))</f>
        <v/>
      </c>
      <c r="AJ15" s="45">
        <f>IF(LEFT($B15,4)="_Mil","",_xlfn.IFNA(ROUND(INDEX(Spectrum!$N:$N,MATCH(RIGHT($B15,13)&amp;"|"&amp;$C15&amp;"|"&amp;$D15&amp;"|"&amp;AJ$14&amp;"|"&amp;"CY2023Q3",Spectrum!$R:$R,0)),0),SUM($U15)+SUM($AI15)))</f>
        <v>0</v>
      </c>
      <c r="AK15" s="174" t="str">
        <f>IF(LEFT($B15,4)="_Mil","",_xlfn.IFNA(ROUND(INDEX(Spectrum!$N:$N,MATCH(RIGHT($B15,13)&amp;"|"&amp;$C15&amp;"|"&amp;$D15&amp;"|"&amp;AK$14&amp;"|"&amp;"CY2024Q3",Spectrum!$R:$R,0)),0),""))</f>
        <v/>
      </c>
      <c r="AL15" s="338">
        <f>IF(OR(LEFT($B15,4)="_Mil",$C15="&lt;01"),"",MAX(SUM($AA15),90%))</f>
        <v>0.9</v>
      </c>
      <c r="AM15" s="45">
        <f>IF(OR(LEFT($B15,4)="_Mil",$C15="&lt;01"),"",ROUND(SUM($AJ15)*SUM($AL15),0))</f>
        <v>0</v>
      </c>
      <c r="AN15" s="45" t="str">
        <f>IF($C15="&lt;01",ROUND(INDEX(EID!$P:$P,MATCH($B15,EID!$B:$B,0))/2,0),"")</f>
        <v/>
      </c>
      <c r="AO15" s="45">
        <f>IF($C15="&lt;01",SUM($AN15),ROUND(SUM($AM15)*SUM($O15)/IF(SUM($Z15)=0,1,$Z15),0))</f>
        <v>0</v>
      </c>
      <c r="AP15" s="172">
        <f>IF(OR($F15="",$C15="&lt;01"),$AO15,$F15)</f>
        <v>0</v>
      </c>
      <c r="AQ15" s="42">
        <f>IF(LEFT($B15,4)="_Mil","",IF(SUM($AP15)=0,SUM($Z15),IF(OR(SUM($Z15)=0,SUM($O15)=0),MAX($AP15,$Z15),$AP15*$Z15/$O15)))</f>
        <v>0</v>
      </c>
      <c r="AR15" s="335" t="str">
        <f>IF(OR(LEFT($B15,4)="_Mil",SUM($AJ15)=0),"",SUM($AQ15)/$AJ15)</f>
        <v/>
      </c>
      <c r="AS15" s="338">
        <f>IF($C15="&lt;01","",98%)</f>
        <v>0.98</v>
      </c>
      <c r="AT15" s="335">
        <f>IF($C15="&lt;01","",98%)</f>
        <v>0.98</v>
      </c>
      <c r="AU15" s="45">
        <f>IF($C15="&lt;01","",SUM($AP15)-SUM($O15))</f>
        <v>0</v>
      </c>
      <c r="AV15" s="45">
        <f>IF($C15="&lt;01",ROUND(INDEX(EID!$N:$N,MATCH($B15,EID!$B:$B,0))/2,0),IF(SUM($AT15)=0,"",ROUND((SUM($AP15)-(SUM($O15)*SUM($AS15)))/$AT15,0)))</f>
        <v>0</v>
      </c>
      <c r="AW15" s="335">
        <f>IF($C15="&lt;01","",100%)</f>
        <v>1</v>
      </c>
      <c r="AX15" s="171">
        <f>IF($C15="&lt;01",SUM($AV15),ROUND(SUM($AV15)*SUM($AW15),0))</f>
        <v>0</v>
      </c>
      <c r="AY15" s="338">
        <f>IF($C15="&lt;01","",70%)</f>
        <v>0.7</v>
      </c>
      <c r="AZ15" s="326">
        <f>IF($C15="&lt;01",ROUND(INDEX(EID!$R:$R,MATCH($B15,EID!$B:$B,0))/2,0),ROUND(SUM($O15)+(SUM($AV15)*$AY15),0))</f>
        <v>0</v>
      </c>
      <c r="BA15" s="175">
        <f>IF($C15="&lt;01","",95%)</f>
        <v>0.95</v>
      </c>
      <c r="BB15" s="42">
        <f>IF($C15="&lt;01",ROUND(INDEX(EID!$T:$T,MATCH($B15,EID!$B:$B,0))/2,0),ROUND($AZ15*$BA15,0))</f>
        <v>0</v>
      </c>
      <c r="BC15" s="431">
        <f>IF(LEFT($B15,4)="_Mil","",IF(SUM($BB15)=0,SUM($AD15),IF(OR(SUM($AP15)=0,SUM($AQ15)=0),MAX($BB15,$AD15),ROUND($BB15*$AQ15/$AP15,0))))</f>
        <v>0</v>
      </c>
      <c r="BD15" s="338">
        <f>IF($C15="&lt;01","",95%)</f>
        <v>0.95</v>
      </c>
      <c r="BE15" s="171">
        <f>IF($C15="&lt;01",ROUND(INDEX(EID!$V:$V,MATCH($B15,EID!$B:$B,0))/2,0),ROUND($BD15*$BB15,0))</f>
        <v>0</v>
      </c>
      <c r="BF15" s="171">
        <f>IF(LEFT($B15,4)="_Mil","",IF(SUM($BE15)=0,SUM($AF15),IF(OR(SUM($AP15)=0,SUM($AQ15)=0),MAX($BE15,$AF15),ROUND($BE15*$AQ15/$AP15,0))))</f>
        <v>0</v>
      </c>
      <c r="BG15" s="315">
        <f>IF($C15="&lt;01","",95%)</f>
        <v>0.95</v>
      </c>
      <c r="BH15" s="42">
        <f>IF($C15="&lt;01",ROUND(INDEX(EID!$L:$L,MATCH($B15,EID!$B:$B,0)),0)/2,IF(SUM($BG15)=0,"",ROUND($AX15/$BG15,0)))</f>
        <v>0</v>
      </c>
    </row>
    <row r="16" spans="1:60" x14ac:dyDescent="0.2">
      <c r="O16" s="146"/>
      <c r="R16" s="146"/>
      <c r="Y16" s="98"/>
      <c r="AB16" s="98"/>
      <c r="AC16" s="404"/>
      <c r="AE16" s="335"/>
      <c r="AG16" s="335"/>
      <c r="AJ16" s="45"/>
      <c r="AK16" s="45"/>
      <c r="AL16" s="338"/>
      <c r="AM16" s="45"/>
      <c r="AN16" s="45"/>
      <c r="AO16" s="45"/>
      <c r="AP16" s="172"/>
      <c r="AQ16" s="42"/>
      <c r="AR16" s="335"/>
      <c r="AS16" s="338"/>
      <c r="AT16" s="335"/>
      <c r="AU16" s="45"/>
      <c r="AV16" s="45"/>
      <c r="AW16" s="335"/>
      <c r="AX16" s="171"/>
      <c r="AY16" s="338"/>
      <c r="AZ16" s="326"/>
      <c r="BA16" s="175"/>
      <c r="BB16" s="42"/>
      <c r="BC16" s="431"/>
      <c r="BE16" s="171"/>
      <c r="BF16" s="171"/>
      <c r="BG16" s="315"/>
      <c r="BH16" s="42"/>
    </row>
    <row r="17" spans="51:60" x14ac:dyDescent="0.2">
      <c r="AY17" s="315"/>
      <c r="AZ17" s="326"/>
      <c r="BA17" s="175"/>
      <c r="BB17" s="42"/>
      <c r="BC17" s="431"/>
      <c r="BG17" s="315"/>
      <c r="BH17" s="42"/>
    </row>
    <row r="18" spans="51:60" x14ac:dyDescent="0.2">
      <c r="AY18" s="315"/>
      <c r="AZ18" s="326"/>
      <c r="BA18" s="175"/>
      <c r="BB18" s="42"/>
      <c r="BC18" s="431"/>
      <c r="BG18" s="315"/>
      <c r="BH18" s="42"/>
    </row>
    <row r="19" spans="51:60" x14ac:dyDescent="0.2">
      <c r="AY19" s="315"/>
      <c r="AZ19" s="326"/>
      <c r="BA19" s="175"/>
      <c r="BB19" s="42"/>
      <c r="BC19" s="431"/>
      <c r="BG19" s="315"/>
      <c r="BH19" s="42"/>
    </row>
    <row r="20" spans="51:60" x14ac:dyDescent="0.2">
      <c r="AY20" s="315"/>
      <c r="AZ20" s="326"/>
      <c r="BA20" s="175"/>
      <c r="BB20" s="42"/>
      <c r="BC20" s="431"/>
      <c r="BG20" s="315"/>
      <c r="BH20" s="42"/>
    </row>
    <row r="21" spans="51:60" x14ac:dyDescent="0.2">
      <c r="AY21" s="315"/>
      <c r="AZ21" s="326"/>
      <c r="BA21" s="175"/>
      <c r="BB21" s="42"/>
      <c r="BC21" s="431"/>
      <c r="BG21" s="315"/>
      <c r="BH21" s="42"/>
    </row>
    <row r="22" spans="51:60" x14ac:dyDescent="0.2">
      <c r="AY22" s="315"/>
      <c r="AZ22" s="326"/>
      <c r="BA22" s="175"/>
      <c r="BB22" s="42"/>
      <c r="BC22" s="431"/>
      <c r="BG22" s="315"/>
      <c r="BH22" s="42"/>
    </row>
    <row r="23" spans="51:60" x14ac:dyDescent="0.2">
      <c r="AY23" s="315"/>
      <c r="AZ23" s="326"/>
      <c r="BA23" s="175"/>
      <c r="BB23" s="42"/>
      <c r="BC23" s="431"/>
      <c r="BG23" s="315"/>
      <c r="BH23" s="42"/>
    </row>
    <row r="24" spans="51:60" x14ac:dyDescent="0.2">
      <c r="AY24" s="315"/>
      <c r="AZ24" s="326"/>
      <c r="BA24" s="175"/>
      <c r="BB24" s="42"/>
      <c r="BC24" s="431"/>
      <c r="BG24" s="315"/>
      <c r="BH24" s="42"/>
    </row>
    <row r="25" spans="51:60" x14ac:dyDescent="0.2">
      <c r="AY25" s="315"/>
      <c r="AZ25" s="326"/>
      <c r="BA25" s="175"/>
      <c r="BB25" s="42"/>
      <c r="BC25" s="431"/>
      <c r="BG25" s="315"/>
      <c r="BH25" s="42"/>
    </row>
    <row r="26" spans="51:60" x14ac:dyDescent="0.2">
      <c r="AY26" s="315"/>
      <c r="AZ26" s="326"/>
      <c r="BA26" s="175"/>
      <c r="BB26" s="42"/>
      <c r="BC26" s="431"/>
      <c r="BG26" s="315"/>
      <c r="BH26" s="42"/>
    </row>
    <row r="27" spans="51:60" x14ac:dyDescent="0.2">
      <c r="AY27" s="315"/>
      <c r="AZ27" s="326"/>
      <c r="BA27" s="175"/>
      <c r="BB27" s="42"/>
      <c r="BC27" s="431"/>
      <c r="BG27" s="315"/>
      <c r="BH27" s="42"/>
    </row>
    <row r="28" spans="51:60" x14ac:dyDescent="0.2">
      <c r="AY28" s="315"/>
      <c r="AZ28" s="326"/>
      <c r="BA28" s="175"/>
      <c r="BB28" s="42"/>
      <c r="BC28" s="431"/>
      <c r="BG28" s="315"/>
      <c r="BH28" s="42"/>
    </row>
    <row r="29" spans="51:60" x14ac:dyDescent="0.2">
      <c r="AY29" s="315"/>
      <c r="AZ29" s="326"/>
      <c r="BA29" s="175"/>
      <c r="BB29" s="42"/>
      <c r="BC29" s="431"/>
      <c r="BG29" s="315"/>
      <c r="BH29" s="42"/>
    </row>
    <row r="30" spans="51:60" x14ac:dyDescent="0.2">
      <c r="AY30" s="315"/>
      <c r="AZ30" s="326"/>
      <c r="BA30" s="175"/>
      <c r="BB30" s="42"/>
      <c r="BC30" s="431"/>
      <c r="BG30" s="315"/>
      <c r="BH30" s="42"/>
    </row>
    <row r="31" spans="51:60" x14ac:dyDescent="0.2">
      <c r="AY31" s="315"/>
      <c r="AZ31" s="326"/>
      <c r="BA31" s="175"/>
      <c r="BB31" s="42"/>
      <c r="BC31" s="431"/>
      <c r="BG31" s="315"/>
      <c r="BH31" s="42"/>
    </row>
    <row r="32" spans="51:60" x14ac:dyDescent="0.2">
      <c r="AY32" s="315"/>
      <c r="AZ32" s="326"/>
      <c r="BA32" s="175"/>
      <c r="BB32" s="42"/>
      <c r="BC32" s="431"/>
      <c r="BG32" s="315"/>
      <c r="BH32" s="42"/>
    </row>
    <row r="33" spans="51:60" x14ac:dyDescent="0.2">
      <c r="AY33" s="315"/>
      <c r="AZ33" s="326"/>
      <c r="BA33" s="175"/>
      <c r="BB33" s="42"/>
      <c r="BC33" s="431"/>
      <c r="BG33" s="315"/>
      <c r="BH33" s="42"/>
    </row>
    <row r="34" spans="51:60" x14ac:dyDescent="0.2">
      <c r="AY34" s="315"/>
      <c r="AZ34" s="326"/>
      <c r="BA34" s="175"/>
      <c r="BB34" s="42"/>
      <c r="BC34" s="431"/>
      <c r="BG34" s="315"/>
      <c r="BH34" s="42"/>
    </row>
    <row r="35" spans="51:60" x14ac:dyDescent="0.2">
      <c r="AY35" s="315"/>
      <c r="AZ35" s="326"/>
      <c r="BA35" s="175"/>
      <c r="BB35" s="42"/>
      <c r="BC35" s="431"/>
      <c r="BG35" s="315"/>
      <c r="BH35" s="42"/>
    </row>
    <row r="36" spans="51:60" x14ac:dyDescent="0.2">
      <c r="AY36" s="315"/>
      <c r="AZ36" s="326"/>
      <c r="BA36" s="175"/>
      <c r="BB36" s="42"/>
      <c r="BC36" s="431"/>
      <c r="BG36" s="315"/>
      <c r="BH36" s="42"/>
    </row>
    <row r="37" spans="51:60" x14ac:dyDescent="0.2">
      <c r="AY37" s="315"/>
      <c r="AZ37" s="326"/>
      <c r="BA37" s="175"/>
      <c r="BB37" s="42"/>
      <c r="BC37" s="431"/>
      <c r="BG37" s="315"/>
      <c r="BH37" s="42"/>
    </row>
    <row r="38" spans="51:60" x14ac:dyDescent="0.2">
      <c r="AY38" s="315"/>
      <c r="AZ38" s="326"/>
      <c r="BA38" s="175"/>
      <c r="BB38" s="42"/>
      <c r="BC38" s="431"/>
      <c r="BG38" s="315"/>
      <c r="BH38" s="42"/>
    </row>
    <row r="39" spans="51:60" x14ac:dyDescent="0.2">
      <c r="AY39" s="315"/>
      <c r="AZ39" s="326"/>
      <c r="BA39" s="175"/>
      <c r="BB39" s="42"/>
      <c r="BC39" s="431"/>
      <c r="BG39" s="315"/>
      <c r="BH39" s="42"/>
    </row>
    <row r="40" spans="51:60" x14ac:dyDescent="0.2">
      <c r="AY40" s="315"/>
      <c r="AZ40" s="326"/>
      <c r="BA40" s="175"/>
      <c r="BB40" s="42"/>
      <c r="BC40" s="431"/>
      <c r="BG40" s="315"/>
      <c r="BH40" s="42"/>
    </row>
    <row r="41" spans="51:60" x14ac:dyDescent="0.2">
      <c r="AY41" s="315"/>
      <c r="AZ41" s="326"/>
      <c r="BA41" s="175"/>
      <c r="BB41" s="42"/>
      <c r="BC41" s="431"/>
      <c r="BG41" s="315"/>
      <c r="BH41" s="42"/>
    </row>
    <row r="42" spans="51:60" x14ac:dyDescent="0.2">
      <c r="AY42" s="315"/>
      <c r="AZ42" s="326"/>
      <c r="BA42" s="175"/>
      <c r="BB42" s="42"/>
      <c r="BC42" s="431"/>
      <c r="BG42" s="315"/>
      <c r="BH42" s="42"/>
    </row>
    <row r="43" spans="51:60" x14ac:dyDescent="0.2">
      <c r="AY43" s="315"/>
      <c r="AZ43" s="326"/>
      <c r="BA43" s="175"/>
      <c r="BB43" s="42"/>
      <c r="BC43" s="431"/>
      <c r="BG43" s="315"/>
      <c r="BH43" s="42"/>
    </row>
    <row r="44" spans="51:60" x14ac:dyDescent="0.2">
      <c r="AY44" s="315"/>
      <c r="AZ44" s="326"/>
      <c r="BA44" s="175"/>
      <c r="BB44" s="42"/>
      <c r="BC44" s="431"/>
      <c r="BG44" s="315"/>
      <c r="BH44" s="42"/>
    </row>
    <row r="45" spans="51:60" x14ac:dyDescent="0.2">
      <c r="AY45" s="315"/>
      <c r="AZ45" s="326"/>
      <c r="BA45" s="175"/>
      <c r="BB45" s="42"/>
      <c r="BC45" s="431"/>
      <c r="BG45" s="315"/>
      <c r="BH45" s="42"/>
    </row>
    <row r="46" spans="51:60" x14ac:dyDescent="0.2">
      <c r="AY46" s="315"/>
      <c r="AZ46" s="326"/>
      <c r="BA46" s="175"/>
      <c r="BB46" s="42"/>
      <c r="BC46" s="431"/>
      <c r="BG46" s="315"/>
      <c r="BH46" s="42"/>
    </row>
    <row r="47" spans="51:60" x14ac:dyDescent="0.2">
      <c r="AY47" s="315"/>
      <c r="AZ47" s="326"/>
      <c r="BA47" s="175"/>
      <c r="BB47" s="42"/>
      <c r="BC47" s="431"/>
      <c r="BG47" s="315"/>
      <c r="BH47" s="42"/>
    </row>
    <row r="48" spans="51:60" x14ac:dyDescent="0.2">
      <c r="AY48" s="315"/>
      <c r="AZ48" s="326"/>
      <c r="BA48" s="175"/>
      <c r="BB48" s="42"/>
      <c r="BC48" s="431"/>
      <c r="BG48" s="315"/>
      <c r="BH48" s="42"/>
    </row>
    <row r="49" spans="51:60" x14ac:dyDescent="0.2">
      <c r="AY49" s="315"/>
      <c r="AZ49" s="326"/>
      <c r="BA49" s="175"/>
      <c r="BB49" s="42"/>
      <c r="BC49" s="431"/>
      <c r="BG49" s="315"/>
      <c r="BH49" s="42"/>
    </row>
    <row r="50" spans="51:60" x14ac:dyDescent="0.2">
      <c r="AY50" s="315"/>
      <c r="AZ50" s="326"/>
      <c r="BA50" s="175"/>
      <c r="BB50" s="42"/>
      <c r="BC50" s="431"/>
      <c r="BG50" s="315"/>
      <c r="BH50" s="42"/>
    </row>
    <row r="51" spans="51:60" x14ac:dyDescent="0.2">
      <c r="AY51" s="315"/>
      <c r="AZ51" s="326"/>
      <c r="BA51" s="175"/>
      <c r="BB51" s="42"/>
      <c r="BC51" s="431"/>
      <c r="BG51" s="315"/>
      <c r="BH51" s="42"/>
    </row>
    <row r="52" spans="51:60" x14ac:dyDescent="0.2">
      <c r="AY52" s="315"/>
      <c r="AZ52" s="326"/>
      <c r="BA52" s="175"/>
      <c r="BB52" s="42"/>
      <c r="BC52" s="431"/>
      <c r="BG52" s="315"/>
      <c r="BH52" s="42"/>
    </row>
    <row r="53" spans="51:60" x14ac:dyDescent="0.2">
      <c r="AY53" s="315"/>
      <c r="AZ53" s="326"/>
      <c r="BA53" s="175"/>
      <c r="BB53" s="42"/>
      <c r="BC53" s="431"/>
      <c r="BG53" s="315"/>
      <c r="BH53" s="42"/>
    </row>
    <row r="54" spans="51:60" x14ac:dyDescent="0.2">
      <c r="AY54" s="315"/>
      <c r="AZ54" s="326"/>
      <c r="BA54" s="175"/>
      <c r="BB54" s="42"/>
      <c r="BC54" s="431"/>
      <c r="BG54" s="315"/>
      <c r="BH54" s="42"/>
    </row>
    <row r="55" spans="51:60" x14ac:dyDescent="0.2">
      <c r="AY55" s="315"/>
      <c r="AZ55" s="326"/>
      <c r="BA55" s="175"/>
      <c r="BB55" s="42"/>
      <c r="BC55" s="431"/>
      <c r="BG55" s="315"/>
      <c r="BH55" s="42"/>
    </row>
    <row r="56" spans="51:60" x14ac:dyDescent="0.2">
      <c r="AY56" s="315"/>
      <c r="AZ56" s="326"/>
      <c r="BA56" s="175"/>
      <c r="BB56" s="42"/>
      <c r="BC56" s="431"/>
      <c r="BG56" s="315"/>
      <c r="BH56" s="42"/>
    </row>
    <row r="57" spans="51:60" x14ac:dyDescent="0.2">
      <c r="AY57" s="315"/>
      <c r="AZ57" s="326"/>
      <c r="BA57" s="175"/>
      <c r="BB57" s="42"/>
      <c r="BC57" s="431"/>
      <c r="BG57" s="315"/>
      <c r="BH57" s="42"/>
    </row>
    <row r="58" spans="51:60" x14ac:dyDescent="0.2">
      <c r="AY58" s="315"/>
      <c r="AZ58" s="326"/>
      <c r="BA58" s="175"/>
      <c r="BB58" s="42"/>
      <c r="BC58" s="431"/>
      <c r="BG58" s="315"/>
      <c r="BH58" s="42"/>
    </row>
    <row r="59" spans="51:60" x14ac:dyDescent="0.2">
      <c r="AY59" s="315"/>
      <c r="AZ59" s="326"/>
      <c r="BA59" s="175"/>
      <c r="BB59" s="42"/>
      <c r="BC59" s="431"/>
      <c r="BG59" s="315"/>
      <c r="BH59" s="42"/>
    </row>
    <row r="60" spans="51:60" x14ac:dyDescent="0.2">
      <c r="AY60" s="315"/>
      <c r="AZ60" s="326"/>
      <c r="BA60" s="175"/>
      <c r="BB60" s="42"/>
      <c r="BC60" s="431"/>
      <c r="BG60" s="315"/>
      <c r="BH60" s="42"/>
    </row>
    <row r="61" spans="51:60" x14ac:dyDescent="0.2">
      <c r="AY61" s="315"/>
      <c r="AZ61" s="326"/>
      <c r="BA61" s="175"/>
      <c r="BB61" s="42"/>
      <c r="BC61" s="431"/>
      <c r="BG61" s="315"/>
      <c r="BH61" s="42"/>
    </row>
    <row r="62" spans="51:60" x14ac:dyDescent="0.2">
      <c r="AY62" s="315"/>
      <c r="AZ62" s="326"/>
      <c r="BA62" s="175"/>
      <c r="BB62" s="42"/>
      <c r="BC62" s="431"/>
      <c r="BG62" s="315"/>
      <c r="BH62" s="42"/>
    </row>
    <row r="63" spans="51:60" x14ac:dyDescent="0.2">
      <c r="AY63" s="315"/>
      <c r="AZ63" s="326"/>
      <c r="BA63" s="175"/>
      <c r="BB63" s="42"/>
      <c r="BC63" s="431"/>
      <c r="BG63" s="315"/>
      <c r="BH63" s="42"/>
    </row>
    <row r="64" spans="51:60" x14ac:dyDescent="0.2">
      <c r="AY64" s="315"/>
      <c r="AZ64" s="326"/>
      <c r="BA64" s="175"/>
      <c r="BB64" s="42"/>
      <c r="BC64" s="431"/>
      <c r="BG64" s="315"/>
      <c r="BH64" s="42"/>
    </row>
    <row r="65" spans="51:60" x14ac:dyDescent="0.2">
      <c r="AY65" s="315"/>
      <c r="AZ65" s="326"/>
      <c r="BA65" s="175"/>
      <c r="BB65" s="42"/>
      <c r="BC65" s="431"/>
      <c r="BG65" s="315"/>
      <c r="BH65" s="42"/>
    </row>
    <row r="66" spans="51:60" x14ac:dyDescent="0.2">
      <c r="AY66" s="315"/>
      <c r="AZ66" s="326"/>
      <c r="BA66" s="175"/>
      <c r="BB66" s="42"/>
      <c r="BC66" s="431"/>
      <c r="BG66" s="315"/>
      <c r="BH66" s="42"/>
    </row>
    <row r="67" spans="51:60" x14ac:dyDescent="0.2">
      <c r="AY67" s="315"/>
      <c r="AZ67" s="326"/>
      <c r="BA67" s="175"/>
      <c r="BB67" s="42"/>
      <c r="BC67" s="431"/>
      <c r="BG67" s="315"/>
      <c r="BH67" s="42"/>
    </row>
    <row r="68" spans="51:60" x14ac:dyDescent="0.2">
      <c r="AY68" s="315"/>
      <c r="AZ68" s="326"/>
      <c r="BA68" s="175"/>
      <c r="BB68" s="42"/>
      <c r="BC68" s="431"/>
      <c r="BG68" s="315"/>
      <c r="BH68" s="42"/>
    </row>
    <row r="69" spans="51:60" x14ac:dyDescent="0.2">
      <c r="AY69" s="315"/>
      <c r="AZ69" s="326"/>
      <c r="BA69" s="175"/>
      <c r="BB69" s="42"/>
      <c r="BC69" s="431"/>
      <c r="BG69" s="315"/>
      <c r="BH69" s="42"/>
    </row>
    <row r="70" spans="51:60" x14ac:dyDescent="0.2">
      <c r="AY70" s="315"/>
      <c r="AZ70" s="326"/>
      <c r="BA70" s="175"/>
      <c r="BB70" s="42"/>
      <c r="BC70" s="431"/>
      <c r="BG70" s="315"/>
      <c r="BH70" s="42"/>
    </row>
    <row r="71" spans="51:60" x14ac:dyDescent="0.2">
      <c r="AY71" s="315"/>
      <c r="AZ71" s="326"/>
      <c r="BA71" s="175"/>
      <c r="BB71" s="42"/>
      <c r="BC71" s="431"/>
      <c r="BG71" s="315"/>
      <c r="BH71" s="42"/>
    </row>
    <row r="72" spans="51:60" x14ac:dyDescent="0.2">
      <c r="AY72" s="315"/>
      <c r="AZ72" s="326"/>
      <c r="BA72" s="175"/>
      <c r="BB72" s="42"/>
      <c r="BC72" s="431"/>
      <c r="BG72" s="315"/>
      <c r="BH72" s="42"/>
    </row>
    <row r="73" spans="51:60" x14ac:dyDescent="0.2">
      <c r="AY73" s="315"/>
      <c r="AZ73" s="326"/>
      <c r="BA73" s="175"/>
      <c r="BB73" s="42"/>
      <c r="BC73" s="431"/>
      <c r="BG73" s="315"/>
      <c r="BH73" s="42"/>
    </row>
    <row r="74" spans="51:60" x14ac:dyDescent="0.2">
      <c r="AY74" s="315"/>
      <c r="AZ74" s="326"/>
      <c r="BA74" s="175"/>
      <c r="BB74" s="42"/>
      <c r="BC74" s="431"/>
      <c r="BG74" s="315"/>
      <c r="BH74" s="42"/>
    </row>
    <row r="75" spans="51:60" x14ac:dyDescent="0.2">
      <c r="AY75" s="315"/>
      <c r="AZ75" s="326"/>
      <c r="BA75" s="175"/>
      <c r="BB75" s="42"/>
      <c r="BC75" s="431"/>
      <c r="BG75" s="315"/>
      <c r="BH75" s="42"/>
    </row>
    <row r="76" spans="51:60" x14ac:dyDescent="0.2">
      <c r="AY76" s="315"/>
      <c r="AZ76" s="326"/>
      <c r="BA76" s="175"/>
      <c r="BB76" s="42"/>
      <c r="BC76" s="431"/>
      <c r="BG76" s="315"/>
      <c r="BH76" s="42"/>
    </row>
    <row r="77" spans="51:60" x14ac:dyDescent="0.2">
      <c r="AY77" s="315"/>
      <c r="AZ77" s="326"/>
      <c r="BA77" s="175"/>
      <c r="BB77" s="42"/>
      <c r="BC77" s="431"/>
      <c r="BG77" s="315"/>
      <c r="BH77" s="42"/>
    </row>
    <row r="78" spans="51:60" x14ac:dyDescent="0.2">
      <c r="AY78" s="315"/>
      <c r="AZ78" s="326"/>
      <c r="BA78" s="175"/>
      <c r="BB78" s="42"/>
      <c r="BC78" s="431"/>
      <c r="BG78" s="315"/>
      <c r="BH78" s="42"/>
    </row>
    <row r="79" spans="51:60" x14ac:dyDescent="0.2">
      <c r="AY79" s="315"/>
      <c r="AZ79" s="326"/>
      <c r="BA79" s="175"/>
      <c r="BB79" s="42"/>
      <c r="BC79" s="431"/>
      <c r="BG79" s="315"/>
      <c r="BH79" s="42"/>
    </row>
    <row r="80" spans="51:60" x14ac:dyDescent="0.2">
      <c r="AY80" s="315"/>
      <c r="AZ80" s="326"/>
      <c r="BA80" s="175"/>
      <c r="BB80" s="42"/>
      <c r="BC80" s="431"/>
      <c r="BG80" s="315"/>
      <c r="BH80" s="42"/>
    </row>
    <row r="81" spans="51:60" x14ac:dyDescent="0.2">
      <c r="AY81" s="315"/>
      <c r="AZ81" s="326"/>
      <c r="BA81" s="175"/>
      <c r="BB81" s="42"/>
      <c r="BC81" s="431"/>
      <c r="BG81" s="315"/>
      <c r="BH81" s="42"/>
    </row>
    <row r="82" spans="51:60" x14ac:dyDescent="0.2">
      <c r="AY82" s="315"/>
      <c r="AZ82" s="326"/>
      <c r="BA82" s="175"/>
      <c r="BB82" s="42"/>
      <c r="BC82" s="431"/>
      <c r="BG82" s="315"/>
      <c r="BH82" s="42"/>
    </row>
    <row r="83" spans="51:60" x14ac:dyDescent="0.2">
      <c r="AY83" s="315"/>
      <c r="AZ83" s="326"/>
      <c r="BA83" s="175"/>
      <c r="BB83" s="42"/>
      <c r="BC83" s="431"/>
      <c r="BG83" s="315"/>
      <c r="BH83" s="42"/>
    </row>
    <row r="84" spans="51:60" x14ac:dyDescent="0.2">
      <c r="AY84" s="315"/>
      <c r="AZ84" s="326"/>
      <c r="BA84" s="175"/>
      <c r="BB84" s="42"/>
      <c r="BC84" s="431"/>
      <c r="BG84" s="315"/>
      <c r="BH84" s="42"/>
    </row>
    <row r="85" spans="51:60" x14ac:dyDescent="0.2">
      <c r="AY85" s="315"/>
      <c r="AZ85" s="326"/>
      <c r="BA85" s="175"/>
      <c r="BB85" s="42"/>
      <c r="BC85" s="431"/>
      <c r="BG85" s="315"/>
      <c r="BH85" s="42"/>
    </row>
    <row r="86" spans="51:60" x14ac:dyDescent="0.2">
      <c r="AY86" s="315"/>
      <c r="AZ86" s="326"/>
      <c r="BA86" s="175"/>
      <c r="BB86" s="42"/>
      <c r="BC86" s="431"/>
      <c r="BG86" s="315"/>
      <c r="BH86" s="42"/>
    </row>
    <row r="87" spans="51:60" x14ac:dyDescent="0.2">
      <c r="AY87" s="315"/>
      <c r="AZ87" s="326"/>
      <c r="BA87" s="175"/>
      <c r="BB87" s="42"/>
      <c r="BC87" s="431"/>
      <c r="BG87" s="315"/>
      <c r="BH87" s="42"/>
    </row>
    <row r="88" spans="51:60" x14ac:dyDescent="0.2">
      <c r="AY88" s="315"/>
      <c r="AZ88" s="326"/>
      <c r="BA88" s="175"/>
      <c r="BB88" s="42"/>
      <c r="BC88" s="431"/>
      <c r="BG88" s="315"/>
      <c r="BH88" s="42"/>
    </row>
    <row r="89" spans="51:60" x14ac:dyDescent="0.2">
      <c r="AY89" s="315"/>
      <c r="AZ89" s="326"/>
      <c r="BA89" s="175"/>
      <c r="BB89" s="42"/>
      <c r="BC89" s="431"/>
      <c r="BG89" s="315"/>
      <c r="BH89" s="42"/>
    </row>
    <row r="90" spans="51:60" x14ac:dyDescent="0.2">
      <c r="AY90" s="315"/>
      <c r="AZ90" s="326"/>
      <c r="BA90" s="175"/>
      <c r="BB90" s="42"/>
      <c r="BC90" s="431"/>
      <c r="BG90" s="315"/>
      <c r="BH90" s="42"/>
    </row>
    <row r="91" spans="51:60" x14ac:dyDescent="0.2">
      <c r="AY91" s="315"/>
      <c r="AZ91" s="326"/>
      <c r="BA91" s="175"/>
      <c r="BB91" s="42"/>
      <c r="BC91" s="431"/>
      <c r="BG91" s="315"/>
      <c r="BH91" s="42"/>
    </row>
    <row r="92" spans="51:60" x14ac:dyDescent="0.2">
      <c r="AY92" s="315"/>
      <c r="AZ92" s="326"/>
      <c r="BA92" s="175"/>
      <c r="BB92" s="42"/>
      <c r="BC92" s="431"/>
      <c r="BG92" s="315"/>
      <c r="BH92" s="42"/>
    </row>
    <row r="93" spans="51:60" x14ac:dyDescent="0.2">
      <c r="AY93" s="315"/>
      <c r="AZ93" s="326"/>
      <c r="BA93" s="175"/>
      <c r="BB93" s="42"/>
      <c r="BC93" s="431"/>
      <c r="BG93" s="315"/>
      <c r="BH93" s="42"/>
    </row>
    <row r="94" spans="51:60" x14ac:dyDescent="0.2">
      <c r="AY94" s="315"/>
      <c r="AZ94" s="326"/>
      <c r="BA94" s="175"/>
      <c r="BB94" s="42"/>
      <c r="BC94" s="431"/>
      <c r="BG94" s="315"/>
      <c r="BH94" s="42"/>
    </row>
    <row r="95" spans="51:60" x14ac:dyDescent="0.2">
      <c r="AY95" s="315"/>
      <c r="AZ95" s="326"/>
      <c r="BA95" s="175"/>
      <c r="BB95" s="42"/>
      <c r="BC95" s="431"/>
      <c r="BG95" s="315"/>
      <c r="BH95" s="42"/>
    </row>
    <row r="96" spans="51:60" x14ac:dyDescent="0.2">
      <c r="AY96" s="315"/>
      <c r="AZ96" s="326"/>
      <c r="BA96" s="175"/>
      <c r="BB96" s="42"/>
      <c r="BC96" s="431"/>
      <c r="BG96" s="315"/>
      <c r="BH96" s="42"/>
    </row>
    <row r="97" spans="51:60" x14ac:dyDescent="0.2">
      <c r="AY97" s="315"/>
      <c r="AZ97" s="326"/>
      <c r="BA97" s="175"/>
      <c r="BB97" s="42"/>
      <c r="BC97" s="431"/>
      <c r="BG97" s="315"/>
      <c r="BH97" s="42"/>
    </row>
    <row r="98" spans="51:60" x14ac:dyDescent="0.2">
      <c r="AY98" s="315"/>
      <c r="AZ98" s="326"/>
      <c r="BA98" s="175"/>
      <c r="BB98" s="42"/>
      <c r="BC98" s="431"/>
      <c r="BG98" s="315"/>
      <c r="BH98" s="42"/>
    </row>
    <row r="99" spans="51:60" x14ac:dyDescent="0.2">
      <c r="AY99" s="315"/>
      <c r="AZ99" s="326"/>
      <c r="BA99" s="175"/>
      <c r="BB99" s="42"/>
      <c r="BC99" s="431"/>
      <c r="BG99" s="315"/>
      <c r="BH99" s="42"/>
    </row>
    <row r="100" spans="51:60" x14ac:dyDescent="0.2">
      <c r="AY100" s="315"/>
      <c r="AZ100" s="326"/>
      <c r="BA100" s="175"/>
      <c r="BB100" s="42"/>
      <c r="BC100" s="431"/>
      <c r="BG100" s="315"/>
      <c r="BH100" s="42"/>
    </row>
    <row r="101" spans="51:60" x14ac:dyDescent="0.2">
      <c r="AY101" s="315"/>
      <c r="AZ101" s="326"/>
      <c r="BA101" s="175"/>
      <c r="BB101" s="42"/>
      <c r="BC101" s="431"/>
      <c r="BG101" s="315"/>
      <c r="BH101" s="42"/>
    </row>
    <row r="102" spans="51:60" x14ac:dyDescent="0.2">
      <c r="AY102" s="315"/>
      <c r="AZ102" s="326"/>
      <c r="BA102" s="175"/>
      <c r="BB102" s="42"/>
      <c r="BC102" s="431"/>
      <c r="BG102" s="315"/>
      <c r="BH102" s="42"/>
    </row>
    <row r="103" spans="51:60" x14ac:dyDescent="0.2">
      <c r="AY103" s="315"/>
      <c r="AZ103" s="326"/>
      <c r="BA103" s="175"/>
      <c r="BB103" s="42"/>
      <c r="BC103" s="431"/>
      <c r="BG103" s="315"/>
      <c r="BH103" s="42"/>
    </row>
    <row r="104" spans="51:60" x14ac:dyDescent="0.2">
      <c r="AY104" s="315"/>
      <c r="AZ104" s="326"/>
      <c r="BA104" s="175"/>
      <c r="BB104" s="42"/>
      <c r="BC104" s="431"/>
      <c r="BG104" s="315"/>
      <c r="BH104" s="42"/>
    </row>
    <row r="105" spans="51:60" x14ac:dyDescent="0.2">
      <c r="AY105" s="315"/>
      <c r="AZ105" s="326"/>
      <c r="BA105" s="175"/>
      <c r="BB105" s="42"/>
      <c r="BC105" s="431"/>
      <c r="BG105" s="315"/>
      <c r="BH105" s="42"/>
    </row>
    <row r="106" spans="51:60" x14ac:dyDescent="0.2">
      <c r="AY106" s="315"/>
      <c r="AZ106" s="326"/>
      <c r="BA106" s="175"/>
      <c r="BB106" s="42"/>
      <c r="BC106" s="431"/>
      <c r="BG106" s="315"/>
      <c r="BH106" s="42"/>
    </row>
    <row r="107" spans="51:60" x14ac:dyDescent="0.2">
      <c r="AY107" s="315"/>
      <c r="AZ107" s="326"/>
      <c r="BA107" s="175"/>
      <c r="BB107" s="42"/>
      <c r="BC107" s="431"/>
      <c r="BG107" s="315"/>
      <c r="BH107" s="42"/>
    </row>
    <row r="108" spans="51:60" x14ac:dyDescent="0.2">
      <c r="AY108" s="315"/>
      <c r="AZ108" s="326"/>
      <c r="BA108" s="175"/>
      <c r="BB108" s="42"/>
      <c r="BC108" s="431"/>
      <c r="BG108" s="315"/>
      <c r="BH108" s="42"/>
    </row>
    <row r="109" spans="51:60" x14ac:dyDescent="0.2">
      <c r="AY109" s="315"/>
      <c r="AZ109" s="326"/>
      <c r="BA109" s="175"/>
      <c r="BB109" s="42"/>
      <c r="BC109" s="431"/>
      <c r="BG109" s="315"/>
      <c r="BH109" s="42"/>
    </row>
    <row r="110" spans="51:60" x14ac:dyDescent="0.2">
      <c r="AY110" s="315"/>
      <c r="AZ110" s="326"/>
      <c r="BA110" s="175"/>
      <c r="BB110" s="42"/>
      <c r="BC110" s="431"/>
      <c r="BG110" s="315"/>
      <c r="BH110" s="42"/>
    </row>
    <row r="111" spans="51:60" x14ac:dyDescent="0.2">
      <c r="AY111" s="315"/>
      <c r="AZ111" s="326"/>
      <c r="BA111" s="175"/>
      <c r="BB111" s="42"/>
      <c r="BC111" s="431"/>
      <c r="BG111" s="315"/>
      <c r="BH111" s="42"/>
    </row>
    <row r="112" spans="51:60" x14ac:dyDescent="0.2">
      <c r="AY112" s="315"/>
      <c r="AZ112" s="326"/>
      <c r="BA112" s="175"/>
      <c r="BB112" s="42"/>
      <c r="BC112" s="431"/>
      <c r="BG112" s="315"/>
      <c r="BH112" s="42"/>
    </row>
    <row r="113" spans="51:60" x14ac:dyDescent="0.2">
      <c r="AY113" s="315"/>
      <c r="AZ113" s="326"/>
      <c r="BA113" s="175"/>
      <c r="BB113" s="42"/>
      <c r="BC113" s="431"/>
      <c r="BG113" s="315"/>
      <c r="BH113" s="42"/>
    </row>
    <row r="114" spans="51:60" x14ac:dyDescent="0.2">
      <c r="AY114" s="315"/>
      <c r="AZ114" s="326"/>
      <c r="BA114" s="175"/>
      <c r="BB114" s="42"/>
      <c r="BC114" s="431"/>
      <c r="BG114" s="315"/>
      <c r="BH114" s="42"/>
    </row>
    <row r="115" spans="51:60" x14ac:dyDescent="0.2">
      <c r="AY115" s="315"/>
      <c r="AZ115" s="326"/>
      <c r="BA115" s="175"/>
      <c r="BB115" s="42"/>
      <c r="BC115" s="431"/>
      <c r="BG115" s="315"/>
      <c r="BH115" s="42"/>
    </row>
    <row r="116" spans="51:60" x14ac:dyDescent="0.2">
      <c r="AY116" s="315"/>
      <c r="AZ116" s="326"/>
      <c r="BA116" s="175"/>
      <c r="BB116" s="42"/>
      <c r="BC116" s="431"/>
      <c r="BG116" s="315"/>
      <c r="BH116" s="42"/>
    </row>
    <row r="117" spans="51:60" x14ac:dyDescent="0.2">
      <c r="AY117" s="315"/>
      <c r="AZ117" s="326"/>
      <c r="BA117" s="175"/>
      <c r="BB117" s="42"/>
      <c r="BC117" s="431"/>
      <c r="BG117" s="315"/>
      <c r="BH117" s="42"/>
    </row>
    <row r="118" spans="51:60" x14ac:dyDescent="0.2">
      <c r="AY118" s="315"/>
      <c r="AZ118" s="326"/>
      <c r="BA118" s="175"/>
      <c r="BB118" s="42"/>
      <c r="BC118" s="431"/>
      <c r="BG118" s="315"/>
      <c r="BH118" s="42"/>
    </row>
    <row r="119" spans="51:60" x14ac:dyDescent="0.2">
      <c r="AY119" s="315"/>
      <c r="AZ119" s="326"/>
      <c r="BA119" s="175"/>
      <c r="BB119" s="42"/>
      <c r="BC119" s="431"/>
      <c r="BG119" s="315"/>
      <c r="BH119" s="42"/>
    </row>
    <row r="120" spans="51:60" x14ac:dyDescent="0.2">
      <c r="AY120" s="315"/>
      <c r="AZ120" s="326"/>
      <c r="BA120" s="175"/>
      <c r="BB120" s="42"/>
      <c r="BC120" s="431"/>
      <c r="BG120" s="315"/>
      <c r="BH120" s="42"/>
    </row>
    <row r="121" spans="51:60" x14ac:dyDescent="0.2">
      <c r="AY121" s="315"/>
      <c r="AZ121" s="326"/>
      <c r="BA121" s="175"/>
      <c r="BB121" s="42"/>
      <c r="BC121" s="431"/>
      <c r="BG121" s="315"/>
      <c r="BH121" s="42"/>
    </row>
    <row r="122" spans="51:60" x14ac:dyDescent="0.2">
      <c r="AY122" s="315"/>
      <c r="AZ122" s="326"/>
      <c r="BA122" s="175"/>
      <c r="BB122" s="42"/>
      <c r="BC122" s="431"/>
      <c r="BG122" s="315"/>
      <c r="BH122" s="42"/>
    </row>
    <row r="123" spans="51:60" x14ac:dyDescent="0.2">
      <c r="AY123" s="315"/>
      <c r="AZ123" s="326"/>
      <c r="BA123" s="175"/>
      <c r="BB123" s="42"/>
      <c r="BC123" s="431"/>
      <c r="BG123" s="315"/>
      <c r="BH123" s="42"/>
    </row>
    <row r="124" spans="51:60" x14ac:dyDescent="0.2">
      <c r="AY124" s="315"/>
      <c r="AZ124" s="326"/>
      <c r="BA124" s="175"/>
      <c r="BB124" s="42"/>
      <c r="BC124" s="431"/>
      <c r="BG124" s="315"/>
      <c r="BH124" s="42"/>
    </row>
    <row r="125" spans="51:60" x14ac:dyDescent="0.2">
      <c r="AY125" s="315"/>
      <c r="AZ125" s="326"/>
      <c r="BA125" s="175"/>
      <c r="BB125" s="42"/>
      <c r="BC125" s="431"/>
      <c r="BG125" s="315"/>
      <c r="BH125" s="42"/>
    </row>
    <row r="126" spans="51:60" x14ac:dyDescent="0.2">
      <c r="AY126" s="315"/>
      <c r="AZ126" s="326"/>
      <c r="BA126" s="175"/>
      <c r="BB126" s="42"/>
      <c r="BC126" s="431"/>
      <c r="BG126" s="315"/>
      <c r="BH126" s="42"/>
    </row>
    <row r="127" spans="51:60" x14ac:dyDescent="0.2">
      <c r="AY127" s="315"/>
      <c r="AZ127" s="326"/>
      <c r="BA127" s="175"/>
      <c r="BB127" s="42"/>
      <c r="BC127" s="431"/>
      <c r="BG127" s="315"/>
      <c r="BH127" s="42"/>
    </row>
    <row r="128" spans="51:60" x14ac:dyDescent="0.2">
      <c r="AY128" s="315"/>
      <c r="AZ128" s="326"/>
      <c r="BA128" s="175"/>
      <c r="BB128" s="42"/>
      <c r="BC128" s="431"/>
      <c r="BG128" s="315"/>
      <c r="BH128" s="42"/>
    </row>
    <row r="129" spans="51:60" x14ac:dyDescent="0.2">
      <c r="AY129" s="315"/>
      <c r="AZ129" s="326"/>
      <c r="BA129" s="175"/>
      <c r="BB129" s="42"/>
      <c r="BC129" s="431"/>
      <c r="BG129" s="315"/>
      <c r="BH129" s="42"/>
    </row>
    <row r="130" spans="51:60" x14ac:dyDescent="0.2">
      <c r="AY130" s="315"/>
      <c r="AZ130" s="326"/>
      <c r="BA130" s="175"/>
      <c r="BB130" s="42"/>
      <c r="BC130" s="431"/>
      <c r="BG130" s="315"/>
      <c r="BH130" s="42"/>
    </row>
    <row r="131" spans="51:60" x14ac:dyDescent="0.2">
      <c r="AY131" s="315"/>
      <c r="AZ131" s="326"/>
      <c r="BA131" s="175"/>
      <c r="BB131" s="42"/>
      <c r="BC131" s="431"/>
      <c r="BG131" s="315"/>
      <c r="BH131" s="42"/>
    </row>
    <row r="132" spans="51:60" x14ac:dyDescent="0.2">
      <c r="AY132" s="315"/>
      <c r="AZ132" s="326"/>
      <c r="BA132" s="175"/>
      <c r="BB132" s="42"/>
      <c r="BC132" s="431"/>
      <c r="BG132" s="315"/>
      <c r="BH132" s="42"/>
    </row>
    <row r="133" spans="51:60" x14ac:dyDescent="0.2">
      <c r="AY133" s="315"/>
      <c r="AZ133" s="326"/>
      <c r="BA133" s="175"/>
      <c r="BB133" s="42"/>
      <c r="BC133" s="431"/>
      <c r="BG133" s="315"/>
      <c r="BH133" s="42"/>
    </row>
    <row r="134" spans="51:60" x14ac:dyDescent="0.2">
      <c r="AY134" s="315"/>
      <c r="AZ134" s="326"/>
      <c r="BA134" s="175"/>
      <c r="BB134" s="42"/>
      <c r="BC134" s="431"/>
      <c r="BG134" s="315"/>
      <c r="BH134" s="42"/>
    </row>
    <row r="135" spans="51:60" x14ac:dyDescent="0.2">
      <c r="AY135" s="315"/>
      <c r="AZ135" s="326"/>
      <c r="BA135" s="175"/>
      <c r="BB135" s="42"/>
      <c r="BC135" s="431"/>
      <c r="BG135" s="315"/>
      <c r="BH135" s="42"/>
    </row>
    <row r="136" spans="51:60" x14ac:dyDescent="0.2">
      <c r="AY136" s="315"/>
      <c r="AZ136" s="326"/>
      <c r="BA136" s="175"/>
      <c r="BB136" s="42"/>
      <c r="BC136" s="431"/>
      <c r="BG136" s="315"/>
      <c r="BH136" s="42"/>
    </row>
    <row r="137" spans="51:60" x14ac:dyDescent="0.2">
      <c r="AY137" s="315"/>
      <c r="AZ137" s="326"/>
      <c r="BA137" s="175"/>
      <c r="BB137" s="42"/>
      <c r="BC137" s="431"/>
      <c r="BG137" s="315"/>
      <c r="BH137" s="42"/>
    </row>
    <row r="138" spans="51:60" x14ac:dyDescent="0.2">
      <c r="AY138" s="315"/>
      <c r="AZ138" s="326"/>
      <c r="BA138" s="175"/>
      <c r="BB138" s="42"/>
      <c r="BC138" s="431"/>
      <c r="BG138" s="315"/>
      <c r="BH138" s="42"/>
    </row>
    <row r="139" spans="51:60" x14ac:dyDescent="0.2">
      <c r="AY139" s="315"/>
      <c r="AZ139" s="326"/>
      <c r="BA139" s="175"/>
      <c r="BB139" s="42"/>
      <c r="BC139" s="431"/>
      <c r="BG139" s="315"/>
      <c r="BH139" s="42"/>
    </row>
    <row r="140" spans="51:60" x14ac:dyDescent="0.2">
      <c r="AY140" s="315"/>
      <c r="AZ140" s="326"/>
      <c r="BA140" s="175"/>
      <c r="BB140" s="42"/>
      <c r="BC140" s="431"/>
      <c r="BG140" s="315"/>
      <c r="BH140" s="42"/>
    </row>
    <row r="141" spans="51:60" x14ac:dyDescent="0.2">
      <c r="AY141" s="315"/>
      <c r="AZ141" s="326"/>
      <c r="BA141" s="175"/>
      <c r="BB141" s="42"/>
      <c r="BC141" s="431"/>
      <c r="BG141" s="315"/>
      <c r="BH141" s="42"/>
    </row>
    <row r="142" spans="51:60" x14ac:dyDescent="0.2">
      <c r="AY142" s="315"/>
      <c r="AZ142" s="326"/>
      <c r="BA142" s="175"/>
      <c r="BB142" s="42"/>
      <c r="BC142" s="431"/>
      <c r="BG142" s="315"/>
      <c r="BH142" s="42"/>
    </row>
    <row r="143" spans="51:60" x14ac:dyDescent="0.2">
      <c r="AY143" s="315"/>
      <c r="AZ143" s="326"/>
      <c r="BA143" s="175"/>
      <c r="BB143" s="42"/>
      <c r="BC143" s="431"/>
      <c r="BG143" s="315"/>
      <c r="BH143" s="42"/>
    </row>
    <row r="144" spans="51:60" x14ac:dyDescent="0.2">
      <c r="AY144" s="315"/>
      <c r="AZ144" s="326"/>
      <c r="BA144" s="175"/>
      <c r="BB144" s="42"/>
      <c r="BC144" s="431"/>
      <c r="BG144" s="315"/>
      <c r="BH144" s="42"/>
    </row>
    <row r="145" spans="51:60" x14ac:dyDescent="0.2">
      <c r="AY145" s="315"/>
      <c r="AZ145" s="326"/>
      <c r="BA145" s="175"/>
      <c r="BB145" s="42"/>
      <c r="BC145" s="431"/>
      <c r="BG145" s="315"/>
      <c r="BH145" s="42"/>
    </row>
    <row r="146" spans="51:60" x14ac:dyDescent="0.2">
      <c r="AY146" s="315"/>
      <c r="AZ146" s="326"/>
      <c r="BA146" s="175"/>
      <c r="BB146" s="42"/>
      <c r="BC146" s="431"/>
      <c r="BG146" s="315"/>
      <c r="BH146" s="42"/>
    </row>
    <row r="147" spans="51:60" x14ac:dyDescent="0.2">
      <c r="AY147" s="315"/>
      <c r="AZ147" s="326"/>
      <c r="BA147" s="175"/>
      <c r="BB147" s="42"/>
      <c r="BC147" s="431"/>
      <c r="BG147" s="315"/>
      <c r="BH147" s="42"/>
    </row>
    <row r="148" spans="51:60" x14ac:dyDescent="0.2">
      <c r="AY148" s="315"/>
      <c r="AZ148" s="326"/>
      <c r="BA148" s="175"/>
      <c r="BB148" s="42"/>
      <c r="BC148" s="431"/>
      <c r="BG148" s="315"/>
      <c r="BH148" s="42"/>
    </row>
    <row r="149" spans="51:60" x14ac:dyDescent="0.2">
      <c r="AY149" s="315"/>
      <c r="AZ149" s="326"/>
      <c r="BA149" s="175"/>
      <c r="BB149" s="42"/>
      <c r="BC149" s="431"/>
      <c r="BG149" s="315"/>
      <c r="BH149" s="42"/>
    </row>
    <row r="150" spans="51:60" x14ac:dyDescent="0.2">
      <c r="AY150" s="315"/>
      <c r="AZ150" s="326"/>
      <c r="BA150" s="175"/>
      <c r="BB150" s="42"/>
      <c r="BC150" s="431"/>
      <c r="BG150" s="315"/>
      <c r="BH150" s="42"/>
    </row>
    <row r="151" spans="51:60" x14ac:dyDescent="0.2">
      <c r="AY151" s="315"/>
      <c r="AZ151" s="326"/>
      <c r="BA151" s="175"/>
      <c r="BB151" s="42"/>
      <c r="BC151" s="431"/>
      <c r="BG151" s="315"/>
      <c r="BH151" s="42"/>
    </row>
    <row r="152" spans="51:60" x14ac:dyDescent="0.2">
      <c r="AY152" s="315"/>
      <c r="AZ152" s="326"/>
      <c r="BA152" s="175"/>
      <c r="BB152" s="42"/>
      <c r="BC152" s="431"/>
      <c r="BG152" s="315"/>
      <c r="BH152" s="42"/>
    </row>
    <row r="153" spans="51:60" x14ac:dyDescent="0.2">
      <c r="AY153" s="315"/>
      <c r="AZ153" s="326"/>
      <c r="BA153" s="175"/>
      <c r="BB153" s="42"/>
      <c r="BC153" s="431"/>
      <c r="BG153" s="315"/>
      <c r="BH153" s="42"/>
    </row>
    <row r="154" spans="51:60" x14ac:dyDescent="0.2">
      <c r="AY154" s="315"/>
      <c r="AZ154" s="326"/>
      <c r="BA154" s="175"/>
      <c r="BB154" s="42"/>
      <c r="BC154" s="431"/>
      <c r="BG154" s="315"/>
      <c r="BH154" s="42"/>
    </row>
    <row r="155" spans="51:60" x14ac:dyDescent="0.2">
      <c r="AY155" s="315"/>
      <c r="AZ155" s="326"/>
      <c r="BA155" s="175"/>
      <c r="BB155" s="42"/>
      <c r="BC155" s="431"/>
      <c r="BG155" s="315"/>
      <c r="BH155" s="42"/>
    </row>
    <row r="156" spans="51:60" x14ac:dyDescent="0.2">
      <c r="AY156" s="315"/>
      <c r="AZ156" s="326"/>
      <c r="BA156" s="175"/>
      <c r="BB156" s="42"/>
      <c r="BC156" s="431"/>
      <c r="BG156" s="315"/>
      <c r="BH156" s="42"/>
    </row>
    <row r="157" spans="51:60" x14ac:dyDescent="0.2">
      <c r="AY157" s="315"/>
      <c r="AZ157" s="326"/>
      <c r="BA157" s="175"/>
      <c r="BB157" s="42"/>
      <c r="BC157" s="431"/>
      <c r="BG157" s="315"/>
      <c r="BH157" s="42"/>
    </row>
    <row r="158" spans="51:60" x14ac:dyDescent="0.2">
      <c r="AY158" s="315"/>
      <c r="AZ158" s="326"/>
      <c r="BA158" s="175"/>
      <c r="BB158" s="42"/>
      <c r="BC158" s="431"/>
      <c r="BG158" s="315"/>
      <c r="BH158" s="42"/>
    </row>
    <row r="159" spans="51:60" x14ac:dyDescent="0.2">
      <c r="AY159" s="315"/>
      <c r="AZ159" s="326"/>
      <c r="BA159" s="175"/>
      <c r="BB159" s="42"/>
      <c r="BC159" s="431"/>
      <c r="BG159" s="315"/>
      <c r="BH159" s="42"/>
    </row>
    <row r="160" spans="51:60" x14ac:dyDescent="0.2">
      <c r="AY160" s="315"/>
      <c r="AZ160" s="326"/>
      <c r="BA160" s="175"/>
      <c r="BB160" s="42"/>
      <c r="BC160" s="431"/>
      <c r="BG160" s="315"/>
      <c r="BH160" s="42"/>
    </row>
    <row r="161" spans="51:60" x14ac:dyDescent="0.2">
      <c r="AY161" s="315"/>
      <c r="AZ161" s="326"/>
      <c r="BA161" s="175"/>
      <c r="BB161" s="42"/>
      <c r="BC161" s="431"/>
      <c r="BG161" s="315"/>
      <c r="BH161" s="42"/>
    </row>
    <row r="162" spans="51:60" x14ac:dyDescent="0.2">
      <c r="AY162" s="315"/>
      <c r="AZ162" s="326"/>
      <c r="BA162" s="175"/>
      <c r="BB162" s="42"/>
      <c r="BC162" s="431"/>
      <c r="BG162" s="315"/>
      <c r="BH162" s="42"/>
    </row>
    <row r="163" spans="51:60" x14ac:dyDescent="0.2">
      <c r="AY163" s="315"/>
      <c r="AZ163" s="326"/>
      <c r="BA163" s="175"/>
      <c r="BB163" s="42"/>
      <c r="BC163" s="431"/>
      <c r="BG163" s="315"/>
      <c r="BH163" s="42"/>
    </row>
    <row r="164" spans="51:60" x14ac:dyDescent="0.2">
      <c r="AY164" s="315"/>
      <c r="AZ164" s="326"/>
      <c r="BA164" s="175"/>
      <c r="BB164" s="42"/>
      <c r="BC164" s="431"/>
      <c r="BG164" s="315"/>
      <c r="BH164" s="42"/>
    </row>
    <row r="165" spans="51:60" x14ac:dyDescent="0.2">
      <c r="AY165" s="315"/>
      <c r="AZ165" s="326"/>
      <c r="BA165" s="175"/>
      <c r="BB165" s="42"/>
      <c r="BC165" s="431"/>
      <c r="BG165" s="315"/>
      <c r="BH165" s="42"/>
    </row>
    <row r="166" spans="51:60" x14ac:dyDescent="0.2">
      <c r="AY166" s="315"/>
      <c r="AZ166" s="326"/>
      <c r="BA166" s="175"/>
      <c r="BB166" s="42"/>
      <c r="BC166" s="431"/>
      <c r="BG166" s="315"/>
      <c r="BH166" s="42"/>
    </row>
    <row r="167" spans="51:60" x14ac:dyDescent="0.2">
      <c r="AY167" s="315"/>
      <c r="AZ167" s="326"/>
      <c r="BA167" s="175"/>
      <c r="BB167" s="42"/>
      <c r="BC167" s="431"/>
      <c r="BG167" s="315"/>
      <c r="BH167" s="42"/>
    </row>
    <row r="168" spans="51:60" x14ac:dyDescent="0.2">
      <c r="AY168" s="315"/>
      <c r="AZ168" s="326"/>
      <c r="BA168" s="175"/>
      <c r="BB168" s="42"/>
      <c r="BC168" s="431"/>
      <c r="BG168" s="315"/>
      <c r="BH168" s="42"/>
    </row>
    <row r="169" spans="51:60" x14ac:dyDescent="0.2">
      <c r="AY169" s="315"/>
      <c r="AZ169" s="326"/>
      <c r="BA169" s="175"/>
      <c r="BB169" s="42"/>
      <c r="BC169" s="431"/>
      <c r="BG169" s="315"/>
      <c r="BH169" s="42"/>
    </row>
    <row r="170" spans="51:60" x14ac:dyDescent="0.2">
      <c r="AY170" s="315"/>
      <c r="AZ170" s="326"/>
      <c r="BA170" s="175"/>
      <c r="BB170" s="42"/>
      <c r="BC170" s="431"/>
      <c r="BG170" s="315"/>
      <c r="BH170" s="42"/>
    </row>
    <row r="171" spans="51:60" x14ac:dyDescent="0.2">
      <c r="AY171" s="315"/>
      <c r="AZ171" s="326"/>
      <c r="BA171" s="175"/>
      <c r="BB171" s="42"/>
      <c r="BC171" s="431"/>
      <c r="BG171" s="315"/>
      <c r="BH171" s="42"/>
    </row>
    <row r="172" spans="51:60" x14ac:dyDescent="0.2">
      <c r="AY172" s="315"/>
      <c r="AZ172" s="326"/>
      <c r="BA172" s="175"/>
      <c r="BB172" s="42"/>
      <c r="BC172" s="431"/>
      <c r="BG172" s="315"/>
      <c r="BH172" s="42"/>
    </row>
    <row r="173" spans="51:60" x14ac:dyDescent="0.2">
      <c r="AY173" s="315"/>
      <c r="AZ173" s="326"/>
      <c r="BA173" s="175"/>
      <c r="BB173" s="42"/>
      <c r="BC173" s="431"/>
      <c r="BG173" s="315"/>
      <c r="BH173" s="42"/>
    </row>
    <row r="174" spans="51:60" x14ac:dyDescent="0.2">
      <c r="AY174" s="315"/>
      <c r="AZ174" s="326"/>
      <c r="BA174" s="175"/>
      <c r="BB174" s="42"/>
      <c r="BC174" s="431"/>
      <c r="BG174" s="315"/>
      <c r="BH174" s="42"/>
    </row>
    <row r="175" spans="51:60" x14ac:dyDescent="0.2">
      <c r="AY175" s="315"/>
      <c r="AZ175" s="326"/>
      <c r="BA175" s="175"/>
      <c r="BB175" s="42"/>
      <c r="BC175" s="431"/>
      <c r="BG175" s="315"/>
      <c r="BH175" s="42"/>
    </row>
    <row r="176" spans="51:60" x14ac:dyDescent="0.2">
      <c r="AY176" s="315"/>
      <c r="AZ176" s="326"/>
      <c r="BA176" s="175"/>
      <c r="BB176" s="42"/>
      <c r="BC176" s="431"/>
      <c r="BG176" s="315"/>
      <c r="BH176" s="42"/>
    </row>
    <row r="177" spans="51:60" x14ac:dyDescent="0.2">
      <c r="AY177" s="315"/>
      <c r="AZ177" s="326"/>
      <c r="BA177" s="175"/>
      <c r="BB177" s="42"/>
      <c r="BC177" s="431"/>
      <c r="BG177" s="315"/>
      <c r="BH177" s="42"/>
    </row>
    <row r="178" spans="51:60" x14ac:dyDescent="0.2">
      <c r="AY178" s="315"/>
      <c r="AZ178" s="326"/>
      <c r="BA178" s="175"/>
      <c r="BB178" s="42"/>
      <c r="BC178" s="431"/>
      <c r="BG178" s="315"/>
      <c r="BH178" s="42"/>
    </row>
    <row r="179" spans="51:60" x14ac:dyDescent="0.2">
      <c r="AY179" s="315"/>
      <c r="AZ179" s="326"/>
      <c r="BA179" s="175"/>
      <c r="BB179" s="42"/>
      <c r="BC179" s="431"/>
      <c r="BG179" s="315"/>
      <c r="BH179" s="42"/>
    </row>
    <row r="180" spans="51:60" x14ac:dyDescent="0.2">
      <c r="AY180" s="315"/>
      <c r="AZ180" s="326"/>
      <c r="BA180" s="175"/>
      <c r="BB180" s="42"/>
      <c r="BC180" s="431"/>
      <c r="BG180" s="315"/>
      <c r="BH180" s="42"/>
    </row>
    <row r="181" spans="51:60" x14ac:dyDescent="0.2">
      <c r="AY181" s="315"/>
      <c r="AZ181" s="326"/>
      <c r="BA181" s="175"/>
      <c r="BB181" s="42"/>
      <c r="BC181" s="431"/>
      <c r="BG181" s="315"/>
      <c r="BH181" s="42"/>
    </row>
    <row r="182" spans="51:60" x14ac:dyDescent="0.2">
      <c r="AY182" s="315"/>
      <c r="AZ182" s="326"/>
      <c r="BA182" s="175"/>
      <c r="BB182" s="42"/>
      <c r="BC182" s="431"/>
      <c r="BG182" s="315"/>
      <c r="BH182" s="42"/>
    </row>
    <row r="183" spans="51:60" x14ac:dyDescent="0.2">
      <c r="AY183" s="315"/>
      <c r="AZ183" s="326"/>
      <c r="BA183" s="175"/>
      <c r="BB183" s="42"/>
      <c r="BC183" s="431"/>
      <c r="BG183" s="315"/>
      <c r="BH183" s="42"/>
    </row>
    <row r="184" spans="51:60" x14ac:dyDescent="0.2">
      <c r="AY184" s="315"/>
      <c r="AZ184" s="326"/>
      <c r="BA184" s="175"/>
      <c r="BB184" s="42"/>
      <c r="BC184" s="431"/>
      <c r="BG184" s="315"/>
      <c r="BH184" s="42"/>
    </row>
    <row r="185" spans="51:60" x14ac:dyDescent="0.2">
      <c r="AY185" s="315"/>
      <c r="AZ185" s="326"/>
      <c r="BA185" s="175"/>
      <c r="BB185" s="42"/>
      <c r="BC185" s="431"/>
      <c r="BG185" s="315"/>
      <c r="BH185" s="42"/>
    </row>
    <row r="186" spans="51:60" x14ac:dyDescent="0.2">
      <c r="AY186" s="315"/>
      <c r="AZ186" s="326"/>
      <c r="BA186" s="175"/>
      <c r="BB186" s="42"/>
      <c r="BC186" s="431"/>
      <c r="BG186" s="315"/>
      <c r="BH186" s="42"/>
    </row>
    <row r="187" spans="51:60" x14ac:dyDescent="0.2">
      <c r="AY187" s="315"/>
      <c r="AZ187" s="326"/>
      <c r="BA187" s="175"/>
      <c r="BB187" s="42"/>
      <c r="BC187" s="431"/>
      <c r="BG187" s="315"/>
      <c r="BH187" s="42"/>
    </row>
    <row r="188" spans="51:60" x14ac:dyDescent="0.2">
      <c r="AY188" s="315"/>
      <c r="AZ188" s="326"/>
      <c r="BA188" s="175"/>
      <c r="BB188" s="42"/>
      <c r="BC188" s="431"/>
      <c r="BG188" s="315"/>
      <c r="BH188" s="42"/>
    </row>
    <row r="189" spans="51:60" x14ac:dyDescent="0.2">
      <c r="AY189" s="315"/>
      <c r="AZ189" s="326"/>
      <c r="BA189" s="175"/>
      <c r="BB189" s="42"/>
      <c r="BC189" s="431"/>
      <c r="BG189" s="315"/>
      <c r="BH189" s="42"/>
    </row>
    <row r="190" spans="51:60" x14ac:dyDescent="0.2">
      <c r="AY190" s="315"/>
      <c r="AZ190" s="326"/>
      <c r="BA190" s="175"/>
      <c r="BB190" s="42"/>
      <c r="BC190" s="431"/>
      <c r="BG190" s="315"/>
      <c r="BH190" s="42"/>
    </row>
    <row r="191" spans="51:60" x14ac:dyDescent="0.2">
      <c r="AY191" s="315"/>
      <c r="AZ191" s="326"/>
      <c r="BA191" s="175"/>
      <c r="BB191" s="42"/>
      <c r="BC191" s="431"/>
      <c r="BG191" s="315"/>
      <c r="BH191" s="42"/>
    </row>
    <row r="192" spans="51:60" x14ac:dyDescent="0.2">
      <c r="AY192" s="315"/>
      <c r="AZ192" s="326"/>
      <c r="BA192" s="175"/>
      <c r="BB192" s="42"/>
      <c r="BC192" s="431"/>
      <c r="BG192" s="315"/>
      <c r="BH192" s="42"/>
    </row>
    <row r="193" spans="51:60" x14ac:dyDescent="0.2">
      <c r="AY193" s="315"/>
      <c r="AZ193" s="326"/>
      <c r="BA193" s="175"/>
      <c r="BB193" s="42"/>
      <c r="BC193" s="431"/>
      <c r="BG193" s="315"/>
      <c r="BH193" s="42"/>
    </row>
    <row r="194" spans="51:60" x14ac:dyDescent="0.2">
      <c r="AY194" s="315"/>
      <c r="AZ194" s="326"/>
      <c r="BA194" s="175"/>
      <c r="BB194" s="42"/>
      <c r="BC194" s="431"/>
      <c r="BG194" s="315"/>
      <c r="BH194" s="42"/>
    </row>
    <row r="195" spans="51:60" x14ac:dyDescent="0.2">
      <c r="AY195" s="315"/>
      <c r="AZ195" s="326"/>
      <c r="BA195" s="175"/>
      <c r="BB195" s="42"/>
      <c r="BC195" s="431"/>
      <c r="BG195" s="315"/>
      <c r="BH195" s="42"/>
    </row>
    <row r="196" spans="51:60" x14ac:dyDescent="0.2">
      <c r="AY196" s="315"/>
      <c r="AZ196" s="326"/>
      <c r="BA196" s="175"/>
      <c r="BB196" s="42"/>
      <c r="BC196" s="431"/>
      <c r="BG196" s="315"/>
      <c r="BH196" s="42"/>
    </row>
    <row r="197" spans="51:60" x14ac:dyDescent="0.2">
      <c r="AY197" s="315"/>
      <c r="AZ197" s="326"/>
      <c r="BA197" s="175"/>
      <c r="BB197" s="42"/>
      <c r="BC197" s="431"/>
      <c r="BG197" s="315"/>
      <c r="BH197" s="42"/>
    </row>
    <row r="198" spans="51:60" x14ac:dyDescent="0.2">
      <c r="AY198" s="315"/>
      <c r="AZ198" s="326"/>
      <c r="BA198" s="175"/>
      <c r="BB198" s="42"/>
      <c r="BC198" s="431"/>
      <c r="BG198" s="315"/>
      <c r="BH198" s="42"/>
    </row>
    <row r="199" spans="51:60" x14ac:dyDescent="0.2">
      <c r="AY199" s="315"/>
      <c r="AZ199" s="326"/>
      <c r="BA199" s="175"/>
      <c r="BB199" s="42"/>
      <c r="BC199" s="431"/>
      <c r="BG199" s="315"/>
      <c r="BH199" s="42"/>
    </row>
    <row r="200" spans="51:60" x14ac:dyDescent="0.2">
      <c r="AY200" s="315"/>
      <c r="AZ200" s="326"/>
      <c r="BA200" s="175"/>
      <c r="BB200" s="42"/>
      <c r="BC200" s="431"/>
      <c r="BG200" s="315"/>
      <c r="BH200" s="42"/>
    </row>
    <row r="201" spans="51:60" x14ac:dyDescent="0.2">
      <c r="AY201" s="315"/>
      <c r="AZ201" s="326"/>
      <c r="BA201" s="175"/>
      <c r="BB201" s="42"/>
      <c r="BC201" s="431"/>
      <c r="BG201" s="315"/>
      <c r="BH201" s="42"/>
    </row>
    <row r="202" spans="51:60" x14ac:dyDescent="0.2">
      <c r="AY202" s="315"/>
      <c r="AZ202" s="326"/>
      <c r="BA202" s="175"/>
      <c r="BB202" s="42"/>
      <c r="BC202" s="431"/>
      <c r="BG202" s="315"/>
      <c r="BH202" s="42"/>
    </row>
    <row r="203" spans="51:60" x14ac:dyDescent="0.2">
      <c r="AY203" s="315"/>
      <c r="AZ203" s="326"/>
      <c r="BA203" s="175"/>
      <c r="BB203" s="42"/>
      <c r="BC203" s="431"/>
      <c r="BG203" s="315"/>
      <c r="BH203" s="42"/>
    </row>
    <row r="204" spans="51:60" x14ac:dyDescent="0.2">
      <c r="AY204" s="315"/>
      <c r="AZ204" s="326"/>
      <c r="BA204" s="175"/>
      <c r="BB204" s="42"/>
      <c r="BC204" s="431"/>
      <c r="BG204" s="315"/>
      <c r="BH204" s="42"/>
    </row>
    <row r="205" spans="51:60" x14ac:dyDescent="0.2">
      <c r="AY205" s="315"/>
      <c r="AZ205" s="326"/>
      <c r="BA205" s="175"/>
      <c r="BB205" s="42"/>
      <c r="BC205" s="431"/>
      <c r="BG205" s="315"/>
      <c r="BH205" s="42"/>
    </row>
    <row r="206" spans="51:60" x14ac:dyDescent="0.2">
      <c r="AY206" s="315"/>
      <c r="AZ206" s="326"/>
      <c r="BA206" s="175"/>
      <c r="BB206" s="42"/>
      <c r="BC206" s="431"/>
      <c r="BG206" s="315"/>
      <c r="BH206" s="42"/>
    </row>
    <row r="207" spans="51:60" x14ac:dyDescent="0.2">
      <c r="AY207" s="315"/>
      <c r="AZ207" s="326"/>
      <c r="BA207" s="175"/>
      <c r="BB207" s="42"/>
      <c r="BC207" s="431"/>
      <c r="BG207" s="315"/>
      <c r="BH207" s="42"/>
    </row>
    <row r="208" spans="51:60" x14ac:dyDescent="0.2">
      <c r="AY208" s="315"/>
      <c r="AZ208" s="326"/>
      <c r="BA208" s="175"/>
      <c r="BB208" s="42"/>
      <c r="BC208" s="431"/>
      <c r="BG208" s="315"/>
      <c r="BH208" s="42"/>
    </row>
    <row r="209" spans="51:60" x14ac:dyDescent="0.2">
      <c r="AY209" s="315"/>
      <c r="AZ209" s="326"/>
      <c r="BA209" s="175"/>
      <c r="BB209" s="42"/>
      <c r="BC209" s="431"/>
      <c r="BG209" s="315"/>
      <c r="BH209" s="42"/>
    </row>
    <row r="210" spans="51:60" x14ac:dyDescent="0.2">
      <c r="AY210" s="315"/>
      <c r="AZ210" s="326"/>
      <c r="BA210" s="175"/>
      <c r="BB210" s="42"/>
      <c r="BC210" s="431"/>
      <c r="BG210" s="315"/>
      <c r="BH210" s="42"/>
    </row>
    <row r="211" spans="51:60" x14ac:dyDescent="0.2">
      <c r="AY211" s="315"/>
      <c r="AZ211" s="326"/>
      <c r="BA211" s="175"/>
      <c r="BB211" s="42"/>
      <c r="BC211" s="431"/>
      <c r="BG211" s="315"/>
      <c r="BH211" s="42"/>
    </row>
    <row r="212" spans="51:60" x14ac:dyDescent="0.2">
      <c r="AY212" s="315"/>
      <c r="AZ212" s="326"/>
      <c r="BA212" s="175"/>
      <c r="BB212" s="42"/>
      <c r="BC212" s="431"/>
      <c r="BG212" s="315"/>
      <c r="BH212" s="42"/>
    </row>
    <row r="213" spans="51:60" x14ac:dyDescent="0.2">
      <c r="AY213" s="315"/>
      <c r="AZ213" s="326"/>
      <c r="BA213" s="175"/>
      <c r="BB213" s="42"/>
      <c r="BC213" s="431"/>
      <c r="BG213" s="315"/>
      <c r="BH213" s="42"/>
    </row>
    <row r="214" spans="51:60" x14ac:dyDescent="0.2">
      <c r="AY214" s="315"/>
      <c r="AZ214" s="326"/>
      <c r="BA214" s="175"/>
      <c r="BB214" s="42"/>
      <c r="BC214" s="431"/>
      <c r="BG214" s="315"/>
      <c r="BH214" s="42"/>
    </row>
    <row r="215" spans="51:60" x14ac:dyDescent="0.2">
      <c r="AY215" s="315"/>
      <c r="AZ215" s="326"/>
      <c r="BA215" s="175"/>
      <c r="BB215" s="42"/>
      <c r="BC215" s="431"/>
      <c r="BG215" s="315"/>
      <c r="BH215" s="42"/>
    </row>
    <row r="216" spans="51:60" x14ac:dyDescent="0.2">
      <c r="AY216" s="315"/>
      <c r="AZ216" s="326"/>
      <c r="BA216" s="175"/>
      <c r="BB216" s="42"/>
      <c r="BC216" s="431"/>
      <c r="BG216" s="315"/>
      <c r="BH216" s="42"/>
    </row>
    <row r="217" spans="51:60" x14ac:dyDescent="0.2">
      <c r="AY217" s="315"/>
      <c r="AZ217" s="326"/>
      <c r="BA217" s="175"/>
      <c r="BB217" s="42"/>
      <c r="BC217" s="431"/>
      <c r="BG217" s="315"/>
      <c r="BH217" s="42"/>
    </row>
    <row r="218" spans="51:60" x14ac:dyDescent="0.2">
      <c r="AY218" s="315"/>
      <c r="AZ218" s="326"/>
      <c r="BA218" s="175"/>
      <c r="BB218" s="42"/>
      <c r="BC218" s="431"/>
      <c r="BG218" s="315"/>
      <c r="BH218" s="42"/>
    </row>
    <row r="219" spans="51:60" x14ac:dyDescent="0.2">
      <c r="AY219" s="315"/>
      <c r="AZ219" s="326"/>
      <c r="BA219" s="175"/>
      <c r="BB219" s="42"/>
      <c r="BC219" s="431"/>
      <c r="BG219" s="315"/>
      <c r="BH219" s="42"/>
    </row>
    <row r="220" spans="51:60" x14ac:dyDescent="0.2">
      <c r="AY220" s="315"/>
      <c r="AZ220" s="326"/>
      <c r="BA220" s="175"/>
      <c r="BB220" s="42"/>
      <c r="BC220" s="431"/>
      <c r="BG220" s="315"/>
      <c r="BH220" s="42"/>
    </row>
    <row r="221" spans="51:60" x14ac:dyDescent="0.2">
      <c r="AY221" s="315"/>
      <c r="AZ221" s="326"/>
      <c r="BA221" s="175"/>
      <c r="BB221" s="42"/>
      <c r="BC221" s="431"/>
      <c r="BG221" s="315"/>
      <c r="BH221" s="42"/>
    </row>
    <row r="222" spans="51:60" x14ac:dyDescent="0.2">
      <c r="AY222" s="315"/>
      <c r="AZ222" s="326"/>
      <c r="BA222" s="175"/>
      <c r="BB222" s="42"/>
      <c r="BC222" s="431"/>
      <c r="BG222" s="315"/>
      <c r="BH222" s="42"/>
    </row>
    <row r="223" spans="51:60" x14ac:dyDescent="0.2">
      <c r="AY223" s="315"/>
      <c r="AZ223" s="326"/>
      <c r="BA223" s="175"/>
      <c r="BB223" s="42"/>
      <c r="BC223" s="431"/>
      <c r="BG223" s="315"/>
      <c r="BH223" s="42"/>
    </row>
    <row r="224" spans="51:60" x14ac:dyDescent="0.2">
      <c r="AY224" s="315"/>
      <c r="AZ224" s="326"/>
      <c r="BA224" s="175"/>
      <c r="BB224" s="42"/>
      <c r="BC224" s="431"/>
      <c r="BG224" s="315"/>
      <c r="BH224" s="42"/>
    </row>
    <row r="225" spans="51:60" x14ac:dyDescent="0.2">
      <c r="AY225" s="315"/>
      <c r="AZ225" s="326"/>
      <c r="BA225" s="175"/>
      <c r="BB225" s="42"/>
      <c r="BC225" s="431"/>
      <c r="BG225" s="315"/>
      <c r="BH225" s="42"/>
    </row>
    <row r="226" spans="51:60" x14ac:dyDescent="0.2">
      <c r="AY226" s="315"/>
      <c r="AZ226" s="326"/>
      <c r="BA226" s="175"/>
      <c r="BB226" s="42"/>
      <c r="BC226" s="431"/>
      <c r="BG226" s="315"/>
      <c r="BH226" s="42"/>
    </row>
    <row r="227" spans="51:60" x14ac:dyDescent="0.2">
      <c r="AY227" s="315"/>
      <c r="AZ227" s="326"/>
      <c r="BA227" s="175"/>
      <c r="BB227" s="42"/>
      <c r="BC227" s="431"/>
      <c r="BG227" s="315"/>
      <c r="BH227" s="42"/>
    </row>
    <row r="228" spans="51:60" x14ac:dyDescent="0.2">
      <c r="AY228" s="315"/>
      <c r="AZ228" s="326"/>
      <c r="BA228" s="175"/>
      <c r="BB228" s="42"/>
      <c r="BC228" s="431"/>
      <c r="BG228" s="315"/>
      <c r="BH228" s="42"/>
    </row>
    <row r="229" spans="51:60" x14ac:dyDescent="0.2">
      <c r="AY229" s="315"/>
      <c r="AZ229" s="326"/>
      <c r="BA229" s="175"/>
      <c r="BB229" s="42"/>
      <c r="BC229" s="431"/>
      <c r="BG229" s="315"/>
      <c r="BH229" s="42"/>
    </row>
    <row r="230" spans="51:60" x14ac:dyDescent="0.2">
      <c r="AY230" s="315"/>
      <c r="AZ230" s="326"/>
      <c r="BA230" s="175"/>
      <c r="BB230" s="42"/>
      <c r="BC230" s="431"/>
      <c r="BG230" s="315"/>
      <c r="BH230" s="42"/>
    </row>
    <row r="231" spans="51:60" x14ac:dyDescent="0.2">
      <c r="AY231" s="315"/>
      <c r="AZ231" s="326"/>
      <c r="BA231" s="175"/>
      <c r="BB231" s="42"/>
      <c r="BC231" s="431"/>
      <c r="BG231" s="315"/>
      <c r="BH231" s="42"/>
    </row>
    <row r="232" spans="51:60" x14ac:dyDescent="0.2">
      <c r="AY232" s="315"/>
      <c r="AZ232" s="326"/>
      <c r="BA232" s="175"/>
      <c r="BB232" s="42"/>
      <c r="BC232" s="431"/>
      <c r="BG232" s="315"/>
      <c r="BH232" s="42"/>
    </row>
    <row r="233" spans="51:60" x14ac:dyDescent="0.2">
      <c r="AY233" s="315"/>
      <c r="AZ233" s="326"/>
      <c r="BA233" s="175"/>
      <c r="BB233" s="42"/>
      <c r="BC233" s="431"/>
      <c r="BG233" s="315"/>
      <c r="BH233" s="42"/>
    </row>
    <row r="234" spans="51:60" x14ac:dyDescent="0.2">
      <c r="AY234" s="315"/>
      <c r="AZ234" s="326"/>
      <c r="BA234" s="175"/>
      <c r="BB234" s="42"/>
      <c r="BC234" s="431"/>
      <c r="BG234" s="315"/>
      <c r="BH234" s="42"/>
    </row>
    <row r="235" spans="51:60" x14ac:dyDescent="0.2">
      <c r="AY235" s="315"/>
      <c r="AZ235" s="326"/>
      <c r="BA235" s="175"/>
      <c r="BB235" s="42"/>
      <c r="BC235" s="431"/>
      <c r="BG235" s="315"/>
      <c r="BH235" s="42"/>
    </row>
    <row r="236" spans="51:60" x14ac:dyDescent="0.2">
      <c r="AY236" s="315"/>
      <c r="AZ236" s="326"/>
      <c r="BA236" s="175"/>
      <c r="BB236" s="42"/>
      <c r="BC236" s="431"/>
      <c r="BG236" s="315"/>
      <c r="BH236" s="42"/>
    </row>
    <row r="237" spans="51:60" x14ac:dyDescent="0.2">
      <c r="AY237" s="315"/>
      <c r="AZ237" s="326"/>
      <c r="BA237" s="175"/>
      <c r="BB237" s="42"/>
      <c r="BC237" s="431"/>
      <c r="BG237" s="315"/>
      <c r="BH237" s="42"/>
    </row>
    <row r="238" spans="51:60" x14ac:dyDescent="0.2">
      <c r="AY238" s="315"/>
      <c r="AZ238" s="326"/>
      <c r="BA238" s="175"/>
      <c r="BB238" s="42"/>
      <c r="BC238" s="431"/>
      <c r="BG238" s="315"/>
      <c r="BH238" s="42"/>
    </row>
    <row r="239" spans="51:60" x14ac:dyDescent="0.2">
      <c r="AY239" s="315"/>
      <c r="AZ239" s="326"/>
      <c r="BA239" s="175"/>
      <c r="BB239" s="42"/>
      <c r="BC239" s="431"/>
      <c r="BG239" s="315"/>
      <c r="BH239" s="42"/>
    </row>
    <row r="240" spans="51:60" x14ac:dyDescent="0.2">
      <c r="AY240" s="315"/>
      <c r="AZ240" s="326"/>
      <c r="BA240" s="175"/>
      <c r="BB240" s="42"/>
      <c r="BC240" s="431"/>
      <c r="BG240" s="315"/>
      <c r="BH240" s="42"/>
    </row>
    <row r="241" spans="51:60" x14ac:dyDescent="0.2">
      <c r="AY241" s="315"/>
      <c r="AZ241" s="326"/>
      <c r="BA241" s="175"/>
      <c r="BB241" s="42"/>
      <c r="BC241" s="431"/>
      <c r="BG241" s="315"/>
      <c r="BH241" s="42"/>
    </row>
    <row r="242" spans="51:60" x14ac:dyDescent="0.2">
      <c r="AY242" s="315"/>
      <c r="AZ242" s="326"/>
      <c r="BA242" s="175"/>
      <c r="BB242" s="42"/>
      <c r="BC242" s="431"/>
      <c r="BG242" s="315"/>
      <c r="BH242" s="42"/>
    </row>
    <row r="243" spans="51:60" x14ac:dyDescent="0.2">
      <c r="AY243" s="315"/>
      <c r="AZ243" s="326"/>
      <c r="BA243" s="175"/>
      <c r="BB243" s="42"/>
      <c r="BC243" s="431"/>
      <c r="BG243" s="315"/>
      <c r="BH243" s="42"/>
    </row>
    <row r="244" spans="51:60" x14ac:dyDescent="0.2">
      <c r="AY244" s="315"/>
      <c r="AZ244" s="326"/>
      <c r="BA244" s="175"/>
      <c r="BB244" s="42"/>
      <c r="BC244" s="431"/>
      <c r="BG244" s="315"/>
      <c r="BH244" s="42"/>
    </row>
    <row r="245" spans="51:60" x14ac:dyDescent="0.2">
      <c r="AY245" s="315"/>
      <c r="AZ245" s="326"/>
      <c r="BA245" s="175"/>
      <c r="BB245" s="42"/>
      <c r="BC245" s="431"/>
      <c r="BG245" s="315"/>
      <c r="BH245" s="42"/>
    </row>
    <row r="246" spans="51:60" x14ac:dyDescent="0.2">
      <c r="AY246" s="315"/>
      <c r="AZ246" s="326"/>
      <c r="BA246" s="175"/>
      <c r="BB246" s="42"/>
      <c r="BC246" s="431"/>
      <c r="BG246" s="315"/>
      <c r="BH246" s="42"/>
    </row>
    <row r="247" spans="51:60" x14ac:dyDescent="0.2">
      <c r="AY247" s="315"/>
      <c r="AZ247" s="326"/>
      <c r="BA247" s="175"/>
      <c r="BB247" s="42"/>
      <c r="BC247" s="431"/>
      <c r="BG247" s="315"/>
      <c r="BH247" s="42"/>
    </row>
    <row r="248" spans="51:60" x14ac:dyDescent="0.2">
      <c r="AY248" s="315"/>
      <c r="AZ248" s="326"/>
      <c r="BA248" s="175"/>
      <c r="BB248" s="42"/>
      <c r="BC248" s="431"/>
      <c r="BG248" s="315"/>
      <c r="BH248" s="42"/>
    </row>
    <row r="249" spans="51:60" x14ac:dyDescent="0.2">
      <c r="AY249" s="315"/>
      <c r="AZ249" s="326"/>
      <c r="BA249" s="175"/>
      <c r="BB249" s="42"/>
      <c r="BC249" s="431"/>
      <c r="BG249" s="315"/>
      <c r="BH249" s="42"/>
    </row>
    <row r="250" spans="51:60" x14ac:dyDescent="0.2">
      <c r="AY250" s="315"/>
      <c r="AZ250" s="326"/>
      <c r="BA250" s="175"/>
      <c r="BB250" s="42"/>
      <c r="BC250" s="431"/>
      <c r="BG250" s="315"/>
      <c r="BH250" s="42"/>
    </row>
    <row r="251" spans="51:60" x14ac:dyDescent="0.2">
      <c r="AY251" s="315"/>
      <c r="AZ251" s="326"/>
      <c r="BA251" s="175"/>
      <c r="BB251" s="42"/>
      <c r="BC251" s="431"/>
      <c r="BG251" s="315"/>
      <c r="BH251" s="42"/>
    </row>
    <row r="252" spans="51:60" x14ac:dyDescent="0.2">
      <c r="AY252" s="315"/>
      <c r="AZ252" s="326"/>
      <c r="BA252" s="175"/>
      <c r="BB252" s="42"/>
      <c r="BC252" s="431"/>
      <c r="BG252" s="315"/>
      <c r="BH252" s="42"/>
    </row>
    <row r="253" spans="51:60" x14ac:dyDescent="0.2">
      <c r="AY253" s="315"/>
      <c r="AZ253" s="326"/>
      <c r="BA253" s="175"/>
      <c r="BB253" s="42"/>
      <c r="BC253" s="431"/>
      <c r="BG253" s="315"/>
      <c r="BH253" s="42"/>
    </row>
    <row r="254" spans="51:60" x14ac:dyDescent="0.2">
      <c r="AY254" s="315"/>
      <c r="AZ254" s="326"/>
      <c r="BA254" s="175"/>
      <c r="BB254" s="42"/>
      <c r="BC254" s="431"/>
      <c r="BG254" s="315"/>
      <c r="BH254" s="42"/>
    </row>
    <row r="255" spans="51:60" x14ac:dyDescent="0.2">
      <c r="AY255" s="315"/>
      <c r="AZ255" s="326"/>
      <c r="BA255" s="175"/>
      <c r="BB255" s="42"/>
      <c r="BC255" s="431"/>
      <c r="BG255" s="315"/>
      <c r="BH255" s="42"/>
    </row>
    <row r="256" spans="51:60" x14ac:dyDescent="0.2">
      <c r="AY256" s="315"/>
      <c r="AZ256" s="326"/>
      <c r="BA256" s="175"/>
      <c r="BB256" s="42"/>
      <c r="BC256" s="431"/>
      <c r="BG256" s="315"/>
      <c r="BH256" s="42"/>
    </row>
    <row r="257" spans="51:60" x14ac:dyDescent="0.2">
      <c r="AY257" s="315"/>
      <c r="AZ257" s="326"/>
      <c r="BA257" s="175"/>
      <c r="BB257" s="42"/>
      <c r="BC257" s="431"/>
      <c r="BG257" s="315"/>
      <c r="BH257" s="42"/>
    </row>
    <row r="258" spans="51:60" x14ac:dyDescent="0.2">
      <c r="AY258" s="315"/>
      <c r="AZ258" s="326"/>
      <c r="BA258" s="175"/>
      <c r="BB258" s="42"/>
      <c r="BC258" s="431"/>
      <c r="BG258" s="315"/>
      <c r="BH258" s="42"/>
    </row>
    <row r="259" spans="51:60" x14ac:dyDescent="0.2">
      <c r="AY259" s="315"/>
      <c r="AZ259" s="326"/>
      <c r="BA259" s="175"/>
      <c r="BB259" s="42"/>
      <c r="BC259" s="431"/>
      <c r="BG259" s="315"/>
      <c r="BH259" s="42"/>
    </row>
    <row r="260" spans="51:60" x14ac:dyDescent="0.2">
      <c r="AY260" s="315"/>
      <c r="AZ260" s="326"/>
      <c r="BA260" s="175"/>
      <c r="BB260" s="42"/>
      <c r="BC260" s="431"/>
      <c r="BG260" s="315"/>
      <c r="BH260" s="42"/>
    </row>
    <row r="261" spans="51:60" x14ac:dyDescent="0.2">
      <c r="AY261" s="315"/>
      <c r="AZ261" s="326"/>
      <c r="BA261" s="175"/>
      <c r="BB261" s="42"/>
      <c r="BC261" s="431"/>
      <c r="BG261" s="315"/>
      <c r="BH261" s="42"/>
    </row>
    <row r="262" spans="51:60" x14ac:dyDescent="0.2">
      <c r="AY262" s="315"/>
      <c r="AZ262" s="326"/>
      <c r="BA262" s="175"/>
      <c r="BB262" s="42"/>
      <c r="BC262" s="431"/>
      <c r="BG262" s="315"/>
      <c r="BH262" s="42"/>
    </row>
    <row r="263" spans="51:60" x14ac:dyDescent="0.2">
      <c r="AY263" s="315"/>
      <c r="AZ263" s="326"/>
      <c r="BA263" s="175"/>
      <c r="BB263" s="42"/>
      <c r="BC263" s="431"/>
      <c r="BG263" s="315"/>
      <c r="BH263" s="42"/>
    </row>
    <row r="264" spans="51:60" x14ac:dyDescent="0.2">
      <c r="AY264" s="315"/>
      <c r="AZ264" s="326"/>
      <c r="BA264" s="175"/>
      <c r="BB264" s="42"/>
      <c r="BC264" s="431"/>
      <c r="BG264" s="315"/>
      <c r="BH264" s="42"/>
    </row>
    <row r="265" spans="51:60" x14ac:dyDescent="0.2">
      <c r="AY265" s="315"/>
      <c r="AZ265" s="326"/>
      <c r="BA265" s="175"/>
      <c r="BB265" s="42"/>
      <c r="BC265" s="431"/>
      <c r="BG265" s="315"/>
      <c r="BH265" s="42"/>
    </row>
    <row r="266" spans="51:60" x14ac:dyDescent="0.2">
      <c r="AY266" s="315"/>
      <c r="AZ266" s="326"/>
      <c r="BA266" s="175"/>
      <c r="BB266" s="42"/>
      <c r="BC266" s="431"/>
      <c r="BG266" s="315"/>
      <c r="BH266" s="42"/>
    </row>
    <row r="267" spans="51:60" x14ac:dyDescent="0.2">
      <c r="AY267" s="315"/>
      <c r="AZ267" s="326"/>
      <c r="BA267" s="175"/>
      <c r="BB267" s="42"/>
      <c r="BC267" s="431"/>
      <c r="BG267" s="315"/>
      <c r="BH267" s="42"/>
    </row>
    <row r="268" spans="51:60" x14ac:dyDescent="0.2">
      <c r="AY268" s="315"/>
      <c r="AZ268" s="326"/>
      <c r="BA268" s="175"/>
      <c r="BB268" s="42"/>
      <c r="BC268" s="431"/>
      <c r="BG268" s="315"/>
      <c r="BH268" s="42"/>
    </row>
    <row r="269" spans="51:60" x14ac:dyDescent="0.2">
      <c r="AY269" s="315"/>
      <c r="AZ269" s="326"/>
      <c r="BA269" s="175"/>
      <c r="BB269" s="42"/>
      <c r="BC269" s="431"/>
      <c r="BG269" s="315"/>
      <c r="BH269" s="42"/>
    </row>
    <row r="270" spans="51:60" x14ac:dyDescent="0.2">
      <c r="AY270" s="315"/>
      <c r="AZ270" s="326"/>
      <c r="BA270" s="175"/>
      <c r="BB270" s="42"/>
      <c r="BC270" s="431"/>
      <c r="BG270" s="315"/>
      <c r="BH270" s="42"/>
    </row>
    <row r="271" spans="51:60" x14ac:dyDescent="0.2">
      <c r="AY271" s="315"/>
      <c r="AZ271" s="326"/>
      <c r="BA271" s="175"/>
      <c r="BB271" s="42"/>
      <c r="BC271" s="431"/>
      <c r="BG271" s="315"/>
      <c r="BH271" s="42"/>
    </row>
    <row r="272" spans="51:60" x14ac:dyDescent="0.2">
      <c r="AY272" s="315"/>
      <c r="AZ272" s="326"/>
      <c r="BA272" s="175"/>
      <c r="BB272" s="42"/>
      <c r="BC272" s="431"/>
      <c r="BG272" s="315"/>
      <c r="BH272" s="42"/>
    </row>
    <row r="273" spans="51:60" x14ac:dyDescent="0.2">
      <c r="AY273" s="315"/>
      <c r="AZ273" s="326"/>
      <c r="BA273" s="175"/>
      <c r="BB273" s="42"/>
      <c r="BC273" s="431"/>
      <c r="BG273" s="315"/>
      <c r="BH273" s="42"/>
    </row>
    <row r="274" spans="51:60" x14ac:dyDescent="0.2">
      <c r="AY274" s="315"/>
      <c r="AZ274" s="326"/>
      <c r="BA274" s="175"/>
      <c r="BB274" s="42"/>
      <c r="BC274" s="431"/>
      <c r="BG274" s="315"/>
      <c r="BH274" s="42"/>
    </row>
    <row r="275" spans="51:60" x14ac:dyDescent="0.2">
      <c r="AY275" s="315"/>
      <c r="AZ275" s="326"/>
      <c r="BA275" s="175"/>
      <c r="BB275" s="42"/>
      <c r="BC275" s="431"/>
      <c r="BG275" s="315"/>
      <c r="BH275" s="42"/>
    </row>
    <row r="276" spans="51:60" x14ac:dyDescent="0.2">
      <c r="AY276" s="315"/>
      <c r="AZ276" s="326"/>
      <c r="BA276" s="175"/>
      <c r="BB276" s="42"/>
      <c r="BC276" s="431"/>
      <c r="BG276" s="315"/>
      <c r="BH276" s="42"/>
    </row>
    <row r="277" spans="51:60" x14ac:dyDescent="0.2">
      <c r="AY277" s="315"/>
      <c r="AZ277" s="326"/>
      <c r="BA277" s="175"/>
      <c r="BB277" s="42"/>
      <c r="BC277" s="431"/>
      <c r="BG277" s="315"/>
      <c r="BH277" s="42"/>
    </row>
    <row r="278" spans="51:60" x14ac:dyDescent="0.2">
      <c r="AY278" s="315"/>
      <c r="AZ278" s="326"/>
      <c r="BA278" s="175"/>
      <c r="BB278" s="42"/>
      <c r="BC278" s="431"/>
      <c r="BG278" s="315"/>
      <c r="BH278" s="42"/>
    </row>
    <row r="279" spans="51:60" x14ac:dyDescent="0.2">
      <c r="AY279" s="315"/>
      <c r="AZ279" s="326"/>
      <c r="BA279" s="175"/>
      <c r="BB279" s="42"/>
      <c r="BC279" s="431"/>
      <c r="BG279" s="315"/>
      <c r="BH279" s="42"/>
    </row>
    <row r="280" spans="51:60" x14ac:dyDescent="0.2">
      <c r="AY280" s="315"/>
      <c r="AZ280" s="326"/>
      <c r="BA280" s="175"/>
      <c r="BB280" s="42"/>
      <c r="BC280" s="431"/>
      <c r="BG280" s="315"/>
      <c r="BH280" s="42"/>
    </row>
    <row r="281" spans="51:60" x14ac:dyDescent="0.2">
      <c r="AY281" s="315"/>
      <c r="AZ281" s="326"/>
      <c r="BA281" s="175"/>
      <c r="BB281" s="42"/>
      <c r="BC281" s="431"/>
      <c r="BG281" s="315"/>
      <c r="BH281" s="42"/>
    </row>
    <row r="282" spans="51:60" x14ac:dyDescent="0.2">
      <c r="AY282" s="315"/>
      <c r="AZ282" s="326"/>
      <c r="BA282" s="175"/>
      <c r="BB282" s="42"/>
      <c r="BC282" s="431"/>
      <c r="BG282" s="315"/>
      <c r="BH282" s="42"/>
    </row>
    <row r="283" spans="51:60" x14ac:dyDescent="0.2">
      <c r="AY283" s="315"/>
      <c r="AZ283" s="326"/>
      <c r="BA283" s="175"/>
      <c r="BB283" s="42"/>
      <c r="BC283" s="431"/>
      <c r="BG283" s="315"/>
      <c r="BH283" s="42"/>
    </row>
    <row r="284" spans="51:60" x14ac:dyDescent="0.2">
      <c r="AY284" s="315"/>
      <c r="AZ284" s="326"/>
      <c r="BA284" s="175"/>
      <c r="BB284" s="42"/>
      <c r="BC284" s="431"/>
      <c r="BG284" s="315"/>
      <c r="BH284" s="42"/>
    </row>
    <row r="285" spans="51:60" x14ac:dyDescent="0.2">
      <c r="AY285" s="315"/>
      <c r="AZ285" s="326"/>
      <c r="BA285" s="175"/>
      <c r="BB285" s="42"/>
      <c r="BC285" s="431"/>
      <c r="BG285" s="315"/>
      <c r="BH285" s="42"/>
    </row>
    <row r="286" spans="51:60" x14ac:dyDescent="0.2">
      <c r="AY286" s="315"/>
      <c r="AZ286" s="326"/>
      <c r="BA286" s="175"/>
      <c r="BB286" s="42"/>
      <c r="BC286" s="431"/>
      <c r="BG286" s="315"/>
      <c r="BH286" s="42"/>
    </row>
    <row r="287" spans="51:60" x14ac:dyDescent="0.2">
      <c r="AY287" s="315"/>
      <c r="AZ287" s="326"/>
      <c r="BA287" s="175"/>
      <c r="BB287" s="42"/>
      <c r="BC287" s="431"/>
      <c r="BG287" s="315"/>
      <c r="BH287" s="42"/>
    </row>
    <row r="288" spans="51:60" x14ac:dyDescent="0.2">
      <c r="AY288" s="315"/>
      <c r="AZ288" s="326"/>
      <c r="BA288" s="175"/>
      <c r="BB288" s="42"/>
      <c r="BC288" s="431"/>
      <c r="BG288" s="315"/>
      <c r="BH288" s="42"/>
    </row>
    <row r="289" spans="51:60" x14ac:dyDescent="0.2">
      <c r="AY289" s="315"/>
      <c r="AZ289" s="326"/>
      <c r="BA289" s="175"/>
      <c r="BB289" s="42"/>
      <c r="BC289" s="431"/>
      <c r="BG289" s="315"/>
      <c r="BH289" s="42"/>
    </row>
    <row r="290" spans="51:60" x14ac:dyDescent="0.2">
      <c r="AY290" s="315"/>
      <c r="AZ290" s="326"/>
      <c r="BA290" s="175"/>
      <c r="BB290" s="42"/>
      <c r="BC290" s="431"/>
      <c r="BG290" s="315"/>
      <c r="BH290" s="42"/>
    </row>
    <row r="291" spans="51:60" x14ac:dyDescent="0.2">
      <c r="AY291" s="315"/>
      <c r="AZ291" s="326"/>
      <c r="BA291" s="175"/>
      <c r="BB291" s="42"/>
      <c r="BC291" s="431"/>
      <c r="BG291" s="315"/>
      <c r="BH291" s="42"/>
    </row>
    <row r="292" spans="51:60" x14ac:dyDescent="0.2">
      <c r="AY292" s="315"/>
      <c r="AZ292" s="326"/>
      <c r="BA292" s="175"/>
      <c r="BB292" s="42"/>
      <c r="BC292" s="431"/>
      <c r="BG292" s="315"/>
      <c r="BH292" s="42"/>
    </row>
    <row r="293" spans="51:60" x14ac:dyDescent="0.2">
      <c r="AY293" s="315"/>
      <c r="AZ293" s="326"/>
      <c r="BA293" s="175"/>
      <c r="BB293" s="42"/>
      <c r="BC293" s="431"/>
      <c r="BG293" s="315"/>
      <c r="BH293" s="42"/>
    </row>
    <row r="294" spans="51:60" x14ac:dyDescent="0.2">
      <c r="AY294" s="315"/>
      <c r="AZ294" s="326"/>
      <c r="BA294" s="175"/>
      <c r="BB294" s="42"/>
      <c r="BC294" s="431"/>
      <c r="BG294" s="315"/>
      <c r="BH294" s="42"/>
    </row>
    <row r="295" spans="51:60" x14ac:dyDescent="0.2">
      <c r="AY295" s="315"/>
      <c r="AZ295" s="326"/>
      <c r="BA295" s="175"/>
      <c r="BB295" s="42"/>
      <c r="BC295" s="431"/>
      <c r="BG295" s="315"/>
      <c r="BH295" s="42"/>
    </row>
    <row r="296" spans="51:60" x14ac:dyDescent="0.2">
      <c r="AY296" s="315"/>
      <c r="AZ296" s="326"/>
      <c r="BA296" s="175"/>
      <c r="BB296" s="42"/>
      <c r="BC296" s="431"/>
      <c r="BG296" s="315"/>
      <c r="BH296" s="42"/>
    </row>
    <row r="297" spans="51:60" x14ac:dyDescent="0.2">
      <c r="AY297" s="315"/>
      <c r="AZ297" s="326"/>
      <c r="BA297" s="175"/>
      <c r="BB297" s="42"/>
      <c r="BC297" s="431"/>
      <c r="BG297" s="315"/>
      <c r="BH297" s="42"/>
    </row>
    <row r="298" spans="51:60" x14ac:dyDescent="0.2">
      <c r="AY298" s="315"/>
      <c r="AZ298" s="326"/>
      <c r="BA298" s="175"/>
      <c r="BB298" s="42"/>
      <c r="BC298" s="431"/>
      <c r="BG298" s="315"/>
      <c r="BH298" s="42"/>
    </row>
    <row r="299" spans="51:60" x14ac:dyDescent="0.2">
      <c r="AY299" s="315"/>
      <c r="AZ299" s="326"/>
      <c r="BA299" s="175"/>
      <c r="BB299" s="42"/>
      <c r="BC299" s="431"/>
      <c r="BG299" s="315"/>
      <c r="BH299" s="42"/>
    </row>
    <row r="300" spans="51:60" x14ac:dyDescent="0.2">
      <c r="AY300" s="315"/>
      <c r="AZ300" s="326"/>
      <c r="BA300" s="175"/>
      <c r="BB300" s="42"/>
      <c r="BC300" s="431"/>
      <c r="BG300" s="315"/>
      <c r="BH300" s="42"/>
    </row>
    <row r="301" spans="51:60" x14ac:dyDescent="0.2">
      <c r="AY301" s="315"/>
      <c r="AZ301" s="326"/>
      <c r="BA301" s="175"/>
      <c r="BB301" s="42"/>
      <c r="BC301" s="431"/>
      <c r="BG301" s="315"/>
      <c r="BH301" s="42"/>
    </row>
    <row r="302" spans="51:60" x14ac:dyDescent="0.2">
      <c r="AY302" s="315"/>
      <c r="AZ302" s="326"/>
      <c r="BA302" s="175"/>
      <c r="BB302" s="42"/>
      <c r="BC302" s="431"/>
      <c r="BG302" s="315"/>
      <c r="BH302" s="42"/>
    </row>
    <row r="303" spans="51:60" x14ac:dyDescent="0.2">
      <c r="AY303" s="315"/>
      <c r="AZ303" s="326"/>
      <c r="BA303" s="175"/>
      <c r="BB303" s="42"/>
      <c r="BC303" s="431"/>
      <c r="BG303" s="315"/>
      <c r="BH303" s="42"/>
    </row>
    <row r="304" spans="51:60" x14ac:dyDescent="0.2">
      <c r="AY304" s="315"/>
      <c r="AZ304" s="326"/>
      <c r="BA304" s="175"/>
      <c r="BB304" s="42"/>
      <c r="BC304" s="431"/>
      <c r="BG304" s="315"/>
      <c r="BH304" s="42"/>
    </row>
    <row r="305" spans="51:60" x14ac:dyDescent="0.2">
      <c r="AY305" s="315"/>
      <c r="AZ305" s="326"/>
      <c r="BA305" s="175"/>
      <c r="BB305" s="42"/>
      <c r="BC305" s="431"/>
      <c r="BG305" s="315"/>
      <c r="BH305" s="42"/>
    </row>
    <row r="306" spans="51:60" x14ac:dyDescent="0.2">
      <c r="AY306" s="315"/>
      <c r="AZ306" s="326"/>
      <c r="BA306" s="175"/>
      <c r="BB306" s="42"/>
      <c r="BC306" s="431"/>
      <c r="BG306" s="315"/>
      <c r="BH306" s="42"/>
    </row>
    <row r="307" spans="51:60" x14ac:dyDescent="0.2">
      <c r="AY307" s="315"/>
      <c r="AZ307" s="326"/>
      <c r="BA307" s="175"/>
      <c r="BB307" s="42"/>
      <c r="BC307" s="431"/>
      <c r="BG307" s="315"/>
      <c r="BH307" s="42"/>
    </row>
    <row r="308" spans="51:60" x14ac:dyDescent="0.2">
      <c r="AY308" s="315"/>
      <c r="AZ308" s="326"/>
      <c r="BA308" s="175"/>
      <c r="BB308" s="42"/>
      <c r="BC308" s="431"/>
      <c r="BG308" s="315"/>
      <c r="BH308" s="42"/>
    </row>
    <row r="309" spans="51:60" x14ac:dyDescent="0.2">
      <c r="AY309" s="315"/>
      <c r="AZ309" s="326"/>
      <c r="BA309" s="175"/>
      <c r="BB309" s="42"/>
      <c r="BC309" s="431"/>
      <c r="BG309" s="315"/>
      <c r="BH309" s="42"/>
    </row>
    <row r="310" spans="51:60" x14ac:dyDescent="0.2">
      <c r="AY310" s="315"/>
      <c r="AZ310" s="326"/>
      <c r="BA310" s="175"/>
      <c r="BB310" s="42"/>
      <c r="BC310" s="431"/>
      <c r="BG310" s="315"/>
      <c r="BH310" s="42"/>
    </row>
    <row r="311" spans="51:60" x14ac:dyDescent="0.2">
      <c r="AY311" s="315"/>
      <c r="AZ311" s="326"/>
      <c r="BA311" s="175"/>
      <c r="BB311" s="42"/>
      <c r="BC311" s="431"/>
      <c r="BG311" s="315"/>
      <c r="BH311" s="42"/>
    </row>
    <row r="312" spans="51:60" x14ac:dyDescent="0.2">
      <c r="AY312" s="315"/>
      <c r="AZ312" s="326"/>
      <c r="BA312" s="175"/>
      <c r="BB312" s="42"/>
      <c r="BC312" s="431"/>
      <c r="BG312" s="315"/>
      <c r="BH312" s="42"/>
    </row>
    <row r="313" spans="51:60" x14ac:dyDescent="0.2">
      <c r="AY313" s="315"/>
      <c r="AZ313" s="326"/>
      <c r="BA313" s="175"/>
      <c r="BB313" s="42"/>
      <c r="BC313" s="431"/>
      <c r="BG313" s="315"/>
      <c r="BH313" s="42"/>
    </row>
    <row r="314" spans="51:60" x14ac:dyDescent="0.2">
      <c r="AY314" s="315"/>
      <c r="AZ314" s="326"/>
      <c r="BA314" s="175"/>
      <c r="BB314" s="42"/>
      <c r="BC314" s="431"/>
      <c r="BG314" s="315"/>
      <c r="BH314" s="42"/>
    </row>
    <row r="315" spans="51:60" x14ac:dyDescent="0.2">
      <c r="AY315" s="315"/>
      <c r="AZ315" s="326"/>
      <c r="BA315" s="175"/>
      <c r="BB315" s="42"/>
      <c r="BC315" s="431"/>
      <c r="BG315" s="315"/>
      <c r="BH315" s="42"/>
    </row>
    <row r="316" spans="51:60" x14ac:dyDescent="0.2">
      <c r="AY316" s="315"/>
      <c r="AZ316" s="326"/>
      <c r="BA316" s="175"/>
      <c r="BB316" s="42"/>
      <c r="BC316" s="431"/>
      <c r="BG316" s="315"/>
      <c r="BH316" s="42"/>
    </row>
    <row r="317" spans="51:60" x14ac:dyDescent="0.2">
      <c r="AY317" s="315"/>
      <c r="AZ317" s="326"/>
      <c r="BA317" s="175"/>
      <c r="BB317" s="42"/>
      <c r="BC317" s="431"/>
      <c r="BG317" s="315"/>
      <c r="BH317" s="42"/>
    </row>
    <row r="318" spans="51:60" x14ac:dyDescent="0.2">
      <c r="AY318" s="315"/>
      <c r="AZ318" s="326"/>
      <c r="BA318" s="175"/>
      <c r="BB318" s="42"/>
      <c r="BC318" s="431"/>
      <c r="BG318" s="315"/>
      <c r="BH318" s="42"/>
    </row>
    <row r="319" spans="51:60" x14ac:dyDescent="0.2">
      <c r="AY319" s="315"/>
      <c r="AZ319" s="326"/>
      <c r="BA319" s="175"/>
      <c r="BB319" s="42"/>
      <c r="BC319" s="431"/>
      <c r="BG319" s="315"/>
      <c r="BH319" s="42"/>
    </row>
    <row r="320" spans="51:60" x14ac:dyDescent="0.2">
      <c r="AY320" s="315"/>
      <c r="AZ320" s="326"/>
      <c r="BA320" s="175"/>
      <c r="BB320" s="42"/>
      <c r="BC320" s="431"/>
      <c r="BG320" s="315"/>
      <c r="BH320" s="42"/>
    </row>
    <row r="321" spans="51:60" x14ac:dyDescent="0.2">
      <c r="AY321" s="315"/>
      <c r="AZ321" s="326"/>
      <c r="BA321" s="175"/>
      <c r="BB321" s="42"/>
      <c r="BC321" s="431"/>
      <c r="BG321" s="315"/>
      <c r="BH321" s="42"/>
    </row>
    <row r="322" spans="51:60" x14ac:dyDescent="0.2">
      <c r="AY322" s="315"/>
      <c r="AZ322" s="326"/>
      <c r="BA322" s="175"/>
      <c r="BB322" s="42"/>
      <c r="BC322" s="431"/>
      <c r="BG322" s="315"/>
      <c r="BH322" s="42"/>
    </row>
    <row r="323" spans="51:60" x14ac:dyDescent="0.2">
      <c r="AY323" s="315"/>
      <c r="AZ323" s="326"/>
      <c r="BA323" s="175"/>
      <c r="BB323" s="42"/>
      <c r="BC323" s="431"/>
      <c r="BG323" s="315"/>
      <c r="BH323" s="42"/>
    </row>
    <row r="324" spans="51:60" x14ac:dyDescent="0.2">
      <c r="AY324" s="315"/>
      <c r="AZ324" s="326"/>
      <c r="BA324" s="175"/>
      <c r="BB324" s="42"/>
      <c r="BC324" s="431"/>
      <c r="BG324" s="315"/>
      <c r="BH324" s="42"/>
    </row>
    <row r="325" spans="51:60" x14ac:dyDescent="0.2">
      <c r="AY325" s="315"/>
      <c r="AZ325" s="326"/>
      <c r="BA325" s="175"/>
      <c r="BB325" s="42"/>
      <c r="BC325" s="431"/>
      <c r="BG325" s="315"/>
      <c r="BH325" s="42"/>
    </row>
    <row r="326" spans="51:60" x14ac:dyDescent="0.2">
      <c r="AY326" s="315"/>
      <c r="AZ326" s="326"/>
      <c r="BA326" s="175"/>
      <c r="BB326" s="42"/>
      <c r="BC326" s="431"/>
      <c r="BG326" s="315"/>
      <c r="BH326" s="42"/>
    </row>
    <row r="327" spans="51:60" x14ac:dyDescent="0.2">
      <c r="AY327" s="315"/>
      <c r="AZ327" s="326"/>
      <c r="BA327" s="175"/>
      <c r="BB327" s="42"/>
      <c r="BC327" s="431"/>
      <c r="BG327" s="315"/>
      <c r="BH327" s="42"/>
    </row>
    <row r="328" spans="51:60" x14ac:dyDescent="0.2">
      <c r="AY328" s="315"/>
      <c r="AZ328" s="326"/>
      <c r="BA328" s="175"/>
      <c r="BB328" s="42"/>
      <c r="BC328" s="431"/>
      <c r="BG328" s="315"/>
      <c r="BH328" s="42"/>
    </row>
    <row r="329" spans="51:60" x14ac:dyDescent="0.2">
      <c r="AY329" s="315"/>
      <c r="AZ329" s="326"/>
      <c r="BA329" s="175"/>
      <c r="BB329" s="42"/>
      <c r="BC329" s="431"/>
      <c r="BG329" s="315"/>
      <c r="BH329" s="42"/>
    </row>
    <row r="330" spans="51:60" x14ac:dyDescent="0.2">
      <c r="AY330" s="315"/>
      <c r="AZ330" s="326"/>
      <c r="BA330" s="175"/>
      <c r="BB330" s="42"/>
      <c r="BC330" s="431"/>
      <c r="BG330" s="315"/>
      <c r="BH330" s="42"/>
    </row>
    <row r="331" spans="51:60" x14ac:dyDescent="0.2">
      <c r="AY331" s="315"/>
      <c r="AZ331" s="326"/>
      <c r="BA331" s="175"/>
      <c r="BB331" s="42"/>
      <c r="BC331" s="431"/>
      <c r="BG331" s="315"/>
      <c r="BH331" s="42"/>
    </row>
    <row r="332" spans="51:60" x14ac:dyDescent="0.2">
      <c r="AY332" s="315"/>
      <c r="AZ332" s="326"/>
      <c r="BA332" s="175"/>
      <c r="BB332" s="42"/>
      <c r="BC332" s="431"/>
      <c r="BG332" s="315"/>
      <c r="BH332" s="42"/>
    </row>
    <row r="333" spans="51:60" x14ac:dyDescent="0.2">
      <c r="AY333" s="315"/>
      <c r="AZ333" s="326"/>
      <c r="BA333" s="175"/>
      <c r="BB333" s="42"/>
      <c r="BC333" s="431"/>
      <c r="BG333" s="315"/>
      <c r="BH333" s="42"/>
    </row>
    <row r="334" spans="51:60" x14ac:dyDescent="0.2">
      <c r="AY334" s="315"/>
      <c r="AZ334" s="326"/>
      <c r="BA334" s="175"/>
      <c r="BB334" s="42"/>
      <c r="BC334" s="431"/>
      <c r="BG334" s="315"/>
      <c r="BH334" s="42"/>
    </row>
    <row r="335" spans="51:60" x14ac:dyDescent="0.2">
      <c r="AY335" s="315"/>
      <c r="AZ335" s="326"/>
      <c r="BA335" s="175"/>
      <c r="BB335" s="42"/>
      <c r="BC335" s="431"/>
      <c r="BG335" s="315"/>
      <c r="BH335" s="42"/>
    </row>
    <row r="336" spans="51:60" x14ac:dyDescent="0.2">
      <c r="AY336" s="315"/>
      <c r="AZ336" s="326"/>
      <c r="BA336" s="175"/>
      <c r="BB336" s="42"/>
      <c r="BC336" s="431"/>
      <c r="BG336" s="315"/>
      <c r="BH336" s="42"/>
    </row>
    <row r="337" spans="51:60" x14ac:dyDescent="0.2">
      <c r="AY337" s="315"/>
      <c r="AZ337" s="326"/>
      <c r="BA337" s="175"/>
      <c r="BB337" s="42"/>
      <c r="BC337" s="431"/>
      <c r="BG337" s="315"/>
      <c r="BH337" s="42"/>
    </row>
    <row r="338" spans="51:60" x14ac:dyDescent="0.2">
      <c r="AY338" s="315"/>
      <c r="AZ338" s="326"/>
      <c r="BA338" s="175"/>
      <c r="BB338" s="42"/>
      <c r="BC338" s="431"/>
      <c r="BG338" s="315"/>
      <c r="BH338" s="42"/>
    </row>
    <row r="339" spans="51:60" x14ac:dyDescent="0.2">
      <c r="AY339" s="315"/>
      <c r="AZ339" s="326"/>
      <c r="BA339" s="175"/>
      <c r="BB339" s="42"/>
      <c r="BC339" s="431"/>
      <c r="BG339" s="315"/>
      <c r="BH339" s="42"/>
    </row>
    <row r="340" spans="51:60" x14ac:dyDescent="0.2">
      <c r="AY340" s="315"/>
      <c r="AZ340" s="326"/>
      <c r="BA340" s="175"/>
      <c r="BB340" s="42"/>
      <c r="BC340" s="431"/>
      <c r="BG340" s="315"/>
      <c r="BH340" s="42"/>
    </row>
    <row r="341" spans="51:60" x14ac:dyDescent="0.2">
      <c r="AY341" s="315"/>
      <c r="AZ341" s="326"/>
      <c r="BA341" s="175"/>
      <c r="BB341" s="42"/>
      <c r="BC341" s="431"/>
      <c r="BG341" s="315"/>
      <c r="BH341" s="42"/>
    </row>
    <row r="342" spans="51:60" x14ac:dyDescent="0.2">
      <c r="AY342" s="315"/>
      <c r="AZ342" s="326"/>
      <c r="BA342" s="175"/>
      <c r="BB342" s="42"/>
      <c r="BC342" s="431"/>
      <c r="BG342" s="315"/>
      <c r="BH342" s="42"/>
    </row>
    <row r="343" spans="51:60" x14ac:dyDescent="0.2">
      <c r="AY343" s="315"/>
      <c r="AZ343" s="326"/>
      <c r="BA343" s="175"/>
      <c r="BB343" s="42"/>
      <c r="BC343" s="431"/>
      <c r="BG343" s="315"/>
      <c r="BH343" s="42"/>
    </row>
    <row r="344" spans="51:60" x14ac:dyDescent="0.2">
      <c r="AY344" s="315"/>
      <c r="AZ344" s="326"/>
      <c r="BA344" s="175"/>
      <c r="BB344" s="42"/>
      <c r="BC344" s="431"/>
      <c r="BG344" s="315"/>
      <c r="BH344" s="42"/>
    </row>
    <row r="345" spans="51:60" x14ac:dyDescent="0.2">
      <c r="AY345" s="315"/>
      <c r="AZ345" s="326"/>
      <c r="BA345" s="175"/>
      <c r="BB345" s="42"/>
      <c r="BC345" s="431"/>
      <c r="BG345" s="315"/>
      <c r="BH345" s="42"/>
    </row>
    <row r="346" spans="51:60" x14ac:dyDescent="0.2">
      <c r="AY346" s="315"/>
      <c r="AZ346" s="326"/>
      <c r="BA346" s="175"/>
      <c r="BB346" s="42"/>
      <c r="BC346" s="431"/>
      <c r="BG346" s="315"/>
      <c r="BH346" s="42"/>
    </row>
    <row r="347" spans="51:60" x14ac:dyDescent="0.2">
      <c r="AY347" s="315"/>
      <c r="AZ347" s="326"/>
      <c r="BA347" s="175"/>
      <c r="BB347" s="42"/>
      <c r="BC347" s="431"/>
      <c r="BG347" s="315"/>
      <c r="BH347" s="42"/>
    </row>
    <row r="348" spans="51:60" x14ac:dyDescent="0.2">
      <c r="AY348" s="315"/>
      <c r="AZ348" s="326"/>
      <c r="BA348" s="175"/>
      <c r="BB348" s="42"/>
      <c r="BC348" s="431"/>
      <c r="BG348" s="315"/>
      <c r="BH348" s="42"/>
    </row>
    <row r="349" spans="51:60" x14ac:dyDescent="0.2">
      <c r="AY349" s="315"/>
      <c r="AZ349" s="326"/>
      <c r="BA349" s="175"/>
      <c r="BB349" s="42"/>
      <c r="BC349" s="431"/>
      <c r="BG349" s="315"/>
      <c r="BH349" s="42"/>
    </row>
    <row r="350" spans="51:60" x14ac:dyDescent="0.2">
      <c r="AY350" s="315"/>
      <c r="AZ350" s="326"/>
      <c r="BA350" s="175"/>
      <c r="BB350" s="42"/>
      <c r="BC350" s="431"/>
      <c r="BG350" s="315"/>
      <c r="BH350" s="42"/>
    </row>
    <row r="351" spans="51:60" x14ac:dyDescent="0.2">
      <c r="AY351" s="315"/>
      <c r="AZ351" s="326"/>
      <c r="BA351" s="175"/>
      <c r="BB351" s="42"/>
      <c r="BC351" s="431"/>
      <c r="BG351" s="315"/>
      <c r="BH351" s="42"/>
    </row>
    <row r="352" spans="51:60" x14ac:dyDescent="0.2">
      <c r="AY352" s="315"/>
      <c r="AZ352" s="326"/>
      <c r="BA352" s="175"/>
      <c r="BB352" s="42"/>
      <c r="BC352" s="431"/>
      <c r="BG352" s="315"/>
      <c r="BH352" s="42"/>
    </row>
    <row r="353" spans="51:60" x14ac:dyDescent="0.2">
      <c r="AY353" s="315"/>
      <c r="AZ353" s="326"/>
      <c r="BA353" s="175"/>
      <c r="BB353" s="42"/>
      <c r="BC353" s="431"/>
      <c r="BG353" s="315"/>
      <c r="BH353" s="42"/>
    </row>
    <row r="354" spans="51:60" x14ac:dyDescent="0.2">
      <c r="AY354" s="315"/>
      <c r="AZ354" s="326"/>
      <c r="BA354" s="175"/>
      <c r="BB354" s="42"/>
      <c r="BC354" s="431"/>
      <c r="BG354" s="315"/>
      <c r="BH354" s="42"/>
    </row>
    <row r="355" spans="51:60" x14ac:dyDescent="0.2">
      <c r="AY355" s="315"/>
      <c r="AZ355" s="326"/>
      <c r="BA355" s="175"/>
      <c r="BB355" s="42"/>
      <c r="BC355" s="431"/>
      <c r="BG355" s="315"/>
      <c r="BH355" s="42"/>
    </row>
    <row r="356" spans="51:60" x14ac:dyDescent="0.2">
      <c r="AY356" s="315"/>
      <c r="AZ356" s="326"/>
      <c r="BA356" s="175"/>
      <c r="BB356" s="42"/>
      <c r="BC356" s="431"/>
      <c r="BG356" s="315"/>
      <c r="BH356" s="42"/>
    </row>
    <row r="357" spans="51:60" x14ac:dyDescent="0.2">
      <c r="AY357" s="315"/>
      <c r="AZ357" s="326"/>
      <c r="BA357" s="175"/>
      <c r="BB357" s="42"/>
      <c r="BC357" s="431"/>
      <c r="BG357" s="315"/>
      <c r="BH357" s="42"/>
    </row>
    <row r="358" spans="51:60" x14ac:dyDescent="0.2">
      <c r="AY358" s="315"/>
      <c r="AZ358" s="326"/>
      <c r="BA358" s="175"/>
      <c r="BB358" s="42"/>
      <c r="BC358" s="431"/>
      <c r="BG358" s="315"/>
      <c r="BH358" s="42"/>
    </row>
    <row r="359" spans="51:60" x14ac:dyDescent="0.2">
      <c r="AY359" s="315"/>
      <c r="AZ359" s="326"/>
      <c r="BA359" s="175"/>
      <c r="BB359" s="42"/>
      <c r="BC359" s="431"/>
      <c r="BG359" s="315"/>
      <c r="BH359" s="42"/>
    </row>
    <row r="360" spans="51:60" x14ac:dyDescent="0.2">
      <c r="AY360" s="315"/>
      <c r="AZ360" s="326"/>
      <c r="BA360" s="175"/>
      <c r="BB360" s="42"/>
      <c r="BC360" s="431"/>
      <c r="BG360" s="315"/>
      <c r="BH360" s="42"/>
    </row>
    <row r="361" spans="51:60" x14ac:dyDescent="0.2">
      <c r="AY361" s="315"/>
      <c r="AZ361" s="326"/>
      <c r="BA361" s="175"/>
      <c r="BB361" s="42"/>
      <c r="BC361" s="431"/>
      <c r="BG361" s="315"/>
      <c r="BH361" s="42"/>
    </row>
    <row r="362" spans="51:60" x14ac:dyDescent="0.2">
      <c r="AY362" s="315"/>
      <c r="AZ362" s="326"/>
      <c r="BA362" s="175"/>
      <c r="BB362" s="42"/>
      <c r="BC362" s="431"/>
      <c r="BG362" s="315"/>
      <c r="BH362" s="42"/>
    </row>
    <row r="363" spans="51:60" x14ac:dyDescent="0.2">
      <c r="AY363" s="315"/>
      <c r="AZ363" s="326"/>
      <c r="BA363" s="175"/>
      <c r="BB363" s="42"/>
      <c r="BC363" s="431"/>
      <c r="BG363" s="315"/>
      <c r="BH363" s="42"/>
    </row>
    <row r="364" spans="51:60" x14ac:dyDescent="0.2">
      <c r="AY364" s="315"/>
      <c r="AZ364" s="326"/>
      <c r="BA364" s="175"/>
      <c r="BB364" s="42"/>
      <c r="BC364" s="431"/>
      <c r="BG364" s="315"/>
      <c r="BH364" s="42"/>
    </row>
    <row r="365" spans="51:60" x14ac:dyDescent="0.2">
      <c r="AY365" s="315"/>
      <c r="AZ365" s="326"/>
      <c r="BA365" s="175"/>
      <c r="BB365" s="42"/>
      <c r="BC365" s="431"/>
      <c r="BG365" s="315"/>
      <c r="BH365" s="42"/>
    </row>
    <row r="366" spans="51:60" x14ac:dyDescent="0.2">
      <c r="AY366" s="315"/>
      <c r="AZ366" s="326"/>
      <c r="BA366" s="175"/>
      <c r="BB366" s="42"/>
      <c r="BC366" s="431"/>
      <c r="BG366" s="315"/>
      <c r="BH366" s="42"/>
    </row>
    <row r="367" spans="51:60" x14ac:dyDescent="0.2">
      <c r="AY367" s="315"/>
      <c r="AZ367" s="326"/>
      <c r="BA367" s="175"/>
      <c r="BB367" s="42"/>
      <c r="BC367" s="431"/>
      <c r="BG367" s="315"/>
      <c r="BH367" s="42"/>
    </row>
    <row r="368" spans="51:60" x14ac:dyDescent="0.2">
      <c r="AY368" s="315"/>
      <c r="AZ368" s="326"/>
      <c r="BA368" s="175"/>
      <c r="BB368" s="42"/>
      <c r="BC368" s="431"/>
      <c r="BG368" s="315"/>
      <c r="BH368" s="42"/>
    </row>
    <row r="369" spans="51:60" x14ac:dyDescent="0.2">
      <c r="AY369" s="315"/>
      <c r="AZ369" s="326"/>
      <c r="BA369" s="175"/>
      <c r="BB369" s="42"/>
      <c r="BC369" s="431"/>
      <c r="BG369" s="315"/>
      <c r="BH369" s="42"/>
    </row>
    <row r="370" spans="51:60" x14ac:dyDescent="0.2">
      <c r="AY370" s="315"/>
      <c r="AZ370" s="326"/>
      <c r="BA370" s="175"/>
      <c r="BB370" s="42"/>
      <c r="BC370" s="431"/>
      <c r="BG370" s="315"/>
      <c r="BH370" s="42"/>
    </row>
    <row r="371" spans="51:60" x14ac:dyDescent="0.2">
      <c r="AY371" s="315"/>
      <c r="AZ371" s="326"/>
      <c r="BA371" s="175"/>
      <c r="BB371" s="42"/>
      <c r="BC371" s="431"/>
      <c r="BG371" s="315"/>
      <c r="BH371" s="42"/>
    </row>
    <row r="372" spans="51:60" x14ac:dyDescent="0.2">
      <c r="AY372" s="315"/>
      <c r="AZ372" s="326"/>
      <c r="BA372" s="175"/>
      <c r="BB372" s="42"/>
      <c r="BC372" s="431"/>
      <c r="BG372" s="315"/>
      <c r="BH372" s="42"/>
    </row>
    <row r="373" spans="51:60" x14ac:dyDescent="0.2">
      <c r="AY373" s="315"/>
      <c r="AZ373" s="326"/>
      <c r="BA373" s="175"/>
      <c r="BB373" s="42"/>
      <c r="BC373" s="431"/>
      <c r="BG373" s="315"/>
      <c r="BH373" s="42"/>
    </row>
    <row r="374" spans="51:60" x14ac:dyDescent="0.2">
      <c r="AY374" s="315"/>
      <c r="AZ374" s="326"/>
      <c r="BA374" s="175"/>
      <c r="BB374" s="42"/>
      <c r="BC374" s="431"/>
      <c r="BG374" s="315"/>
      <c r="BH374" s="42"/>
    </row>
    <row r="375" spans="51:60" x14ac:dyDescent="0.2">
      <c r="AY375" s="315"/>
      <c r="AZ375" s="326"/>
      <c r="BA375" s="175"/>
      <c r="BB375" s="42"/>
      <c r="BC375" s="431"/>
      <c r="BG375" s="315"/>
      <c r="BH375" s="42"/>
    </row>
    <row r="376" spans="51:60" x14ac:dyDescent="0.2">
      <c r="AY376" s="315"/>
      <c r="AZ376" s="326"/>
      <c r="BA376" s="175"/>
      <c r="BB376" s="42"/>
      <c r="BC376" s="431"/>
      <c r="BG376" s="315"/>
      <c r="BH376" s="42"/>
    </row>
    <row r="377" spans="51:60" x14ac:dyDescent="0.2">
      <c r="AY377" s="315"/>
      <c r="AZ377" s="326"/>
      <c r="BA377" s="175"/>
      <c r="BB377" s="42"/>
      <c r="BC377" s="431"/>
      <c r="BG377" s="315"/>
      <c r="BH377" s="42"/>
    </row>
    <row r="378" spans="51:60" x14ac:dyDescent="0.2">
      <c r="AY378" s="315"/>
      <c r="AZ378" s="326"/>
      <c r="BA378" s="175"/>
      <c r="BB378" s="42"/>
      <c r="BC378" s="431"/>
      <c r="BG378" s="315"/>
      <c r="BH378" s="42"/>
    </row>
    <row r="379" spans="51:60" x14ac:dyDescent="0.2">
      <c r="AY379" s="315"/>
      <c r="AZ379" s="326"/>
      <c r="BA379" s="175"/>
      <c r="BB379" s="42"/>
      <c r="BC379" s="431"/>
      <c r="BG379" s="315"/>
      <c r="BH379" s="42"/>
    </row>
    <row r="380" spans="51:60" x14ac:dyDescent="0.2">
      <c r="AY380" s="315"/>
      <c r="AZ380" s="326"/>
      <c r="BA380" s="175"/>
      <c r="BB380" s="42"/>
      <c r="BC380" s="431"/>
      <c r="BG380" s="315"/>
      <c r="BH380" s="42"/>
    </row>
    <row r="381" spans="51:60" x14ac:dyDescent="0.2">
      <c r="AY381" s="315"/>
      <c r="AZ381" s="326"/>
      <c r="BA381" s="175"/>
      <c r="BB381" s="42"/>
      <c r="BC381" s="431"/>
      <c r="BG381" s="315"/>
      <c r="BH381" s="42"/>
    </row>
    <row r="382" spans="51:60" x14ac:dyDescent="0.2">
      <c r="AY382" s="315"/>
      <c r="AZ382" s="326"/>
      <c r="BA382" s="175"/>
      <c r="BB382" s="42"/>
      <c r="BC382" s="431"/>
      <c r="BG382" s="315"/>
      <c r="BH382" s="42"/>
    </row>
    <row r="383" spans="51:60" x14ac:dyDescent="0.2">
      <c r="AY383" s="315"/>
      <c r="AZ383" s="326"/>
      <c r="BA383" s="175"/>
      <c r="BB383" s="42"/>
      <c r="BC383" s="431"/>
      <c r="BG383" s="315"/>
      <c r="BH383" s="42"/>
    </row>
    <row r="384" spans="51:60" x14ac:dyDescent="0.2">
      <c r="AY384" s="315"/>
      <c r="AZ384" s="326"/>
      <c r="BA384" s="175"/>
      <c r="BB384" s="42"/>
      <c r="BC384" s="431"/>
      <c r="BG384" s="315"/>
      <c r="BH384" s="42"/>
    </row>
    <row r="385" spans="51:60" x14ac:dyDescent="0.2">
      <c r="AY385" s="315"/>
      <c r="AZ385" s="326"/>
      <c r="BA385" s="175"/>
      <c r="BB385" s="42"/>
      <c r="BC385" s="431"/>
      <c r="BG385" s="315"/>
      <c r="BH385" s="42"/>
    </row>
    <row r="386" spans="51:60" x14ac:dyDescent="0.2">
      <c r="AY386" s="315"/>
      <c r="AZ386" s="326"/>
      <c r="BA386" s="175"/>
      <c r="BB386" s="42"/>
      <c r="BC386" s="431"/>
      <c r="BG386" s="315"/>
      <c r="BH386" s="42"/>
    </row>
    <row r="387" spans="51:60" x14ac:dyDescent="0.2">
      <c r="AY387" s="315"/>
      <c r="AZ387" s="326"/>
      <c r="BA387" s="175"/>
      <c r="BB387" s="42"/>
      <c r="BC387" s="431"/>
      <c r="BG387" s="315"/>
      <c r="BH387" s="42"/>
    </row>
    <row r="388" spans="51:60" x14ac:dyDescent="0.2">
      <c r="AY388" s="315"/>
      <c r="AZ388" s="326"/>
      <c r="BA388" s="175"/>
      <c r="BB388" s="42"/>
      <c r="BC388" s="431"/>
      <c r="BG388" s="315"/>
      <c r="BH388" s="42"/>
    </row>
    <row r="389" spans="51:60" x14ac:dyDescent="0.2">
      <c r="AY389" s="315"/>
      <c r="AZ389" s="326"/>
      <c r="BA389" s="175"/>
      <c r="BB389" s="42"/>
      <c r="BC389" s="431"/>
      <c r="BG389" s="315"/>
      <c r="BH389" s="42"/>
    </row>
    <row r="390" spans="51:60" x14ac:dyDescent="0.2">
      <c r="AY390" s="315"/>
      <c r="AZ390" s="326"/>
      <c r="BA390" s="175"/>
      <c r="BB390" s="42"/>
      <c r="BC390" s="431"/>
      <c r="BG390" s="315"/>
      <c r="BH390" s="42"/>
    </row>
    <row r="391" spans="51:60" x14ac:dyDescent="0.2">
      <c r="AY391" s="315"/>
      <c r="AZ391" s="326"/>
      <c r="BA391" s="175"/>
      <c r="BB391" s="42"/>
      <c r="BC391" s="431"/>
      <c r="BG391" s="315"/>
      <c r="BH391" s="42"/>
    </row>
    <row r="392" spans="51:60" x14ac:dyDescent="0.2">
      <c r="AY392" s="315"/>
      <c r="AZ392" s="326"/>
      <c r="BA392" s="175"/>
      <c r="BB392" s="42"/>
      <c r="BC392" s="431"/>
      <c r="BG392" s="315"/>
      <c r="BH392" s="42"/>
    </row>
    <row r="393" spans="51:60" x14ac:dyDescent="0.2">
      <c r="AY393" s="315"/>
      <c r="AZ393" s="326"/>
      <c r="BA393" s="175"/>
      <c r="BB393" s="42"/>
      <c r="BC393" s="431"/>
      <c r="BG393" s="315"/>
      <c r="BH393" s="42"/>
    </row>
    <row r="394" spans="51:60" x14ac:dyDescent="0.2">
      <c r="AY394" s="315"/>
      <c r="AZ394" s="326"/>
      <c r="BA394" s="175"/>
      <c r="BB394" s="42"/>
      <c r="BC394" s="431"/>
      <c r="BG394" s="315"/>
      <c r="BH394" s="42"/>
    </row>
    <row r="395" spans="51:60" x14ac:dyDescent="0.2">
      <c r="AY395" s="315"/>
      <c r="AZ395" s="326"/>
      <c r="BA395" s="175"/>
      <c r="BB395" s="42"/>
      <c r="BC395" s="431"/>
      <c r="BG395" s="315"/>
      <c r="BH395" s="42"/>
    </row>
    <row r="396" spans="51:60" x14ac:dyDescent="0.2">
      <c r="AY396" s="315"/>
      <c r="AZ396" s="326"/>
      <c r="BA396" s="175"/>
      <c r="BB396" s="42"/>
      <c r="BC396" s="431"/>
      <c r="BG396" s="315"/>
      <c r="BH396" s="42"/>
    </row>
    <row r="397" spans="51:60" x14ac:dyDescent="0.2">
      <c r="AY397" s="315"/>
      <c r="AZ397" s="326"/>
      <c r="BA397" s="175"/>
      <c r="BB397" s="42"/>
      <c r="BC397" s="431"/>
      <c r="BG397" s="315"/>
      <c r="BH397" s="42"/>
    </row>
    <row r="398" spans="51:60" x14ac:dyDescent="0.2">
      <c r="AY398" s="315"/>
      <c r="AZ398" s="326"/>
      <c r="BA398" s="175"/>
      <c r="BB398" s="42"/>
      <c r="BC398" s="431"/>
      <c r="BG398" s="315"/>
      <c r="BH398" s="42"/>
    </row>
    <row r="399" spans="51:60" x14ac:dyDescent="0.2">
      <c r="AY399" s="315"/>
      <c r="AZ399" s="326"/>
      <c r="BA399" s="175"/>
      <c r="BB399" s="42"/>
      <c r="BC399" s="431"/>
      <c r="BG399" s="315"/>
      <c r="BH399" s="42"/>
    </row>
    <row r="400" spans="51:60" x14ac:dyDescent="0.2">
      <c r="AY400" s="315"/>
      <c r="AZ400" s="326"/>
      <c r="BA400" s="175"/>
      <c r="BB400" s="42"/>
      <c r="BC400" s="431"/>
      <c r="BG400" s="315"/>
      <c r="BH400" s="42"/>
    </row>
    <row r="401" spans="51:60" x14ac:dyDescent="0.2">
      <c r="AY401" s="315"/>
      <c r="AZ401" s="326"/>
      <c r="BA401" s="175"/>
      <c r="BB401" s="42"/>
      <c r="BC401" s="431"/>
      <c r="BG401" s="315"/>
      <c r="BH401" s="42"/>
    </row>
    <row r="402" spans="51:60" x14ac:dyDescent="0.2">
      <c r="AY402" s="315"/>
      <c r="AZ402" s="326"/>
      <c r="BA402" s="175"/>
      <c r="BB402" s="42"/>
      <c r="BC402" s="431"/>
      <c r="BG402" s="315"/>
      <c r="BH402" s="42"/>
    </row>
    <row r="403" spans="51:60" x14ac:dyDescent="0.2">
      <c r="AY403" s="315"/>
      <c r="AZ403" s="326"/>
      <c r="BA403" s="175"/>
      <c r="BB403" s="42"/>
      <c r="BC403" s="431"/>
      <c r="BG403" s="315"/>
      <c r="BH403" s="42"/>
    </row>
    <row r="404" spans="51:60" x14ac:dyDescent="0.2">
      <c r="AY404" s="315"/>
      <c r="AZ404" s="326"/>
      <c r="BA404" s="175"/>
      <c r="BB404" s="42"/>
      <c r="BC404" s="431"/>
      <c r="BG404" s="315"/>
      <c r="BH404" s="42"/>
    </row>
    <row r="405" spans="51:60" x14ac:dyDescent="0.2">
      <c r="AY405" s="315"/>
      <c r="AZ405" s="326"/>
      <c r="BA405" s="175"/>
      <c r="BB405" s="42"/>
      <c r="BC405" s="431"/>
      <c r="BG405" s="315"/>
      <c r="BH405" s="42"/>
    </row>
    <row r="406" spans="51:60" x14ac:dyDescent="0.2">
      <c r="AY406" s="315"/>
      <c r="AZ406" s="326"/>
      <c r="BA406" s="175"/>
      <c r="BB406" s="42"/>
      <c r="BC406" s="431"/>
      <c r="BG406" s="315"/>
      <c r="BH406" s="42"/>
    </row>
    <row r="407" spans="51:60" x14ac:dyDescent="0.2">
      <c r="AY407" s="315"/>
      <c r="AZ407" s="326"/>
      <c r="BA407" s="175"/>
      <c r="BB407" s="42"/>
      <c r="BC407" s="431"/>
      <c r="BG407" s="315"/>
      <c r="BH407" s="42"/>
    </row>
    <row r="408" spans="51:60" x14ac:dyDescent="0.2">
      <c r="AY408" s="315"/>
      <c r="AZ408" s="326"/>
      <c r="BA408" s="175"/>
      <c r="BB408" s="42"/>
      <c r="BC408" s="431"/>
      <c r="BG408" s="315"/>
      <c r="BH408" s="42"/>
    </row>
    <row r="409" spans="51:60" x14ac:dyDescent="0.2">
      <c r="AY409" s="315"/>
      <c r="AZ409" s="326"/>
      <c r="BA409" s="175"/>
      <c r="BB409" s="42"/>
      <c r="BC409" s="431"/>
      <c r="BG409" s="315"/>
      <c r="BH409" s="42"/>
    </row>
    <row r="410" spans="51:60" x14ac:dyDescent="0.2">
      <c r="AY410" s="315"/>
      <c r="AZ410" s="326"/>
      <c r="BA410" s="175"/>
      <c r="BB410" s="42"/>
      <c r="BC410" s="431"/>
      <c r="BG410" s="315"/>
      <c r="BH410" s="42"/>
    </row>
    <row r="411" spans="51:60" x14ac:dyDescent="0.2">
      <c r="AY411" s="315"/>
      <c r="AZ411" s="326"/>
      <c r="BA411" s="175"/>
      <c r="BB411" s="42"/>
      <c r="BC411" s="431"/>
      <c r="BG411" s="315"/>
      <c r="BH411" s="42"/>
    </row>
    <row r="412" spans="51:60" x14ac:dyDescent="0.2">
      <c r="AY412" s="315"/>
      <c r="AZ412" s="326"/>
      <c r="BA412" s="175"/>
      <c r="BB412" s="42"/>
      <c r="BC412" s="431"/>
      <c r="BG412" s="315"/>
      <c r="BH412" s="42"/>
    </row>
    <row r="413" spans="51:60" x14ac:dyDescent="0.2">
      <c r="AY413" s="315"/>
      <c r="AZ413" s="326"/>
      <c r="BA413" s="175"/>
      <c r="BB413" s="42"/>
      <c r="BC413" s="431"/>
      <c r="BG413" s="315"/>
      <c r="BH413" s="42"/>
    </row>
    <row r="414" spans="51:60" x14ac:dyDescent="0.2">
      <c r="AY414" s="315"/>
      <c r="AZ414" s="326"/>
      <c r="BA414" s="175"/>
      <c r="BB414" s="42"/>
      <c r="BC414" s="431"/>
      <c r="BG414" s="315"/>
      <c r="BH414" s="42"/>
    </row>
    <row r="415" spans="51:60" x14ac:dyDescent="0.2">
      <c r="AY415" s="315"/>
      <c r="AZ415" s="326"/>
      <c r="BA415" s="175"/>
      <c r="BB415" s="42"/>
      <c r="BC415" s="431"/>
      <c r="BG415" s="315"/>
      <c r="BH415" s="42"/>
    </row>
    <row r="416" spans="51:60" x14ac:dyDescent="0.2">
      <c r="AY416" s="315"/>
      <c r="AZ416" s="326"/>
      <c r="BA416" s="175"/>
      <c r="BB416" s="42"/>
      <c r="BC416" s="431"/>
      <c r="BG416" s="315"/>
      <c r="BH416" s="42"/>
    </row>
    <row r="417" spans="51:60" x14ac:dyDescent="0.2">
      <c r="AY417" s="315"/>
      <c r="AZ417" s="326"/>
      <c r="BA417" s="175"/>
      <c r="BB417" s="42"/>
      <c r="BC417" s="431"/>
      <c r="BG417" s="315"/>
      <c r="BH417" s="42"/>
    </row>
    <row r="418" spans="51:60" x14ac:dyDescent="0.2">
      <c r="AY418" s="315"/>
      <c r="AZ418" s="326"/>
      <c r="BA418" s="175"/>
      <c r="BB418" s="42"/>
      <c r="BC418" s="431"/>
      <c r="BG418" s="315"/>
      <c r="BH418" s="42"/>
    </row>
    <row r="419" spans="51:60" x14ac:dyDescent="0.2">
      <c r="AY419" s="315"/>
      <c r="AZ419" s="326"/>
      <c r="BA419" s="175"/>
      <c r="BB419" s="42"/>
      <c r="BC419" s="431"/>
      <c r="BG419" s="315"/>
      <c r="BH419" s="42"/>
    </row>
    <row r="420" spans="51:60" x14ac:dyDescent="0.2">
      <c r="AY420" s="315"/>
      <c r="AZ420" s="326"/>
      <c r="BA420" s="175"/>
      <c r="BB420" s="42"/>
      <c r="BC420" s="431"/>
      <c r="BG420" s="315"/>
      <c r="BH420" s="42"/>
    </row>
    <row r="421" spans="51:60" x14ac:dyDescent="0.2">
      <c r="AY421" s="315"/>
      <c r="AZ421" s="326"/>
      <c r="BA421" s="175"/>
      <c r="BB421" s="42"/>
      <c r="BC421" s="431"/>
      <c r="BG421" s="315"/>
      <c r="BH421" s="42"/>
    </row>
    <row r="422" spans="51:60" x14ac:dyDescent="0.2">
      <c r="AY422" s="315"/>
      <c r="AZ422" s="326"/>
      <c r="BA422" s="175"/>
      <c r="BB422" s="42"/>
      <c r="BC422" s="431"/>
      <c r="BG422" s="315"/>
      <c r="BH422" s="42"/>
    </row>
    <row r="423" spans="51:60" x14ac:dyDescent="0.2">
      <c r="AY423" s="315"/>
      <c r="AZ423" s="326"/>
      <c r="BA423" s="175"/>
      <c r="BB423" s="42"/>
      <c r="BC423" s="431"/>
      <c r="BG423" s="315"/>
      <c r="BH423" s="42"/>
    </row>
    <row r="424" spans="51:60" x14ac:dyDescent="0.2">
      <c r="AY424" s="315"/>
      <c r="AZ424" s="326"/>
      <c r="BA424" s="175"/>
      <c r="BB424" s="42"/>
      <c r="BC424" s="431"/>
      <c r="BG424" s="315"/>
      <c r="BH424" s="42"/>
    </row>
    <row r="425" spans="51:60" x14ac:dyDescent="0.2">
      <c r="AY425" s="315"/>
      <c r="AZ425" s="326"/>
      <c r="BA425" s="175"/>
      <c r="BB425" s="42"/>
      <c r="BC425" s="431"/>
      <c r="BG425" s="315"/>
      <c r="BH425" s="42"/>
    </row>
    <row r="426" spans="51:60" x14ac:dyDescent="0.2">
      <c r="AY426" s="315"/>
      <c r="AZ426" s="326"/>
      <c r="BA426" s="175"/>
      <c r="BB426" s="42"/>
      <c r="BC426" s="431"/>
      <c r="BG426" s="315"/>
      <c r="BH426" s="42"/>
    </row>
    <row r="427" spans="51:60" x14ac:dyDescent="0.2">
      <c r="AY427" s="315"/>
      <c r="AZ427" s="326"/>
      <c r="BA427" s="175"/>
      <c r="BB427" s="42"/>
      <c r="BC427" s="431"/>
      <c r="BG427" s="315"/>
      <c r="BH427" s="42"/>
    </row>
    <row r="428" spans="51:60" x14ac:dyDescent="0.2">
      <c r="AY428" s="315"/>
      <c r="AZ428" s="326"/>
      <c r="BA428" s="175"/>
      <c r="BB428" s="42"/>
      <c r="BC428" s="431"/>
      <c r="BG428" s="315"/>
      <c r="BH428" s="42"/>
    </row>
    <row r="429" spans="51:60" x14ac:dyDescent="0.2">
      <c r="AY429" s="315"/>
      <c r="AZ429" s="326"/>
      <c r="BA429" s="175"/>
      <c r="BB429" s="42"/>
      <c r="BC429" s="431"/>
      <c r="BG429" s="315"/>
      <c r="BH429" s="42"/>
    </row>
    <row r="430" spans="51:60" x14ac:dyDescent="0.2">
      <c r="AY430" s="315"/>
      <c r="AZ430" s="326"/>
      <c r="BA430" s="175"/>
      <c r="BB430" s="42"/>
      <c r="BC430" s="431"/>
      <c r="BG430" s="315"/>
      <c r="BH430" s="42"/>
    </row>
    <row r="431" spans="51:60" x14ac:dyDescent="0.2">
      <c r="AY431" s="315"/>
      <c r="AZ431" s="326"/>
      <c r="BA431" s="175"/>
      <c r="BB431" s="42"/>
      <c r="BC431" s="431"/>
      <c r="BG431" s="315"/>
      <c r="BH431" s="42"/>
    </row>
    <row r="432" spans="51:60" x14ac:dyDescent="0.2">
      <c r="AY432" s="315"/>
      <c r="AZ432" s="326"/>
      <c r="BA432" s="175"/>
      <c r="BB432" s="42"/>
      <c r="BC432" s="431"/>
      <c r="BG432" s="315"/>
      <c r="BH432" s="42"/>
    </row>
    <row r="433" spans="51:60" x14ac:dyDescent="0.2">
      <c r="AY433" s="315"/>
      <c r="AZ433" s="326"/>
      <c r="BA433" s="175"/>
      <c r="BB433" s="42"/>
      <c r="BC433" s="431"/>
      <c r="BG433" s="315"/>
      <c r="BH433" s="42"/>
    </row>
    <row r="434" spans="51:60" x14ac:dyDescent="0.2">
      <c r="AY434" s="315"/>
      <c r="AZ434" s="326"/>
      <c r="BA434" s="175"/>
      <c r="BB434" s="42"/>
      <c r="BC434" s="431"/>
      <c r="BG434" s="315"/>
      <c r="BH434" s="42"/>
    </row>
    <row r="435" spans="51:60" x14ac:dyDescent="0.2">
      <c r="AY435" s="315"/>
      <c r="AZ435" s="326"/>
      <c r="BA435" s="175"/>
      <c r="BB435" s="42"/>
      <c r="BC435" s="431"/>
      <c r="BG435" s="315"/>
      <c r="BH435" s="42"/>
    </row>
    <row r="436" spans="51:60" x14ac:dyDescent="0.2">
      <c r="AY436" s="315"/>
      <c r="AZ436" s="326"/>
      <c r="BA436" s="175"/>
      <c r="BB436" s="42"/>
      <c r="BC436" s="431"/>
      <c r="BG436" s="315"/>
      <c r="BH436" s="42"/>
    </row>
    <row r="437" spans="51:60" x14ac:dyDescent="0.2">
      <c r="AY437" s="315"/>
      <c r="AZ437" s="326"/>
      <c r="BA437" s="175"/>
      <c r="BB437" s="42"/>
      <c r="BC437" s="431"/>
      <c r="BG437" s="315"/>
      <c r="BH437" s="42"/>
    </row>
    <row r="438" spans="51:60" x14ac:dyDescent="0.2">
      <c r="AY438" s="315"/>
      <c r="AZ438" s="326"/>
      <c r="BA438" s="175"/>
      <c r="BB438" s="42"/>
      <c r="BC438" s="431"/>
      <c r="BG438" s="315"/>
      <c r="BH438" s="42"/>
    </row>
    <row r="439" spans="51:60" x14ac:dyDescent="0.2">
      <c r="AY439" s="315"/>
      <c r="AZ439" s="326"/>
      <c r="BA439" s="175"/>
      <c r="BB439" s="42"/>
      <c r="BC439" s="431"/>
      <c r="BG439" s="315"/>
      <c r="BH439" s="42"/>
    </row>
    <row r="440" spans="51:60" x14ac:dyDescent="0.2">
      <c r="AY440" s="315"/>
      <c r="AZ440" s="326"/>
      <c r="BA440" s="175"/>
      <c r="BB440" s="42"/>
      <c r="BC440" s="431"/>
      <c r="BG440" s="315"/>
      <c r="BH440" s="42"/>
    </row>
    <row r="441" spans="51:60" x14ac:dyDescent="0.2">
      <c r="AY441" s="315"/>
      <c r="AZ441" s="326"/>
      <c r="BA441" s="175"/>
      <c r="BB441" s="42"/>
      <c r="BC441" s="431"/>
      <c r="BG441" s="315"/>
      <c r="BH441" s="42"/>
    </row>
    <row r="442" spans="51:60" x14ac:dyDescent="0.2">
      <c r="AY442" s="315"/>
      <c r="AZ442" s="326"/>
      <c r="BA442" s="175"/>
      <c r="BB442" s="42"/>
      <c r="BC442" s="431"/>
      <c r="BG442" s="315"/>
      <c r="BH442" s="42"/>
    </row>
    <row r="443" spans="51:60" x14ac:dyDescent="0.2">
      <c r="AY443" s="315"/>
      <c r="AZ443" s="326"/>
      <c r="BA443" s="175"/>
      <c r="BB443" s="42"/>
      <c r="BC443" s="431"/>
      <c r="BG443" s="315"/>
      <c r="BH443" s="42"/>
    </row>
    <row r="444" spans="51:60" x14ac:dyDescent="0.2">
      <c r="AY444" s="315"/>
      <c r="AZ444" s="326"/>
      <c r="BA444" s="175"/>
      <c r="BB444" s="42"/>
      <c r="BC444" s="431"/>
      <c r="BG444" s="315"/>
      <c r="BH444" s="42"/>
    </row>
    <row r="445" spans="51:60" x14ac:dyDescent="0.2">
      <c r="AY445" s="315"/>
      <c r="AZ445" s="326"/>
      <c r="BA445" s="175"/>
      <c r="BB445" s="42"/>
      <c r="BC445" s="431"/>
      <c r="BG445" s="315"/>
      <c r="BH445" s="42"/>
    </row>
    <row r="446" spans="51:60" x14ac:dyDescent="0.2">
      <c r="AY446" s="315"/>
      <c r="AZ446" s="326"/>
      <c r="BA446" s="175"/>
      <c r="BB446" s="42"/>
      <c r="BC446" s="431"/>
      <c r="BG446" s="315"/>
      <c r="BH446" s="42"/>
    </row>
    <row r="447" spans="51:60" x14ac:dyDescent="0.2">
      <c r="AY447" s="315"/>
      <c r="AZ447" s="326"/>
      <c r="BA447" s="175"/>
      <c r="BB447" s="42"/>
      <c r="BC447" s="431"/>
      <c r="BG447" s="315"/>
      <c r="BH447" s="42"/>
    </row>
    <row r="448" spans="51:60" x14ac:dyDescent="0.2">
      <c r="AY448" s="315"/>
      <c r="AZ448" s="326"/>
      <c r="BA448" s="175"/>
      <c r="BB448" s="42"/>
      <c r="BC448" s="431"/>
      <c r="BG448" s="315"/>
      <c r="BH448" s="42"/>
    </row>
    <row r="449" spans="51:60" x14ac:dyDescent="0.2">
      <c r="AY449" s="315"/>
      <c r="AZ449" s="326"/>
      <c r="BA449" s="175"/>
      <c r="BB449" s="42"/>
      <c r="BC449" s="431"/>
      <c r="BG449" s="315"/>
      <c r="BH449" s="42"/>
    </row>
    <row r="450" spans="51:60" x14ac:dyDescent="0.2">
      <c r="AY450" s="315"/>
      <c r="AZ450" s="326"/>
      <c r="BA450" s="175"/>
      <c r="BB450" s="42"/>
      <c r="BC450" s="431"/>
      <c r="BG450" s="315"/>
      <c r="BH450" s="42"/>
    </row>
    <row r="451" spans="51:60" x14ac:dyDescent="0.2">
      <c r="AY451" s="315"/>
      <c r="AZ451" s="326"/>
      <c r="BA451" s="175"/>
      <c r="BB451" s="42"/>
      <c r="BC451" s="431"/>
      <c r="BG451" s="315"/>
      <c r="BH451" s="42"/>
    </row>
    <row r="452" spans="51:60" x14ac:dyDescent="0.2">
      <c r="AY452" s="315"/>
      <c r="AZ452" s="326"/>
      <c r="BA452" s="175"/>
      <c r="BB452" s="42"/>
      <c r="BC452" s="431"/>
      <c r="BG452" s="315"/>
      <c r="BH452" s="42"/>
    </row>
    <row r="453" spans="51:60" x14ac:dyDescent="0.2">
      <c r="AY453" s="315"/>
      <c r="AZ453" s="326"/>
      <c r="BA453" s="175"/>
      <c r="BB453" s="42"/>
      <c r="BC453" s="431"/>
      <c r="BG453" s="315"/>
      <c r="BH453" s="42"/>
    </row>
    <row r="454" spans="51:60" x14ac:dyDescent="0.2">
      <c r="AY454" s="315"/>
      <c r="AZ454" s="326"/>
      <c r="BA454" s="175"/>
      <c r="BB454" s="42"/>
      <c r="BC454" s="431"/>
      <c r="BG454" s="315"/>
      <c r="BH454" s="42"/>
    </row>
    <row r="455" spans="51:60" x14ac:dyDescent="0.2">
      <c r="AY455" s="315"/>
      <c r="AZ455" s="326"/>
      <c r="BA455" s="175"/>
      <c r="BB455" s="42"/>
      <c r="BC455" s="431"/>
      <c r="BG455" s="315"/>
      <c r="BH455" s="42"/>
    </row>
    <row r="456" spans="51:60" x14ac:dyDescent="0.2">
      <c r="AY456" s="315"/>
      <c r="AZ456" s="326"/>
      <c r="BA456" s="175"/>
      <c r="BB456" s="42"/>
      <c r="BC456" s="431"/>
      <c r="BG456" s="315"/>
      <c r="BH456" s="42"/>
    </row>
    <row r="457" spans="51:60" x14ac:dyDescent="0.2">
      <c r="AY457" s="315"/>
      <c r="AZ457" s="326"/>
      <c r="BA457" s="175"/>
      <c r="BB457" s="42"/>
      <c r="BC457" s="431"/>
      <c r="BG457" s="315"/>
      <c r="BH457" s="42"/>
    </row>
    <row r="458" spans="51:60" x14ac:dyDescent="0.2">
      <c r="AY458" s="315"/>
      <c r="AZ458" s="326"/>
      <c r="BA458" s="175"/>
      <c r="BB458" s="42"/>
      <c r="BC458" s="431"/>
      <c r="BG458" s="315"/>
      <c r="BH458" s="42"/>
    </row>
    <row r="459" spans="51:60" x14ac:dyDescent="0.2">
      <c r="AY459" s="315"/>
      <c r="AZ459" s="326"/>
      <c r="BA459" s="175"/>
      <c r="BB459" s="42"/>
      <c r="BC459" s="431"/>
      <c r="BG459" s="315"/>
      <c r="BH459" s="42"/>
    </row>
    <row r="460" spans="51:60" x14ac:dyDescent="0.2">
      <c r="AY460" s="315"/>
      <c r="AZ460" s="326"/>
      <c r="BA460" s="175"/>
      <c r="BB460" s="42"/>
      <c r="BC460" s="431"/>
      <c r="BG460" s="315"/>
      <c r="BH460" s="42"/>
    </row>
    <row r="461" spans="51:60" x14ac:dyDescent="0.2">
      <c r="AY461" s="315"/>
      <c r="AZ461" s="326"/>
      <c r="BA461" s="175"/>
      <c r="BB461" s="42"/>
      <c r="BC461" s="431"/>
      <c r="BG461" s="315"/>
      <c r="BH461" s="42"/>
    </row>
    <row r="462" spans="51:60" x14ac:dyDescent="0.2">
      <c r="AY462" s="315"/>
      <c r="AZ462" s="326"/>
      <c r="BA462" s="175"/>
      <c r="BB462" s="42"/>
      <c r="BC462" s="431"/>
      <c r="BG462" s="315"/>
      <c r="BH462" s="42"/>
    </row>
    <row r="463" spans="51:60" x14ac:dyDescent="0.2">
      <c r="AY463" s="315"/>
      <c r="AZ463" s="326"/>
      <c r="BA463" s="175"/>
      <c r="BB463" s="42"/>
      <c r="BC463" s="431"/>
      <c r="BG463" s="315"/>
      <c r="BH463" s="42"/>
    </row>
    <row r="464" spans="51:60" x14ac:dyDescent="0.2">
      <c r="AY464" s="315"/>
      <c r="AZ464" s="326"/>
      <c r="BA464" s="175"/>
      <c r="BB464" s="42"/>
      <c r="BC464" s="431"/>
      <c r="BG464" s="315"/>
      <c r="BH464" s="42"/>
    </row>
    <row r="465" spans="51:60" x14ac:dyDescent="0.2">
      <c r="AY465" s="315"/>
      <c r="AZ465" s="326"/>
      <c r="BA465" s="175"/>
      <c r="BB465" s="42"/>
      <c r="BC465" s="431"/>
      <c r="BG465" s="315"/>
      <c r="BH465" s="42"/>
    </row>
    <row r="466" spans="51:60" x14ac:dyDescent="0.2">
      <c r="AY466" s="315"/>
      <c r="AZ466" s="326"/>
      <c r="BA466" s="175"/>
      <c r="BB466" s="42"/>
      <c r="BC466" s="431"/>
      <c r="BG466" s="315"/>
      <c r="BH466" s="42"/>
    </row>
    <row r="467" spans="51:60" x14ac:dyDescent="0.2">
      <c r="AY467" s="315"/>
      <c r="AZ467" s="326"/>
      <c r="BA467" s="175"/>
      <c r="BB467" s="42"/>
      <c r="BC467" s="431"/>
      <c r="BG467" s="315"/>
      <c r="BH467" s="42"/>
    </row>
    <row r="468" spans="51:60" x14ac:dyDescent="0.2">
      <c r="AY468" s="315"/>
      <c r="AZ468" s="326"/>
      <c r="BA468" s="175"/>
      <c r="BB468" s="42"/>
      <c r="BC468" s="431"/>
      <c r="BG468" s="315"/>
      <c r="BH468" s="42"/>
    </row>
    <row r="469" spans="51:60" x14ac:dyDescent="0.2">
      <c r="AY469" s="315"/>
      <c r="AZ469" s="326"/>
      <c r="BA469" s="175"/>
      <c r="BB469" s="42"/>
      <c r="BC469" s="431"/>
      <c r="BG469" s="315"/>
      <c r="BH469" s="42"/>
    </row>
    <row r="470" spans="51:60" x14ac:dyDescent="0.2">
      <c r="AY470" s="315"/>
      <c r="AZ470" s="326"/>
      <c r="BA470" s="175"/>
      <c r="BB470" s="42"/>
      <c r="BC470" s="431"/>
      <c r="BG470" s="315"/>
      <c r="BH470" s="42"/>
    </row>
    <row r="471" spans="51:60" x14ac:dyDescent="0.2">
      <c r="AY471" s="315"/>
      <c r="AZ471" s="326"/>
      <c r="BA471" s="175"/>
      <c r="BB471" s="42"/>
      <c r="BC471" s="431"/>
      <c r="BG471" s="315"/>
      <c r="BH471" s="42"/>
    </row>
    <row r="472" spans="51:60" x14ac:dyDescent="0.2">
      <c r="AY472" s="315"/>
      <c r="AZ472" s="326"/>
      <c r="BA472" s="175"/>
      <c r="BB472" s="42"/>
      <c r="BC472" s="431"/>
      <c r="BG472" s="315"/>
      <c r="BH472" s="42"/>
    </row>
    <row r="473" spans="51:60" x14ac:dyDescent="0.2">
      <c r="AY473" s="315"/>
      <c r="AZ473" s="326"/>
      <c r="BA473" s="175"/>
      <c r="BB473" s="42"/>
      <c r="BC473" s="431"/>
      <c r="BG473" s="315"/>
      <c r="BH473" s="42"/>
    </row>
    <row r="474" spans="51:60" x14ac:dyDescent="0.2">
      <c r="AY474" s="315"/>
      <c r="AZ474" s="326"/>
      <c r="BA474" s="175"/>
      <c r="BB474" s="42"/>
      <c r="BC474" s="431"/>
      <c r="BG474" s="315"/>
      <c r="BH474" s="42"/>
    </row>
    <row r="475" spans="51:60" x14ac:dyDescent="0.2">
      <c r="AY475" s="315"/>
      <c r="AZ475" s="326"/>
      <c r="BA475" s="175"/>
      <c r="BB475" s="42"/>
      <c r="BC475" s="431"/>
      <c r="BG475" s="315"/>
      <c r="BH475" s="42"/>
    </row>
    <row r="476" spans="51:60" x14ac:dyDescent="0.2">
      <c r="AY476" s="315"/>
      <c r="AZ476" s="326"/>
      <c r="BA476" s="175"/>
      <c r="BB476" s="42"/>
      <c r="BC476" s="431"/>
      <c r="BG476" s="315"/>
      <c r="BH476" s="42"/>
    </row>
    <row r="477" spans="51:60" x14ac:dyDescent="0.2">
      <c r="AY477" s="315"/>
      <c r="AZ477" s="326"/>
      <c r="BA477" s="175"/>
      <c r="BB477" s="42"/>
      <c r="BC477" s="431"/>
      <c r="BG477" s="315"/>
      <c r="BH477" s="42"/>
    </row>
    <row r="478" spans="51:60" x14ac:dyDescent="0.2">
      <c r="AY478" s="315"/>
      <c r="AZ478" s="326"/>
      <c r="BA478" s="175"/>
      <c r="BB478" s="42"/>
      <c r="BC478" s="431"/>
      <c r="BG478" s="315"/>
      <c r="BH478" s="42"/>
    </row>
    <row r="479" spans="51:60" x14ac:dyDescent="0.2">
      <c r="AY479" s="315"/>
      <c r="AZ479" s="326"/>
      <c r="BA479" s="175"/>
      <c r="BB479" s="42"/>
      <c r="BC479" s="431"/>
      <c r="BG479" s="315"/>
      <c r="BH479" s="42"/>
    </row>
    <row r="480" spans="51:60" x14ac:dyDescent="0.2">
      <c r="AY480" s="315"/>
      <c r="AZ480" s="326"/>
      <c r="BA480" s="175"/>
      <c r="BB480" s="42"/>
      <c r="BC480" s="431"/>
      <c r="BG480" s="315"/>
      <c r="BH480" s="42"/>
    </row>
    <row r="481" spans="51:60" x14ac:dyDescent="0.2">
      <c r="AY481" s="315"/>
      <c r="AZ481" s="326"/>
      <c r="BA481" s="175"/>
      <c r="BB481" s="42"/>
      <c r="BC481" s="431"/>
      <c r="BG481" s="315"/>
      <c r="BH481" s="42"/>
    </row>
    <row r="482" spans="51:60" x14ac:dyDescent="0.2">
      <c r="AY482" s="315"/>
      <c r="AZ482" s="326"/>
      <c r="BA482" s="175"/>
      <c r="BB482" s="42"/>
      <c r="BC482" s="431"/>
      <c r="BG482" s="315"/>
      <c r="BH482" s="42"/>
    </row>
    <row r="483" spans="51:60" x14ac:dyDescent="0.2">
      <c r="AY483" s="315"/>
      <c r="AZ483" s="326"/>
      <c r="BA483" s="175"/>
      <c r="BB483" s="42"/>
      <c r="BC483" s="431"/>
      <c r="BG483" s="315"/>
      <c r="BH483" s="42"/>
    </row>
    <row r="484" spans="51:60" x14ac:dyDescent="0.2">
      <c r="AY484" s="315"/>
      <c r="AZ484" s="326"/>
      <c r="BA484" s="175"/>
      <c r="BB484" s="42"/>
      <c r="BC484" s="431"/>
      <c r="BG484" s="315"/>
      <c r="BH484" s="42"/>
    </row>
    <row r="485" spans="51:60" x14ac:dyDescent="0.2">
      <c r="AY485" s="315"/>
      <c r="AZ485" s="326"/>
      <c r="BA485" s="175"/>
      <c r="BB485" s="42"/>
      <c r="BC485" s="431"/>
      <c r="BG485" s="315"/>
      <c r="BH485" s="42"/>
    </row>
    <row r="486" spans="51:60" x14ac:dyDescent="0.2">
      <c r="AY486" s="315"/>
      <c r="AZ486" s="326"/>
      <c r="BA486" s="175"/>
      <c r="BB486" s="42"/>
      <c r="BC486" s="431"/>
      <c r="BG486" s="315"/>
      <c r="BH486" s="42"/>
    </row>
    <row r="487" spans="51:60" x14ac:dyDescent="0.2">
      <c r="AY487" s="315"/>
      <c r="AZ487" s="326"/>
      <c r="BA487" s="175"/>
      <c r="BB487" s="42"/>
      <c r="BC487" s="431"/>
      <c r="BG487" s="315"/>
      <c r="BH487" s="42"/>
    </row>
    <row r="488" spans="51:60" x14ac:dyDescent="0.2">
      <c r="AY488" s="315"/>
      <c r="AZ488" s="326"/>
      <c r="BA488" s="175"/>
      <c r="BB488" s="42"/>
      <c r="BC488" s="431"/>
      <c r="BG488" s="315"/>
      <c r="BH488" s="42"/>
    </row>
    <row r="489" spans="51:60" x14ac:dyDescent="0.2">
      <c r="AY489" s="315"/>
      <c r="AZ489" s="326"/>
      <c r="BA489" s="175"/>
      <c r="BB489" s="42"/>
      <c r="BC489" s="431"/>
      <c r="BG489" s="315"/>
      <c r="BH489" s="42"/>
    </row>
    <row r="490" spans="51:60" x14ac:dyDescent="0.2">
      <c r="AY490" s="315"/>
      <c r="AZ490" s="326"/>
      <c r="BA490" s="175"/>
      <c r="BB490" s="42"/>
      <c r="BC490" s="431"/>
      <c r="BG490" s="315"/>
      <c r="BH490" s="42"/>
    </row>
    <row r="491" spans="51:60" x14ac:dyDescent="0.2">
      <c r="AY491" s="315"/>
      <c r="AZ491" s="326"/>
      <c r="BA491" s="175"/>
      <c r="BB491" s="42"/>
      <c r="BC491" s="431"/>
      <c r="BG491" s="315"/>
      <c r="BH491" s="42"/>
    </row>
    <row r="492" spans="51:60" x14ac:dyDescent="0.2">
      <c r="AY492" s="315"/>
      <c r="AZ492" s="326"/>
      <c r="BA492" s="175"/>
      <c r="BB492" s="42"/>
      <c r="BC492" s="431"/>
      <c r="BG492" s="315"/>
      <c r="BH492" s="42"/>
    </row>
    <row r="493" spans="51:60" x14ac:dyDescent="0.2">
      <c r="AY493" s="315"/>
      <c r="AZ493" s="326"/>
      <c r="BA493" s="175"/>
      <c r="BB493" s="42"/>
      <c r="BC493" s="431"/>
      <c r="BG493" s="315"/>
      <c r="BH493" s="42"/>
    </row>
    <row r="494" spans="51:60" x14ac:dyDescent="0.2">
      <c r="AY494" s="315"/>
      <c r="AZ494" s="326"/>
      <c r="BA494" s="175"/>
      <c r="BB494" s="42"/>
      <c r="BC494" s="431"/>
      <c r="BG494" s="315"/>
      <c r="BH494" s="42"/>
    </row>
    <row r="495" spans="51:60" x14ac:dyDescent="0.2">
      <c r="AY495" s="315"/>
      <c r="AZ495" s="326"/>
      <c r="BA495" s="175"/>
      <c r="BB495" s="42"/>
      <c r="BC495" s="431"/>
      <c r="BG495" s="315"/>
      <c r="BH495" s="42"/>
    </row>
    <row r="496" spans="51:60" x14ac:dyDescent="0.2">
      <c r="AY496" s="315"/>
      <c r="AZ496" s="326"/>
      <c r="BA496" s="175"/>
      <c r="BB496" s="42"/>
      <c r="BC496" s="431"/>
      <c r="BG496" s="315"/>
      <c r="BH496" s="42"/>
    </row>
    <row r="497" spans="51:60" x14ac:dyDescent="0.2">
      <c r="AY497" s="315"/>
      <c r="AZ497" s="326"/>
      <c r="BA497" s="175"/>
      <c r="BB497" s="42"/>
      <c r="BC497" s="431"/>
      <c r="BG497" s="315"/>
      <c r="BH497" s="42"/>
    </row>
    <row r="498" spans="51:60" x14ac:dyDescent="0.2">
      <c r="AY498" s="315"/>
      <c r="AZ498" s="326"/>
      <c r="BA498" s="175"/>
      <c r="BB498" s="42"/>
      <c r="BC498" s="431"/>
      <c r="BG498" s="315"/>
      <c r="BH498" s="42"/>
    </row>
    <row r="499" spans="51:60" x14ac:dyDescent="0.2">
      <c r="AY499" s="315"/>
      <c r="AZ499" s="326"/>
      <c r="BA499" s="175"/>
      <c r="BB499" s="42"/>
      <c r="BC499" s="431"/>
      <c r="BG499" s="315"/>
      <c r="BH499" s="42"/>
    </row>
    <row r="500" spans="51:60" x14ac:dyDescent="0.2">
      <c r="AY500" s="315"/>
      <c r="AZ500" s="326"/>
      <c r="BA500" s="175"/>
      <c r="BB500" s="42"/>
      <c r="BC500" s="431"/>
      <c r="BG500" s="315"/>
      <c r="BH500" s="42"/>
    </row>
    <row r="501" spans="51:60" x14ac:dyDescent="0.2">
      <c r="AY501" s="315"/>
      <c r="AZ501" s="326"/>
      <c r="BA501" s="175"/>
      <c r="BB501" s="42"/>
      <c r="BC501" s="431"/>
      <c r="BG501" s="315"/>
      <c r="BH501" s="42"/>
    </row>
    <row r="502" spans="51:60" x14ac:dyDescent="0.2">
      <c r="AY502" s="315"/>
      <c r="AZ502" s="326"/>
      <c r="BA502" s="175"/>
      <c r="BB502" s="42"/>
      <c r="BC502" s="431"/>
      <c r="BG502" s="315"/>
      <c r="BH502" s="42"/>
    </row>
    <row r="503" spans="51:60" x14ac:dyDescent="0.2">
      <c r="AY503" s="315"/>
      <c r="AZ503" s="326"/>
      <c r="BA503" s="175"/>
      <c r="BB503" s="42"/>
      <c r="BC503" s="431"/>
      <c r="BG503" s="315"/>
      <c r="BH503" s="42"/>
    </row>
    <row r="504" spans="51:60" x14ac:dyDescent="0.2">
      <c r="AY504" s="315"/>
      <c r="AZ504" s="326"/>
      <c r="BA504" s="175"/>
      <c r="BB504" s="42"/>
      <c r="BC504" s="431"/>
      <c r="BG504" s="315"/>
      <c r="BH504" s="42"/>
    </row>
    <row r="505" spans="51:60" x14ac:dyDescent="0.2">
      <c r="AY505" s="315"/>
      <c r="AZ505" s="326"/>
      <c r="BA505" s="175"/>
      <c r="BB505" s="42"/>
      <c r="BC505" s="431"/>
      <c r="BG505" s="315"/>
      <c r="BH505" s="42"/>
    </row>
    <row r="506" spans="51:60" x14ac:dyDescent="0.2">
      <c r="AY506" s="315"/>
      <c r="AZ506" s="326"/>
      <c r="BA506" s="175"/>
      <c r="BB506" s="42"/>
      <c r="BC506" s="431"/>
      <c r="BG506" s="315"/>
      <c r="BH506" s="42"/>
    </row>
    <row r="507" spans="51:60" x14ac:dyDescent="0.2">
      <c r="AY507" s="315"/>
      <c r="AZ507" s="326"/>
      <c r="BA507" s="175"/>
      <c r="BB507" s="42"/>
      <c r="BC507" s="431"/>
      <c r="BG507" s="315"/>
      <c r="BH507" s="42"/>
    </row>
    <row r="508" spans="51:60" x14ac:dyDescent="0.2">
      <c r="AY508" s="315"/>
      <c r="AZ508" s="326"/>
      <c r="BA508" s="175"/>
      <c r="BB508" s="42"/>
      <c r="BC508" s="431"/>
      <c r="BG508" s="315"/>
      <c r="BH508" s="42"/>
    </row>
    <row r="509" spans="51:60" x14ac:dyDescent="0.2">
      <c r="AY509" s="315"/>
      <c r="AZ509" s="326"/>
      <c r="BA509" s="175"/>
      <c r="BB509" s="42"/>
      <c r="BC509" s="431"/>
      <c r="BG509" s="315"/>
      <c r="BH509" s="42"/>
    </row>
    <row r="510" spans="51:60" x14ac:dyDescent="0.2">
      <c r="AY510" s="315"/>
      <c r="AZ510" s="326"/>
      <c r="BA510" s="175"/>
      <c r="BB510" s="42"/>
      <c r="BC510" s="431"/>
      <c r="BG510" s="315"/>
      <c r="BH510" s="42"/>
    </row>
    <row r="511" spans="51:60" x14ac:dyDescent="0.2">
      <c r="AY511" s="315"/>
      <c r="AZ511" s="326"/>
      <c r="BA511" s="175"/>
      <c r="BB511" s="42"/>
      <c r="BC511" s="431"/>
      <c r="BG511" s="315"/>
      <c r="BH511" s="42"/>
    </row>
    <row r="512" spans="51:60" x14ac:dyDescent="0.2">
      <c r="AY512" s="315"/>
      <c r="AZ512" s="326"/>
      <c r="BA512" s="175"/>
      <c r="BB512" s="42"/>
      <c r="BC512" s="431"/>
      <c r="BG512" s="315"/>
      <c r="BH512" s="42"/>
    </row>
    <row r="513" spans="51:60" x14ac:dyDescent="0.2">
      <c r="AY513" s="315"/>
      <c r="AZ513" s="326"/>
      <c r="BA513" s="175"/>
      <c r="BB513" s="42"/>
      <c r="BC513" s="431"/>
      <c r="BG513" s="315"/>
      <c r="BH513" s="42"/>
    </row>
    <row r="514" spans="51:60" x14ac:dyDescent="0.2">
      <c r="AY514" s="315"/>
      <c r="AZ514" s="326"/>
      <c r="BA514" s="175"/>
      <c r="BB514" s="42"/>
      <c r="BC514" s="431"/>
      <c r="BG514" s="315"/>
      <c r="BH514" s="42"/>
    </row>
    <row r="515" spans="51:60" x14ac:dyDescent="0.2">
      <c r="AY515" s="315"/>
      <c r="AZ515" s="326"/>
      <c r="BA515" s="175"/>
      <c r="BB515" s="42"/>
      <c r="BC515" s="431"/>
      <c r="BG515" s="315"/>
      <c r="BH515" s="42"/>
    </row>
    <row r="516" spans="51:60" x14ac:dyDescent="0.2">
      <c r="AY516" s="315"/>
      <c r="AZ516" s="326"/>
      <c r="BA516" s="175"/>
      <c r="BB516" s="42"/>
      <c r="BC516" s="431"/>
      <c r="BG516" s="315"/>
      <c r="BH516" s="42"/>
    </row>
    <row r="517" spans="51:60" x14ac:dyDescent="0.2">
      <c r="AY517" s="315"/>
      <c r="AZ517" s="326"/>
      <c r="BA517" s="175"/>
      <c r="BB517" s="42"/>
      <c r="BC517" s="431"/>
      <c r="BG517" s="315"/>
      <c r="BH517" s="42"/>
    </row>
    <row r="518" spans="51:60" x14ac:dyDescent="0.2">
      <c r="AY518" s="315"/>
      <c r="AZ518" s="326"/>
      <c r="BA518" s="175"/>
      <c r="BB518" s="42"/>
      <c r="BC518" s="431"/>
      <c r="BG518" s="315"/>
      <c r="BH518" s="42"/>
    </row>
    <row r="519" spans="51:60" x14ac:dyDescent="0.2">
      <c r="AY519" s="315"/>
      <c r="AZ519" s="326"/>
      <c r="BA519" s="175"/>
      <c r="BB519" s="42"/>
      <c r="BC519" s="431"/>
      <c r="BG519" s="315"/>
      <c r="BH519" s="42"/>
    </row>
    <row r="520" spans="51:60" x14ac:dyDescent="0.2">
      <c r="AY520" s="315"/>
      <c r="AZ520" s="326"/>
      <c r="BA520" s="175"/>
      <c r="BB520" s="42"/>
      <c r="BC520" s="431"/>
      <c r="BG520" s="315"/>
      <c r="BH520" s="42"/>
    </row>
    <row r="521" spans="51:60" x14ac:dyDescent="0.2">
      <c r="AY521" s="315"/>
      <c r="AZ521" s="326"/>
      <c r="BA521" s="175"/>
      <c r="BB521" s="42"/>
      <c r="BC521" s="431"/>
      <c r="BG521" s="315"/>
      <c r="BH521" s="42"/>
    </row>
    <row r="522" spans="51:60" x14ac:dyDescent="0.2">
      <c r="AY522" s="315"/>
      <c r="AZ522" s="326"/>
      <c r="BA522" s="175"/>
      <c r="BB522" s="42"/>
      <c r="BC522" s="431"/>
      <c r="BG522" s="315"/>
      <c r="BH522" s="42"/>
    </row>
    <row r="523" spans="51:60" x14ac:dyDescent="0.2">
      <c r="AY523" s="315"/>
      <c r="AZ523" s="326"/>
      <c r="BA523" s="175"/>
      <c r="BB523" s="42"/>
      <c r="BC523" s="431"/>
      <c r="BG523" s="315"/>
      <c r="BH523" s="42"/>
    </row>
    <row r="524" spans="51:60" x14ac:dyDescent="0.2">
      <c r="AY524" s="315"/>
      <c r="AZ524" s="326"/>
      <c r="BA524" s="175"/>
      <c r="BB524" s="42"/>
      <c r="BC524" s="431"/>
      <c r="BG524" s="315"/>
      <c r="BH524" s="42"/>
    </row>
    <row r="525" spans="51:60" x14ac:dyDescent="0.2">
      <c r="AY525" s="315"/>
      <c r="AZ525" s="326"/>
      <c r="BA525" s="175"/>
      <c r="BB525" s="42"/>
      <c r="BC525" s="431"/>
      <c r="BG525" s="315"/>
      <c r="BH525" s="42"/>
    </row>
    <row r="526" spans="51:60" x14ac:dyDescent="0.2">
      <c r="AY526" s="315"/>
      <c r="AZ526" s="326"/>
      <c r="BA526" s="175"/>
      <c r="BB526" s="42"/>
      <c r="BC526" s="431"/>
      <c r="BG526" s="315"/>
      <c r="BH526" s="42"/>
    </row>
    <row r="527" spans="51:60" x14ac:dyDescent="0.2">
      <c r="AY527" s="315"/>
      <c r="AZ527" s="326"/>
      <c r="BA527" s="175"/>
      <c r="BB527" s="42"/>
      <c r="BC527" s="431"/>
      <c r="BG527" s="315"/>
      <c r="BH527" s="42"/>
    </row>
    <row r="528" spans="51:60" x14ac:dyDescent="0.2">
      <c r="AY528" s="315"/>
      <c r="AZ528" s="326"/>
      <c r="BA528" s="175"/>
      <c r="BB528" s="42"/>
      <c r="BC528" s="431"/>
      <c r="BG528" s="315"/>
      <c r="BH528" s="42"/>
    </row>
    <row r="529" spans="51:60" x14ac:dyDescent="0.2">
      <c r="AY529" s="315"/>
      <c r="AZ529" s="326"/>
      <c r="BA529" s="175"/>
      <c r="BB529" s="42"/>
      <c r="BC529" s="431"/>
      <c r="BG529" s="315"/>
      <c r="BH529" s="42"/>
    </row>
    <row r="530" spans="51:60" x14ac:dyDescent="0.2">
      <c r="AY530" s="315"/>
      <c r="AZ530" s="326"/>
      <c r="BA530" s="175"/>
      <c r="BB530" s="42"/>
      <c r="BC530" s="431"/>
      <c r="BG530" s="315"/>
      <c r="BH530" s="42"/>
    </row>
    <row r="531" spans="51:60" x14ac:dyDescent="0.2">
      <c r="AY531" s="315"/>
      <c r="AZ531" s="326"/>
      <c r="BA531" s="175"/>
      <c r="BB531" s="42"/>
      <c r="BC531" s="431"/>
      <c r="BG531" s="315"/>
      <c r="BH531" s="42"/>
    </row>
    <row r="532" spans="51:60" x14ac:dyDescent="0.2">
      <c r="AY532" s="315"/>
      <c r="AZ532" s="326"/>
      <c r="BA532" s="175"/>
      <c r="BB532" s="42"/>
      <c r="BC532" s="431"/>
      <c r="BG532" s="315"/>
      <c r="BH532" s="42"/>
    </row>
    <row r="533" spans="51:60" x14ac:dyDescent="0.2">
      <c r="AY533" s="315"/>
      <c r="AZ533" s="326"/>
      <c r="BA533" s="175"/>
      <c r="BB533" s="42"/>
      <c r="BC533" s="431"/>
      <c r="BG533" s="315"/>
      <c r="BH533" s="42"/>
    </row>
    <row r="534" spans="51:60" x14ac:dyDescent="0.2">
      <c r="AY534" s="315"/>
      <c r="AZ534" s="326"/>
      <c r="BA534" s="175"/>
      <c r="BB534" s="42"/>
      <c r="BC534" s="431"/>
      <c r="BG534" s="315"/>
      <c r="BH534" s="42"/>
    </row>
    <row r="535" spans="51:60" x14ac:dyDescent="0.2">
      <c r="AY535" s="315"/>
      <c r="AZ535" s="326"/>
      <c r="BA535" s="175"/>
      <c r="BB535" s="42"/>
      <c r="BC535" s="431"/>
      <c r="BG535" s="315"/>
      <c r="BH535" s="42"/>
    </row>
    <row r="536" spans="51:60" x14ac:dyDescent="0.2">
      <c r="AY536" s="315"/>
      <c r="AZ536" s="326"/>
      <c r="BA536" s="175"/>
      <c r="BB536" s="42"/>
      <c r="BC536" s="431"/>
      <c r="BG536" s="315"/>
      <c r="BH536" s="42"/>
    </row>
    <row r="537" spans="51:60" x14ac:dyDescent="0.2">
      <c r="AY537" s="315"/>
      <c r="AZ537" s="326"/>
      <c r="BA537" s="175"/>
      <c r="BB537" s="42"/>
      <c r="BC537" s="431"/>
      <c r="BG537" s="315"/>
      <c r="BH537" s="42"/>
    </row>
    <row r="538" spans="51:60" x14ac:dyDescent="0.2">
      <c r="AY538" s="315"/>
      <c r="AZ538" s="326"/>
      <c r="BA538" s="175"/>
      <c r="BB538" s="42"/>
      <c r="BC538" s="431"/>
      <c r="BG538" s="315"/>
      <c r="BH538" s="42"/>
    </row>
    <row r="539" spans="51:60" x14ac:dyDescent="0.2">
      <c r="AY539" s="315"/>
      <c r="AZ539" s="326"/>
      <c r="BA539" s="175"/>
      <c r="BB539" s="42"/>
      <c r="BC539" s="431"/>
      <c r="BG539" s="315"/>
      <c r="BH539" s="42"/>
    </row>
    <row r="540" spans="51:60" x14ac:dyDescent="0.2">
      <c r="AY540" s="315"/>
      <c r="AZ540" s="326"/>
      <c r="BA540" s="175"/>
      <c r="BB540" s="42"/>
      <c r="BC540" s="431"/>
      <c r="BG540" s="315"/>
      <c r="BH540" s="42"/>
    </row>
    <row r="541" spans="51:60" x14ac:dyDescent="0.2">
      <c r="AY541" s="315"/>
      <c r="AZ541" s="326"/>
      <c r="BA541" s="175"/>
      <c r="BB541" s="42"/>
      <c r="BC541" s="431"/>
      <c r="BG541" s="315"/>
      <c r="BH541" s="42"/>
    </row>
    <row r="542" spans="51:60" x14ac:dyDescent="0.2">
      <c r="AY542" s="315"/>
      <c r="AZ542" s="326"/>
      <c r="BA542" s="175"/>
      <c r="BB542" s="42"/>
      <c r="BC542" s="431"/>
      <c r="BG542" s="315"/>
      <c r="BH542" s="42"/>
    </row>
    <row r="543" spans="51:60" x14ac:dyDescent="0.2">
      <c r="AY543" s="315"/>
      <c r="AZ543" s="326"/>
      <c r="BA543" s="175"/>
      <c r="BB543" s="42"/>
      <c r="BC543" s="431"/>
      <c r="BG543" s="315"/>
      <c r="BH543" s="42"/>
    </row>
    <row r="544" spans="51:60" x14ac:dyDescent="0.2">
      <c r="AY544" s="315"/>
      <c r="AZ544" s="326"/>
      <c r="BA544" s="175"/>
      <c r="BB544" s="42"/>
      <c r="BC544" s="431"/>
      <c r="BG544" s="315"/>
      <c r="BH544" s="42"/>
    </row>
    <row r="545" spans="51:60" x14ac:dyDescent="0.2">
      <c r="AY545" s="315"/>
      <c r="AZ545" s="326"/>
      <c r="BA545" s="175"/>
      <c r="BB545" s="42"/>
      <c r="BC545" s="431"/>
      <c r="BG545" s="315"/>
      <c r="BH545" s="42"/>
    </row>
    <row r="546" spans="51:60" x14ac:dyDescent="0.2">
      <c r="AY546" s="315"/>
      <c r="AZ546" s="326"/>
      <c r="BA546" s="175"/>
      <c r="BB546" s="42"/>
      <c r="BC546" s="431"/>
      <c r="BG546" s="315"/>
      <c r="BH546" s="42"/>
    </row>
    <row r="547" spans="51:60" x14ac:dyDescent="0.2">
      <c r="AY547" s="315"/>
      <c r="AZ547" s="326"/>
      <c r="BA547" s="175"/>
      <c r="BB547" s="42"/>
      <c r="BC547" s="431"/>
      <c r="BG547" s="315"/>
      <c r="BH547" s="42"/>
    </row>
    <row r="548" spans="51:60" x14ac:dyDescent="0.2">
      <c r="AY548" s="315"/>
      <c r="AZ548" s="326"/>
      <c r="BA548" s="175"/>
      <c r="BB548" s="42"/>
      <c r="BC548" s="431"/>
      <c r="BG548" s="315"/>
      <c r="BH548" s="42"/>
    </row>
    <row r="549" spans="51:60" x14ac:dyDescent="0.2">
      <c r="AY549" s="315"/>
      <c r="AZ549" s="326"/>
      <c r="BA549" s="175"/>
      <c r="BB549" s="42"/>
      <c r="BC549" s="431"/>
      <c r="BG549" s="315"/>
      <c r="BH549" s="42"/>
    </row>
    <row r="550" spans="51:60" x14ac:dyDescent="0.2">
      <c r="AY550" s="315"/>
      <c r="AZ550" s="326"/>
      <c r="BA550" s="175"/>
      <c r="BB550" s="42"/>
      <c r="BC550" s="431"/>
      <c r="BG550" s="315"/>
      <c r="BH550" s="42"/>
    </row>
    <row r="551" spans="51:60" x14ac:dyDescent="0.2">
      <c r="AY551" s="315"/>
      <c r="AZ551" s="326"/>
      <c r="BA551" s="175"/>
      <c r="BB551" s="42"/>
      <c r="BC551" s="431"/>
      <c r="BG551" s="315"/>
      <c r="BH551" s="42"/>
    </row>
    <row r="552" spans="51:60" x14ac:dyDescent="0.2">
      <c r="AY552" s="315"/>
      <c r="AZ552" s="326"/>
      <c r="BA552" s="175"/>
      <c r="BB552" s="42"/>
      <c r="BC552" s="431"/>
      <c r="BG552" s="315"/>
      <c r="BH552" s="42"/>
    </row>
    <row r="553" spans="51:60" x14ac:dyDescent="0.2">
      <c r="AY553" s="315"/>
      <c r="AZ553" s="326"/>
      <c r="BA553" s="175"/>
      <c r="BB553" s="42"/>
      <c r="BC553" s="431"/>
      <c r="BG553" s="315"/>
      <c r="BH553" s="42"/>
    </row>
    <row r="554" spans="51:60" x14ac:dyDescent="0.2">
      <c r="AY554" s="315"/>
      <c r="AZ554" s="326"/>
      <c r="BA554" s="175"/>
      <c r="BB554" s="42"/>
      <c r="BC554" s="431"/>
      <c r="BG554" s="315"/>
      <c r="BH554" s="42"/>
    </row>
    <row r="555" spans="51:60" x14ac:dyDescent="0.2">
      <c r="AY555" s="315"/>
      <c r="AZ555" s="326"/>
      <c r="BA555" s="175"/>
      <c r="BB555" s="42"/>
      <c r="BC555" s="431"/>
      <c r="BG555" s="315"/>
      <c r="BH555" s="42"/>
    </row>
    <row r="556" spans="51:60" x14ac:dyDescent="0.2">
      <c r="AY556" s="315"/>
      <c r="AZ556" s="326"/>
      <c r="BA556" s="175"/>
      <c r="BB556" s="42"/>
      <c r="BC556" s="431"/>
      <c r="BG556" s="315"/>
      <c r="BH556" s="42"/>
    </row>
    <row r="557" spans="51:60" x14ac:dyDescent="0.2">
      <c r="AY557" s="315"/>
      <c r="AZ557" s="326"/>
      <c r="BA557" s="175"/>
      <c r="BB557" s="42"/>
      <c r="BC557" s="431"/>
      <c r="BG557" s="315"/>
      <c r="BH557" s="42"/>
    </row>
    <row r="558" spans="51:60" x14ac:dyDescent="0.2">
      <c r="AY558" s="315"/>
      <c r="AZ558" s="326"/>
      <c r="BA558" s="175"/>
      <c r="BB558" s="42"/>
      <c r="BC558" s="431"/>
      <c r="BG558" s="315"/>
      <c r="BH558" s="42"/>
    </row>
    <row r="559" spans="51:60" x14ac:dyDescent="0.2">
      <c r="AY559" s="315"/>
      <c r="AZ559" s="326"/>
      <c r="BA559" s="175"/>
      <c r="BB559" s="42"/>
      <c r="BC559" s="431"/>
      <c r="BG559" s="315"/>
      <c r="BH559" s="42"/>
    </row>
    <row r="560" spans="51:60" x14ac:dyDescent="0.2">
      <c r="AY560" s="315"/>
      <c r="AZ560" s="326"/>
      <c r="BA560" s="175"/>
      <c r="BB560" s="42"/>
      <c r="BC560" s="431"/>
      <c r="BG560" s="315"/>
      <c r="BH560" s="42"/>
    </row>
    <row r="561" spans="51:60" x14ac:dyDescent="0.2">
      <c r="AY561" s="315"/>
      <c r="AZ561" s="326"/>
      <c r="BA561" s="175"/>
      <c r="BB561" s="42"/>
      <c r="BC561" s="431"/>
      <c r="BG561" s="315"/>
      <c r="BH561" s="42"/>
    </row>
    <row r="562" spans="51:60" x14ac:dyDescent="0.2">
      <c r="AY562" s="315"/>
      <c r="AZ562" s="326"/>
      <c r="BA562" s="175"/>
      <c r="BB562" s="42"/>
      <c r="BC562" s="431"/>
      <c r="BG562" s="315"/>
      <c r="BH562" s="42"/>
    </row>
    <row r="563" spans="51:60" x14ac:dyDescent="0.2">
      <c r="AY563" s="315"/>
      <c r="AZ563" s="326"/>
      <c r="BA563" s="175"/>
      <c r="BB563" s="42"/>
      <c r="BC563" s="431"/>
      <c r="BG563" s="315"/>
      <c r="BH563" s="42"/>
    </row>
    <row r="564" spans="51:60" x14ac:dyDescent="0.2">
      <c r="AY564" s="315"/>
      <c r="AZ564" s="326"/>
      <c r="BA564" s="175"/>
      <c r="BB564" s="42"/>
      <c r="BC564" s="431"/>
      <c r="BG564" s="315"/>
      <c r="BH564" s="42"/>
    </row>
    <row r="565" spans="51:60" x14ac:dyDescent="0.2">
      <c r="AY565" s="315"/>
      <c r="AZ565" s="326"/>
      <c r="BA565" s="175"/>
      <c r="BB565" s="42"/>
      <c r="BC565" s="431"/>
      <c r="BG565" s="315"/>
      <c r="BH565" s="42"/>
    </row>
    <row r="566" spans="51:60" x14ac:dyDescent="0.2">
      <c r="AY566" s="315"/>
      <c r="AZ566" s="326"/>
      <c r="BA566" s="175"/>
      <c r="BB566" s="42"/>
      <c r="BC566" s="431"/>
      <c r="BG566" s="315"/>
      <c r="BH566" s="42"/>
    </row>
    <row r="567" spans="51:60" x14ac:dyDescent="0.2">
      <c r="AY567" s="315"/>
      <c r="AZ567" s="326"/>
      <c r="BA567" s="175"/>
      <c r="BB567" s="42"/>
      <c r="BC567" s="431"/>
      <c r="BG567" s="315"/>
      <c r="BH567" s="42"/>
    </row>
    <row r="568" spans="51:60" x14ac:dyDescent="0.2">
      <c r="AY568" s="315"/>
      <c r="AZ568" s="326"/>
      <c r="BA568" s="175"/>
      <c r="BB568" s="42"/>
      <c r="BC568" s="431"/>
      <c r="BG568" s="315"/>
      <c r="BH568" s="42"/>
    </row>
    <row r="569" spans="51:60" x14ac:dyDescent="0.2">
      <c r="AY569" s="315"/>
      <c r="AZ569" s="326"/>
      <c r="BA569" s="175"/>
      <c r="BB569" s="42"/>
      <c r="BC569" s="431"/>
      <c r="BG569" s="315"/>
      <c r="BH569" s="42"/>
    </row>
    <row r="570" spans="51:60" x14ac:dyDescent="0.2">
      <c r="AY570" s="315"/>
      <c r="AZ570" s="326"/>
      <c r="BA570" s="175"/>
      <c r="BB570" s="42"/>
      <c r="BC570" s="431"/>
      <c r="BG570" s="315"/>
      <c r="BH570" s="42"/>
    </row>
    <row r="571" spans="51:60" x14ac:dyDescent="0.2">
      <c r="AY571" s="315"/>
      <c r="AZ571" s="326"/>
      <c r="BA571" s="175"/>
      <c r="BB571" s="42"/>
      <c r="BC571" s="431"/>
      <c r="BG571" s="315"/>
      <c r="BH571" s="42"/>
    </row>
    <row r="572" spans="51:60" x14ac:dyDescent="0.2">
      <c r="AY572" s="315"/>
      <c r="AZ572" s="326"/>
      <c r="BA572" s="175"/>
      <c r="BB572" s="42"/>
      <c r="BC572" s="431"/>
      <c r="BG572" s="315"/>
      <c r="BH572" s="42"/>
    </row>
    <row r="573" spans="51:60" x14ac:dyDescent="0.2">
      <c r="AY573" s="315"/>
      <c r="AZ573" s="326"/>
      <c r="BA573" s="175"/>
      <c r="BB573" s="42"/>
      <c r="BC573" s="431"/>
      <c r="BG573" s="315"/>
      <c r="BH573" s="42"/>
    </row>
    <row r="574" spans="51:60" x14ac:dyDescent="0.2">
      <c r="AY574" s="315"/>
      <c r="AZ574" s="326"/>
      <c r="BA574" s="175"/>
      <c r="BB574" s="42"/>
      <c r="BC574" s="431"/>
      <c r="BG574" s="315"/>
      <c r="BH574" s="42"/>
    </row>
    <row r="575" spans="51:60" x14ac:dyDescent="0.2">
      <c r="AY575" s="315"/>
      <c r="AZ575" s="326"/>
      <c r="BA575" s="175"/>
      <c r="BB575" s="42"/>
      <c r="BC575" s="431"/>
      <c r="BG575" s="315"/>
      <c r="BH575" s="42"/>
    </row>
    <row r="576" spans="51:60" x14ac:dyDescent="0.2">
      <c r="AY576" s="315"/>
      <c r="AZ576" s="326"/>
      <c r="BA576" s="175"/>
      <c r="BB576" s="42"/>
      <c r="BC576" s="431"/>
      <c r="BG576" s="315"/>
      <c r="BH576" s="42"/>
    </row>
    <row r="577" spans="51:60" x14ac:dyDescent="0.2">
      <c r="AY577" s="315"/>
      <c r="AZ577" s="326"/>
      <c r="BA577" s="175"/>
      <c r="BB577" s="42"/>
      <c r="BC577" s="431"/>
      <c r="BG577" s="315"/>
      <c r="BH577" s="42"/>
    </row>
    <row r="578" spans="51:60" x14ac:dyDescent="0.2">
      <c r="AY578" s="315"/>
      <c r="AZ578" s="326"/>
      <c r="BA578" s="175"/>
      <c r="BB578" s="42"/>
      <c r="BC578" s="431"/>
      <c r="BG578" s="315"/>
      <c r="BH578" s="42"/>
    </row>
    <row r="579" spans="51:60" x14ac:dyDescent="0.2">
      <c r="AY579" s="315"/>
      <c r="AZ579" s="326"/>
      <c r="BA579" s="175"/>
      <c r="BB579" s="42"/>
      <c r="BC579" s="431"/>
      <c r="BG579" s="315"/>
      <c r="BH579" s="42"/>
    </row>
    <row r="580" spans="51:60" x14ac:dyDescent="0.2">
      <c r="AY580" s="315"/>
      <c r="AZ580" s="326"/>
      <c r="BA580" s="175"/>
      <c r="BB580" s="42"/>
      <c r="BC580" s="431"/>
      <c r="BG580" s="315"/>
      <c r="BH580" s="42"/>
    </row>
    <row r="581" spans="51:60" x14ac:dyDescent="0.2">
      <c r="AY581" s="315"/>
      <c r="AZ581" s="326"/>
      <c r="BA581" s="175"/>
      <c r="BB581" s="42"/>
      <c r="BC581" s="431"/>
      <c r="BG581" s="315"/>
      <c r="BH581" s="42"/>
    </row>
    <row r="582" spans="51:60" x14ac:dyDescent="0.2">
      <c r="AY582" s="315"/>
      <c r="AZ582" s="326"/>
      <c r="BA582" s="175"/>
      <c r="BB582" s="42"/>
      <c r="BC582" s="431"/>
      <c r="BG582" s="315"/>
      <c r="BH582" s="42"/>
    </row>
    <row r="583" spans="51:60" x14ac:dyDescent="0.2">
      <c r="AY583" s="315"/>
      <c r="AZ583" s="326"/>
      <c r="BA583" s="175"/>
      <c r="BB583" s="42"/>
      <c r="BC583" s="431"/>
      <c r="BG583" s="315"/>
      <c r="BH583" s="42"/>
    </row>
    <row r="584" spans="51:60" x14ac:dyDescent="0.2">
      <c r="AY584" s="315"/>
      <c r="AZ584" s="326"/>
      <c r="BA584" s="175"/>
      <c r="BB584" s="42"/>
      <c r="BC584" s="431"/>
      <c r="BG584" s="315"/>
      <c r="BH584" s="42"/>
    </row>
    <row r="585" spans="51:60" x14ac:dyDescent="0.2">
      <c r="AY585" s="315"/>
      <c r="AZ585" s="326"/>
      <c r="BA585" s="175"/>
      <c r="BB585" s="42"/>
      <c r="BC585" s="431"/>
      <c r="BG585" s="315"/>
      <c r="BH585" s="42"/>
    </row>
    <row r="586" spans="51:60" x14ac:dyDescent="0.2">
      <c r="AY586" s="315"/>
      <c r="AZ586" s="326"/>
      <c r="BA586" s="175"/>
      <c r="BB586" s="42"/>
      <c r="BC586" s="431"/>
      <c r="BG586" s="315"/>
      <c r="BH586" s="42"/>
    </row>
    <row r="587" spans="51:60" x14ac:dyDescent="0.2">
      <c r="AY587" s="315"/>
      <c r="AZ587" s="326"/>
      <c r="BA587" s="175"/>
      <c r="BB587" s="42"/>
      <c r="BC587" s="431"/>
      <c r="BG587" s="315"/>
      <c r="BH587" s="42"/>
    </row>
    <row r="588" spans="51:60" x14ac:dyDescent="0.2">
      <c r="AY588" s="315"/>
      <c r="AZ588" s="326"/>
      <c r="BA588" s="175"/>
      <c r="BB588" s="42"/>
      <c r="BC588" s="431"/>
      <c r="BG588" s="315"/>
      <c r="BH588" s="42"/>
    </row>
    <row r="589" spans="51:60" x14ac:dyDescent="0.2">
      <c r="AY589" s="315"/>
      <c r="AZ589" s="326"/>
      <c r="BA589" s="175"/>
      <c r="BB589" s="42"/>
      <c r="BC589" s="431"/>
      <c r="BG589" s="315"/>
      <c r="BH589" s="42"/>
    </row>
    <row r="590" spans="51:60" x14ac:dyDescent="0.2">
      <c r="AY590" s="315"/>
      <c r="AZ590" s="326"/>
      <c r="BA590" s="175"/>
      <c r="BB590" s="42"/>
      <c r="BC590" s="431"/>
      <c r="BG590" s="315"/>
      <c r="BH590" s="42"/>
    </row>
    <row r="591" spans="51:60" x14ac:dyDescent="0.2">
      <c r="AY591" s="315"/>
      <c r="AZ591" s="326"/>
      <c r="BA591" s="175"/>
      <c r="BB591" s="42"/>
      <c r="BC591" s="431"/>
      <c r="BG591" s="315"/>
      <c r="BH591" s="42"/>
    </row>
    <row r="592" spans="51:60" x14ac:dyDescent="0.2">
      <c r="AY592" s="315"/>
      <c r="AZ592" s="326"/>
      <c r="BA592" s="175"/>
      <c r="BB592" s="42"/>
      <c r="BC592" s="431"/>
      <c r="BG592" s="315"/>
      <c r="BH592" s="42"/>
    </row>
    <row r="593" spans="51:60" x14ac:dyDescent="0.2">
      <c r="AY593" s="315"/>
      <c r="AZ593" s="326"/>
      <c r="BA593" s="175"/>
      <c r="BB593" s="42"/>
      <c r="BC593" s="431"/>
      <c r="BG593" s="315"/>
      <c r="BH593" s="42"/>
    </row>
    <row r="594" spans="51:60" x14ac:dyDescent="0.2">
      <c r="AY594" s="315"/>
      <c r="AZ594" s="326"/>
      <c r="BA594" s="175"/>
      <c r="BB594" s="42"/>
      <c r="BC594" s="431"/>
      <c r="BG594" s="315"/>
      <c r="BH594" s="42"/>
    </row>
    <row r="595" spans="51:60" x14ac:dyDescent="0.2">
      <c r="AY595" s="315"/>
      <c r="AZ595" s="326"/>
      <c r="BA595" s="175"/>
      <c r="BB595" s="42"/>
      <c r="BC595" s="431"/>
      <c r="BG595" s="315"/>
      <c r="BH595" s="42"/>
    </row>
    <row r="596" spans="51:60" x14ac:dyDescent="0.2">
      <c r="AY596" s="315"/>
      <c r="AZ596" s="326"/>
      <c r="BA596" s="175"/>
      <c r="BB596" s="42"/>
      <c r="BC596" s="431"/>
      <c r="BG596" s="315"/>
      <c r="BH596" s="42"/>
    </row>
    <row r="597" spans="51:60" x14ac:dyDescent="0.2">
      <c r="AY597" s="315"/>
      <c r="AZ597" s="326"/>
      <c r="BA597" s="175"/>
      <c r="BB597" s="42"/>
      <c r="BC597" s="431"/>
      <c r="BG597" s="315"/>
      <c r="BH597" s="42"/>
    </row>
    <row r="598" spans="51:60" x14ac:dyDescent="0.2">
      <c r="AY598" s="315"/>
      <c r="AZ598" s="326"/>
      <c r="BA598" s="175"/>
      <c r="BB598" s="42"/>
      <c r="BC598" s="431"/>
      <c r="BG598" s="315"/>
      <c r="BH598" s="42"/>
    </row>
    <row r="599" spans="51:60" x14ac:dyDescent="0.2">
      <c r="AY599" s="315"/>
      <c r="AZ599" s="326"/>
      <c r="BA599" s="175"/>
      <c r="BB599" s="42"/>
      <c r="BC599" s="431"/>
      <c r="BG599" s="315"/>
      <c r="BH599" s="42"/>
    </row>
    <row r="600" spans="51:60" x14ac:dyDescent="0.2">
      <c r="AY600" s="315"/>
      <c r="AZ600" s="326"/>
      <c r="BA600" s="175"/>
      <c r="BB600" s="42"/>
      <c r="BC600" s="431"/>
      <c r="BG600" s="315"/>
      <c r="BH600" s="42"/>
    </row>
    <row r="601" spans="51:60" x14ac:dyDescent="0.2">
      <c r="AY601" s="315"/>
      <c r="AZ601" s="326"/>
      <c r="BA601" s="175"/>
      <c r="BB601" s="42"/>
      <c r="BC601" s="431"/>
      <c r="BG601" s="315"/>
      <c r="BH601" s="42"/>
    </row>
    <row r="602" spans="51:60" x14ac:dyDescent="0.2">
      <c r="AY602" s="315"/>
      <c r="AZ602" s="326"/>
      <c r="BA602" s="175"/>
      <c r="BB602" s="42"/>
      <c r="BC602" s="431"/>
      <c r="BG602" s="315"/>
      <c r="BH602" s="42"/>
    </row>
    <row r="603" spans="51:60" x14ac:dyDescent="0.2">
      <c r="AY603" s="315"/>
      <c r="AZ603" s="326"/>
      <c r="BA603" s="175"/>
      <c r="BB603" s="42"/>
      <c r="BC603" s="431"/>
      <c r="BG603" s="315"/>
      <c r="BH603" s="42"/>
    </row>
    <row r="604" spans="51:60" x14ac:dyDescent="0.2">
      <c r="AY604" s="315"/>
      <c r="AZ604" s="326"/>
      <c r="BA604" s="175"/>
      <c r="BB604" s="42"/>
      <c r="BC604" s="431"/>
      <c r="BG604" s="315"/>
      <c r="BH604" s="42"/>
    </row>
    <row r="605" spans="51:60" x14ac:dyDescent="0.2">
      <c r="AY605" s="315"/>
      <c r="AZ605" s="326"/>
      <c r="BA605" s="175"/>
      <c r="BB605" s="42"/>
      <c r="BC605" s="431"/>
      <c r="BG605" s="315"/>
      <c r="BH605" s="42"/>
    </row>
    <row r="606" spans="51:60" x14ac:dyDescent="0.2">
      <c r="AY606" s="315"/>
      <c r="AZ606" s="326"/>
      <c r="BA606" s="175"/>
      <c r="BB606" s="42"/>
      <c r="BC606" s="431"/>
      <c r="BG606" s="315"/>
      <c r="BH606" s="42"/>
    </row>
    <row r="607" spans="51:60" x14ac:dyDescent="0.2">
      <c r="AY607" s="315"/>
      <c r="AZ607" s="326"/>
      <c r="BA607" s="175"/>
      <c r="BB607" s="42"/>
      <c r="BC607" s="431"/>
      <c r="BG607" s="315"/>
      <c r="BH607" s="42"/>
    </row>
    <row r="608" spans="51:60" x14ac:dyDescent="0.2">
      <c r="AY608" s="315"/>
      <c r="AZ608" s="326"/>
      <c r="BA608" s="175"/>
      <c r="BB608" s="42"/>
      <c r="BC608" s="431"/>
      <c r="BG608" s="315"/>
      <c r="BH608" s="42"/>
    </row>
    <row r="609" spans="51:60" x14ac:dyDescent="0.2">
      <c r="AY609" s="315"/>
      <c r="AZ609" s="326"/>
      <c r="BA609" s="175"/>
      <c r="BB609" s="42"/>
      <c r="BC609" s="431"/>
      <c r="BG609" s="315"/>
      <c r="BH609" s="42"/>
    </row>
    <row r="610" spans="51:60" x14ac:dyDescent="0.2">
      <c r="AY610" s="315"/>
      <c r="AZ610" s="326"/>
      <c r="BA610" s="175"/>
      <c r="BB610" s="42"/>
      <c r="BC610" s="431"/>
      <c r="BG610" s="315"/>
      <c r="BH610" s="42"/>
    </row>
    <row r="611" spans="51:60" x14ac:dyDescent="0.2">
      <c r="AY611" s="315"/>
      <c r="AZ611" s="326"/>
      <c r="BA611" s="175"/>
      <c r="BB611" s="42"/>
      <c r="BC611" s="431"/>
      <c r="BG611" s="315"/>
      <c r="BH611" s="42"/>
    </row>
    <row r="612" spans="51:60" x14ac:dyDescent="0.2">
      <c r="AY612" s="315"/>
      <c r="AZ612" s="326"/>
      <c r="BA612" s="175"/>
      <c r="BB612" s="42"/>
      <c r="BC612" s="431"/>
      <c r="BG612" s="315"/>
      <c r="BH612" s="42"/>
    </row>
    <row r="613" spans="51:60" x14ac:dyDescent="0.2">
      <c r="AY613" s="315"/>
      <c r="AZ613" s="326"/>
      <c r="BA613" s="175"/>
      <c r="BB613" s="42"/>
      <c r="BC613" s="431"/>
      <c r="BG613" s="315"/>
      <c r="BH613" s="42"/>
    </row>
    <row r="614" spans="51:60" x14ac:dyDescent="0.2">
      <c r="AY614" s="315"/>
      <c r="AZ614" s="326"/>
      <c r="BA614" s="175"/>
      <c r="BB614" s="42"/>
      <c r="BC614" s="431"/>
      <c r="BG614" s="315"/>
      <c r="BH614" s="42"/>
    </row>
    <row r="615" spans="51:60" x14ac:dyDescent="0.2">
      <c r="AY615" s="315"/>
      <c r="AZ615" s="326"/>
      <c r="BA615" s="175"/>
      <c r="BB615" s="42"/>
      <c r="BC615" s="431"/>
      <c r="BG615" s="315"/>
      <c r="BH615" s="42"/>
    </row>
    <row r="616" spans="51:60" x14ac:dyDescent="0.2">
      <c r="AY616" s="315"/>
      <c r="AZ616" s="326"/>
      <c r="BA616" s="175"/>
      <c r="BB616" s="42"/>
      <c r="BC616" s="431"/>
      <c r="BG616" s="315"/>
      <c r="BH616" s="42"/>
    </row>
    <row r="617" spans="51:60" x14ac:dyDescent="0.2">
      <c r="AY617" s="315"/>
      <c r="AZ617" s="326"/>
      <c r="BA617" s="175"/>
      <c r="BB617" s="42"/>
      <c r="BC617" s="431"/>
      <c r="BG617" s="315"/>
      <c r="BH617" s="42"/>
    </row>
    <row r="618" spans="51:60" x14ac:dyDescent="0.2">
      <c r="AY618" s="315"/>
      <c r="AZ618" s="326"/>
      <c r="BA618" s="175"/>
      <c r="BB618" s="42"/>
      <c r="BC618" s="431"/>
      <c r="BG618" s="315"/>
      <c r="BH618" s="42"/>
    </row>
    <row r="619" spans="51:60" x14ac:dyDescent="0.2">
      <c r="AY619" s="315"/>
      <c r="AZ619" s="326"/>
      <c r="BA619" s="175"/>
      <c r="BB619" s="42"/>
      <c r="BC619" s="431"/>
      <c r="BG619" s="315"/>
      <c r="BH619" s="42"/>
    </row>
    <row r="620" spans="51:60" x14ac:dyDescent="0.2">
      <c r="AY620" s="315"/>
      <c r="AZ620" s="326"/>
      <c r="BA620" s="175"/>
      <c r="BB620" s="42"/>
      <c r="BC620" s="431"/>
      <c r="BG620" s="315"/>
      <c r="BH620" s="42"/>
    </row>
    <row r="621" spans="51:60" x14ac:dyDescent="0.2">
      <c r="AY621" s="315"/>
      <c r="AZ621" s="326"/>
      <c r="BA621" s="175"/>
      <c r="BB621" s="42"/>
      <c r="BC621" s="431"/>
      <c r="BG621" s="315"/>
      <c r="BH621" s="42"/>
    </row>
    <row r="622" spans="51:60" x14ac:dyDescent="0.2">
      <c r="AY622" s="315"/>
      <c r="AZ622" s="326"/>
      <c r="BA622" s="175"/>
      <c r="BB622" s="42"/>
      <c r="BC622" s="431"/>
      <c r="BG622" s="315"/>
      <c r="BH622" s="42"/>
    </row>
    <row r="623" spans="51:60" x14ac:dyDescent="0.2">
      <c r="AY623" s="315"/>
      <c r="AZ623" s="326"/>
      <c r="BA623" s="175"/>
      <c r="BB623" s="42"/>
      <c r="BC623" s="431"/>
      <c r="BG623" s="315"/>
      <c r="BH623" s="42"/>
    </row>
    <row r="624" spans="51:60" x14ac:dyDescent="0.2">
      <c r="AY624" s="315"/>
      <c r="AZ624" s="326"/>
      <c r="BA624" s="175"/>
      <c r="BB624" s="42"/>
      <c r="BC624" s="431"/>
      <c r="BG624" s="315"/>
      <c r="BH624" s="42"/>
    </row>
    <row r="625" spans="51:60" x14ac:dyDescent="0.2">
      <c r="AY625" s="315"/>
      <c r="AZ625" s="326"/>
      <c r="BA625" s="175"/>
      <c r="BB625" s="42"/>
      <c r="BC625" s="431"/>
      <c r="BG625" s="315"/>
      <c r="BH625" s="42"/>
    </row>
    <row r="626" spans="51:60" x14ac:dyDescent="0.2">
      <c r="AY626" s="315"/>
      <c r="AZ626" s="326"/>
      <c r="BA626" s="175"/>
      <c r="BB626" s="42"/>
      <c r="BC626" s="431"/>
      <c r="BG626" s="315"/>
      <c r="BH626" s="42"/>
    </row>
    <row r="627" spans="51:60" x14ac:dyDescent="0.2">
      <c r="AY627" s="315"/>
      <c r="AZ627" s="326"/>
      <c r="BA627" s="175"/>
      <c r="BB627" s="42"/>
      <c r="BC627" s="431"/>
      <c r="BG627" s="315"/>
      <c r="BH627" s="42"/>
    </row>
    <row r="628" spans="51:60" x14ac:dyDescent="0.2">
      <c r="AY628" s="315"/>
      <c r="AZ628" s="326"/>
      <c r="BA628" s="175"/>
      <c r="BB628" s="42"/>
      <c r="BC628" s="431"/>
      <c r="BG628" s="315"/>
      <c r="BH628" s="42"/>
    </row>
    <row r="629" spans="51:60" x14ac:dyDescent="0.2">
      <c r="AY629" s="315"/>
      <c r="AZ629" s="326"/>
      <c r="BA629" s="175"/>
      <c r="BB629" s="42"/>
      <c r="BC629" s="431"/>
      <c r="BG629" s="315"/>
      <c r="BH629" s="42"/>
    </row>
    <row r="630" spans="51:60" x14ac:dyDescent="0.2">
      <c r="AY630" s="315"/>
      <c r="AZ630" s="326"/>
      <c r="BA630" s="175"/>
      <c r="BB630" s="42"/>
      <c r="BC630" s="431"/>
      <c r="BG630" s="315"/>
      <c r="BH630" s="42"/>
    </row>
    <row r="631" spans="51:60" x14ac:dyDescent="0.2">
      <c r="AY631" s="315"/>
      <c r="AZ631" s="326"/>
      <c r="BA631" s="175"/>
      <c r="BB631" s="42"/>
      <c r="BC631" s="431"/>
      <c r="BG631" s="315"/>
      <c r="BH631" s="42"/>
    </row>
    <row r="632" spans="51:60" x14ac:dyDescent="0.2">
      <c r="AY632" s="315"/>
      <c r="AZ632" s="326"/>
      <c r="BA632" s="175"/>
      <c r="BB632" s="42"/>
      <c r="BC632" s="431"/>
      <c r="BG632" s="315"/>
      <c r="BH632" s="42"/>
    </row>
    <row r="633" spans="51:60" x14ac:dyDescent="0.2">
      <c r="AY633" s="315"/>
      <c r="AZ633" s="326"/>
      <c r="BA633" s="175"/>
      <c r="BB633" s="42"/>
      <c r="BC633" s="431"/>
      <c r="BG633" s="315"/>
      <c r="BH633" s="42"/>
    </row>
    <row r="634" spans="51:60" x14ac:dyDescent="0.2">
      <c r="AY634" s="315"/>
      <c r="AZ634" s="326"/>
      <c r="BA634" s="175"/>
      <c r="BB634" s="42"/>
      <c r="BC634" s="431"/>
      <c r="BG634" s="315"/>
      <c r="BH634" s="42"/>
    </row>
    <row r="635" spans="51:60" x14ac:dyDescent="0.2">
      <c r="AY635" s="315"/>
      <c r="AZ635" s="326"/>
      <c r="BA635" s="175"/>
      <c r="BB635" s="42"/>
      <c r="BC635" s="431"/>
      <c r="BG635" s="315"/>
      <c r="BH635" s="42"/>
    </row>
    <row r="636" spans="51:60" x14ac:dyDescent="0.2">
      <c r="AY636" s="315"/>
      <c r="AZ636" s="326"/>
      <c r="BA636" s="175"/>
      <c r="BB636" s="42"/>
      <c r="BC636" s="431"/>
      <c r="BG636" s="315"/>
      <c r="BH636" s="42"/>
    </row>
    <row r="637" spans="51:60" x14ac:dyDescent="0.2">
      <c r="AY637" s="315"/>
      <c r="AZ637" s="326"/>
      <c r="BA637" s="175"/>
      <c r="BB637" s="42"/>
      <c r="BC637" s="431"/>
      <c r="BG637" s="315"/>
      <c r="BH637" s="42"/>
    </row>
    <row r="638" spans="51:60" x14ac:dyDescent="0.2">
      <c r="AY638" s="315"/>
      <c r="AZ638" s="326"/>
      <c r="BA638" s="175"/>
      <c r="BB638" s="42"/>
      <c r="BC638" s="431"/>
      <c r="BG638" s="315"/>
      <c r="BH638" s="42"/>
    </row>
    <row r="639" spans="51:60" x14ac:dyDescent="0.2">
      <c r="AY639" s="315"/>
      <c r="AZ639" s="326"/>
      <c r="BA639" s="175"/>
      <c r="BB639" s="42"/>
      <c r="BC639" s="431"/>
      <c r="BG639" s="315"/>
      <c r="BH639" s="42"/>
    </row>
    <row r="640" spans="51:60" x14ac:dyDescent="0.2">
      <c r="AY640" s="315"/>
      <c r="AZ640" s="326"/>
      <c r="BA640" s="175"/>
      <c r="BB640" s="42"/>
      <c r="BC640" s="431"/>
      <c r="BG640" s="315"/>
      <c r="BH640" s="42"/>
    </row>
    <row r="641" spans="51:60" x14ac:dyDescent="0.2">
      <c r="AY641" s="315"/>
      <c r="AZ641" s="326"/>
      <c r="BA641" s="175"/>
      <c r="BB641" s="42"/>
      <c r="BC641" s="431"/>
      <c r="BG641" s="315"/>
      <c r="BH641" s="42"/>
    </row>
    <row r="642" spans="51:60" x14ac:dyDescent="0.2">
      <c r="AY642" s="315"/>
      <c r="AZ642" s="326"/>
      <c r="BA642" s="175"/>
      <c r="BB642" s="42"/>
      <c r="BC642" s="431"/>
      <c r="BG642" s="315"/>
      <c r="BH642" s="42"/>
    </row>
    <row r="643" spans="51:60" x14ac:dyDescent="0.2">
      <c r="AY643" s="315"/>
      <c r="AZ643" s="326"/>
      <c r="BA643" s="175"/>
      <c r="BB643" s="42"/>
      <c r="BC643" s="431"/>
      <c r="BG643" s="315"/>
      <c r="BH643" s="42"/>
    </row>
    <row r="644" spans="51:60" x14ac:dyDescent="0.2">
      <c r="AY644" s="315"/>
      <c r="AZ644" s="326"/>
      <c r="BA644" s="175"/>
      <c r="BB644" s="42"/>
      <c r="BC644" s="431"/>
      <c r="BG644" s="315"/>
      <c r="BH644" s="42"/>
    </row>
    <row r="645" spans="51:60" x14ac:dyDescent="0.2">
      <c r="AY645" s="315"/>
      <c r="AZ645" s="326"/>
      <c r="BA645" s="175"/>
      <c r="BB645" s="42"/>
      <c r="BC645" s="431"/>
      <c r="BG645" s="315"/>
      <c r="BH645" s="42"/>
    </row>
    <row r="646" spans="51:60" x14ac:dyDescent="0.2">
      <c r="AY646" s="315"/>
      <c r="AZ646" s="326"/>
      <c r="BA646" s="175"/>
      <c r="BB646" s="42"/>
      <c r="BC646" s="431"/>
      <c r="BG646" s="315"/>
      <c r="BH646" s="42"/>
    </row>
    <row r="647" spans="51:60" x14ac:dyDescent="0.2">
      <c r="AY647" s="315"/>
      <c r="AZ647" s="326"/>
      <c r="BA647" s="175"/>
      <c r="BB647" s="42"/>
      <c r="BC647" s="431"/>
      <c r="BG647" s="315"/>
      <c r="BH647" s="42"/>
    </row>
    <row r="648" spans="51:60" x14ac:dyDescent="0.2">
      <c r="AY648" s="315"/>
      <c r="AZ648" s="326"/>
      <c r="BA648" s="175"/>
      <c r="BB648" s="42"/>
      <c r="BC648" s="431"/>
      <c r="BG648" s="315"/>
      <c r="BH648" s="42"/>
    </row>
    <row r="649" spans="51:60" x14ac:dyDescent="0.2">
      <c r="AY649" s="315"/>
      <c r="AZ649" s="326"/>
      <c r="BA649" s="175"/>
      <c r="BB649" s="42"/>
      <c r="BC649" s="431"/>
      <c r="BG649" s="315"/>
      <c r="BH649" s="42"/>
    </row>
    <row r="650" spans="51:60" x14ac:dyDescent="0.2">
      <c r="AY650" s="315"/>
      <c r="AZ650" s="326"/>
      <c r="BA650" s="175"/>
      <c r="BB650" s="42"/>
      <c r="BC650" s="431"/>
      <c r="BG650" s="315"/>
      <c r="BH650" s="42"/>
    </row>
    <row r="651" spans="51:60" x14ac:dyDescent="0.2">
      <c r="AY651" s="315"/>
      <c r="AZ651" s="326"/>
      <c r="BA651" s="175"/>
      <c r="BB651" s="42"/>
      <c r="BC651" s="431"/>
      <c r="BG651" s="315"/>
      <c r="BH651" s="42"/>
    </row>
    <row r="652" spans="51:60" x14ac:dyDescent="0.2">
      <c r="AY652" s="315"/>
      <c r="AZ652" s="326"/>
      <c r="BA652" s="175"/>
      <c r="BB652" s="42"/>
      <c r="BC652" s="431"/>
      <c r="BG652" s="315"/>
      <c r="BH652" s="42"/>
    </row>
    <row r="653" spans="51:60" x14ac:dyDescent="0.2">
      <c r="AY653" s="315"/>
      <c r="AZ653" s="326"/>
      <c r="BA653" s="175"/>
      <c r="BB653" s="42"/>
      <c r="BC653" s="431"/>
      <c r="BG653" s="315"/>
      <c r="BH653" s="42"/>
    </row>
    <row r="654" spans="51:60" x14ac:dyDescent="0.2">
      <c r="AY654" s="315"/>
      <c r="AZ654" s="326"/>
      <c r="BA654" s="175"/>
      <c r="BB654" s="42"/>
      <c r="BC654" s="431"/>
      <c r="BG654" s="315"/>
      <c r="BH654" s="42"/>
    </row>
    <row r="655" spans="51:60" x14ac:dyDescent="0.2">
      <c r="AY655" s="315"/>
      <c r="AZ655" s="326"/>
      <c r="BA655" s="175"/>
      <c r="BB655" s="42"/>
      <c r="BC655" s="431"/>
      <c r="BG655" s="315"/>
      <c r="BH655" s="42"/>
    </row>
    <row r="656" spans="51:60" x14ac:dyDescent="0.2">
      <c r="AY656" s="315"/>
      <c r="AZ656" s="326"/>
      <c r="BA656" s="175"/>
      <c r="BB656" s="42"/>
      <c r="BC656" s="431"/>
      <c r="BG656" s="315"/>
      <c r="BH656" s="42"/>
    </row>
    <row r="657" spans="51:60" x14ac:dyDescent="0.2">
      <c r="AY657" s="315"/>
      <c r="AZ657" s="326"/>
      <c r="BA657" s="175"/>
      <c r="BB657" s="42"/>
      <c r="BC657" s="431"/>
      <c r="BG657" s="315"/>
      <c r="BH657" s="42"/>
    </row>
    <row r="658" spans="51:60" x14ac:dyDescent="0.2">
      <c r="AY658" s="315"/>
      <c r="AZ658" s="326"/>
      <c r="BA658" s="175"/>
      <c r="BB658" s="42"/>
      <c r="BC658" s="431"/>
      <c r="BG658" s="315"/>
      <c r="BH658" s="42"/>
    </row>
    <row r="659" spans="51:60" x14ac:dyDescent="0.2">
      <c r="AY659" s="315"/>
      <c r="AZ659" s="326"/>
      <c r="BA659" s="175"/>
      <c r="BB659" s="42"/>
      <c r="BC659" s="431"/>
      <c r="BG659" s="315"/>
      <c r="BH659" s="42"/>
    </row>
    <row r="660" spans="51:60" x14ac:dyDescent="0.2">
      <c r="AY660" s="315"/>
      <c r="AZ660" s="326"/>
      <c r="BA660" s="175"/>
      <c r="BB660" s="42"/>
      <c r="BC660" s="431"/>
      <c r="BG660" s="315"/>
      <c r="BH660" s="42"/>
    </row>
    <row r="661" spans="51:60" x14ac:dyDescent="0.2">
      <c r="AY661" s="315"/>
      <c r="AZ661" s="326"/>
      <c r="BA661" s="175"/>
      <c r="BB661" s="42"/>
      <c r="BC661" s="431"/>
      <c r="BG661" s="315"/>
      <c r="BH661" s="42"/>
    </row>
    <row r="662" spans="51:60" x14ac:dyDescent="0.2">
      <c r="AY662" s="315"/>
      <c r="AZ662" s="326"/>
      <c r="BA662" s="175"/>
      <c r="BB662" s="42"/>
      <c r="BC662" s="431"/>
      <c r="BG662" s="315"/>
      <c r="BH662" s="42"/>
    </row>
    <row r="663" spans="51:60" x14ac:dyDescent="0.2">
      <c r="AY663" s="315"/>
      <c r="AZ663" s="326"/>
      <c r="BA663" s="175"/>
      <c r="BB663" s="42"/>
      <c r="BC663" s="431"/>
      <c r="BG663" s="315"/>
      <c r="BH663" s="42"/>
    </row>
    <row r="664" spans="51:60" x14ac:dyDescent="0.2">
      <c r="AY664" s="315"/>
      <c r="AZ664" s="326"/>
      <c r="BA664" s="175"/>
      <c r="BB664" s="42"/>
      <c r="BC664" s="431"/>
      <c r="BG664" s="315"/>
      <c r="BH664" s="42"/>
    </row>
    <row r="665" spans="51:60" x14ac:dyDescent="0.2">
      <c r="AY665" s="315"/>
      <c r="AZ665" s="326"/>
      <c r="BA665" s="175"/>
      <c r="BB665" s="42"/>
      <c r="BC665" s="431"/>
      <c r="BG665" s="315"/>
      <c r="BH665" s="42"/>
    </row>
    <row r="666" spans="51:60" x14ac:dyDescent="0.2">
      <c r="AY666" s="315"/>
      <c r="AZ666" s="326"/>
      <c r="BA666" s="175"/>
      <c r="BB666" s="42"/>
      <c r="BC666" s="431"/>
      <c r="BG666" s="315"/>
      <c r="BH666" s="42"/>
    </row>
    <row r="667" spans="51:60" x14ac:dyDescent="0.2">
      <c r="AY667" s="315"/>
      <c r="AZ667" s="326"/>
      <c r="BA667" s="175"/>
      <c r="BB667" s="42"/>
      <c r="BC667" s="431"/>
      <c r="BG667" s="315"/>
      <c r="BH667" s="42"/>
    </row>
    <row r="668" spans="51:60" x14ac:dyDescent="0.2">
      <c r="AY668" s="315"/>
      <c r="AZ668" s="326"/>
      <c r="BA668" s="175"/>
      <c r="BB668" s="42"/>
      <c r="BC668" s="431"/>
      <c r="BG668" s="315"/>
      <c r="BH668" s="42"/>
    </row>
    <row r="669" spans="51:60" x14ac:dyDescent="0.2">
      <c r="AY669" s="315"/>
      <c r="AZ669" s="326"/>
      <c r="BA669" s="175"/>
      <c r="BB669" s="42"/>
      <c r="BC669" s="431"/>
      <c r="BG669" s="315"/>
      <c r="BH669" s="42"/>
    </row>
    <row r="670" spans="51:60" x14ac:dyDescent="0.2">
      <c r="AY670" s="315"/>
      <c r="AZ670" s="326"/>
      <c r="BA670" s="175"/>
      <c r="BB670" s="42"/>
      <c r="BC670" s="431"/>
      <c r="BG670" s="315"/>
      <c r="BH670" s="42"/>
    </row>
    <row r="671" spans="51:60" x14ac:dyDescent="0.2">
      <c r="AY671" s="315"/>
      <c r="AZ671" s="326"/>
      <c r="BA671" s="175"/>
      <c r="BB671" s="42"/>
      <c r="BC671" s="431"/>
      <c r="BG671" s="315"/>
      <c r="BH671" s="42"/>
    </row>
    <row r="672" spans="51:60" x14ac:dyDescent="0.2">
      <c r="AY672" s="315"/>
      <c r="AZ672" s="326"/>
      <c r="BA672" s="175"/>
      <c r="BB672" s="42"/>
      <c r="BC672" s="431"/>
      <c r="BG672" s="315"/>
      <c r="BH672" s="42"/>
    </row>
    <row r="673" spans="51:60" x14ac:dyDescent="0.2">
      <c r="AY673" s="315"/>
      <c r="AZ673" s="326"/>
      <c r="BA673" s="175"/>
      <c r="BB673" s="42"/>
      <c r="BC673" s="431"/>
      <c r="BG673" s="315"/>
      <c r="BH673" s="42"/>
    </row>
    <row r="674" spans="51:60" x14ac:dyDescent="0.2">
      <c r="AY674" s="315"/>
      <c r="AZ674" s="326"/>
      <c r="BA674" s="175"/>
      <c r="BB674" s="42"/>
      <c r="BC674" s="431"/>
      <c r="BG674" s="315"/>
      <c r="BH674" s="42"/>
    </row>
    <row r="675" spans="51:60" x14ac:dyDescent="0.2">
      <c r="AY675" s="315"/>
      <c r="AZ675" s="326"/>
      <c r="BA675" s="175"/>
      <c r="BB675" s="42"/>
      <c r="BC675" s="431"/>
      <c r="BG675" s="315"/>
      <c r="BH675" s="42"/>
    </row>
    <row r="676" spans="51:60" x14ac:dyDescent="0.2">
      <c r="AY676" s="315"/>
      <c r="AZ676" s="326"/>
      <c r="BA676" s="175"/>
      <c r="BB676" s="42"/>
      <c r="BC676" s="431"/>
      <c r="BG676" s="315"/>
      <c r="BH676" s="42"/>
    </row>
    <row r="677" spans="51:60" x14ac:dyDescent="0.2">
      <c r="AY677" s="315"/>
      <c r="AZ677" s="326"/>
      <c r="BA677" s="175"/>
      <c r="BB677" s="42"/>
      <c r="BC677" s="431"/>
      <c r="BG677" s="315"/>
      <c r="BH677" s="42"/>
    </row>
    <row r="678" spans="51:60" x14ac:dyDescent="0.2">
      <c r="AY678" s="315"/>
      <c r="AZ678" s="326"/>
      <c r="BA678" s="175"/>
      <c r="BB678" s="42"/>
      <c r="BC678" s="431"/>
      <c r="BG678" s="315"/>
      <c r="BH678" s="42"/>
    </row>
    <row r="679" spans="51:60" x14ac:dyDescent="0.2">
      <c r="AY679" s="315"/>
      <c r="AZ679" s="326"/>
      <c r="BA679" s="175"/>
      <c r="BB679" s="42"/>
      <c r="BC679" s="431"/>
      <c r="BG679" s="315"/>
      <c r="BH679" s="42"/>
    </row>
    <row r="680" spans="51:60" x14ac:dyDescent="0.2">
      <c r="AY680" s="315"/>
      <c r="AZ680" s="326"/>
      <c r="BA680" s="175"/>
      <c r="BB680" s="42"/>
      <c r="BC680" s="431"/>
      <c r="BG680" s="315"/>
      <c r="BH680" s="42"/>
    </row>
    <row r="681" spans="51:60" x14ac:dyDescent="0.2">
      <c r="AY681" s="315"/>
      <c r="AZ681" s="326"/>
      <c r="BA681" s="175"/>
      <c r="BB681" s="42"/>
      <c r="BC681" s="431"/>
      <c r="BG681" s="315"/>
      <c r="BH681" s="42"/>
    </row>
    <row r="682" spans="51:60" x14ac:dyDescent="0.2">
      <c r="AY682" s="315"/>
      <c r="AZ682" s="326"/>
      <c r="BA682" s="175"/>
      <c r="BB682" s="42"/>
      <c r="BC682" s="431"/>
      <c r="BG682" s="315"/>
      <c r="BH682" s="42"/>
    </row>
    <row r="683" spans="51:60" x14ac:dyDescent="0.2">
      <c r="AY683" s="315"/>
      <c r="AZ683" s="326"/>
      <c r="BA683" s="175"/>
      <c r="BB683" s="42"/>
      <c r="BC683" s="431"/>
      <c r="BG683" s="315"/>
      <c r="BH683" s="42"/>
    </row>
    <row r="684" spans="51:60" x14ac:dyDescent="0.2">
      <c r="AY684" s="315"/>
      <c r="AZ684" s="326"/>
      <c r="BA684" s="175"/>
      <c r="BB684" s="42"/>
      <c r="BC684" s="431"/>
      <c r="BG684" s="315"/>
      <c r="BH684" s="42"/>
    </row>
    <row r="685" spans="51:60" x14ac:dyDescent="0.2">
      <c r="AY685" s="315"/>
      <c r="AZ685" s="326"/>
      <c r="BA685" s="175"/>
      <c r="BB685" s="42"/>
      <c r="BC685" s="431"/>
      <c r="BG685" s="315"/>
      <c r="BH685" s="42"/>
    </row>
    <row r="686" spans="51:60" x14ac:dyDescent="0.2">
      <c r="AY686" s="315"/>
      <c r="AZ686" s="326"/>
      <c r="BA686" s="175"/>
      <c r="BB686" s="42"/>
      <c r="BC686" s="431"/>
      <c r="BG686" s="315"/>
      <c r="BH686" s="42"/>
    </row>
    <row r="687" spans="51:60" x14ac:dyDescent="0.2">
      <c r="AY687" s="315"/>
      <c r="AZ687" s="326"/>
      <c r="BA687" s="175"/>
      <c r="BB687" s="42"/>
      <c r="BC687" s="431"/>
      <c r="BG687" s="315"/>
      <c r="BH687" s="42"/>
    </row>
    <row r="688" spans="51:60" x14ac:dyDescent="0.2">
      <c r="AY688" s="315"/>
      <c r="AZ688" s="326"/>
      <c r="BA688" s="175"/>
      <c r="BB688" s="42"/>
      <c r="BC688" s="431"/>
      <c r="BG688" s="315"/>
      <c r="BH688" s="42"/>
    </row>
    <row r="689" spans="51:60" x14ac:dyDescent="0.2">
      <c r="AY689" s="315"/>
      <c r="AZ689" s="326"/>
      <c r="BA689" s="175"/>
      <c r="BB689" s="42"/>
      <c r="BC689" s="431"/>
      <c r="BG689" s="315"/>
      <c r="BH689" s="42"/>
    </row>
    <row r="690" spans="51:60" x14ac:dyDescent="0.2">
      <c r="AY690" s="315"/>
      <c r="AZ690" s="326"/>
      <c r="BA690" s="175"/>
      <c r="BB690" s="42"/>
      <c r="BC690" s="431"/>
      <c r="BG690" s="315"/>
      <c r="BH690" s="42"/>
    </row>
    <row r="691" spans="51:60" x14ac:dyDescent="0.2">
      <c r="AY691" s="315"/>
      <c r="AZ691" s="326"/>
      <c r="BA691" s="175"/>
      <c r="BB691" s="42"/>
      <c r="BC691" s="431"/>
      <c r="BG691" s="315"/>
      <c r="BH691" s="42"/>
    </row>
    <row r="692" spans="51:60" x14ac:dyDescent="0.2">
      <c r="AY692" s="315"/>
      <c r="AZ692" s="326"/>
      <c r="BA692" s="175"/>
      <c r="BB692" s="42"/>
      <c r="BC692" s="431"/>
      <c r="BG692" s="315"/>
      <c r="BH692" s="42"/>
    </row>
    <row r="693" spans="51:60" x14ac:dyDescent="0.2">
      <c r="AY693" s="315"/>
      <c r="AZ693" s="326"/>
      <c r="BA693" s="175"/>
      <c r="BB693" s="42"/>
      <c r="BC693" s="431"/>
      <c r="BG693" s="315"/>
      <c r="BH693" s="42"/>
    </row>
    <row r="694" spans="51:60" x14ac:dyDescent="0.2">
      <c r="AY694" s="315"/>
      <c r="AZ694" s="326"/>
      <c r="BA694" s="175"/>
      <c r="BB694" s="42"/>
      <c r="BC694" s="431"/>
      <c r="BG694" s="315"/>
      <c r="BH694" s="42"/>
    </row>
    <row r="695" spans="51:60" x14ac:dyDescent="0.2">
      <c r="AY695" s="315"/>
      <c r="AZ695" s="326"/>
      <c r="BA695" s="175"/>
      <c r="BB695" s="42"/>
      <c r="BC695" s="431"/>
      <c r="BG695" s="315"/>
      <c r="BH695" s="42"/>
    </row>
    <row r="696" spans="51:60" x14ac:dyDescent="0.2">
      <c r="AY696" s="315"/>
      <c r="AZ696" s="326"/>
      <c r="BA696" s="175"/>
      <c r="BB696" s="42"/>
      <c r="BC696" s="431"/>
      <c r="BG696" s="315"/>
      <c r="BH696" s="42"/>
    </row>
    <row r="697" spans="51:60" x14ac:dyDescent="0.2">
      <c r="AY697" s="315"/>
      <c r="AZ697" s="326"/>
      <c r="BA697" s="175"/>
      <c r="BB697" s="42"/>
      <c r="BC697" s="431"/>
      <c r="BG697" s="315"/>
      <c r="BH697" s="42"/>
    </row>
    <row r="698" spans="51:60" x14ac:dyDescent="0.2">
      <c r="AY698" s="315"/>
      <c r="AZ698" s="326"/>
      <c r="BA698" s="175"/>
      <c r="BB698" s="42"/>
      <c r="BC698" s="431"/>
      <c r="BG698" s="315"/>
      <c r="BH698" s="42"/>
    </row>
    <row r="699" spans="51:60" x14ac:dyDescent="0.2">
      <c r="AY699" s="315"/>
      <c r="AZ699" s="326"/>
      <c r="BA699" s="175"/>
      <c r="BB699" s="42"/>
      <c r="BC699" s="431"/>
      <c r="BG699" s="315"/>
      <c r="BH699" s="42"/>
    </row>
    <row r="700" spans="51:60" x14ac:dyDescent="0.2">
      <c r="AY700" s="315"/>
      <c r="AZ700" s="326"/>
      <c r="BA700" s="175"/>
      <c r="BB700" s="42"/>
      <c r="BC700" s="431"/>
      <c r="BG700" s="315"/>
      <c r="BH700" s="42"/>
    </row>
    <row r="701" spans="51:60" x14ac:dyDescent="0.2">
      <c r="AY701" s="315"/>
      <c r="AZ701" s="326"/>
      <c r="BA701" s="175"/>
      <c r="BB701" s="42"/>
      <c r="BC701" s="431"/>
      <c r="BG701" s="315"/>
      <c r="BH701" s="42"/>
    </row>
    <row r="702" spans="51:60" x14ac:dyDescent="0.2">
      <c r="AY702" s="315"/>
      <c r="AZ702" s="326"/>
      <c r="BA702" s="175"/>
      <c r="BB702" s="42"/>
      <c r="BC702" s="431"/>
      <c r="BG702" s="315"/>
      <c r="BH702" s="42"/>
    </row>
    <row r="703" spans="51:60" x14ac:dyDescent="0.2">
      <c r="AY703" s="315"/>
      <c r="AZ703" s="326"/>
      <c r="BA703" s="175"/>
      <c r="BB703" s="42"/>
      <c r="BC703" s="431"/>
      <c r="BG703" s="315"/>
      <c r="BH703" s="42"/>
    </row>
    <row r="704" spans="51:60" x14ac:dyDescent="0.2">
      <c r="AY704" s="315"/>
      <c r="AZ704" s="326"/>
      <c r="BA704" s="175"/>
      <c r="BB704" s="42"/>
      <c r="BC704" s="431"/>
      <c r="BG704" s="315"/>
      <c r="BH704" s="42"/>
    </row>
    <row r="705" spans="51:60" x14ac:dyDescent="0.2">
      <c r="AY705" s="315"/>
      <c r="AZ705" s="326"/>
      <c r="BA705" s="175"/>
      <c r="BB705" s="42"/>
      <c r="BC705" s="431"/>
      <c r="BG705" s="315"/>
      <c r="BH705" s="42"/>
    </row>
    <row r="706" spans="51:60" x14ac:dyDescent="0.2">
      <c r="AY706" s="315"/>
      <c r="AZ706" s="326"/>
      <c r="BA706" s="175"/>
      <c r="BB706" s="42"/>
      <c r="BC706" s="431"/>
      <c r="BG706" s="315"/>
      <c r="BH706" s="42"/>
    </row>
    <row r="707" spans="51:60" x14ac:dyDescent="0.2">
      <c r="AY707" s="315"/>
      <c r="AZ707" s="326"/>
      <c r="BA707" s="175"/>
      <c r="BB707" s="42"/>
      <c r="BC707" s="431"/>
      <c r="BG707" s="315"/>
      <c r="BH707" s="42"/>
    </row>
    <row r="708" spans="51:60" x14ac:dyDescent="0.2">
      <c r="AY708" s="315"/>
      <c r="AZ708" s="326"/>
      <c r="BA708" s="175"/>
      <c r="BB708" s="42"/>
      <c r="BC708" s="431"/>
      <c r="BG708" s="315"/>
      <c r="BH708" s="42"/>
    </row>
    <row r="709" spans="51:60" x14ac:dyDescent="0.2">
      <c r="AY709" s="315"/>
      <c r="AZ709" s="326"/>
      <c r="BA709" s="175"/>
      <c r="BB709" s="42"/>
      <c r="BC709" s="431"/>
      <c r="BG709" s="315"/>
      <c r="BH709" s="42"/>
    </row>
    <row r="710" spans="51:60" x14ac:dyDescent="0.2">
      <c r="AY710" s="315"/>
      <c r="AZ710" s="326"/>
      <c r="BA710" s="175"/>
      <c r="BB710" s="42"/>
      <c r="BC710" s="431"/>
      <c r="BG710" s="315"/>
      <c r="BH710" s="42"/>
    </row>
    <row r="711" spans="51:60" x14ac:dyDescent="0.2">
      <c r="AY711" s="315"/>
      <c r="AZ711" s="326"/>
      <c r="BA711" s="175"/>
      <c r="BB711" s="42"/>
      <c r="BC711" s="431"/>
      <c r="BG711" s="315"/>
      <c r="BH711" s="42"/>
    </row>
    <row r="712" spans="51:60" x14ac:dyDescent="0.2">
      <c r="AY712" s="315"/>
      <c r="AZ712" s="326"/>
      <c r="BA712" s="175"/>
      <c r="BB712" s="42"/>
      <c r="BC712" s="431"/>
      <c r="BG712" s="315"/>
      <c r="BH712" s="42"/>
    </row>
    <row r="713" spans="51:60" x14ac:dyDescent="0.2">
      <c r="AY713" s="315"/>
      <c r="AZ713" s="326"/>
      <c r="BA713" s="175"/>
      <c r="BB713" s="42"/>
      <c r="BC713" s="431"/>
      <c r="BG713" s="315"/>
      <c r="BH713" s="42"/>
    </row>
    <row r="714" spans="51:60" x14ac:dyDescent="0.2">
      <c r="AY714" s="315"/>
      <c r="AZ714" s="326"/>
      <c r="BA714" s="175"/>
      <c r="BB714" s="42"/>
      <c r="BC714" s="431"/>
      <c r="BG714" s="315"/>
      <c r="BH714" s="42"/>
    </row>
    <row r="715" spans="51:60" x14ac:dyDescent="0.2">
      <c r="AY715" s="315"/>
      <c r="AZ715" s="326"/>
      <c r="BA715" s="175"/>
      <c r="BB715" s="42"/>
      <c r="BC715" s="431"/>
      <c r="BG715" s="315"/>
      <c r="BH715" s="42"/>
    </row>
    <row r="716" spans="51:60" x14ac:dyDescent="0.2">
      <c r="AY716" s="315"/>
      <c r="AZ716" s="326"/>
      <c r="BA716" s="175"/>
      <c r="BB716" s="42"/>
      <c r="BC716" s="431"/>
      <c r="BG716" s="315"/>
      <c r="BH716" s="42"/>
    </row>
    <row r="717" spans="51:60" x14ac:dyDescent="0.2">
      <c r="AY717" s="315"/>
      <c r="AZ717" s="326"/>
      <c r="BA717" s="175"/>
      <c r="BB717" s="42"/>
      <c r="BC717" s="431"/>
      <c r="BG717" s="315"/>
      <c r="BH717" s="42"/>
    </row>
    <row r="718" spans="51:60" x14ac:dyDescent="0.2">
      <c r="AY718" s="315"/>
      <c r="AZ718" s="326"/>
      <c r="BA718" s="175"/>
      <c r="BB718" s="42"/>
      <c r="BC718" s="431"/>
      <c r="BG718" s="315"/>
      <c r="BH718" s="42"/>
    </row>
    <row r="719" spans="51:60" x14ac:dyDescent="0.2">
      <c r="AY719" s="315"/>
      <c r="AZ719" s="326"/>
      <c r="BA719" s="175"/>
      <c r="BB719" s="42"/>
      <c r="BC719" s="431"/>
      <c r="BG719" s="315"/>
      <c r="BH719" s="42"/>
    </row>
    <row r="720" spans="51:60" x14ac:dyDescent="0.2">
      <c r="AY720" s="315"/>
      <c r="AZ720" s="326"/>
      <c r="BA720" s="175"/>
      <c r="BB720" s="42"/>
      <c r="BC720" s="431"/>
      <c r="BG720" s="315"/>
      <c r="BH720" s="42"/>
    </row>
    <row r="721" spans="51:60" x14ac:dyDescent="0.2">
      <c r="AY721" s="315"/>
      <c r="AZ721" s="326"/>
      <c r="BA721" s="175"/>
      <c r="BB721" s="42"/>
      <c r="BC721" s="431"/>
      <c r="BG721" s="315"/>
      <c r="BH721" s="42"/>
    </row>
    <row r="722" spans="51:60" x14ac:dyDescent="0.2">
      <c r="AY722" s="315"/>
      <c r="AZ722" s="326"/>
      <c r="BA722" s="175"/>
      <c r="BB722" s="42"/>
      <c r="BC722" s="431"/>
      <c r="BG722" s="315"/>
      <c r="BH722" s="42"/>
    </row>
    <row r="723" spans="51:60" x14ac:dyDescent="0.2">
      <c r="AY723" s="315"/>
      <c r="AZ723" s="326"/>
      <c r="BA723" s="175"/>
      <c r="BB723" s="42"/>
      <c r="BC723" s="431"/>
      <c r="BG723" s="315"/>
      <c r="BH723" s="42"/>
    </row>
    <row r="724" spans="51:60" x14ac:dyDescent="0.2">
      <c r="AY724" s="315"/>
      <c r="AZ724" s="326"/>
      <c r="BA724" s="175"/>
      <c r="BB724" s="42"/>
      <c r="BC724" s="431"/>
      <c r="BG724" s="315"/>
      <c r="BH724" s="42"/>
    </row>
    <row r="725" spans="51:60" x14ac:dyDescent="0.2">
      <c r="AY725" s="315"/>
      <c r="AZ725" s="326"/>
      <c r="BA725" s="175"/>
      <c r="BB725" s="42"/>
      <c r="BC725" s="431"/>
      <c r="BG725" s="315"/>
      <c r="BH725" s="42"/>
    </row>
    <row r="726" spans="51:60" x14ac:dyDescent="0.2">
      <c r="AY726" s="315"/>
      <c r="AZ726" s="326"/>
      <c r="BA726" s="175"/>
      <c r="BB726" s="42"/>
      <c r="BC726" s="431"/>
      <c r="BG726" s="315"/>
      <c r="BH726" s="42"/>
    </row>
    <row r="727" spans="51:60" x14ac:dyDescent="0.2">
      <c r="AY727" s="315"/>
      <c r="AZ727" s="326"/>
      <c r="BA727" s="175"/>
      <c r="BB727" s="42"/>
      <c r="BC727" s="431"/>
      <c r="BG727" s="315"/>
      <c r="BH727" s="42"/>
    </row>
    <row r="728" spans="51:60" x14ac:dyDescent="0.2">
      <c r="AY728" s="315"/>
      <c r="AZ728" s="326"/>
      <c r="BA728" s="175"/>
      <c r="BB728" s="42"/>
      <c r="BC728" s="431"/>
      <c r="BG728" s="315"/>
      <c r="BH728" s="42"/>
    </row>
    <row r="729" spans="51:60" x14ac:dyDescent="0.2">
      <c r="AY729" s="315"/>
      <c r="AZ729" s="326"/>
      <c r="BA729" s="175"/>
      <c r="BB729" s="42"/>
      <c r="BC729" s="431"/>
      <c r="BG729" s="315"/>
      <c r="BH729" s="42"/>
    </row>
    <row r="730" spans="51:60" x14ac:dyDescent="0.2">
      <c r="AY730" s="315"/>
      <c r="AZ730" s="326"/>
      <c r="BA730" s="175"/>
      <c r="BB730" s="42"/>
      <c r="BC730" s="431"/>
      <c r="BG730" s="315"/>
      <c r="BH730" s="42"/>
    </row>
    <row r="731" spans="51:60" x14ac:dyDescent="0.2">
      <c r="AY731" s="315"/>
      <c r="AZ731" s="326"/>
      <c r="BA731" s="175"/>
      <c r="BB731" s="42"/>
      <c r="BC731" s="431"/>
      <c r="BG731" s="315"/>
      <c r="BH731" s="42"/>
    </row>
    <row r="732" spans="51:60" x14ac:dyDescent="0.2">
      <c r="AY732" s="315"/>
      <c r="AZ732" s="326"/>
      <c r="BA732" s="175"/>
      <c r="BB732" s="42"/>
      <c r="BC732" s="431"/>
      <c r="BG732" s="315"/>
      <c r="BH732" s="42"/>
    </row>
    <row r="733" spans="51:60" x14ac:dyDescent="0.2">
      <c r="AY733" s="315"/>
      <c r="AZ733" s="326"/>
      <c r="BA733" s="175"/>
      <c r="BB733" s="42"/>
      <c r="BC733" s="431"/>
      <c r="BG733" s="315"/>
      <c r="BH733" s="42"/>
    </row>
    <row r="734" spans="51:60" x14ac:dyDescent="0.2">
      <c r="AY734" s="315"/>
      <c r="AZ734" s="326"/>
      <c r="BA734" s="175"/>
      <c r="BB734" s="42"/>
      <c r="BC734" s="431"/>
      <c r="BG734" s="315"/>
      <c r="BH734" s="42"/>
    </row>
    <row r="735" spans="51:60" x14ac:dyDescent="0.2">
      <c r="AY735" s="315"/>
      <c r="AZ735" s="326"/>
      <c r="BA735" s="175"/>
      <c r="BB735" s="42"/>
      <c r="BC735" s="431"/>
      <c r="BG735" s="315"/>
      <c r="BH735" s="42"/>
    </row>
    <row r="736" spans="51:60" x14ac:dyDescent="0.2">
      <c r="AY736" s="315"/>
      <c r="AZ736" s="326"/>
      <c r="BA736" s="175"/>
      <c r="BB736" s="42"/>
      <c r="BC736" s="431"/>
      <c r="BG736" s="315"/>
      <c r="BH736" s="42"/>
    </row>
    <row r="737" spans="51:60" x14ac:dyDescent="0.2">
      <c r="AY737" s="315"/>
      <c r="AZ737" s="326"/>
      <c r="BA737" s="175"/>
      <c r="BB737" s="42"/>
      <c r="BC737" s="431"/>
      <c r="BG737" s="315"/>
      <c r="BH737" s="42"/>
    </row>
    <row r="738" spans="51:60" x14ac:dyDescent="0.2">
      <c r="AY738" s="315"/>
      <c r="AZ738" s="326"/>
      <c r="BA738" s="175"/>
      <c r="BB738" s="42"/>
      <c r="BC738" s="431"/>
      <c r="BG738" s="315"/>
      <c r="BH738" s="42"/>
    </row>
    <row r="739" spans="51:60" x14ac:dyDescent="0.2">
      <c r="AY739" s="315"/>
      <c r="AZ739" s="326"/>
      <c r="BA739" s="175"/>
      <c r="BB739" s="42"/>
      <c r="BC739" s="431"/>
      <c r="BG739" s="315"/>
      <c r="BH739" s="42"/>
    </row>
    <row r="740" spans="51:60" x14ac:dyDescent="0.2">
      <c r="AY740" s="315"/>
      <c r="AZ740" s="326"/>
      <c r="BA740" s="175"/>
      <c r="BB740" s="42"/>
      <c r="BC740" s="431"/>
      <c r="BG740" s="315"/>
      <c r="BH740" s="42"/>
    </row>
    <row r="741" spans="51:60" x14ac:dyDescent="0.2">
      <c r="AY741" s="315"/>
      <c r="AZ741" s="326"/>
      <c r="BA741" s="175"/>
      <c r="BB741" s="42"/>
      <c r="BC741" s="431"/>
      <c r="BG741" s="315"/>
      <c r="BH741" s="42"/>
    </row>
    <row r="742" spans="51:60" x14ac:dyDescent="0.2">
      <c r="AY742" s="315"/>
      <c r="AZ742" s="326"/>
      <c r="BA742" s="175"/>
      <c r="BB742" s="42"/>
      <c r="BC742" s="431"/>
      <c r="BG742" s="315"/>
      <c r="BH742" s="42"/>
    </row>
    <row r="743" spans="51:60" x14ac:dyDescent="0.2">
      <c r="AY743" s="315"/>
      <c r="AZ743" s="326"/>
      <c r="BA743" s="175"/>
      <c r="BB743" s="42"/>
      <c r="BC743" s="431"/>
      <c r="BG743" s="315"/>
      <c r="BH743" s="42"/>
    </row>
    <row r="744" spans="51:60" x14ac:dyDescent="0.2">
      <c r="AY744" s="315"/>
      <c r="AZ744" s="326"/>
      <c r="BA744" s="175"/>
      <c r="BB744" s="42"/>
      <c r="BC744" s="431"/>
      <c r="BG744" s="315"/>
      <c r="BH744" s="42"/>
    </row>
    <row r="745" spans="51:60" x14ac:dyDescent="0.2">
      <c r="AY745" s="315"/>
      <c r="AZ745" s="326"/>
      <c r="BA745" s="175"/>
      <c r="BB745" s="42"/>
      <c r="BC745" s="431"/>
      <c r="BG745" s="315"/>
      <c r="BH745" s="42"/>
    </row>
    <row r="746" spans="51:60" x14ac:dyDescent="0.2">
      <c r="AY746" s="315"/>
      <c r="AZ746" s="326"/>
      <c r="BA746" s="175"/>
      <c r="BB746" s="42"/>
      <c r="BC746" s="431"/>
      <c r="BG746" s="315"/>
      <c r="BH746" s="42"/>
    </row>
    <row r="747" spans="51:60" x14ac:dyDescent="0.2">
      <c r="AY747" s="315"/>
      <c r="AZ747" s="326"/>
      <c r="BA747" s="175"/>
      <c r="BB747" s="42"/>
      <c r="BC747" s="431"/>
      <c r="BG747" s="315"/>
      <c r="BH747" s="42"/>
    </row>
    <row r="748" spans="51:60" x14ac:dyDescent="0.2">
      <c r="AY748" s="315"/>
      <c r="AZ748" s="326"/>
      <c r="BA748" s="175"/>
      <c r="BB748" s="42"/>
      <c r="BC748" s="431"/>
      <c r="BG748" s="315"/>
      <c r="BH748" s="42"/>
    </row>
    <row r="749" spans="51:60" x14ac:dyDescent="0.2">
      <c r="AY749" s="315"/>
      <c r="AZ749" s="326"/>
      <c r="BA749" s="175"/>
      <c r="BB749" s="42"/>
      <c r="BC749" s="431"/>
      <c r="BG749" s="315"/>
      <c r="BH749" s="42"/>
    </row>
    <row r="750" spans="51:60" x14ac:dyDescent="0.2">
      <c r="AY750" s="315"/>
      <c r="AZ750" s="326"/>
      <c r="BA750" s="175"/>
      <c r="BB750" s="42"/>
      <c r="BC750" s="431"/>
      <c r="BG750" s="315"/>
      <c r="BH750" s="42"/>
    </row>
    <row r="751" spans="51:60" x14ac:dyDescent="0.2">
      <c r="AY751" s="315"/>
      <c r="AZ751" s="326"/>
      <c r="BA751" s="175"/>
      <c r="BB751" s="42"/>
      <c r="BC751" s="431"/>
      <c r="BG751" s="315"/>
      <c r="BH751" s="42"/>
    </row>
    <row r="752" spans="51:60" x14ac:dyDescent="0.2">
      <c r="AY752" s="315"/>
      <c r="AZ752" s="326"/>
      <c r="BA752" s="175"/>
      <c r="BB752" s="42"/>
      <c r="BC752" s="431"/>
      <c r="BG752" s="315"/>
      <c r="BH752" s="42"/>
    </row>
    <row r="753" spans="51:60" x14ac:dyDescent="0.2">
      <c r="AY753" s="315"/>
      <c r="AZ753" s="326"/>
      <c r="BA753" s="175"/>
      <c r="BB753" s="42"/>
      <c r="BC753" s="431"/>
      <c r="BG753" s="315"/>
      <c r="BH753" s="42"/>
    </row>
    <row r="754" spans="51:60" x14ac:dyDescent="0.2">
      <c r="AY754" s="315"/>
      <c r="AZ754" s="326"/>
      <c r="BA754" s="175"/>
      <c r="BB754" s="42"/>
      <c r="BC754" s="431"/>
      <c r="BG754" s="315"/>
      <c r="BH754" s="42"/>
    </row>
    <row r="755" spans="51:60" x14ac:dyDescent="0.2">
      <c r="AY755" s="315"/>
      <c r="AZ755" s="326"/>
      <c r="BA755" s="175"/>
      <c r="BB755" s="42"/>
      <c r="BC755" s="431"/>
      <c r="BG755" s="315"/>
      <c r="BH755" s="42"/>
    </row>
    <row r="756" spans="51:60" x14ac:dyDescent="0.2">
      <c r="AY756" s="315"/>
      <c r="AZ756" s="326"/>
      <c r="BA756" s="175"/>
      <c r="BB756" s="42"/>
      <c r="BC756" s="431"/>
      <c r="BG756" s="315"/>
      <c r="BH756" s="42"/>
    </row>
    <row r="757" spans="51:60" x14ac:dyDescent="0.2">
      <c r="AY757" s="315"/>
      <c r="AZ757" s="326"/>
      <c r="BA757" s="175"/>
      <c r="BB757" s="42"/>
      <c r="BC757" s="431"/>
      <c r="BG757" s="315"/>
      <c r="BH757" s="42"/>
    </row>
    <row r="758" spans="51:60" x14ac:dyDescent="0.2">
      <c r="AY758" s="315"/>
      <c r="AZ758" s="326"/>
      <c r="BA758" s="175"/>
      <c r="BB758" s="42"/>
      <c r="BC758" s="431"/>
      <c r="BG758" s="315"/>
      <c r="BH758" s="42"/>
    </row>
    <row r="759" spans="51:60" x14ac:dyDescent="0.2">
      <c r="AY759" s="315"/>
      <c r="AZ759" s="326"/>
      <c r="BA759" s="175"/>
      <c r="BB759" s="42"/>
      <c r="BC759" s="431"/>
      <c r="BG759" s="315"/>
      <c r="BH759" s="42"/>
    </row>
    <row r="760" spans="51:60" x14ac:dyDescent="0.2">
      <c r="AY760" s="315"/>
      <c r="AZ760" s="326"/>
      <c r="BA760" s="175"/>
      <c r="BB760" s="42"/>
      <c r="BC760" s="431"/>
      <c r="BG760" s="315"/>
      <c r="BH760" s="42"/>
    </row>
    <row r="761" spans="51:60" x14ac:dyDescent="0.2">
      <c r="AY761" s="315"/>
      <c r="AZ761" s="326"/>
      <c r="BA761" s="175"/>
      <c r="BB761" s="42"/>
      <c r="BC761" s="431"/>
      <c r="BG761" s="315"/>
      <c r="BH761" s="42"/>
    </row>
    <row r="762" spans="51:60" x14ac:dyDescent="0.2">
      <c r="AY762" s="315"/>
      <c r="AZ762" s="326"/>
      <c r="BA762" s="175"/>
      <c r="BB762" s="42"/>
      <c r="BC762" s="431"/>
      <c r="BG762" s="315"/>
      <c r="BH762" s="42"/>
    </row>
    <row r="763" spans="51:60" x14ac:dyDescent="0.2">
      <c r="AY763" s="315"/>
      <c r="AZ763" s="326"/>
      <c r="BA763" s="175"/>
      <c r="BB763" s="42"/>
      <c r="BC763" s="431"/>
      <c r="BG763" s="315"/>
      <c r="BH763" s="42"/>
    </row>
    <row r="764" spans="51:60" x14ac:dyDescent="0.2">
      <c r="AY764" s="315"/>
      <c r="AZ764" s="326"/>
      <c r="BA764" s="175"/>
      <c r="BB764" s="42"/>
      <c r="BC764" s="431"/>
      <c r="BG764" s="315"/>
      <c r="BH764" s="42"/>
    </row>
    <row r="765" spans="51:60" x14ac:dyDescent="0.2">
      <c r="AY765" s="315"/>
      <c r="AZ765" s="326"/>
      <c r="BA765" s="175"/>
      <c r="BB765" s="42"/>
      <c r="BC765" s="431"/>
      <c r="BG765" s="315"/>
      <c r="BH765" s="42"/>
    </row>
    <row r="766" spans="51:60" x14ac:dyDescent="0.2">
      <c r="AY766" s="315"/>
      <c r="AZ766" s="326"/>
      <c r="BA766" s="175"/>
      <c r="BB766" s="42"/>
      <c r="BC766" s="431"/>
      <c r="BG766" s="315"/>
      <c r="BH766" s="42"/>
    </row>
    <row r="767" spans="51:60" x14ac:dyDescent="0.2">
      <c r="AY767" s="315"/>
      <c r="AZ767" s="326"/>
      <c r="BA767" s="175"/>
      <c r="BB767" s="42"/>
      <c r="BC767" s="431"/>
      <c r="BG767" s="315"/>
      <c r="BH767" s="42"/>
    </row>
    <row r="768" spans="51:60" x14ac:dyDescent="0.2">
      <c r="AY768" s="315"/>
      <c r="AZ768" s="326"/>
      <c r="BA768" s="175"/>
      <c r="BB768" s="42"/>
      <c r="BC768" s="431"/>
      <c r="BG768" s="315"/>
      <c r="BH768" s="42"/>
    </row>
    <row r="769" spans="51:60" x14ac:dyDescent="0.2">
      <c r="AY769" s="315"/>
      <c r="AZ769" s="326"/>
      <c r="BA769" s="175"/>
      <c r="BB769" s="42"/>
      <c r="BC769" s="431"/>
      <c r="BG769" s="315"/>
      <c r="BH769" s="42"/>
    </row>
    <row r="770" spans="51:60" x14ac:dyDescent="0.2">
      <c r="AY770" s="315"/>
      <c r="AZ770" s="326"/>
      <c r="BA770" s="175"/>
      <c r="BB770" s="42"/>
      <c r="BC770" s="431"/>
      <c r="BG770" s="315"/>
      <c r="BH770" s="42"/>
    </row>
    <row r="771" spans="51:60" x14ac:dyDescent="0.2">
      <c r="AY771" s="315"/>
      <c r="AZ771" s="326"/>
      <c r="BA771" s="175"/>
      <c r="BB771" s="42"/>
      <c r="BC771" s="431"/>
      <c r="BG771" s="315"/>
      <c r="BH771" s="42"/>
    </row>
    <row r="772" spans="51:60" x14ac:dyDescent="0.2">
      <c r="AY772" s="315"/>
      <c r="AZ772" s="326"/>
      <c r="BA772" s="175"/>
      <c r="BB772" s="42"/>
      <c r="BC772" s="431"/>
      <c r="BG772" s="315"/>
      <c r="BH772" s="42"/>
    </row>
    <row r="773" spans="51:60" x14ac:dyDescent="0.2">
      <c r="AY773" s="315"/>
      <c r="AZ773" s="326"/>
      <c r="BA773" s="175"/>
      <c r="BB773" s="42"/>
      <c r="BC773" s="431"/>
      <c r="BG773" s="315"/>
      <c r="BH773" s="42"/>
    </row>
    <row r="774" spans="51:60" x14ac:dyDescent="0.2">
      <c r="AY774" s="315"/>
      <c r="AZ774" s="326"/>
      <c r="BA774" s="175"/>
      <c r="BB774" s="42"/>
      <c r="BC774" s="431"/>
      <c r="BG774" s="315"/>
      <c r="BH774" s="42"/>
    </row>
    <row r="775" spans="51:60" x14ac:dyDescent="0.2">
      <c r="AY775" s="315"/>
      <c r="AZ775" s="326"/>
      <c r="BA775" s="175"/>
      <c r="BB775" s="42"/>
      <c r="BC775" s="431"/>
      <c r="BG775" s="315"/>
      <c r="BH775" s="42"/>
    </row>
    <row r="776" spans="51:60" x14ac:dyDescent="0.2">
      <c r="AY776" s="315"/>
      <c r="AZ776" s="326"/>
      <c r="BA776" s="175"/>
      <c r="BB776" s="42"/>
      <c r="BC776" s="431"/>
      <c r="BG776" s="315"/>
      <c r="BH776" s="42"/>
    </row>
    <row r="777" spans="51:60" x14ac:dyDescent="0.2">
      <c r="AY777" s="315"/>
      <c r="AZ777" s="326"/>
      <c r="BA777" s="175"/>
      <c r="BB777" s="42"/>
      <c r="BC777" s="431"/>
      <c r="BG777" s="315"/>
      <c r="BH777" s="42"/>
    </row>
    <row r="778" spans="51:60" x14ac:dyDescent="0.2">
      <c r="AY778" s="315"/>
      <c r="AZ778" s="326"/>
      <c r="BA778" s="175"/>
      <c r="BB778" s="42"/>
      <c r="BC778" s="431"/>
      <c r="BG778" s="315"/>
      <c r="BH778" s="42"/>
    </row>
    <row r="779" spans="51:60" x14ac:dyDescent="0.2">
      <c r="AY779" s="315"/>
      <c r="AZ779" s="326"/>
      <c r="BA779" s="175"/>
      <c r="BB779" s="42"/>
      <c r="BC779" s="431"/>
      <c r="BG779" s="315"/>
      <c r="BH779" s="42"/>
    </row>
    <row r="780" spans="51:60" x14ac:dyDescent="0.2">
      <c r="AY780" s="315"/>
      <c r="AZ780" s="326"/>
      <c r="BA780" s="175"/>
      <c r="BB780" s="42"/>
      <c r="BC780" s="431"/>
      <c r="BG780" s="315"/>
      <c r="BH780" s="42"/>
    </row>
    <row r="781" spans="51:60" x14ac:dyDescent="0.2">
      <c r="AY781" s="315"/>
      <c r="AZ781" s="326"/>
      <c r="BA781" s="175"/>
      <c r="BB781" s="42"/>
      <c r="BC781" s="431"/>
      <c r="BG781" s="315"/>
      <c r="BH781" s="42"/>
    </row>
    <row r="782" spans="51:60" x14ac:dyDescent="0.2">
      <c r="AY782" s="315"/>
      <c r="AZ782" s="326"/>
      <c r="BA782" s="175"/>
      <c r="BB782" s="42"/>
      <c r="BC782" s="431"/>
      <c r="BG782" s="315"/>
      <c r="BH782" s="42"/>
    </row>
    <row r="783" spans="51:60" x14ac:dyDescent="0.2">
      <c r="AY783" s="315"/>
      <c r="AZ783" s="326"/>
      <c r="BA783" s="175"/>
      <c r="BB783" s="42"/>
      <c r="BC783" s="431"/>
      <c r="BG783" s="315"/>
      <c r="BH783" s="42"/>
    </row>
    <row r="784" spans="51:60" x14ac:dyDescent="0.2">
      <c r="AY784" s="315"/>
      <c r="AZ784" s="326"/>
      <c r="BA784" s="175"/>
      <c r="BB784" s="42"/>
      <c r="BC784" s="431"/>
      <c r="BG784" s="315"/>
      <c r="BH784" s="42"/>
    </row>
    <row r="785" spans="51:60" x14ac:dyDescent="0.2">
      <c r="AY785" s="315"/>
      <c r="AZ785" s="326"/>
      <c r="BA785" s="175"/>
      <c r="BB785" s="42"/>
      <c r="BC785" s="431"/>
      <c r="BG785" s="315"/>
      <c r="BH785" s="42"/>
    </row>
    <row r="786" spans="51:60" x14ac:dyDescent="0.2">
      <c r="AY786" s="315"/>
      <c r="AZ786" s="326"/>
      <c r="BA786" s="175"/>
      <c r="BB786" s="42"/>
      <c r="BC786" s="431"/>
      <c r="BG786" s="315"/>
      <c r="BH786" s="42"/>
    </row>
    <row r="787" spans="51:60" x14ac:dyDescent="0.2">
      <c r="AY787" s="315"/>
      <c r="AZ787" s="326"/>
      <c r="BA787" s="175"/>
      <c r="BB787" s="42"/>
      <c r="BC787" s="431"/>
      <c r="BG787" s="315"/>
      <c r="BH787" s="42"/>
    </row>
    <row r="788" spans="51:60" x14ac:dyDescent="0.2">
      <c r="AY788" s="315"/>
      <c r="AZ788" s="326"/>
      <c r="BA788" s="175"/>
      <c r="BB788" s="42"/>
      <c r="BC788" s="431"/>
      <c r="BG788" s="315"/>
      <c r="BH788" s="42"/>
    </row>
    <row r="789" spans="51:60" x14ac:dyDescent="0.2">
      <c r="AY789" s="315"/>
      <c r="AZ789" s="326"/>
      <c r="BA789" s="175"/>
      <c r="BB789" s="42"/>
      <c r="BC789" s="431"/>
      <c r="BG789" s="315"/>
      <c r="BH789" s="42"/>
    </row>
    <row r="790" spans="51:60" x14ac:dyDescent="0.2">
      <c r="AY790" s="315"/>
      <c r="AZ790" s="326"/>
      <c r="BA790" s="175"/>
      <c r="BB790" s="42"/>
      <c r="BC790" s="431"/>
      <c r="BG790" s="315"/>
      <c r="BH790" s="42"/>
    </row>
    <row r="791" spans="51:60" x14ac:dyDescent="0.2">
      <c r="AY791" s="315"/>
      <c r="AZ791" s="326"/>
      <c r="BA791" s="175"/>
      <c r="BB791" s="42"/>
      <c r="BC791" s="431"/>
      <c r="BG791" s="315"/>
      <c r="BH791" s="42"/>
    </row>
    <row r="792" spans="51:60" x14ac:dyDescent="0.2">
      <c r="AY792" s="315"/>
      <c r="AZ792" s="326"/>
      <c r="BA792" s="175"/>
      <c r="BB792" s="42"/>
      <c r="BC792" s="431"/>
      <c r="BG792" s="315"/>
      <c r="BH792" s="42"/>
    </row>
    <row r="793" spans="51:60" x14ac:dyDescent="0.2">
      <c r="AY793" s="315"/>
      <c r="AZ793" s="326"/>
      <c r="BA793" s="175"/>
      <c r="BB793" s="42"/>
      <c r="BC793" s="431"/>
      <c r="BG793" s="315"/>
      <c r="BH793" s="42"/>
    </row>
    <row r="794" spans="51:60" x14ac:dyDescent="0.2">
      <c r="AY794" s="315"/>
      <c r="AZ794" s="326"/>
      <c r="BA794" s="175"/>
      <c r="BB794" s="42"/>
      <c r="BC794" s="431"/>
      <c r="BG794" s="315"/>
      <c r="BH794" s="42"/>
    </row>
    <row r="795" spans="51:60" x14ac:dyDescent="0.2">
      <c r="AY795" s="315"/>
      <c r="AZ795" s="326"/>
      <c r="BA795" s="175"/>
      <c r="BB795" s="42"/>
      <c r="BC795" s="431"/>
      <c r="BG795" s="315"/>
      <c r="BH795" s="42"/>
    </row>
    <row r="796" spans="51:60" x14ac:dyDescent="0.2">
      <c r="AY796" s="315"/>
      <c r="AZ796" s="326"/>
      <c r="BA796" s="175"/>
      <c r="BB796" s="42"/>
      <c r="BC796" s="431"/>
      <c r="BG796" s="315"/>
      <c r="BH796" s="42"/>
    </row>
    <row r="797" spans="51:60" x14ac:dyDescent="0.2">
      <c r="AY797" s="315"/>
      <c r="AZ797" s="326"/>
      <c r="BA797" s="175"/>
      <c r="BB797" s="42"/>
      <c r="BC797" s="431"/>
      <c r="BG797" s="315"/>
      <c r="BH797" s="42"/>
    </row>
    <row r="798" spans="51:60" x14ac:dyDescent="0.2">
      <c r="AY798" s="315"/>
      <c r="AZ798" s="326"/>
      <c r="BA798" s="175"/>
      <c r="BB798" s="42"/>
      <c r="BC798" s="431"/>
      <c r="BG798" s="315"/>
      <c r="BH798" s="42"/>
    </row>
    <row r="799" spans="51:60" x14ac:dyDescent="0.2">
      <c r="AY799" s="315"/>
      <c r="AZ799" s="326"/>
      <c r="BA799" s="175"/>
      <c r="BB799" s="42"/>
      <c r="BC799" s="431"/>
      <c r="BG799" s="315"/>
      <c r="BH799" s="42"/>
    </row>
    <row r="800" spans="51:60" x14ac:dyDescent="0.2">
      <c r="AY800" s="315"/>
      <c r="AZ800" s="326"/>
      <c r="BA800" s="175"/>
      <c r="BB800" s="42"/>
      <c r="BC800" s="431"/>
      <c r="BG800" s="315"/>
      <c r="BH800" s="42"/>
    </row>
    <row r="801" spans="51:60" x14ac:dyDescent="0.2">
      <c r="AY801" s="315"/>
      <c r="AZ801" s="326"/>
      <c r="BA801" s="175"/>
      <c r="BB801" s="42"/>
      <c r="BC801" s="431"/>
      <c r="BG801" s="315"/>
      <c r="BH801" s="42"/>
    </row>
    <row r="802" spans="51:60" x14ac:dyDescent="0.2">
      <c r="AY802" s="315"/>
      <c r="AZ802" s="326"/>
      <c r="BA802" s="175"/>
      <c r="BB802" s="42"/>
      <c r="BC802" s="431"/>
      <c r="BG802" s="315"/>
      <c r="BH802" s="42"/>
    </row>
    <row r="803" spans="51:60" x14ac:dyDescent="0.2">
      <c r="AY803" s="315"/>
      <c r="AZ803" s="326"/>
      <c r="BA803" s="175"/>
      <c r="BB803" s="42"/>
      <c r="BC803" s="431"/>
      <c r="BG803" s="315"/>
      <c r="BH803" s="42"/>
    </row>
    <row r="804" spans="51:60" x14ac:dyDescent="0.2">
      <c r="AY804" s="315"/>
      <c r="AZ804" s="326"/>
      <c r="BA804" s="175"/>
      <c r="BB804" s="42"/>
      <c r="BC804" s="431"/>
      <c r="BG804" s="315"/>
      <c r="BH804" s="42"/>
    </row>
    <row r="805" spans="51:60" x14ac:dyDescent="0.2">
      <c r="AY805" s="315"/>
      <c r="AZ805" s="326"/>
      <c r="BA805" s="175"/>
      <c r="BB805" s="42"/>
      <c r="BC805" s="431"/>
      <c r="BG805" s="315"/>
      <c r="BH805" s="42"/>
    </row>
    <row r="806" spans="51:60" x14ac:dyDescent="0.2">
      <c r="AY806" s="315"/>
      <c r="AZ806" s="326"/>
      <c r="BA806" s="175"/>
      <c r="BB806" s="42"/>
      <c r="BC806" s="431"/>
      <c r="BG806" s="315"/>
      <c r="BH806" s="42"/>
    </row>
    <row r="807" spans="51:60" x14ac:dyDescent="0.2">
      <c r="AY807" s="315"/>
      <c r="AZ807" s="326"/>
      <c r="BA807" s="175"/>
      <c r="BB807" s="42"/>
      <c r="BC807" s="431"/>
      <c r="BG807" s="315"/>
      <c r="BH807" s="42"/>
    </row>
    <row r="808" spans="51:60" x14ac:dyDescent="0.2">
      <c r="AY808" s="315"/>
      <c r="AZ808" s="326"/>
      <c r="BA808" s="175"/>
      <c r="BB808" s="42"/>
      <c r="BC808" s="431"/>
      <c r="BG808" s="315"/>
      <c r="BH808" s="42"/>
    </row>
    <row r="809" spans="51:60" x14ac:dyDescent="0.2">
      <c r="AY809" s="315"/>
      <c r="AZ809" s="326"/>
      <c r="BA809" s="175"/>
      <c r="BB809" s="42"/>
      <c r="BC809" s="431"/>
      <c r="BG809" s="315"/>
      <c r="BH809" s="42"/>
    </row>
    <row r="810" spans="51:60" x14ac:dyDescent="0.2">
      <c r="AY810" s="315"/>
      <c r="AZ810" s="326"/>
      <c r="BA810" s="175"/>
      <c r="BB810" s="42"/>
      <c r="BC810" s="431"/>
      <c r="BG810" s="315"/>
      <c r="BH810" s="42"/>
    </row>
    <row r="811" spans="51:60" x14ac:dyDescent="0.2">
      <c r="AY811" s="315"/>
      <c r="AZ811" s="326"/>
      <c r="BA811" s="175"/>
      <c r="BB811" s="42"/>
      <c r="BC811" s="431"/>
      <c r="BG811" s="315"/>
      <c r="BH811" s="42"/>
    </row>
    <row r="812" spans="51:60" x14ac:dyDescent="0.2">
      <c r="AY812" s="315"/>
      <c r="AZ812" s="326"/>
      <c r="BA812" s="175"/>
      <c r="BB812" s="42"/>
      <c r="BC812" s="431"/>
      <c r="BG812" s="315"/>
      <c r="BH812" s="42"/>
    </row>
    <row r="813" spans="51:60" x14ac:dyDescent="0.2">
      <c r="AY813" s="315"/>
      <c r="AZ813" s="326"/>
      <c r="BA813" s="175"/>
      <c r="BB813" s="42"/>
      <c r="BC813" s="431"/>
      <c r="BG813" s="315"/>
      <c r="BH813" s="42"/>
    </row>
    <row r="814" spans="51:60" x14ac:dyDescent="0.2">
      <c r="AY814" s="315"/>
      <c r="AZ814" s="326"/>
      <c r="BA814" s="175"/>
      <c r="BB814" s="42"/>
      <c r="BC814" s="431"/>
      <c r="BG814" s="315"/>
      <c r="BH814" s="42"/>
    </row>
    <row r="815" spans="51:60" x14ac:dyDescent="0.2">
      <c r="AY815" s="315"/>
      <c r="AZ815" s="326"/>
      <c r="BA815" s="175"/>
      <c r="BB815" s="42"/>
      <c r="BC815" s="431"/>
      <c r="BG815" s="315"/>
      <c r="BH815" s="42"/>
    </row>
    <row r="816" spans="51:60" x14ac:dyDescent="0.2">
      <c r="AY816" s="315"/>
      <c r="AZ816" s="326"/>
      <c r="BA816" s="175"/>
      <c r="BB816" s="42"/>
      <c r="BC816" s="431"/>
      <c r="BG816" s="315"/>
      <c r="BH816" s="42"/>
    </row>
    <row r="817" spans="51:60" x14ac:dyDescent="0.2">
      <c r="AY817" s="315"/>
      <c r="AZ817" s="326"/>
      <c r="BA817" s="175"/>
      <c r="BB817" s="42"/>
      <c r="BC817" s="431"/>
      <c r="BG817" s="315"/>
      <c r="BH817" s="42"/>
    </row>
    <row r="818" spans="51:60" x14ac:dyDescent="0.2">
      <c r="AY818" s="315"/>
      <c r="AZ818" s="326"/>
      <c r="BA818" s="175"/>
      <c r="BB818" s="42"/>
      <c r="BC818" s="431"/>
      <c r="BG818" s="315"/>
      <c r="BH818" s="42"/>
    </row>
    <row r="819" spans="51:60" x14ac:dyDescent="0.2">
      <c r="AY819" s="315"/>
      <c r="AZ819" s="326"/>
      <c r="BA819" s="175"/>
      <c r="BB819" s="42"/>
      <c r="BC819" s="431"/>
      <c r="BG819" s="315"/>
      <c r="BH819" s="42"/>
    </row>
    <row r="820" spans="51:60" x14ac:dyDescent="0.2">
      <c r="AY820" s="315"/>
      <c r="AZ820" s="326"/>
      <c r="BA820" s="175"/>
      <c r="BB820" s="42"/>
      <c r="BC820" s="431"/>
      <c r="BG820" s="315"/>
      <c r="BH820" s="42"/>
    </row>
    <row r="821" spans="51:60" x14ac:dyDescent="0.2">
      <c r="AY821" s="315"/>
      <c r="AZ821" s="326"/>
      <c r="BA821" s="175"/>
      <c r="BB821" s="42"/>
      <c r="BC821" s="431"/>
      <c r="BG821" s="315"/>
      <c r="BH821" s="42"/>
    </row>
    <row r="822" spans="51:60" x14ac:dyDescent="0.2">
      <c r="AY822" s="315"/>
      <c r="AZ822" s="326"/>
      <c r="BA822" s="175"/>
      <c r="BB822" s="42"/>
      <c r="BC822" s="431"/>
      <c r="BG822" s="315"/>
      <c r="BH822" s="42"/>
    </row>
    <row r="823" spans="51:60" x14ac:dyDescent="0.2">
      <c r="AY823" s="315"/>
      <c r="AZ823" s="326"/>
      <c r="BA823" s="175"/>
      <c r="BB823" s="42"/>
      <c r="BC823" s="431"/>
      <c r="BG823" s="315"/>
      <c r="BH823" s="42"/>
    </row>
    <row r="824" spans="51:60" x14ac:dyDescent="0.2">
      <c r="AY824" s="315"/>
      <c r="AZ824" s="326"/>
      <c r="BA824" s="175"/>
      <c r="BB824" s="42"/>
      <c r="BC824" s="431"/>
      <c r="BG824" s="315"/>
      <c r="BH824" s="42"/>
    </row>
    <row r="825" spans="51:60" x14ac:dyDescent="0.2">
      <c r="AY825" s="315"/>
      <c r="AZ825" s="326"/>
      <c r="BA825" s="175"/>
      <c r="BB825" s="42"/>
      <c r="BC825" s="431"/>
      <c r="BG825" s="315"/>
      <c r="BH825" s="42"/>
    </row>
    <row r="826" spans="51:60" x14ac:dyDescent="0.2">
      <c r="AY826" s="315"/>
      <c r="AZ826" s="326"/>
      <c r="BA826" s="175"/>
      <c r="BB826" s="42"/>
      <c r="BC826" s="431"/>
      <c r="BG826" s="315"/>
      <c r="BH826" s="42"/>
    </row>
    <row r="827" spans="51:60" x14ac:dyDescent="0.2">
      <c r="AY827" s="315"/>
      <c r="AZ827" s="326"/>
      <c r="BA827" s="175"/>
      <c r="BB827" s="42"/>
      <c r="BC827" s="431"/>
      <c r="BG827" s="315"/>
      <c r="BH827" s="42"/>
    </row>
    <row r="828" spans="51:60" x14ac:dyDescent="0.2">
      <c r="AY828" s="315"/>
      <c r="AZ828" s="326"/>
      <c r="BA828" s="175"/>
      <c r="BB828" s="42"/>
      <c r="BC828" s="431"/>
      <c r="BG828" s="315"/>
      <c r="BH828" s="42"/>
    </row>
    <row r="829" spans="51:60" x14ac:dyDescent="0.2">
      <c r="AY829" s="315"/>
      <c r="AZ829" s="326"/>
      <c r="BA829" s="175"/>
      <c r="BB829" s="42"/>
      <c r="BC829" s="431"/>
      <c r="BG829" s="315"/>
      <c r="BH829" s="42"/>
    </row>
    <row r="830" spans="51:60" x14ac:dyDescent="0.2">
      <c r="AY830" s="315"/>
      <c r="AZ830" s="326"/>
      <c r="BA830" s="175"/>
      <c r="BB830" s="42"/>
      <c r="BC830" s="431"/>
      <c r="BG830" s="315"/>
      <c r="BH830" s="42"/>
    </row>
    <row r="831" spans="51:60" x14ac:dyDescent="0.2">
      <c r="AY831" s="315"/>
      <c r="AZ831" s="326"/>
      <c r="BA831" s="175"/>
      <c r="BB831" s="42"/>
      <c r="BC831" s="431"/>
      <c r="BG831" s="315"/>
      <c r="BH831" s="42"/>
    </row>
    <row r="832" spans="51:60" x14ac:dyDescent="0.2">
      <c r="AY832" s="315"/>
      <c r="AZ832" s="326"/>
      <c r="BA832" s="175"/>
      <c r="BB832" s="42"/>
      <c r="BC832" s="431"/>
      <c r="BG832" s="315"/>
      <c r="BH832" s="42"/>
    </row>
    <row r="833" spans="51:60" x14ac:dyDescent="0.2">
      <c r="AY833" s="315"/>
      <c r="AZ833" s="326"/>
      <c r="BA833" s="175"/>
      <c r="BB833" s="42"/>
      <c r="BC833" s="431"/>
      <c r="BG833" s="315"/>
      <c r="BH833" s="42"/>
    </row>
    <row r="834" spans="51:60" x14ac:dyDescent="0.2">
      <c r="AY834" s="315"/>
      <c r="AZ834" s="326"/>
      <c r="BA834" s="175"/>
      <c r="BB834" s="42"/>
      <c r="BC834" s="431"/>
      <c r="BG834" s="315"/>
      <c r="BH834" s="42"/>
    </row>
    <row r="835" spans="51:60" x14ac:dyDescent="0.2">
      <c r="AY835" s="315"/>
      <c r="AZ835" s="326"/>
      <c r="BA835" s="175"/>
      <c r="BB835" s="42"/>
      <c r="BC835" s="431"/>
      <c r="BG835" s="315"/>
      <c r="BH835" s="42"/>
    </row>
    <row r="836" spans="51:60" x14ac:dyDescent="0.2">
      <c r="AY836" s="315"/>
      <c r="AZ836" s="326"/>
      <c r="BA836" s="175"/>
      <c r="BB836" s="42"/>
      <c r="BC836" s="431"/>
      <c r="BG836" s="315"/>
      <c r="BH836" s="42"/>
    </row>
    <row r="837" spans="51:60" x14ac:dyDescent="0.2">
      <c r="AY837" s="315"/>
      <c r="AZ837" s="326"/>
      <c r="BA837" s="175"/>
      <c r="BB837" s="42"/>
      <c r="BC837" s="431"/>
      <c r="BG837" s="315"/>
      <c r="BH837" s="42"/>
    </row>
    <row r="838" spans="51:60" x14ac:dyDescent="0.2">
      <c r="AY838" s="315"/>
      <c r="AZ838" s="326"/>
      <c r="BA838" s="175"/>
      <c r="BB838" s="42"/>
      <c r="BC838" s="431"/>
      <c r="BG838" s="315"/>
      <c r="BH838" s="42"/>
    </row>
    <row r="839" spans="51:60" x14ac:dyDescent="0.2">
      <c r="AY839" s="315"/>
      <c r="AZ839" s="326"/>
      <c r="BA839" s="175"/>
      <c r="BB839" s="42"/>
      <c r="BC839" s="431"/>
      <c r="BG839" s="315"/>
      <c r="BH839" s="42"/>
    </row>
    <row r="840" spans="51:60" x14ac:dyDescent="0.2">
      <c r="AY840" s="315"/>
      <c r="AZ840" s="326"/>
      <c r="BA840" s="175"/>
      <c r="BB840" s="42"/>
      <c r="BC840" s="431"/>
      <c r="BG840" s="315"/>
      <c r="BH840" s="42"/>
    </row>
    <row r="841" spans="51:60" x14ac:dyDescent="0.2">
      <c r="AY841" s="315"/>
      <c r="AZ841" s="326"/>
      <c r="BA841" s="175"/>
      <c r="BB841" s="42"/>
      <c r="BC841" s="431"/>
      <c r="BG841" s="315"/>
      <c r="BH841" s="42"/>
    </row>
    <row r="842" spans="51:60" x14ac:dyDescent="0.2">
      <c r="AY842" s="315"/>
      <c r="AZ842" s="326"/>
      <c r="BA842" s="175"/>
      <c r="BB842" s="42"/>
      <c r="BC842" s="431"/>
      <c r="BG842" s="315"/>
      <c r="BH842" s="42"/>
    </row>
    <row r="843" spans="51:60" x14ac:dyDescent="0.2">
      <c r="AY843" s="315"/>
      <c r="AZ843" s="326"/>
      <c r="BA843" s="175"/>
      <c r="BB843" s="42"/>
      <c r="BC843" s="431"/>
      <c r="BG843" s="315"/>
      <c r="BH843" s="42"/>
    </row>
    <row r="844" spans="51:60" x14ac:dyDescent="0.2">
      <c r="AY844" s="315"/>
      <c r="AZ844" s="326"/>
      <c r="BA844" s="175"/>
      <c r="BB844" s="42"/>
      <c r="BC844" s="431"/>
      <c r="BG844" s="315"/>
      <c r="BH844" s="42"/>
    </row>
    <row r="845" spans="51:60" x14ac:dyDescent="0.2">
      <c r="AY845" s="315"/>
      <c r="AZ845" s="326"/>
      <c r="BA845" s="175"/>
      <c r="BB845" s="42"/>
      <c r="BC845" s="431"/>
      <c r="BG845" s="315"/>
      <c r="BH845" s="42"/>
    </row>
    <row r="846" spans="51:60" x14ac:dyDescent="0.2">
      <c r="AY846" s="315"/>
      <c r="AZ846" s="326"/>
      <c r="BA846" s="175"/>
      <c r="BB846" s="42"/>
      <c r="BC846" s="431"/>
      <c r="BG846" s="315"/>
      <c r="BH846" s="42"/>
    </row>
    <row r="847" spans="51:60" x14ac:dyDescent="0.2">
      <c r="AY847" s="315"/>
      <c r="AZ847" s="326"/>
      <c r="BA847" s="175"/>
      <c r="BB847" s="42"/>
      <c r="BC847" s="431"/>
      <c r="BG847" s="315"/>
      <c r="BH847" s="42"/>
    </row>
    <row r="848" spans="51:60" x14ac:dyDescent="0.2">
      <c r="AY848" s="315"/>
      <c r="AZ848" s="326"/>
      <c r="BA848" s="175"/>
      <c r="BB848" s="42"/>
      <c r="BC848" s="431"/>
      <c r="BG848" s="315"/>
      <c r="BH848" s="42"/>
    </row>
    <row r="849" spans="51:60" x14ac:dyDescent="0.2">
      <c r="AY849" s="315"/>
      <c r="AZ849" s="326"/>
      <c r="BA849" s="175"/>
      <c r="BB849" s="42"/>
      <c r="BC849" s="431"/>
      <c r="BG849" s="315"/>
      <c r="BH849" s="42"/>
    </row>
    <row r="850" spans="51:60" x14ac:dyDescent="0.2">
      <c r="AY850" s="315"/>
      <c r="AZ850" s="326"/>
      <c r="BA850" s="175"/>
      <c r="BB850" s="42"/>
      <c r="BC850" s="431"/>
      <c r="BG850" s="315"/>
      <c r="BH850" s="42"/>
    </row>
    <row r="851" spans="51:60" x14ac:dyDescent="0.2">
      <c r="AY851" s="315"/>
      <c r="AZ851" s="326"/>
      <c r="BA851" s="175"/>
      <c r="BB851" s="42"/>
      <c r="BC851" s="431"/>
      <c r="BG851" s="315"/>
      <c r="BH851" s="42"/>
    </row>
    <row r="852" spans="51:60" x14ac:dyDescent="0.2">
      <c r="AY852" s="315"/>
      <c r="AZ852" s="326"/>
      <c r="BA852" s="175"/>
      <c r="BB852" s="42"/>
      <c r="BC852" s="431"/>
      <c r="BG852" s="315"/>
      <c r="BH852" s="42"/>
    </row>
    <row r="853" spans="51:60" x14ac:dyDescent="0.2">
      <c r="AY853" s="315"/>
      <c r="AZ853" s="326"/>
      <c r="BA853" s="175"/>
      <c r="BB853" s="42"/>
      <c r="BC853" s="431"/>
      <c r="BG853" s="315"/>
      <c r="BH853" s="42"/>
    </row>
    <row r="854" spans="51:60" x14ac:dyDescent="0.2">
      <c r="AY854" s="315"/>
      <c r="AZ854" s="326"/>
      <c r="BA854" s="175"/>
      <c r="BB854" s="42"/>
      <c r="BC854" s="431"/>
      <c r="BG854" s="315"/>
      <c r="BH854" s="42"/>
    </row>
    <row r="855" spans="51:60" x14ac:dyDescent="0.2">
      <c r="AY855" s="315"/>
      <c r="AZ855" s="326"/>
      <c r="BA855" s="175"/>
      <c r="BB855" s="42"/>
      <c r="BC855" s="431"/>
      <c r="BG855" s="315"/>
      <c r="BH855" s="42"/>
    </row>
    <row r="856" spans="51:60" x14ac:dyDescent="0.2">
      <c r="AY856" s="315"/>
      <c r="AZ856" s="326"/>
      <c r="BA856" s="175"/>
      <c r="BB856" s="42"/>
      <c r="BC856" s="431"/>
      <c r="BG856" s="315"/>
      <c r="BH856" s="42"/>
    </row>
    <row r="857" spans="51:60" x14ac:dyDescent="0.2">
      <c r="AY857" s="315"/>
      <c r="AZ857" s="326"/>
      <c r="BA857" s="175"/>
      <c r="BB857" s="42"/>
      <c r="BC857" s="431"/>
      <c r="BG857" s="315"/>
      <c r="BH857" s="42"/>
    </row>
    <row r="858" spans="51:60" x14ac:dyDescent="0.2">
      <c r="AY858" s="315"/>
      <c r="AZ858" s="326"/>
      <c r="BA858" s="175"/>
      <c r="BB858" s="42"/>
      <c r="BC858" s="431"/>
      <c r="BG858" s="315"/>
      <c r="BH858" s="42"/>
    </row>
    <row r="859" spans="51:60" x14ac:dyDescent="0.2">
      <c r="AY859" s="315"/>
      <c r="AZ859" s="326"/>
      <c r="BA859" s="175"/>
      <c r="BB859" s="42"/>
      <c r="BC859" s="431"/>
      <c r="BG859" s="315"/>
      <c r="BH859" s="42"/>
    </row>
    <row r="860" spans="51:60" x14ac:dyDescent="0.2">
      <c r="AY860" s="315"/>
      <c r="AZ860" s="326"/>
      <c r="BA860" s="175"/>
      <c r="BB860" s="42"/>
      <c r="BC860" s="431"/>
      <c r="BG860" s="315"/>
      <c r="BH860" s="42"/>
    </row>
    <row r="861" spans="51:60" x14ac:dyDescent="0.2">
      <c r="AY861" s="315"/>
      <c r="AZ861" s="326"/>
      <c r="BA861" s="175"/>
      <c r="BB861" s="42"/>
      <c r="BC861" s="431"/>
      <c r="BG861" s="315"/>
      <c r="BH861" s="42"/>
    </row>
    <row r="862" spans="51:60" x14ac:dyDescent="0.2">
      <c r="AY862" s="315"/>
      <c r="AZ862" s="326"/>
      <c r="BA862" s="175"/>
      <c r="BB862" s="42"/>
      <c r="BC862" s="431"/>
      <c r="BG862" s="315"/>
      <c r="BH862" s="42"/>
    </row>
    <row r="863" spans="51:60" x14ac:dyDescent="0.2">
      <c r="AY863" s="315"/>
      <c r="AZ863" s="326"/>
      <c r="BA863" s="175"/>
      <c r="BB863" s="42"/>
      <c r="BC863" s="431"/>
      <c r="BG863" s="315"/>
      <c r="BH863" s="42"/>
    </row>
    <row r="864" spans="51:60" x14ac:dyDescent="0.2">
      <c r="AY864" s="315"/>
      <c r="AZ864" s="326"/>
      <c r="BA864" s="175"/>
      <c r="BB864" s="42"/>
      <c r="BC864" s="431"/>
      <c r="BG864" s="315"/>
      <c r="BH864" s="42"/>
    </row>
    <row r="865" spans="51:60" x14ac:dyDescent="0.2">
      <c r="AY865" s="315"/>
      <c r="AZ865" s="326"/>
      <c r="BA865" s="175"/>
      <c r="BB865" s="42"/>
      <c r="BC865" s="431"/>
      <c r="BG865" s="315"/>
      <c r="BH865" s="42"/>
    </row>
    <row r="866" spans="51:60" x14ac:dyDescent="0.2">
      <c r="AY866" s="315"/>
      <c r="AZ866" s="326"/>
      <c r="BA866" s="175"/>
      <c r="BB866" s="42"/>
      <c r="BC866" s="431"/>
      <c r="BG866" s="315"/>
      <c r="BH866" s="42"/>
    </row>
    <row r="867" spans="51:60" x14ac:dyDescent="0.2">
      <c r="AY867" s="315"/>
      <c r="AZ867" s="326"/>
      <c r="BA867" s="175"/>
      <c r="BB867" s="42"/>
      <c r="BC867" s="431"/>
      <c r="BG867" s="315"/>
      <c r="BH867" s="42"/>
    </row>
    <row r="868" spans="51:60" x14ac:dyDescent="0.2">
      <c r="AY868" s="315"/>
      <c r="AZ868" s="326"/>
      <c r="BA868" s="175"/>
      <c r="BB868" s="42"/>
      <c r="BC868" s="431"/>
      <c r="BG868" s="315"/>
      <c r="BH868" s="42"/>
    </row>
    <row r="869" spans="51:60" x14ac:dyDescent="0.2">
      <c r="AY869" s="315"/>
      <c r="AZ869" s="326"/>
      <c r="BA869" s="175"/>
      <c r="BB869" s="42"/>
      <c r="BC869" s="431"/>
      <c r="BG869" s="315"/>
      <c r="BH869" s="42"/>
    </row>
    <row r="870" spans="51:60" x14ac:dyDescent="0.2">
      <c r="AY870" s="315"/>
      <c r="AZ870" s="326"/>
      <c r="BA870" s="175"/>
      <c r="BB870" s="42"/>
      <c r="BC870" s="431"/>
      <c r="BG870" s="315"/>
      <c r="BH870" s="42"/>
    </row>
    <row r="871" spans="51:60" x14ac:dyDescent="0.2">
      <c r="AY871" s="315"/>
      <c r="AZ871" s="326"/>
      <c r="BA871" s="175"/>
      <c r="BB871" s="42"/>
      <c r="BC871" s="431"/>
      <c r="BG871" s="315"/>
      <c r="BH871" s="42"/>
    </row>
    <row r="872" spans="51:60" x14ac:dyDescent="0.2">
      <c r="AY872" s="315"/>
      <c r="AZ872" s="326"/>
      <c r="BA872" s="175"/>
      <c r="BB872" s="42"/>
      <c r="BC872" s="431"/>
      <c r="BG872" s="315"/>
      <c r="BH872" s="42"/>
    </row>
    <row r="873" spans="51:60" x14ac:dyDescent="0.2">
      <c r="AY873" s="315"/>
      <c r="AZ873" s="326"/>
      <c r="BA873" s="175"/>
      <c r="BB873" s="42"/>
      <c r="BC873" s="431"/>
      <c r="BG873" s="315"/>
      <c r="BH873" s="42"/>
    </row>
    <row r="874" spans="51:60" x14ac:dyDescent="0.2">
      <c r="AY874" s="315"/>
      <c r="AZ874" s="326"/>
      <c r="BA874" s="175"/>
      <c r="BB874" s="42"/>
      <c r="BC874" s="431"/>
      <c r="BG874" s="315"/>
      <c r="BH874" s="42"/>
    </row>
    <row r="875" spans="51:60" x14ac:dyDescent="0.2">
      <c r="AY875" s="315"/>
      <c r="AZ875" s="326"/>
      <c r="BA875" s="175"/>
      <c r="BB875" s="42"/>
      <c r="BC875" s="431"/>
      <c r="BG875" s="315"/>
      <c r="BH875" s="42"/>
    </row>
    <row r="876" spans="51:60" x14ac:dyDescent="0.2">
      <c r="AY876" s="315"/>
      <c r="AZ876" s="326"/>
      <c r="BA876" s="175"/>
      <c r="BB876" s="42"/>
      <c r="BC876" s="431"/>
      <c r="BG876" s="315"/>
      <c r="BH876" s="42"/>
    </row>
    <row r="877" spans="51:60" x14ac:dyDescent="0.2">
      <c r="AY877" s="315"/>
      <c r="AZ877" s="326"/>
      <c r="BA877" s="175"/>
      <c r="BB877" s="42"/>
      <c r="BC877" s="431"/>
      <c r="BG877" s="315"/>
      <c r="BH877" s="42"/>
    </row>
    <row r="878" spans="51:60" x14ac:dyDescent="0.2">
      <c r="AY878" s="315"/>
      <c r="AZ878" s="326"/>
      <c r="BA878" s="175"/>
      <c r="BB878" s="42"/>
      <c r="BC878" s="431"/>
      <c r="BG878" s="315"/>
      <c r="BH878" s="42"/>
    </row>
    <row r="879" spans="51:60" x14ac:dyDescent="0.2">
      <c r="AY879" s="315"/>
      <c r="AZ879" s="326"/>
      <c r="BA879" s="175"/>
      <c r="BB879" s="42"/>
      <c r="BC879" s="431"/>
      <c r="BG879" s="315"/>
      <c r="BH879" s="42"/>
    </row>
    <row r="880" spans="51:60" x14ac:dyDescent="0.2">
      <c r="AY880" s="315"/>
      <c r="AZ880" s="326"/>
      <c r="BA880" s="175"/>
      <c r="BB880" s="42"/>
      <c r="BC880" s="431"/>
      <c r="BG880" s="315"/>
      <c r="BH880" s="42"/>
    </row>
    <row r="881" spans="51:60" x14ac:dyDescent="0.2">
      <c r="AY881" s="315"/>
      <c r="AZ881" s="326"/>
      <c r="BA881" s="175"/>
      <c r="BB881" s="42"/>
      <c r="BC881" s="431"/>
      <c r="BG881" s="315"/>
      <c r="BH881" s="42"/>
    </row>
    <row r="882" spans="51:60" x14ac:dyDescent="0.2">
      <c r="AY882" s="315"/>
      <c r="AZ882" s="326"/>
      <c r="BA882" s="175"/>
      <c r="BB882" s="42"/>
      <c r="BC882" s="431"/>
      <c r="BG882" s="315"/>
      <c r="BH882" s="42"/>
    </row>
    <row r="883" spans="51:60" x14ac:dyDescent="0.2">
      <c r="AY883" s="315"/>
      <c r="AZ883" s="326"/>
      <c r="BA883" s="175"/>
      <c r="BB883" s="42"/>
      <c r="BC883" s="431"/>
      <c r="BG883" s="315"/>
      <c r="BH883" s="42"/>
    </row>
    <row r="884" spans="51:60" x14ac:dyDescent="0.2">
      <c r="AY884" s="315"/>
      <c r="AZ884" s="326"/>
      <c r="BA884" s="175"/>
      <c r="BB884" s="42"/>
      <c r="BC884" s="431"/>
      <c r="BG884" s="315"/>
      <c r="BH884" s="42"/>
    </row>
    <row r="885" spans="51:60" x14ac:dyDescent="0.2">
      <c r="AY885" s="315"/>
      <c r="AZ885" s="326"/>
      <c r="BA885" s="175"/>
      <c r="BB885" s="42"/>
      <c r="BC885" s="431"/>
      <c r="BG885" s="315"/>
      <c r="BH885" s="42"/>
    </row>
    <row r="886" spans="51:60" x14ac:dyDescent="0.2">
      <c r="AY886" s="315"/>
      <c r="AZ886" s="326"/>
      <c r="BA886" s="175"/>
      <c r="BB886" s="42"/>
      <c r="BC886" s="431"/>
      <c r="BG886" s="315"/>
      <c r="BH886" s="42"/>
    </row>
    <row r="887" spans="51:60" x14ac:dyDescent="0.2">
      <c r="AY887" s="315"/>
      <c r="AZ887" s="326"/>
      <c r="BA887" s="175"/>
      <c r="BB887" s="42"/>
      <c r="BC887" s="431"/>
      <c r="BG887" s="315"/>
      <c r="BH887" s="42"/>
    </row>
    <row r="888" spans="51:60" x14ac:dyDescent="0.2">
      <c r="AY888" s="315"/>
      <c r="AZ888" s="326"/>
      <c r="BA888" s="175"/>
      <c r="BB888" s="42"/>
      <c r="BC888" s="431"/>
      <c r="BG888" s="315"/>
      <c r="BH888" s="42"/>
    </row>
    <row r="889" spans="51:60" x14ac:dyDescent="0.2">
      <c r="AY889" s="315"/>
      <c r="AZ889" s="326"/>
      <c r="BA889" s="175"/>
      <c r="BB889" s="42"/>
      <c r="BC889" s="431"/>
      <c r="BG889" s="315"/>
      <c r="BH889" s="42"/>
    </row>
    <row r="890" spans="51:60" x14ac:dyDescent="0.2">
      <c r="AY890" s="315"/>
      <c r="AZ890" s="326"/>
      <c r="BA890" s="175"/>
      <c r="BB890" s="42"/>
      <c r="BC890" s="431"/>
      <c r="BG890" s="315"/>
      <c r="BH890" s="42"/>
    </row>
    <row r="891" spans="51:60" x14ac:dyDescent="0.2">
      <c r="AY891" s="315"/>
      <c r="AZ891" s="326"/>
      <c r="BA891" s="175"/>
      <c r="BB891" s="42"/>
      <c r="BC891" s="431"/>
      <c r="BG891" s="315"/>
      <c r="BH891" s="42"/>
    </row>
    <row r="892" spans="51:60" x14ac:dyDescent="0.2">
      <c r="AY892" s="315"/>
      <c r="AZ892" s="326"/>
      <c r="BA892" s="175"/>
      <c r="BB892" s="42"/>
      <c r="BC892" s="431"/>
      <c r="BG892" s="315"/>
      <c r="BH892" s="42"/>
    </row>
    <row r="893" spans="51:60" x14ac:dyDescent="0.2">
      <c r="AY893" s="315"/>
      <c r="AZ893" s="326"/>
      <c r="BA893" s="175"/>
      <c r="BB893" s="42"/>
      <c r="BC893" s="431"/>
      <c r="BG893" s="315"/>
      <c r="BH893" s="42"/>
    </row>
    <row r="894" spans="51:60" x14ac:dyDescent="0.2">
      <c r="AY894" s="315"/>
      <c r="AZ894" s="326"/>
      <c r="BA894" s="175"/>
      <c r="BB894" s="42"/>
      <c r="BC894" s="431"/>
      <c r="BG894" s="315"/>
      <c r="BH894" s="42"/>
    </row>
    <row r="895" spans="51:60" x14ac:dyDescent="0.2">
      <c r="AY895" s="315"/>
      <c r="AZ895" s="326"/>
      <c r="BA895" s="175"/>
      <c r="BB895" s="42"/>
      <c r="BC895" s="431"/>
      <c r="BG895" s="315"/>
      <c r="BH895" s="42"/>
    </row>
    <row r="896" spans="51:60" x14ac:dyDescent="0.2">
      <c r="AY896" s="315"/>
      <c r="AZ896" s="326"/>
      <c r="BA896" s="175"/>
      <c r="BB896" s="42"/>
      <c r="BC896" s="431"/>
      <c r="BG896" s="315"/>
      <c r="BH896" s="42"/>
    </row>
    <row r="897" spans="51:60" x14ac:dyDescent="0.2">
      <c r="AY897" s="315"/>
      <c r="AZ897" s="326"/>
      <c r="BA897" s="175"/>
      <c r="BB897" s="42"/>
      <c r="BC897" s="431"/>
      <c r="BG897" s="315"/>
      <c r="BH897" s="42"/>
    </row>
    <row r="898" spans="51:60" x14ac:dyDescent="0.2">
      <c r="AY898" s="315"/>
      <c r="AZ898" s="326"/>
      <c r="BA898" s="175"/>
      <c r="BB898" s="42"/>
      <c r="BC898" s="431"/>
      <c r="BG898" s="315"/>
      <c r="BH898" s="42"/>
    </row>
    <row r="899" spans="51:60" x14ac:dyDescent="0.2">
      <c r="AY899" s="315"/>
      <c r="AZ899" s="326"/>
      <c r="BA899" s="175"/>
      <c r="BB899" s="42"/>
      <c r="BC899" s="431"/>
      <c r="BG899" s="315"/>
      <c r="BH899" s="42"/>
    </row>
    <row r="900" spans="51:60" x14ac:dyDescent="0.2">
      <c r="AY900" s="315"/>
      <c r="AZ900" s="326"/>
      <c r="BA900" s="175"/>
      <c r="BB900" s="42"/>
      <c r="BC900" s="431"/>
      <c r="BG900" s="315"/>
      <c r="BH900" s="42"/>
    </row>
    <row r="901" spans="51:60" x14ac:dyDescent="0.2">
      <c r="AY901" s="315"/>
      <c r="AZ901" s="326"/>
      <c r="BA901" s="175"/>
      <c r="BB901" s="42"/>
      <c r="BC901" s="431"/>
      <c r="BG901" s="315"/>
      <c r="BH901" s="42"/>
    </row>
    <row r="902" spans="51:60" x14ac:dyDescent="0.2">
      <c r="AY902" s="315"/>
      <c r="AZ902" s="326"/>
      <c r="BA902" s="175"/>
      <c r="BB902" s="42"/>
      <c r="BC902" s="431"/>
      <c r="BG902" s="315"/>
      <c r="BH902" s="42"/>
    </row>
    <row r="903" spans="51:60" x14ac:dyDescent="0.2">
      <c r="AY903" s="315"/>
      <c r="AZ903" s="326"/>
      <c r="BA903" s="175"/>
      <c r="BB903" s="42"/>
      <c r="BC903" s="431"/>
      <c r="BG903" s="315"/>
      <c r="BH903" s="42"/>
    </row>
    <row r="904" spans="51:60" x14ac:dyDescent="0.2">
      <c r="AY904" s="315"/>
      <c r="AZ904" s="326"/>
      <c r="BA904" s="175"/>
      <c r="BB904" s="42"/>
      <c r="BC904" s="431"/>
      <c r="BG904" s="315"/>
      <c r="BH904" s="42"/>
    </row>
    <row r="905" spans="51:60" x14ac:dyDescent="0.2">
      <c r="AY905" s="315"/>
      <c r="AZ905" s="326"/>
      <c r="BA905" s="175"/>
      <c r="BB905" s="42"/>
      <c r="BC905" s="431"/>
      <c r="BG905" s="315"/>
      <c r="BH905" s="42"/>
    </row>
    <row r="906" spans="51:60" x14ac:dyDescent="0.2">
      <c r="AY906" s="315"/>
      <c r="AZ906" s="326"/>
      <c r="BA906" s="175"/>
      <c r="BB906" s="42"/>
      <c r="BC906" s="431"/>
      <c r="BG906" s="315"/>
      <c r="BH906" s="42"/>
    </row>
    <row r="907" spans="51:60" x14ac:dyDescent="0.2">
      <c r="AY907" s="315"/>
      <c r="AZ907" s="326"/>
      <c r="BA907" s="175"/>
      <c r="BB907" s="42"/>
      <c r="BC907" s="431"/>
      <c r="BG907" s="315"/>
      <c r="BH907" s="42"/>
    </row>
    <row r="908" spans="51:60" x14ac:dyDescent="0.2">
      <c r="AY908" s="315"/>
      <c r="AZ908" s="326"/>
      <c r="BA908" s="175"/>
      <c r="BB908" s="42"/>
      <c r="BC908" s="431"/>
      <c r="BG908" s="315"/>
      <c r="BH908" s="42"/>
    </row>
    <row r="909" spans="51:60" x14ac:dyDescent="0.2">
      <c r="AY909" s="315"/>
      <c r="AZ909" s="326"/>
      <c r="BA909" s="175"/>
      <c r="BB909" s="42"/>
      <c r="BC909" s="431"/>
      <c r="BG909" s="315"/>
      <c r="BH909" s="42"/>
    </row>
    <row r="910" spans="51:60" x14ac:dyDescent="0.2">
      <c r="AY910" s="315"/>
      <c r="AZ910" s="326"/>
      <c r="BA910" s="175"/>
      <c r="BB910" s="42"/>
      <c r="BC910" s="431"/>
      <c r="BG910" s="315"/>
      <c r="BH910" s="42"/>
    </row>
    <row r="911" spans="51:60" x14ac:dyDescent="0.2">
      <c r="AY911" s="315"/>
      <c r="AZ911" s="326"/>
      <c r="BA911" s="175"/>
      <c r="BB911" s="42"/>
      <c r="BC911" s="431"/>
      <c r="BG911" s="315"/>
      <c r="BH911" s="42"/>
    </row>
    <row r="912" spans="51:60" x14ac:dyDescent="0.2">
      <c r="AY912" s="315"/>
      <c r="AZ912" s="326"/>
      <c r="BA912" s="175"/>
      <c r="BB912" s="42"/>
      <c r="BC912" s="431"/>
      <c r="BG912" s="315"/>
      <c r="BH912" s="42"/>
    </row>
    <row r="913" spans="51:60" x14ac:dyDescent="0.2">
      <c r="AY913" s="315"/>
      <c r="AZ913" s="326"/>
      <c r="BA913" s="175"/>
      <c r="BB913" s="42"/>
      <c r="BC913" s="431"/>
      <c r="BG913" s="315"/>
      <c r="BH913" s="42"/>
    </row>
    <row r="914" spans="51:60" x14ac:dyDescent="0.2">
      <c r="AY914" s="315"/>
      <c r="AZ914" s="326"/>
      <c r="BA914" s="175"/>
      <c r="BB914" s="42"/>
      <c r="BC914" s="431"/>
      <c r="BG914" s="315"/>
      <c r="BH914" s="42"/>
    </row>
    <row r="915" spans="51:60" x14ac:dyDescent="0.2">
      <c r="AY915" s="315"/>
      <c r="AZ915" s="326"/>
      <c r="BA915" s="175"/>
      <c r="BB915" s="42"/>
      <c r="BC915" s="431"/>
      <c r="BG915" s="315"/>
      <c r="BH915" s="42"/>
    </row>
    <row r="916" spans="51:60" x14ac:dyDescent="0.2">
      <c r="AY916" s="315"/>
      <c r="AZ916" s="326"/>
      <c r="BA916" s="175"/>
      <c r="BB916" s="42"/>
      <c r="BC916" s="431"/>
      <c r="BG916" s="315"/>
      <c r="BH916" s="42"/>
    </row>
    <row r="917" spans="51:60" x14ac:dyDescent="0.2">
      <c r="AY917" s="315"/>
      <c r="AZ917" s="326"/>
      <c r="BA917" s="175"/>
      <c r="BB917" s="42"/>
      <c r="BC917" s="431"/>
      <c r="BG917" s="315"/>
      <c r="BH917" s="42"/>
    </row>
    <row r="918" spans="51:60" x14ac:dyDescent="0.2">
      <c r="AY918" s="315"/>
      <c r="AZ918" s="326"/>
      <c r="BA918" s="175"/>
      <c r="BB918" s="42"/>
      <c r="BC918" s="431"/>
      <c r="BG918" s="315"/>
      <c r="BH918" s="42"/>
    </row>
    <row r="919" spans="51:60" x14ac:dyDescent="0.2">
      <c r="AY919" s="315"/>
      <c r="AZ919" s="326"/>
      <c r="BA919" s="175"/>
      <c r="BB919" s="42"/>
      <c r="BC919" s="431"/>
      <c r="BG919" s="315"/>
      <c r="BH919" s="42"/>
    </row>
    <row r="920" spans="51:60" x14ac:dyDescent="0.2">
      <c r="AY920" s="315"/>
      <c r="AZ920" s="326"/>
      <c r="BA920" s="175"/>
      <c r="BB920" s="42"/>
      <c r="BC920" s="431"/>
      <c r="BG920" s="315"/>
      <c r="BH920" s="42"/>
    </row>
    <row r="921" spans="51:60" x14ac:dyDescent="0.2">
      <c r="AY921" s="315"/>
      <c r="AZ921" s="326"/>
      <c r="BA921" s="175"/>
      <c r="BB921" s="42"/>
      <c r="BC921" s="431"/>
      <c r="BG921" s="315"/>
      <c r="BH921" s="42"/>
    </row>
    <row r="922" spans="51:60" x14ac:dyDescent="0.2">
      <c r="AY922" s="315"/>
      <c r="AZ922" s="326"/>
      <c r="BA922" s="175"/>
      <c r="BB922" s="42"/>
      <c r="BC922" s="431"/>
      <c r="BG922" s="315"/>
      <c r="BH922" s="42"/>
    </row>
    <row r="923" spans="51:60" x14ac:dyDescent="0.2">
      <c r="AY923" s="315"/>
      <c r="AZ923" s="326"/>
      <c r="BA923" s="175"/>
      <c r="BB923" s="42"/>
      <c r="BC923" s="431"/>
      <c r="BG923" s="315"/>
      <c r="BH923" s="42"/>
    </row>
    <row r="924" spans="51:60" x14ac:dyDescent="0.2">
      <c r="AY924" s="315"/>
      <c r="AZ924" s="326"/>
      <c r="BA924" s="175"/>
      <c r="BB924" s="42"/>
      <c r="BC924" s="431"/>
      <c r="BG924" s="315"/>
      <c r="BH924" s="42"/>
    </row>
    <row r="925" spans="51:60" x14ac:dyDescent="0.2">
      <c r="AY925" s="315"/>
      <c r="AZ925" s="326"/>
      <c r="BA925" s="175"/>
      <c r="BB925" s="42"/>
      <c r="BC925" s="431"/>
      <c r="BG925" s="315"/>
      <c r="BH925" s="42"/>
    </row>
    <row r="926" spans="51:60" x14ac:dyDescent="0.2">
      <c r="AY926" s="315"/>
      <c r="AZ926" s="326"/>
      <c r="BA926" s="175"/>
      <c r="BB926" s="42"/>
      <c r="BC926" s="431"/>
      <c r="BG926" s="315"/>
      <c r="BH926" s="42"/>
    </row>
    <row r="927" spans="51:60" x14ac:dyDescent="0.2">
      <c r="AY927" s="315"/>
      <c r="AZ927" s="326"/>
      <c r="BA927" s="175"/>
      <c r="BB927" s="42"/>
      <c r="BC927" s="431"/>
      <c r="BG927" s="315"/>
      <c r="BH927" s="42"/>
    </row>
    <row r="928" spans="51:60" x14ac:dyDescent="0.2">
      <c r="AY928" s="315"/>
      <c r="AZ928" s="326"/>
      <c r="BA928" s="175"/>
      <c r="BB928" s="42"/>
      <c r="BC928" s="431"/>
      <c r="BG928" s="315"/>
      <c r="BH928" s="42"/>
    </row>
    <row r="929" spans="51:60" x14ac:dyDescent="0.2">
      <c r="AY929" s="315"/>
      <c r="AZ929" s="326"/>
      <c r="BA929" s="175"/>
      <c r="BB929" s="42"/>
      <c r="BC929" s="431"/>
      <c r="BG929" s="315"/>
      <c r="BH929" s="42"/>
    </row>
    <row r="930" spans="51:60" x14ac:dyDescent="0.2">
      <c r="AY930" s="315"/>
      <c r="AZ930" s="326"/>
      <c r="BA930" s="175"/>
      <c r="BB930" s="42"/>
      <c r="BC930" s="431"/>
      <c r="BG930" s="315"/>
      <c r="BH930" s="42"/>
    </row>
    <row r="931" spans="51:60" x14ac:dyDescent="0.2">
      <c r="AY931" s="315"/>
      <c r="AZ931" s="326"/>
      <c r="BA931" s="175"/>
      <c r="BB931" s="42"/>
      <c r="BC931" s="431"/>
      <c r="BG931" s="315"/>
      <c r="BH931" s="42"/>
    </row>
    <row r="932" spans="51:60" x14ac:dyDescent="0.2">
      <c r="AY932" s="315"/>
      <c r="AZ932" s="326"/>
      <c r="BA932" s="175"/>
      <c r="BB932" s="42"/>
      <c r="BC932" s="431"/>
      <c r="BG932" s="315"/>
      <c r="BH932" s="42"/>
    </row>
    <row r="933" spans="51:60" x14ac:dyDescent="0.2">
      <c r="AY933" s="315"/>
      <c r="AZ933" s="326"/>
      <c r="BA933" s="175"/>
      <c r="BB933" s="42"/>
      <c r="BC933" s="431"/>
      <c r="BG933" s="315"/>
      <c r="BH933" s="42"/>
    </row>
    <row r="934" spans="51:60" x14ac:dyDescent="0.2">
      <c r="AY934" s="315"/>
      <c r="AZ934" s="326"/>
      <c r="BA934" s="175"/>
      <c r="BB934" s="42"/>
      <c r="BC934" s="431"/>
      <c r="BG934" s="315"/>
      <c r="BH934" s="42"/>
    </row>
    <row r="935" spans="51:60" x14ac:dyDescent="0.2">
      <c r="AY935" s="315"/>
      <c r="AZ935" s="326"/>
      <c r="BA935" s="175"/>
      <c r="BB935" s="42"/>
      <c r="BC935" s="431"/>
      <c r="BG935" s="315"/>
      <c r="BH935" s="42"/>
    </row>
    <row r="936" spans="51:60" x14ac:dyDescent="0.2">
      <c r="AY936" s="315"/>
      <c r="AZ936" s="326"/>
      <c r="BA936" s="175"/>
      <c r="BB936" s="42"/>
      <c r="BC936" s="431"/>
      <c r="BG936" s="315"/>
      <c r="BH936" s="42"/>
    </row>
    <row r="937" spans="51:60" x14ac:dyDescent="0.2">
      <c r="AY937" s="315"/>
      <c r="AZ937" s="326"/>
      <c r="BA937" s="175"/>
      <c r="BB937" s="42"/>
      <c r="BC937" s="431"/>
      <c r="BG937" s="315"/>
      <c r="BH937" s="42"/>
    </row>
    <row r="938" spans="51:60" x14ac:dyDescent="0.2">
      <c r="AY938" s="315"/>
      <c r="AZ938" s="326"/>
      <c r="BA938" s="175"/>
      <c r="BB938" s="42"/>
      <c r="BC938" s="431"/>
      <c r="BG938" s="315"/>
      <c r="BH938" s="42"/>
    </row>
    <row r="939" spans="51:60" x14ac:dyDescent="0.2">
      <c r="AY939" s="315"/>
      <c r="AZ939" s="326"/>
      <c r="BA939" s="175"/>
      <c r="BB939" s="42"/>
      <c r="BC939" s="431"/>
      <c r="BG939" s="315"/>
      <c r="BH939" s="42"/>
    </row>
    <row r="940" spans="51:60" x14ac:dyDescent="0.2">
      <c r="AY940" s="315"/>
      <c r="AZ940" s="326"/>
      <c r="BA940" s="175"/>
      <c r="BB940" s="42"/>
      <c r="BC940" s="431"/>
      <c r="BG940" s="315"/>
      <c r="BH940" s="42"/>
    </row>
    <row r="941" spans="51:60" x14ac:dyDescent="0.2">
      <c r="AY941" s="315"/>
      <c r="AZ941" s="326"/>
      <c r="BA941" s="175"/>
      <c r="BB941" s="42"/>
      <c r="BC941" s="431"/>
      <c r="BG941" s="315"/>
      <c r="BH941" s="42"/>
    </row>
    <row r="942" spans="51:60" x14ac:dyDescent="0.2">
      <c r="AY942" s="315"/>
      <c r="AZ942" s="326"/>
      <c r="BA942" s="175"/>
      <c r="BB942" s="42"/>
      <c r="BC942" s="431"/>
      <c r="BG942" s="315"/>
      <c r="BH942" s="42"/>
    </row>
    <row r="943" spans="51:60" x14ac:dyDescent="0.2">
      <c r="AY943" s="315"/>
      <c r="AZ943" s="326"/>
      <c r="BA943" s="175"/>
      <c r="BB943" s="42"/>
      <c r="BC943" s="431"/>
      <c r="BG943" s="315"/>
      <c r="BH943" s="42"/>
    </row>
    <row r="944" spans="51:60" x14ac:dyDescent="0.2">
      <c r="AY944" s="315"/>
      <c r="AZ944" s="326"/>
      <c r="BA944" s="175"/>
      <c r="BB944" s="42"/>
      <c r="BC944" s="431"/>
      <c r="BG944" s="315"/>
      <c r="BH944" s="42"/>
    </row>
    <row r="945" spans="51:60" x14ac:dyDescent="0.2">
      <c r="AY945" s="315"/>
      <c r="AZ945" s="326"/>
      <c r="BA945" s="175"/>
      <c r="BB945" s="42"/>
      <c r="BC945" s="431"/>
      <c r="BG945" s="315"/>
      <c r="BH945" s="42"/>
    </row>
    <row r="946" spans="51:60" x14ac:dyDescent="0.2">
      <c r="AY946" s="315"/>
      <c r="AZ946" s="326"/>
      <c r="BA946" s="175"/>
      <c r="BB946" s="42"/>
      <c r="BC946" s="431"/>
      <c r="BG946" s="315"/>
      <c r="BH946" s="42"/>
    </row>
    <row r="947" spans="51:60" x14ac:dyDescent="0.2">
      <c r="AY947" s="315"/>
      <c r="AZ947" s="326"/>
      <c r="BA947" s="175"/>
      <c r="BB947" s="42"/>
      <c r="BC947" s="431"/>
      <c r="BG947" s="315"/>
      <c r="BH947" s="42"/>
    </row>
    <row r="948" spans="51:60" x14ac:dyDescent="0.2">
      <c r="AY948" s="315"/>
      <c r="AZ948" s="326"/>
      <c r="BA948" s="175"/>
      <c r="BB948" s="42"/>
      <c r="BC948" s="431"/>
      <c r="BG948" s="315"/>
      <c r="BH948" s="42"/>
    </row>
    <row r="949" spans="51:60" x14ac:dyDescent="0.2">
      <c r="AY949" s="315"/>
      <c r="AZ949" s="326"/>
      <c r="BA949" s="175"/>
      <c r="BB949" s="42"/>
      <c r="BC949" s="431"/>
      <c r="BG949" s="315"/>
      <c r="BH949" s="42"/>
    </row>
    <row r="950" spans="51:60" x14ac:dyDescent="0.2">
      <c r="AY950" s="315"/>
      <c r="AZ950" s="326"/>
      <c r="BA950" s="175"/>
      <c r="BB950" s="42"/>
      <c r="BC950" s="431"/>
      <c r="BG950" s="315"/>
      <c r="BH950" s="42"/>
    </row>
    <row r="951" spans="51:60" x14ac:dyDescent="0.2">
      <c r="AY951" s="315"/>
      <c r="AZ951" s="326"/>
      <c r="BA951" s="175"/>
      <c r="BB951" s="42"/>
      <c r="BC951" s="431"/>
      <c r="BG951" s="315"/>
      <c r="BH951" s="42"/>
    </row>
    <row r="952" spans="51:60" x14ac:dyDescent="0.2">
      <c r="AY952" s="315"/>
      <c r="AZ952" s="326"/>
      <c r="BA952" s="175"/>
      <c r="BB952" s="42"/>
      <c r="BC952" s="431"/>
      <c r="BG952" s="315"/>
      <c r="BH952" s="42"/>
    </row>
    <row r="953" spans="51:60" x14ac:dyDescent="0.2">
      <c r="AY953" s="315"/>
      <c r="AZ953" s="326"/>
      <c r="BA953" s="175"/>
      <c r="BB953" s="42"/>
      <c r="BC953" s="431"/>
      <c r="BG953" s="315"/>
      <c r="BH953" s="42"/>
    </row>
    <row r="954" spans="51:60" x14ac:dyDescent="0.2">
      <c r="AY954" s="315"/>
      <c r="AZ954" s="326"/>
      <c r="BA954" s="175"/>
      <c r="BB954" s="42"/>
      <c r="BC954" s="431"/>
      <c r="BG954" s="315"/>
      <c r="BH954" s="42"/>
    </row>
    <row r="955" spans="51:60" x14ac:dyDescent="0.2">
      <c r="AY955" s="315"/>
      <c r="AZ955" s="326"/>
      <c r="BA955" s="175"/>
      <c r="BB955" s="42"/>
      <c r="BC955" s="431"/>
      <c r="BG955" s="315"/>
      <c r="BH955" s="42"/>
    </row>
    <row r="956" spans="51:60" x14ac:dyDescent="0.2">
      <c r="AY956" s="315"/>
      <c r="AZ956" s="326"/>
      <c r="BA956" s="175"/>
      <c r="BB956" s="42"/>
      <c r="BC956" s="431"/>
      <c r="BG956" s="315"/>
      <c r="BH956" s="42"/>
    </row>
    <row r="957" spans="51:60" x14ac:dyDescent="0.2">
      <c r="AY957" s="315"/>
      <c r="AZ957" s="326"/>
      <c r="BA957" s="175"/>
      <c r="BB957" s="42"/>
      <c r="BC957" s="431"/>
      <c r="BG957" s="315"/>
      <c r="BH957" s="42"/>
    </row>
    <row r="958" spans="51:60" x14ac:dyDescent="0.2">
      <c r="AY958" s="315"/>
      <c r="AZ958" s="326"/>
      <c r="BA958" s="175"/>
      <c r="BB958" s="42"/>
      <c r="BC958" s="431"/>
      <c r="BG958" s="315"/>
      <c r="BH958" s="42"/>
    </row>
    <row r="959" spans="51:60" x14ac:dyDescent="0.2">
      <c r="AY959" s="315"/>
      <c r="AZ959" s="326"/>
      <c r="BA959" s="175"/>
      <c r="BB959" s="42"/>
      <c r="BC959" s="431"/>
      <c r="BG959" s="315"/>
      <c r="BH959" s="42"/>
    </row>
    <row r="960" spans="51:60" x14ac:dyDescent="0.2">
      <c r="AY960" s="315"/>
      <c r="AZ960" s="326"/>
      <c r="BA960" s="175"/>
      <c r="BB960" s="42"/>
      <c r="BC960" s="431"/>
      <c r="BG960" s="315"/>
      <c r="BH960" s="42"/>
    </row>
    <row r="961" spans="51:60" x14ac:dyDescent="0.2">
      <c r="AY961" s="315"/>
      <c r="AZ961" s="326"/>
      <c r="BA961" s="175"/>
      <c r="BB961" s="42"/>
      <c r="BC961" s="431"/>
      <c r="BG961" s="315"/>
      <c r="BH961" s="42"/>
    </row>
    <row r="962" spans="51:60" x14ac:dyDescent="0.2">
      <c r="AY962" s="315"/>
      <c r="AZ962" s="326"/>
      <c r="BA962" s="175"/>
      <c r="BB962" s="42"/>
      <c r="BC962" s="431"/>
      <c r="BG962" s="315"/>
      <c r="BH962" s="42"/>
    </row>
    <row r="963" spans="51:60" x14ac:dyDescent="0.2">
      <c r="AY963" s="315"/>
      <c r="AZ963" s="326"/>
      <c r="BA963" s="175"/>
      <c r="BB963" s="42"/>
      <c r="BC963" s="431"/>
      <c r="BG963" s="315"/>
      <c r="BH963" s="42"/>
    </row>
    <row r="964" spans="51:60" x14ac:dyDescent="0.2">
      <c r="AY964" s="315"/>
      <c r="AZ964" s="326"/>
      <c r="BA964" s="175"/>
      <c r="BB964" s="42"/>
      <c r="BC964" s="431"/>
      <c r="BG964" s="315"/>
      <c r="BH964" s="42"/>
    </row>
    <row r="965" spans="51:60" x14ac:dyDescent="0.2">
      <c r="AY965" s="315"/>
      <c r="AZ965" s="326"/>
      <c r="BA965" s="175"/>
      <c r="BB965" s="42"/>
      <c r="BC965" s="431"/>
      <c r="BG965" s="315"/>
      <c r="BH965" s="42"/>
    </row>
    <row r="966" spans="51:60" x14ac:dyDescent="0.2">
      <c r="AY966" s="315"/>
      <c r="AZ966" s="326"/>
      <c r="BA966" s="175"/>
      <c r="BB966" s="42"/>
      <c r="BC966" s="431"/>
      <c r="BG966" s="315"/>
      <c r="BH966" s="42"/>
    </row>
    <row r="967" spans="51:60" x14ac:dyDescent="0.2">
      <c r="AY967" s="315"/>
      <c r="AZ967" s="326"/>
      <c r="BA967" s="175"/>
      <c r="BB967" s="42"/>
      <c r="BC967" s="431"/>
      <c r="BG967" s="315"/>
      <c r="BH967" s="42"/>
    </row>
    <row r="968" spans="51:60" x14ac:dyDescent="0.2">
      <c r="AY968" s="315"/>
      <c r="AZ968" s="326"/>
      <c r="BA968" s="175"/>
      <c r="BB968" s="42"/>
      <c r="BC968" s="431"/>
      <c r="BG968" s="315"/>
      <c r="BH968" s="42"/>
    </row>
    <row r="969" spans="51:60" x14ac:dyDescent="0.2">
      <c r="AY969" s="315"/>
      <c r="AZ969" s="326"/>
      <c r="BA969" s="175"/>
      <c r="BB969" s="42"/>
      <c r="BC969" s="431"/>
      <c r="BG969" s="315"/>
      <c r="BH969" s="42"/>
    </row>
    <row r="970" spans="51:60" x14ac:dyDescent="0.2">
      <c r="AY970" s="315"/>
      <c r="AZ970" s="326"/>
      <c r="BA970" s="175"/>
      <c r="BB970" s="42"/>
      <c r="BC970" s="431"/>
      <c r="BG970" s="315"/>
      <c r="BH970" s="42"/>
    </row>
    <row r="971" spans="51:60" x14ac:dyDescent="0.2">
      <c r="AY971" s="315"/>
      <c r="AZ971" s="326"/>
      <c r="BA971" s="175"/>
      <c r="BB971" s="42"/>
      <c r="BC971" s="431"/>
      <c r="BG971" s="315"/>
      <c r="BH971" s="42"/>
    </row>
    <row r="972" spans="51:60" x14ac:dyDescent="0.2">
      <c r="AY972" s="315"/>
      <c r="AZ972" s="326"/>
      <c r="BA972" s="175"/>
      <c r="BB972" s="42"/>
      <c r="BC972" s="431"/>
      <c r="BG972" s="315"/>
      <c r="BH972" s="42"/>
    </row>
    <row r="973" spans="51:60" x14ac:dyDescent="0.2">
      <c r="AY973" s="315"/>
      <c r="AZ973" s="326"/>
      <c r="BA973" s="175"/>
      <c r="BB973" s="42"/>
      <c r="BC973" s="431"/>
      <c r="BG973" s="315"/>
      <c r="BH973" s="42"/>
    </row>
    <row r="974" spans="51:60" x14ac:dyDescent="0.2">
      <c r="AY974" s="315"/>
      <c r="AZ974" s="326"/>
      <c r="BA974" s="175"/>
      <c r="BB974" s="42"/>
      <c r="BC974" s="431"/>
      <c r="BG974" s="315"/>
      <c r="BH974" s="42"/>
    </row>
    <row r="975" spans="51:60" x14ac:dyDescent="0.2">
      <c r="AY975" s="315"/>
      <c r="AZ975" s="326"/>
      <c r="BA975" s="175"/>
      <c r="BB975" s="42"/>
      <c r="BC975" s="431"/>
      <c r="BG975" s="315"/>
      <c r="BH975" s="42"/>
    </row>
    <row r="976" spans="51:60" x14ac:dyDescent="0.2">
      <c r="AY976" s="315"/>
      <c r="AZ976" s="326"/>
      <c r="BA976" s="175"/>
      <c r="BB976" s="42"/>
      <c r="BC976" s="431"/>
      <c r="BG976" s="315"/>
      <c r="BH976" s="42"/>
    </row>
    <row r="977" spans="51:60" x14ac:dyDescent="0.2">
      <c r="AY977" s="315"/>
      <c r="AZ977" s="326"/>
      <c r="BA977" s="175"/>
      <c r="BB977" s="42"/>
      <c r="BC977" s="431"/>
      <c r="BG977" s="315"/>
      <c r="BH977" s="42"/>
    </row>
    <row r="978" spans="51:60" x14ac:dyDescent="0.2">
      <c r="AY978" s="315"/>
      <c r="AZ978" s="326"/>
      <c r="BA978" s="175"/>
      <c r="BB978" s="42"/>
      <c r="BC978" s="431"/>
      <c r="BG978" s="315"/>
      <c r="BH978" s="42"/>
    </row>
    <row r="979" spans="51:60" x14ac:dyDescent="0.2">
      <c r="AY979" s="315"/>
      <c r="AZ979" s="326"/>
      <c r="BA979" s="175"/>
      <c r="BB979" s="42"/>
      <c r="BC979" s="431"/>
      <c r="BG979" s="315"/>
      <c r="BH979" s="42"/>
    </row>
    <row r="980" spans="51:60" x14ac:dyDescent="0.2">
      <c r="AY980" s="315"/>
      <c r="AZ980" s="326"/>
      <c r="BA980" s="175"/>
      <c r="BB980" s="42"/>
      <c r="BC980" s="431"/>
      <c r="BG980" s="315"/>
      <c r="BH980" s="42"/>
    </row>
    <row r="981" spans="51:60" x14ac:dyDescent="0.2">
      <c r="AY981" s="315"/>
      <c r="AZ981" s="326"/>
      <c r="BA981" s="175"/>
      <c r="BB981" s="42"/>
      <c r="BC981" s="431"/>
      <c r="BG981" s="315"/>
      <c r="BH981" s="42"/>
    </row>
    <row r="982" spans="51:60" x14ac:dyDescent="0.2">
      <c r="AY982" s="315"/>
      <c r="AZ982" s="326"/>
      <c r="BA982" s="175"/>
      <c r="BB982" s="42"/>
      <c r="BC982" s="431"/>
      <c r="BG982" s="315"/>
      <c r="BH982" s="42"/>
    </row>
    <row r="983" spans="51:60" x14ac:dyDescent="0.2">
      <c r="AY983" s="315"/>
      <c r="AZ983" s="326"/>
      <c r="BA983" s="175"/>
      <c r="BB983" s="42"/>
      <c r="BC983" s="431"/>
      <c r="BG983" s="315"/>
      <c r="BH983" s="42"/>
    </row>
    <row r="984" spans="51:60" x14ac:dyDescent="0.2">
      <c r="AY984" s="315"/>
      <c r="AZ984" s="326"/>
      <c r="BA984" s="175"/>
      <c r="BB984" s="42"/>
      <c r="BC984" s="431"/>
      <c r="BG984" s="315"/>
      <c r="BH984" s="42"/>
    </row>
    <row r="985" spans="51:60" x14ac:dyDescent="0.2">
      <c r="AY985" s="315"/>
      <c r="AZ985" s="326"/>
      <c r="BA985" s="175"/>
      <c r="BB985" s="42"/>
      <c r="BC985" s="431"/>
      <c r="BG985" s="315"/>
      <c r="BH985" s="42"/>
    </row>
    <row r="986" spans="51:60" x14ac:dyDescent="0.2">
      <c r="AY986" s="315"/>
      <c r="AZ986" s="326"/>
      <c r="BA986" s="175"/>
      <c r="BB986" s="42"/>
      <c r="BC986" s="431"/>
      <c r="BG986" s="315"/>
      <c r="BH986" s="42"/>
    </row>
    <row r="987" spans="51:60" x14ac:dyDescent="0.2">
      <c r="AY987" s="315"/>
      <c r="AZ987" s="326"/>
      <c r="BA987" s="175"/>
      <c r="BB987" s="42"/>
      <c r="BC987" s="431"/>
      <c r="BG987" s="315"/>
      <c r="BH987" s="42"/>
    </row>
    <row r="988" spans="51:60" x14ac:dyDescent="0.2">
      <c r="AY988" s="315"/>
      <c r="AZ988" s="326"/>
      <c r="BA988" s="175"/>
      <c r="BB988" s="42"/>
      <c r="BC988" s="431"/>
      <c r="BG988" s="315"/>
      <c r="BH988" s="42"/>
    </row>
    <row r="989" spans="51:60" x14ac:dyDescent="0.2">
      <c r="AY989" s="315"/>
      <c r="AZ989" s="326"/>
      <c r="BA989" s="175"/>
      <c r="BB989" s="42"/>
      <c r="BC989" s="431"/>
      <c r="BG989" s="315"/>
      <c r="BH989" s="42"/>
    </row>
    <row r="990" spans="51:60" x14ac:dyDescent="0.2">
      <c r="AY990" s="315"/>
      <c r="AZ990" s="326"/>
      <c r="BA990" s="175"/>
      <c r="BB990" s="42"/>
      <c r="BC990" s="431"/>
      <c r="BG990" s="315"/>
      <c r="BH990" s="42"/>
    </row>
    <row r="991" spans="51:60" x14ac:dyDescent="0.2">
      <c r="AY991" s="315"/>
      <c r="AZ991" s="326"/>
      <c r="BA991" s="175"/>
      <c r="BB991" s="42"/>
      <c r="BC991" s="431"/>
      <c r="BG991" s="315"/>
      <c r="BH991" s="42"/>
    </row>
    <row r="992" spans="51:60" x14ac:dyDescent="0.2">
      <c r="AY992" s="315"/>
      <c r="AZ992" s="326"/>
      <c r="BA992" s="175"/>
      <c r="BB992" s="42"/>
      <c r="BC992" s="431"/>
      <c r="BG992" s="315"/>
      <c r="BH992" s="42"/>
    </row>
    <row r="993" spans="51:60" x14ac:dyDescent="0.2">
      <c r="AY993" s="315"/>
      <c r="AZ993" s="326"/>
      <c r="BA993" s="175"/>
      <c r="BB993" s="42"/>
      <c r="BC993" s="431"/>
      <c r="BG993" s="315"/>
      <c r="BH993" s="42"/>
    </row>
    <row r="994" spans="51:60" x14ac:dyDescent="0.2">
      <c r="AY994" s="315"/>
      <c r="AZ994" s="326"/>
      <c r="BA994" s="175"/>
      <c r="BB994" s="42"/>
      <c r="BC994" s="431"/>
      <c r="BG994" s="315"/>
      <c r="BH994" s="42"/>
    </row>
    <row r="995" spans="51:60" x14ac:dyDescent="0.2">
      <c r="AY995" s="315"/>
      <c r="AZ995" s="326"/>
      <c r="BA995" s="175"/>
      <c r="BB995" s="42"/>
      <c r="BC995" s="431"/>
      <c r="BG995" s="315"/>
      <c r="BH995" s="42"/>
    </row>
    <row r="996" spans="51:60" x14ac:dyDescent="0.2">
      <c r="AY996" s="315"/>
      <c r="AZ996" s="326"/>
      <c r="BA996" s="175"/>
      <c r="BB996" s="42"/>
      <c r="BC996" s="431"/>
      <c r="BG996" s="315"/>
      <c r="BH996" s="42"/>
    </row>
    <row r="997" spans="51:60" x14ac:dyDescent="0.2">
      <c r="AY997" s="315"/>
      <c r="AZ997" s="326"/>
      <c r="BA997" s="175"/>
      <c r="BB997" s="42"/>
      <c r="BC997" s="431"/>
      <c r="BG997" s="315"/>
      <c r="BH997" s="42"/>
    </row>
    <row r="998" spans="51:60" x14ac:dyDescent="0.2">
      <c r="AY998" s="315"/>
      <c r="AZ998" s="326"/>
      <c r="BA998" s="175"/>
      <c r="BB998" s="42"/>
      <c r="BC998" s="431"/>
      <c r="BG998" s="315"/>
      <c r="BH998" s="42"/>
    </row>
    <row r="999" spans="51:60" x14ac:dyDescent="0.2">
      <c r="AY999" s="315"/>
      <c r="AZ999" s="326"/>
      <c r="BA999" s="175"/>
      <c r="BB999" s="42"/>
      <c r="BC999" s="431"/>
      <c r="BG999" s="315"/>
      <c r="BH999" s="42"/>
    </row>
    <row r="1000" spans="51:60" x14ac:dyDescent="0.2">
      <c r="AY1000" s="315"/>
      <c r="AZ1000" s="326"/>
      <c r="BA1000" s="175"/>
      <c r="BB1000" s="42"/>
      <c r="BC1000" s="431"/>
      <c r="BG1000" s="315"/>
      <c r="BH1000" s="42"/>
    </row>
    <row r="1001" spans="51:60" x14ac:dyDescent="0.2">
      <c r="AY1001" s="315"/>
      <c r="AZ1001" s="326"/>
      <c r="BA1001" s="175"/>
      <c r="BB1001" s="42"/>
      <c r="BC1001" s="431"/>
      <c r="BG1001" s="315"/>
      <c r="BH1001" s="42"/>
    </row>
    <row r="1002" spans="51:60" x14ac:dyDescent="0.2">
      <c r="AY1002" s="315"/>
      <c r="AZ1002" s="326"/>
      <c r="BA1002" s="175"/>
      <c r="BB1002" s="42"/>
      <c r="BC1002" s="431"/>
      <c r="BG1002" s="315"/>
      <c r="BH1002" s="42"/>
    </row>
    <row r="1003" spans="51:60" x14ac:dyDescent="0.2">
      <c r="AY1003" s="315"/>
      <c r="AZ1003" s="326"/>
      <c r="BA1003" s="175"/>
      <c r="BB1003" s="42"/>
      <c r="BC1003" s="431"/>
      <c r="BG1003" s="315"/>
      <c r="BH1003" s="42"/>
    </row>
    <row r="1004" spans="51:60" x14ac:dyDescent="0.2">
      <c r="AY1004" s="315"/>
      <c r="AZ1004" s="326"/>
      <c r="BA1004" s="175"/>
      <c r="BB1004" s="42"/>
      <c r="BC1004" s="431"/>
      <c r="BG1004" s="315"/>
      <c r="BH1004" s="42"/>
    </row>
    <row r="1005" spans="51:60" x14ac:dyDescent="0.2">
      <c r="AY1005" s="315"/>
      <c r="AZ1005" s="326"/>
      <c r="BA1005" s="175"/>
      <c r="BB1005" s="42"/>
      <c r="BC1005" s="431"/>
      <c r="BG1005" s="315"/>
      <c r="BH1005" s="42"/>
    </row>
    <row r="1006" spans="51:60" x14ac:dyDescent="0.2">
      <c r="AY1006" s="315"/>
      <c r="AZ1006" s="326"/>
      <c r="BA1006" s="175"/>
      <c r="BB1006" s="42"/>
      <c r="BC1006" s="431"/>
      <c r="BG1006" s="315"/>
      <c r="BH1006" s="42"/>
    </row>
    <row r="1007" spans="51:60" x14ac:dyDescent="0.2">
      <c r="AY1007" s="315"/>
      <c r="AZ1007" s="326"/>
      <c r="BA1007" s="175"/>
      <c r="BB1007" s="42"/>
      <c r="BC1007" s="431"/>
      <c r="BG1007" s="315"/>
      <c r="BH1007" s="42"/>
    </row>
    <row r="1008" spans="51:60" x14ac:dyDescent="0.2">
      <c r="AY1008" s="315"/>
      <c r="AZ1008" s="326"/>
      <c r="BA1008" s="175"/>
      <c r="BB1008" s="42"/>
      <c r="BC1008" s="431"/>
      <c r="BG1008" s="315"/>
      <c r="BH1008" s="42"/>
    </row>
    <row r="1009" spans="51:60" x14ac:dyDescent="0.2">
      <c r="AY1009" s="315"/>
      <c r="AZ1009" s="326"/>
      <c r="BA1009" s="175"/>
      <c r="BB1009" s="42"/>
      <c r="BC1009" s="431"/>
      <c r="BG1009" s="315"/>
      <c r="BH1009" s="42"/>
    </row>
    <row r="1010" spans="51:60" x14ac:dyDescent="0.2">
      <c r="AY1010" s="315"/>
      <c r="AZ1010" s="326"/>
      <c r="BA1010" s="175"/>
      <c r="BB1010" s="42"/>
      <c r="BC1010" s="431"/>
      <c r="BG1010" s="315"/>
      <c r="BH1010" s="42"/>
    </row>
    <row r="1011" spans="51:60" x14ac:dyDescent="0.2">
      <c r="AY1011" s="315"/>
      <c r="AZ1011" s="326"/>
      <c r="BA1011" s="175"/>
      <c r="BB1011" s="42"/>
      <c r="BC1011" s="431"/>
      <c r="BG1011" s="315"/>
      <c r="BH1011" s="42"/>
    </row>
    <row r="1012" spans="51:60" x14ac:dyDescent="0.2">
      <c r="AY1012" s="315"/>
      <c r="AZ1012" s="326"/>
      <c r="BA1012" s="175"/>
      <c r="BB1012" s="42"/>
      <c r="BC1012" s="431"/>
      <c r="BG1012" s="315"/>
      <c r="BH1012" s="42"/>
    </row>
    <row r="1013" spans="51:60" x14ac:dyDescent="0.2">
      <c r="AY1013" s="315"/>
      <c r="AZ1013" s="326"/>
      <c r="BA1013" s="175"/>
      <c r="BB1013" s="42"/>
      <c r="BC1013" s="431"/>
      <c r="BG1013" s="315"/>
      <c r="BH1013" s="42"/>
    </row>
    <row r="1014" spans="51:60" x14ac:dyDescent="0.2">
      <c r="AY1014" s="315"/>
      <c r="AZ1014" s="326"/>
      <c r="BA1014" s="175"/>
      <c r="BB1014" s="42"/>
      <c r="BC1014" s="431"/>
      <c r="BG1014" s="315"/>
      <c r="BH1014" s="42"/>
    </row>
    <row r="1015" spans="51:60" x14ac:dyDescent="0.2">
      <c r="AY1015" s="315"/>
      <c r="AZ1015" s="326"/>
      <c r="BA1015" s="175"/>
      <c r="BB1015" s="42"/>
      <c r="BC1015" s="431"/>
      <c r="BG1015" s="315"/>
      <c r="BH1015" s="42"/>
    </row>
    <row r="1016" spans="51:60" x14ac:dyDescent="0.2">
      <c r="AY1016" s="315"/>
      <c r="AZ1016" s="326"/>
      <c r="BA1016" s="175"/>
      <c r="BB1016" s="42"/>
      <c r="BC1016" s="431"/>
      <c r="BG1016" s="315"/>
      <c r="BH1016" s="42"/>
    </row>
    <row r="1017" spans="51:60" x14ac:dyDescent="0.2">
      <c r="AY1017" s="315"/>
      <c r="AZ1017" s="326"/>
      <c r="BA1017" s="175"/>
      <c r="BB1017" s="42"/>
      <c r="BC1017" s="431"/>
      <c r="BG1017" s="315"/>
      <c r="BH1017" s="42"/>
    </row>
    <row r="1018" spans="51:60" x14ac:dyDescent="0.2">
      <c r="AY1018" s="315"/>
      <c r="AZ1018" s="326"/>
      <c r="BA1018" s="175"/>
      <c r="BB1018" s="42"/>
      <c r="BC1018" s="431"/>
      <c r="BG1018" s="315"/>
      <c r="BH1018" s="42"/>
    </row>
    <row r="1019" spans="51:60" x14ac:dyDescent="0.2">
      <c r="AY1019" s="315"/>
      <c r="AZ1019" s="326"/>
      <c r="BA1019" s="175"/>
      <c r="BB1019" s="42"/>
      <c r="BC1019" s="431"/>
      <c r="BG1019" s="315"/>
      <c r="BH1019" s="42"/>
    </row>
    <row r="1020" spans="51:60" x14ac:dyDescent="0.2">
      <c r="AY1020" s="315"/>
      <c r="AZ1020" s="326"/>
      <c r="BA1020" s="175"/>
      <c r="BB1020" s="42"/>
      <c r="BC1020" s="431"/>
      <c r="BG1020" s="315"/>
      <c r="BH1020" s="42"/>
    </row>
    <row r="1021" spans="51:60" x14ac:dyDescent="0.2">
      <c r="AY1021" s="315"/>
      <c r="AZ1021" s="326"/>
      <c r="BA1021" s="175"/>
      <c r="BB1021" s="42"/>
      <c r="BC1021" s="431"/>
      <c r="BG1021" s="315"/>
      <c r="BH1021" s="42"/>
    </row>
    <row r="1022" spans="51:60" x14ac:dyDescent="0.2">
      <c r="AY1022" s="315"/>
      <c r="AZ1022" s="326"/>
      <c r="BA1022" s="175"/>
      <c r="BB1022" s="42"/>
      <c r="BC1022" s="431"/>
      <c r="BG1022" s="315"/>
      <c r="BH1022" s="42"/>
    </row>
    <row r="1023" spans="51:60" x14ac:dyDescent="0.2">
      <c r="AY1023" s="315"/>
      <c r="AZ1023" s="326"/>
      <c r="BA1023" s="175"/>
      <c r="BB1023" s="42"/>
      <c r="BC1023" s="431"/>
      <c r="BG1023" s="315"/>
      <c r="BH1023" s="42"/>
    </row>
    <row r="1024" spans="51:60" x14ac:dyDescent="0.2">
      <c r="AY1024" s="315"/>
      <c r="AZ1024" s="326"/>
      <c r="BA1024" s="175"/>
      <c r="BB1024" s="42"/>
      <c r="BC1024" s="431"/>
      <c r="BG1024" s="315"/>
      <c r="BH1024" s="42"/>
    </row>
    <row r="1025" spans="51:60" x14ac:dyDescent="0.2">
      <c r="AY1025" s="315"/>
      <c r="AZ1025" s="326"/>
      <c r="BA1025" s="175"/>
      <c r="BB1025" s="42"/>
      <c r="BC1025" s="431"/>
      <c r="BG1025" s="315"/>
      <c r="BH1025" s="42"/>
    </row>
    <row r="1026" spans="51:60" x14ac:dyDescent="0.2">
      <c r="AY1026" s="315"/>
      <c r="AZ1026" s="326"/>
      <c r="BA1026" s="175"/>
      <c r="BB1026" s="42"/>
      <c r="BC1026" s="431"/>
      <c r="BG1026" s="315"/>
      <c r="BH1026" s="42"/>
    </row>
    <row r="1027" spans="51:60" x14ac:dyDescent="0.2">
      <c r="AY1027" s="315"/>
      <c r="AZ1027" s="326"/>
      <c r="BA1027" s="175"/>
      <c r="BB1027" s="42"/>
      <c r="BC1027" s="431"/>
      <c r="BG1027" s="315"/>
      <c r="BH1027" s="42"/>
    </row>
    <row r="1028" spans="51:60" x14ac:dyDescent="0.2">
      <c r="AY1028" s="315"/>
      <c r="AZ1028" s="326"/>
      <c r="BA1028" s="175"/>
      <c r="BB1028" s="42"/>
      <c r="BC1028" s="431"/>
      <c r="BG1028" s="315"/>
      <c r="BH1028" s="42"/>
    </row>
    <row r="1029" spans="51:60" x14ac:dyDescent="0.2">
      <c r="AY1029" s="315"/>
      <c r="AZ1029" s="326"/>
      <c r="BA1029" s="175"/>
      <c r="BB1029" s="42"/>
      <c r="BC1029" s="431"/>
      <c r="BG1029" s="315"/>
      <c r="BH1029" s="42"/>
    </row>
    <row r="1030" spans="51:60" x14ac:dyDescent="0.2">
      <c r="AY1030" s="315"/>
      <c r="AZ1030" s="326"/>
      <c r="BA1030" s="175"/>
      <c r="BB1030" s="42"/>
      <c r="BC1030" s="431"/>
      <c r="BG1030" s="315"/>
      <c r="BH1030" s="42"/>
    </row>
    <row r="1031" spans="51:60" x14ac:dyDescent="0.2">
      <c r="AY1031" s="315"/>
      <c r="AZ1031" s="326"/>
      <c r="BA1031" s="175"/>
      <c r="BB1031" s="42"/>
      <c r="BC1031" s="431"/>
      <c r="BG1031" s="315"/>
      <c r="BH1031" s="42"/>
    </row>
    <row r="1032" spans="51:60" x14ac:dyDescent="0.2">
      <c r="AY1032" s="315"/>
      <c r="AZ1032" s="326"/>
      <c r="BA1032" s="175"/>
      <c r="BB1032" s="42"/>
      <c r="BC1032" s="431"/>
      <c r="BG1032" s="315"/>
      <c r="BH1032" s="42"/>
    </row>
    <row r="1033" spans="51:60" x14ac:dyDescent="0.2">
      <c r="AY1033" s="315"/>
      <c r="AZ1033" s="326"/>
      <c r="BA1033" s="175"/>
      <c r="BB1033" s="42"/>
      <c r="BC1033" s="431"/>
      <c r="BG1033" s="315"/>
      <c r="BH1033" s="42"/>
    </row>
    <row r="1034" spans="51:60" x14ac:dyDescent="0.2">
      <c r="AY1034" s="315"/>
      <c r="AZ1034" s="326"/>
      <c r="BA1034" s="175"/>
      <c r="BB1034" s="42"/>
      <c r="BC1034" s="431"/>
      <c r="BG1034" s="315"/>
      <c r="BH1034" s="42"/>
    </row>
    <row r="1035" spans="51:60" x14ac:dyDescent="0.2">
      <c r="AY1035" s="315"/>
      <c r="AZ1035" s="326"/>
      <c r="BA1035" s="175"/>
      <c r="BB1035" s="42"/>
      <c r="BC1035" s="431"/>
      <c r="BG1035" s="315"/>
      <c r="BH1035" s="42"/>
    </row>
    <row r="1036" spans="51:60" x14ac:dyDescent="0.2">
      <c r="AY1036" s="315"/>
      <c r="AZ1036" s="326"/>
      <c r="BA1036" s="175"/>
      <c r="BB1036" s="42"/>
      <c r="BC1036" s="431"/>
      <c r="BG1036" s="315"/>
      <c r="BH1036" s="42"/>
    </row>
    <row r="1037" spans="51:60" x14ac:dyDescent="0.2">
      <c r="AY1037" s="315"/>
      <c r="AZ1037" s="326"/>
      <c r="BA1037" s="175"/>
      <c r="BB1037" s="42"/>
      <c r="BC1037" s="431"/>
      <c r="BG1037" s="315"/>
      <c r="BH1037" s="42"/>
    </row>
    <row r="1038" spans="51:60" x14ac:dyDescent="0.2">
      <c r="AY1038" s="315"/>
      <c r="AZ1038" s="326"/>
      <c r="BA1038" s="175"/>
      <c r="BB1038" s="42"/>
      <c r="BC1038" s="431"/>
      <c r="BG1038" s="315"/>
      <c r="BH1038" s="42"/>
    </row>
    <row r="1039" spans="51:60" x14ac:dyDescent="0.2">
      <c r="AY1039" s="315"/>
      <c r="AZ1039" s="326"/>
      <c r="BA1039" s="175"/>
      <c r="BB1039" s="42"/>
      <c r="BC1039" s="431"/>
      <c r="BG1039" s="315"/>
      <c r="BH1039" s="42"/>
    </row>
    <row r="1040" spans="51:60" x14ac:dyDescent="0.2">
      <c r="AY1040" s="315"/>
      <c r="AZ1040" s="326"/>
      <c r="BA1040" s="175"/>
      <c r="BB1040" s="42"/>
      <c r="BC1040" s="431"/>
      <c r="BG1040" s="315"/>
      <c r="BH1040" s="42"/>
    </row>
    <row r="1041" spans="51:60" x14ac:dyDescent="0.2">
      <c r="AY1041" s="315"/>
      <c r="AZ1041" s="326"/>
      <c r="BA1041" s="175"/>
      <c r="BB1041" s="42"/>
      <c r="BC1041" s="431"/>
      <c r="BG1041" s="315"/>
      <c r="BH1041" s="42"/>
    </row>
    <row r="1042" spans="51:60" x14ac:dyDescent="0.2">
      <c r="AY1042" s="315"/>
      <c r="AZ1042" s="326"/>
      <c r="BA1042" s="175"/>
      <c r="BB1042" s="42"/>
      <c r="BC1042" s="431"/>
      <c r="BG1042" s="315"/>
      <c r="BH1042" s="42"/>
    </row>
    <row r="1043" spans="51:60" x14ac:dyDescent="0.2">
      <c r="AY1043" s="315"/>
      <c r="AZ1043" s="326"/>
      <c r="BA1043" s="175"/>
      <c r="BB1043" s="42"/>
      <c r="BC1043" s="431"/>
      <c r="BG1043" s="315"/>
      <c r="BH1043" s="42"/>
    </row>
    <row r="1044" spans="51:60" x14ac:dyDescent="0.2">
      <c r="AY1044" s="315"/>
      <c r="AZ1044" s="326"/>
      <c r="BA1044" s="175"/>
      <c r="BB1044" s="42"/>
      <c r="BC1044" s="431"/>
      <c r="BG1044" s="315"/>
      <c r="BH1044" s="42"/>
    </row>
    <row r="1045" spans="51:60" x14ac:dyDescent="0.2">
      <c r="AY1045" s="315"/>
      <c r="AZ1045" s="326"/>
      <c r="BA1045" s="175"/>
      <c r="BB1045" s="42"/>
      <c r="BC1045" s="431"/>
      <c r="BG1045" s="315"/>
      <c r="BH1045" s="42"/>
    </row>
    <row r="1046" spans="51:60" x14ac:dyDescent="0.2">
      <c r="AY1046" s="315"/>
      <c r="AZ1046" s="326"/>
      <c r="BA1046" s="175"/>
      <c r="BB1046" s="42"/>
      <c r="BC1046" s="431"/>
      <c r="BG1046" s="315"/>
      <c r="BH1046" s="42"/>
    </row>
    <row r="1047" spans="51:60" x14ac:dyDescent="0.2">
      <c r="AY1047" s="315"/>
      <c r="AZ1047" s="326"/>
      <c r="BA1047" s="175"/>
      <c r="BB1047" s="42"/>
      <c r="BC1047" s="431"/>
      <c r="BG1047" s="315"/>
      <c r="BH1047" s="42"/>
    </row>
    <row r="1048" spans="51:60" x14ac:dyDescent="0.2">
      <c r="AY1048" s="315"/>
      <c r="AZ1048" s="326"/>
      <c r="BA1048" s="175"/>
      <c r="BB1048" s="42"/>
      <c r="BC1048" s="431"/>
      <c r="BG1048" s="315"/>
      <c r="BH1048" s="42"/>
    </row>
    <row r="1049" spans="51:60" x14ac:dyDescent="0.2">
      <c r="AY1049" s="315"/>
      <c r="AZ1049" s="326"/>
      <c r="BA1049" s="175"/>
      <c r="BB1049" s="42"/>
      <c r="BC1049" s="431"/>
      <c r="BG1049" s="315"/>
      <c r="BH1049" s="42"/>
    </row>
    <row r="1050" spans="51:60" x14ac:dyDescent="0.2">
      <c r="AY1050" s="315"/>
      <c r="AZ1050" s="326"/>
      <c r="BA1050" s="175"/>
      <c r="BB1050" s="42"/>
      <c r="BC1050" s="431"/>
      <c r="BG1050" s="315"/>
      <c r="BH1050" s="42"/>
    </row>
    <row r="1051" spans="51:60" x14ac:dyDescent="0.2">
      <c r="AY1051" s="315"/>
      <c r="AZ1051" s="326"/>
      <c r="BA1051" s="175"/>
      <c r="BB1051" s="42"/>
      <c r="BC1051" s="431"/>
      <c r="BG1051" s="315"/>
      <c r="BH1051" s="42"/>
    </row>
    <row r="1052" spans="51:60" x14ac:dyDescent="0.2">
      <c r="AY1052" s="315"/>
      <c r="AZ1052" s="326"/>
      <c r="BA1052" s="175"/>
      <c r="BB1052" s="42"/>
      <c r="BC1052" s="431"/>
      <c r="BG1052" s="315"/>
      <c r="BH1052" s="42"/>
    </row>
    <row r="1053" spans="51:60" x14ac:dyDescent="0.2">
      <c r="AY1053" s="315"/>
      <c r="AZ1053" s="326"/>
      <c r="BA1053" s="175"/>
      <c r="BB1053" s="42"/>
      <c r="BC1053" s="431"/>
      <c r="BG1053" s="315"/>
      <c r="BH1053" s="42"/>
    </row>
    <row r="1054" spans="51:60" x14ac:dyDescent="0.2">
      <c r="AY1054" s="315"/>
      <c r="AZ1054" s="326"/>
      <c r="BA1054" s="175"/>
      <c r="BB1054" s="42"/>
      <c r="BC1054" s="431"/>
      <c r="BG1054" s="315"/>
      <c r="BH1054" s="42"/>
    </row>
    <row r="1055" spans="51:60" x14ac:dyDescent="0.2">
      <c r="AY1055" s="315"/>
      <c r="AZ1055" s="326"/>
      <c r="BA1055" s="175"/>
      <c r="BB1055" s="42"/>
      <c r="BC1055" s="431"/>
      <c r="BG1055" s="315"/>
      <c r="BH1055" s="42"/>
    </row>
    <row r="1056" spans="51:60" x14ac:dyDescent="0.2">
      <c r="AY1056" s="315"/>
      <c r="AZ1056" s="326"/>
      <c r="BA1056" s="175"/>
      <c r="BB1056" s="42"/>
      <c r="BC1056" s="431"/>
      <c r="BG1056" s="315"/>
      <c r="BH1056" s="42"/>
    </row>
    <row r="1057" spans="51:60" x14ac:dyDescent="0.2">
      <c r="AY1057" s="315"/>
      <c r="AZ1057" s="326"/>
      <c r="BA1057" s="175"/>
      <c r="BB1057" s="42"/>
      <c r="BC1057" s="431"/>
      <c r="BG1057" s="315"/>
      <c r="BH1057" s="42"/>
    </row>
    <row r="1058" spans="51:60" x14ac:dyDescent="0.2">
      <c r="AY1058" s="315"/>
      <c r="AZ1058" s="326"/>
      <c r="BA1058" s="175"/>
      <c r="BB1058" s="42"/>
      <c r="BC1058" s="431"/>
      <c r="BG1058" s="315"/>
      <c r="BH1058" s="42"/>
    </row>
    <row r="1059" spans="51:60" x14ac:dyDescent="0.2">
      <c r="AY1059" s="315"/>
      <c r="AZ1059" s="326"/>
      <c r="BA1059" s="175"/>
      <c r="BB1059" s="42"/>
      <c r="BC1059" s="431"/>
      <c r="BG1059" s="315"/>
      <c r="BH1059" s="42"/>
    </row>
    <row r="1060" spans="51:60" x14ac:dyDescent="0.2">
      <c r="AY1060" s="315"/>
      <c r="AZ1060" s="326"/>
      <c r="BA1060" s="175"/>
      <c r="BB1060" s="42"/>
      <c r="BC1060" s="431"/>
      <c r="BG1060" s="315"/>
      <c r="BH1060" s="42"/>
    </row>
    <row r="1061" spans="51:60" x14ac:dyDescent="0.2">
      <c r="AY1061" s="315"/>
      <c r="AZ1061" s="326"/>
      <c r="BA1061" s="175"/>
      <c r="BB1061" s="42"/>
      <c r="BC1061" s="431"/>
      <c r="BG1061" s="315"/>
      <c r="BH1061" s="42"/>
    </row>
    <row r="1062" spans="51:60" x14ac:dyDescent="0.2">
      <c r="AY1062" s="315"/>
      <c r="AZ1062" s="326"/>
      <c r="BA1062" s="175"/>
      <c r="BB1062" s="42"/>
      <c r="BC1062" s="431"/>
      <c r="BG1062" s="315"/>
      <c r="BH1062" s="42"/>
    </row>
    <row r="1063" spans="51:60" x14ac:dyDescent="0.2">
      <c r="AY1063" s="315"/>
      <c r="AZ1063" s="326"/>
      <c r="BA1063" s="175"/>
      <c r="BB1063" s="42"/>
      <c r="BC1063" s="431"/>
      <c r="BG1063" s="315"/>
      <c r="BH1063" s="42"/>
    </row>
    <row r="1064" spans="51:60" x14ac:dyDescent="0.2">
      <c r="AY1064" s="315"/>
      <c r="AZ1064" s="326"/>
      <c r="BA1064" s="175"/>
      <c r="BB1064" s="42"/>
      <c r="BC1064" s="431"/>
      <c r="BG1064" s="315"/>
      <c r="BH1064" s="42"/>
    </row>
    <row r="1065" spans="51:60" x14ac:dyDescent="0.2">
      <c r="AY1065" s="315"/>
      <c r="AZ1065" s="326"/>
      <c r="BA1065" s="175"/>
      <c r="BB1065" s="42"/>
      <c r="BC1065" s="431"/>
      <c r="BG1065" s="315"/>
      <c r="BH1065" s="42"/>
    </row>
    <row r="1066" spans="51:60" x14ac:dyDescent="0.2">
      <c r="AY1066" s="315"/>
      <c r="AZ1066" s="326"/>
      <c r="BA1066" s="175"/>
      <c r="BB1066" s="42"/>
      <c r="BC1066" s="431"/>
      <c r="BG1066" s="315"/>
      <c r="BH1066" s="42"/>
    </row>
    <row r="1067" spans="51:60" x14ac:dyDescent="0.2">
      <c r="AY1067" s="315"/>
      <c r="AZ1067" s="326"/>
      <c r="BA1067" s="175"/>
      <c r="BB1067" s="42"/>
      <c r="BC1067" s="431"/>
      <c r="BG1067" s="315"/>
      <c r="BH1067" s="42"/>
    </row>
    <row r="1068" spans="51:60" x14ac:dyDescent="0.2">
      <c r="AY1068" s="315"/>
      <c r="AZ1068" s="326"/>
      <c r="BA1068" s="175"/>
      <c r="BB1068" s="42"/>
      <c r="BC1068" s="431"/>
      <c r="BG1068" s="315"/>
      <c r="BH1068" s="42"/>
    </row>
    <row r="1069" spans="51:60" x14ac:dyDescent="0.2">
      <c r="AY1069" s="315"/>
      <c r="AZ1069" s="326"/>
      <c r="BA1069" s="175"/>
      <c r="BB1069" s="42"/>
      <c r="BC1069" s="431"/>
      <c r="BG1069" s="315"/>
      <c r="BH1069" s="42"/>
    </row>
    <row r="1070" spans="51:60" x14ac:dyDescent="0.2">
      <c r="AY1070" s="315"/>
      <c r="AZ1070" s="326"/>
      <c r="BA1070" s="175"/>
      <c r="BB1070" s="42"/>
      <c r="BC1070" s="431"/>
      <c r="BG1070" s="315"/>
      <c r="BH1070" s="42"/>
    </row>
    <row r="1071" spans="51:60" x14ac:dyDescent="0.2">
      <c r="AY1071" s="315"/>
      <c r="AZ1071" s="326"/>
      <c r="BA1071" s="175"/>
      <c r="BB1071" s="42"/>
      <c r="BC1071" s="431"/>
      <c r="BG1071" s="315"/>
      <c r="BH1071" s="42"/>
    </row>
    <row r="1072" spans="51:60" x14ac:dyDescent="0.2">
      <c r="AY1072" s="315"/>
      <c r="AZ1072" s="326"/>
      <c r="BA1072" s="175"/>
      <c r="BB1072" s="42"/>
      <c r="BC1072" s="431"/>
      <c r="BG1072" s="315"/>
      <c r="BH1072" s="42"/>
    </row>
    <row r="1073" spans="51:60" x14ac:dyDescent="0.2">
      <c r="AY1073" s="315"/>
      <c r="AZ1073" s="326"/>
      <c r="BA1073" s="175"/>
      <c r="BB1073" s="42"/>
      <c r="BC1073" s="431"/>
      <c r="BG1073" s="315"/>
      <c r="BH1073" s="42"/>
    </row>
    <row r="1074" spans="51:60" x14ac:dyDescent="0.2">
      <c r="AY1074" s="315"/>
      <c r="AZ1074" s="326"/>
      <c r="BA1074" s="175"/>
      <c r="BB1074" s="42"/>
      <c r="BC1074" s="431"/>
      <c r="BG1074" s="315"/>
      <c r="BH1074" s="42"/>
    </row>
    <row r="1075" spans="51:60" x14ac:dyDescent="0.2">
      <c r="AY1075" s="315"/>
      <c r="AZ1075" s="326"/>
      <c r="BA1075" s="175"/>
      <c r="BB1075" s="42"/>
      <c r="BC1075" s="431"/>
      <c r="BG1075" s="315"/>
      <c r="BH1075" s="42"/>
    </row>
    <row r="1076" spans="51:60" x14ac:dyDescent="0.2">
      <c r="AY1076" s="315"/>
      <c r="AZ1076" s="326"/>
      <c r="BA1076" s="175"/>
      <c r="BB1076" s="42"/>
      <c r="BC1076" s="431"/>
      <c r="BG1076" s="315"/>
      <c r="BH1076" s="42"/>
    </row>
    <row r="1077" spans="51:60" x14ac:dyDescent="0.2">
      <c r="AY1077" s="315"/>
      <c r="AZ1077" s="326"/>
      <c r="BA1077" s="175"/>
      <c r="BB1077" s="42"/>
      <c r="BC1077" s="431"/>
      <c r="BG1077" s="315"/>
      <c r="BH1077" s="42"/>
    </row>
    <row r="1078" spans="51:60" x14ac:dyDescent="0.2">
      <c r="AY1078" s="315"/>
      <c r="AZ1078" s="326"/>
      <c r="BA1078" s="175"/>
      <c r="BB1078" s="42"/>
      <c r="BC1078" s="431"/>
      <c r="BG1078" s="315"/>
      <c r="BH1078" s="42"/>
    </row>
    <row r="1079" spans="51:60" x14ac:dyDescent="0.2">
      <c r="AY1079" s="315"/>
      <c r="AZ1079" s="326"/>
      <c r="BA1079" s="175"/>
      <c r="BB1079" s="42"/>
      <c r="BC1079" s="431"/>
      <c r="BG1079" s="315"/>
      <c r="BH1079" s="42"/>
    </row>
    <row r="1080" spans="51:60" x14ac:dyDescent="0.2">
      <c r="AY1080" s="315"/>
      <c r="AZ1080" s="326"/>
      <c r="BA1080" s="175"/>
      <c r="BB1080" s="42"/>
      <c r="BC1080" s="431"/>
      <c r="BG1080" s="315"/>
      <c r="BH1080" s="42"/>
    </row>
    <row r="1081" spans="51:60" x14ac:dyDescent="0.2">
      <c r="AY1081" s="315"/>
      <c r="AZ1081" s="326"/>
      <c r="BA1081" s="175"/>
      <c r="BB1081" s="42"/>
      <c r="BC1081" s="431"/>
      <c r="BG1081" s="315"/>
      <c r="BH1081" s="42"/>
    </row>
    <row r="1082" spans="51:60" x14ac:dyDescent="0.2">
      <c r="AY1082" s="315"/>
      <c r="AZ1082" s="326"/>
      <c r="BA1082" s="175"/>
      <c r="BB1082" s="42"/>
      <c r="BC1082" s="431"/>
      <c r="BG1082" s="315"/>
      <c r="BH1082" s="42"/>
    </row>
    <row r="1083" spans="51:60" x14ac:dyDescent="0.2">
      <c r="AY1083" s="315"/>
      <c r="AZ1083" s="326"/>
      <c r="BA1083" s="175"/>
      <c r="BB1083" s="42"/>
      <c r="BC1083" s="431"/>
      <c r="BG1083" s="315"/>
      <c r="BH1083" s="42"/>
    </row>
    <row r="1084" spans="51:60" x14ac:dyDescent="0.2">
      <c r="AY1084" s="315"/>
      <c r="AZ1084" s="326"/>
      <c r="BA1084" s="175"/>
      <c r="BB1084" s="42"/>
      <c r="BC1084" s="431"/>
      <c r="BG1084" s="315"/>
      <c r="BH1084" s="42"/>
    </row>
    <row r="1085" spans="51:60" x14ac:dyDescent="0.2">
      <c r="AY1085" s="315"/>
      <c r="AZ1085" s="326"/>
      <c r="BA1085" s="175"/>
      <c r="BB1085" s="42"/>
      <c r="BC1085" s="431"/>
      <c r="BG1085" s="315"/>
      <c r="BH1085" s="42"/>
    </row>
    <row r="1086" spans="51:60" x14ac:dyDescent="0.2">
      <c r="AY1086" s="315"/>
      <c r="AZ1086" s="326"/>
      <c r="BA1086" s="175"/>
      <c r="BB1086" s="42"/>
      <c r="BC1086" s="431"/>
      <c r="BG1086" s="315"/>
      <c r="BH1086" s="42"/>
    </row>
    <row r="1087" spans="51:60" x14ac:dyDescent="0.2">
      <c r="AY1087" s="315"/>
      <c r="AZ1087" s="326"/>
      <c r="BA1087" s="175"/>
      <c r="BB1087" s="42"/>
      <c r="BC1087" s="431"/>
      <c r="BG1087" s="315"/>
      <c r="BH1087" s="42"/>
    </row>
    <row r="1088" spans="51:60" x14ac:dyDescent="0.2">
      <c r="AY1088" s="315"/>
      <c r="AZ1088" s="326"/>
      <c r="BA1088" s="175"/>
      <c r="BB1088" s="42"/>
      <c r="BC1088" s="431"/>
      <c r="BG1088" s="315"/>
      <c r="BH1088" s="42"/>
    </row>
    <row r="1089" spans="51:60" x14ac:dyDescent="0.2">
      <c r="AY1089" s="315"/>
      <c r="AZ1089" s="326"/>
      <c r="BA1089" s="175"/>
      <c r="BB1089" s="42"/>
      <c r="BC1089" s="431"/>
      <c r="BG1089" s="315"/>
      <c r="BH1089" s="42"/>
    </row>
    <row r="1090" spans="51:60" x14ac:dyDescent="0.2">
      <c r="AY1090" s="315"/>
      <c r="AZ1090" s="326"/>
      <c r="BA1090" s="175"/>
      <c r="BB1090" s="42"/>
      <c r="BC1090" s="431"/>
      <c r="BG1090" s="315"/>
      <c r="BH1090" s="42"/>
    </row>
    <row r="1091" spans="51:60" x14ac:dyDescent="0.2">
      <c r="AY1091" s="315"/>
      <c r="AZ1091" s="326"/>
      <c r="BA1091" s="175"/>
      <c r="BB1091" s="42"/>
      <c r="BC1091" s="431"/>
      <c r="BG1091" s="315"/>
      <c r="BH1091" s="42"/>
    </row>
    <row r="1092" spans="51:60" x14ac:dyDescent="0.2">
      <c r="AY1092" s="315"/>
      <c r="AZ1092" s="326"/>
      <c r="BA1092" s="175"/>
      <c r="BB1092" s="42"/>
      <c r="BC1092" s="431"/>
      <c r="BG1092" s="315"/>
      <c r="BH1092" s="42"/>
    </row>
    <row r="1093" spans="51:60" x14ac:dyDescent="0.2">
      <c r="AY1093" s="315"/>
      <c r="AZ1093" s="326"/>
      <c r="BA1093" s="175"/>
      <c r="BB1093" s="42"/>
      <c r="BC1093" s="431"/>
      <c r="BG1093" s="315"/>
      <c r="BH1093" s="42"/>
    </row>
    <row r="1094" spans="51:60" x14ac:dyDescent="0.2">
      <c r="AY1094" s="315"/>
      <c r="AZ1094" s="326"/>
      <c r="BA1094" s="175"/>
      <c r="BB1094" s="42"/>
      <c r="BC1094" s="431"/>
      <c r="BG1094" s="315"/>
      <c r="BH1094" s="42"/>
    </row>
    <row r="1095" spans="51:60" x14ac:dyDescent="0.2">
      <c r="AY1095" s="315"/>
      <c r="AZ1095" s="326"/>
      <c r="BA1095" s="175"/>
      <c r="BB1095" s="42"/>
      <c r="BC1095" s="431"/>
      <c r="BG1095" s="315"/>
      <c r="BH1095" s="42"/>
    </row>
    <row r="1096" spans="51:60" x14ac:dyDescent="0.2">
      <c r="AY1096" s="315"/>
      <c r="AZ1096" s="326"/>
      <c r="BA1096" s="175"/>
      <c r="BB1096" s="42"/>
      <c r="BC1096" s="431"/>
      <c r="BG1096" s="315"/>
      <c r="BH1096" s="42"/>
    </row>
    <row r="1097" spans="51:60" x14ac:dyDescent="0.2">
      <c r="AY1097" s="315"/>
      <c r="AZ1097" s="326"/>
      <c r="BA1097" s="175"/>
      <c r="BB1097" s="42"/>
      <c r="BC1097" s="431"/>
      <c r="BG1097" s="315"/>
      <c r="BH1097" s="42"/>
    </row>
    <row r="1098" spans="51:60" x14ac:dyDescent="0.2">
      <c r="AY1098" s="315"/>
      <c r="AZ1098" s="326"/>
      <c r="BA1098" s="175"/>
      <c r="BB1098" s="42"/>
      <c r="BC1098" s="431"/>
      <c r="BG1098" s="315"/>
      <c r="BH1098" s="42"/>
    </row>
    <row r="1099" spans="51:60" x14ac:dyDescent="0.2">
      <c r="AY1099" s="315"/>
      <c r="AZ1099" s="326"/>
      <c r="BA1099" s="175"/>
      <c r="BB1099" s="42"/>
      <c r="BC1099" s="431"/>
      <c r="BG1099" s="315"/>
      <c r="BH1099" s="42"/>
    </row>
    <row r="1100" spans="51:60" x14ac:dyDescent="0.2">
      <c r="AY1100" s="315"/>
      <c r="AZ1100" s="326"/>
      <c r="BA1100" s="175"/>
      <c r="BB1100" s="42"/>
      <c r="BC1100" s="431"/>
      <c r="BG1100" s="315"/>
      <c r="BH1100" s="42"/>
    </row>
    <row r="1101" spans="51:60" x14ac:dyDescent="0.2">
      <c r="AY1101" s="315"/>
      <c r="AZ1101" s="326"/>
      <c r="BA1101" s="175"/>
      <c r="BB1101" s="42"/>
      <c r="BC1101" s="431"/>
      <c r="BG1101" s="315"/>
      <c r="BH1101" s="42"/>
    </row>
    <row r="1102" spans="51:60" x14ac:dyDescent="0.2">
      <c r="AY1102" s="315"/>
      <c r="AZ1102" s="326"/>
      <c r="BA1102" s="175"/>
      <c r="BB1102" s="42"/>
      <c r="BC1102" s="431"/>
      <c r="BG1102" s="315"/>
      <c r="BH1102" s="42"/>
    </row>
    <row r="1103" spans="51:60" x14ac:dyDescent="0.2">
      <c r="AY1103" s="315"/>
      <c r="AZ1103" s="326"/>
      <c r="BA1103" s="175"/>
      <c r="BB1103" s="42"/>
      <c r="BC1103" s="431"/>
      <c r="BG1103" s="315"/>
      <c r="BH1103" s="42"/>
    </row>
    <row r="1104" spans="51:60" x14ac:dyDescent="0.2">
      <c r="AY1104" s="315"/>
      <c r="AZ1104" s="326"/>
      <c r="BA1104" s="175"/>
      <c r="BB1104" s="42"/>
      <c r="BC1104" s="431"/>
      <c r="BG1104" s="315"/>
      <c r="BH1104" s="42"/>
    </row>
    <row r="1105" spans="51:60" x14ac:dyDescent="0.2">
      <c r="AY1105" s="315"/>
      <c r="AZ1105" s="326"/>
      <c r="BA1105" s="175"/>
      <c r="BB1105" s="42"/>
      <c r="BC1105" s="431"/>
      <c r="BG1105" s="315"/>
      <c r="BH1105" s="42"/>
    </row>
    <row r="1106" spans="51:60" x14ac:dyDescent="0.2">
      <c r="AY1106" s="315"/>
      <c r="AZ1106" s="326"/>
      <c r="BA1106" s="175"/>
      <c r="BB1106" s="42"/>
      <c r="BC1106" s="431"/>
      <c r="BG1106" s="315"/>
      <c r="BH1106" s="42"/>
    </row>
    <row r="1107" spans="51:60" x14ac:dyDescent="0.2">
      <c r="AY1107" s="315"/>
      <c r="AZ1107" s="326"/>
      <c r="BA1107" s="175"/>
      <c r="BB1107" s="42"/>
      <c r="BC1107" s="431"/>
      <c r="BG1107" s="315"/>
      <c r="BH1107" s="42"/>
    </row>
    <row r="1108" spans="51:60" x14ac:dyDescent="0.2">
      <c r="AY1108" s="315"/>
      <c r="AZ1108" s="326"/>
      <c r="BA1108" s="175"/>
      <c r="BB1108" s="42"/>
      <c r="BC1108" s="431"/>
      <c r="BG1108" s="315"/>
      <c r="BH1108" s="42"/>
    </row>
    <row r="1109" spans="51:60" x14ac:dyDescent="0.2">
      <c r="AY1109" s="315"/>
      <c r="AZ1109" s="326"/>
      <c r="BA1109" s="175"/>
      <c r="BB1109" s="42"/>
      <c r="BC1109" s="431"/>
      <c r="BG1109" s="315"/>
      <c r="BH1109" s="42"/>
    </row>
    <row r="1110" spans="51:60" x14ac:dyDescent="0.2">
      <c r="AY1110" s="315"/>
      <c r="AZ1110" s="326"/>
      <c r="BA1110" s="175"/>
      <c r="BB1110" s="42"/>
      <c r="BC1110" s="431"/>
      <c r="BG1110" s="315"/>
      <c r="BH1110" s="42"/>
    </row>
    <row r="1111" spans="51:60" x14ac:dyDescent="0.2">
      <c r="AY1111" s="315"/>
      <c r="AZ1111" s="326"/>
      <c r="BA1111" s="175"/>
      <c r="BB1111" s="42"/>
      <c r="BC1111" s="431"/>
      <c r="BG1111" s="315"/>
      <c r="BH1111" s="42"/>
    </row>
    <row r="1112" spans="51:60" x14ac:dyDescent="0.2">
      <c r="AY1112" s="315"/>
      <c r="AZ1112" s="326"/>
      <c r="BA1112" s="175"/>
      <c r="BB1112" s="42"/>
      <c r="BC1112" s="431"/>
      <c r="BG1112" s="315"/>
      <c r="BH1112" s="42"/>
    </row>
    <row r="1113" spans="51:60" x14ac:dyDescent="0.2">
      <c r="AY1113" s="315"/>
      <c r="AZ1113" s="326"/>
      <c r="BA1113" s="175"/>
      <c r="BB1113" s="42"/>
      <c r="BC1113" s="431"/>
      <c r="BG1113" s="315"/>
      <c r="BH1113" s="42"/>
    </row>
    <row r="1114" spans="51:60" x14ac:dyDescent="0.2">
      <c r="AY1114" s="315"/>
      <c r="AZ1114" s="326"/>
      <c r="BA1114" s="175"/>
      <c r="BB1114" s="42"/>
      <c r="BC1114" s="431"/>
      <c r="BG1114" s="315"/>
      <c r="BH1114" s="42"/>
    </row>
    <row r="1115" spans="51:60" x14ac:dyDescent="0.2">
      <c r="AY1115" s="315"/>
      <c r="AZ1115" s="326"/>
      <c r="BA1115" s="175"/>
      <c r="BB1115" s="42"/>
      <c r="BC1115" s="431"/>
      <c r="BG1115" s="315"/>
      <c r="BH1115" s="42"/>
    </row>
    <row r="1116" spans="51:60" x14ac:dyDescent="0.2">
      <c r="AY1116" s="315"/>
      <c r="AZ1116" s="326"/>
      <c r="BA1116" s="175"/>
      <c r="BB1116" s="42"/>
      <c r="BC1116" s="431"/>
      <c r="BG1116" s="315"/>
      <c r="BH1116" s="42"/>
    </row>
    <row r="1117" spans="51:60" x14ac:dyDescent="0.2">
      <c r="AY1117" s="315"/>
      <c r="AZ1117" s="326"/>
      <c r="BA1117" s="175"/>
      <c r="BB1117" s="42"/>
      <c r="BC1117" s="431"/>
      <c r="BG1117" s="315"/>
      <c r="BH1117" s="42"/>
    </row>
    <row r="1118" spans="51:60" x14ac:dyDescent="0.2">
      <c r="AY1118" s="315"/>
      <c r="AZ1118" s="326"/>
      <c r="BA1118" s="175"/>
      <c r="BB1118" s="42"/>
      <c r="BC1118" s="431"/>
      <c r="BG1118" s="315"/>
      <c r="BH1118" s="42"/>
    </row>
    <row r="1119" spans="51:60" x14ac:dyDescent="0.2">
      <c r="AY1119" s="315"/>
      <c r="AZ1119" s="326"/>
      <c r="BA1119" s="175"/>
      <c r="BB1119" s="42"/>
      <c r="BC1119" s="431"/>
      <c r="BG1119" s="315"/>
      <c r="BH1119" s="42"/>
    </row>
    <row r="1120" spans="51:60" x14ac:dyDescent="0.2">
      <c r="AY1120" s="315"/>
      <c r="AZ1120" s="326"/>
      <c r="BA1120" s="175"/>
      <c r="BB1120" s="42"/>
      <c r="BC1120" s="431"/>
      <c r="BG1120" s="315"/>
      <c r="BH1120" s="42"/>
    </row>
    <row r="1121" spans="51:60" x14ac:dyDescent="0.2">
      <c r="AY1121" s="315"/>
      <c r="AZ1121" s="326"/>
      <c r="BA1121" s="175"/>
      <c r="BB1121" s="42"/>
      <c r="BC1121" s="431"/>
      <c r="BG1121" s="315"/>
      <c r="BH1121" s="42"/>
    </row>
    <row r="1122" spans="51:60" x14ac:dyDescent="0.2">
      <c r="AY1122" s="315"/>
      <c r="AZ1122" s="326"/>
      <c r="BA1122" s="175"/>
      <c r="BB1122" s="42"/>
      <c r="BC1122" s="431"/>
      <c r="BG1122" s="315"/>
      <c r="BH1122" s="42"/>
    </row>
    <row r="1123" spans="51:60" x14ac:dyDescent="0.2">
      <c r="AY1123" s="315"/>
      <c r="AZ1123" s="326"/>
      <c r="BA1123" s="175"/>
      <c r="BB1123" s="42"/>
      <c r="BC1123" s="431"/>
      <c r="BG1123" s="315"/>
      <c r="BH1123" s="42"/>
    </row>
    <row r="1124" spans="51:60" x14ac:dyDescent="0.2">
      <c r="AY1124" s="315"/>
      <c r="AZ1124" s="326"/>
      <c r="BA1124" s="175"/>
      <c r="BB1124" s="42"/>
      <c r="BC1124" s="431"/>
      <c r="BG1124" s="315"/>
      <c r="BH1124" s="42"/>
    </row>
    <row r="1125" spans="51:60" x14ac:dyDescent="0.2">
      <c r="AY1125" s="315"/>
      <c r="AZ1125" s="326"/>
      <c r="BA1125" s="175"/>
      <c r="BB1125" s="42"/>
      <c r="BC1125" s="431"/>
      <c r="BG1125" s="315"/>
      <c r="BH1125" s="42"/>
    </row>
    <row r="1126" spans="51:60" x14ac:dyDescent="0.2">
      <c r="AY1126" s="315"/>
      <c r="AZ1126" s="326"/>
      <c r="BA1126" s="175"/>
      <c r="BB1126" s="42"/>
      <c r="BC1126" s="431"/>
      <c r="BG1126" s="315"/>
      <c r="BH1126" s="42"/>
    </row>
    <row r="1127" spans="51:60" x14ac:dyDescent="0.2">
      <c r="AY1127" s="315"/>
      <c r="AZ1127" s="326"/>
      <c r="BA1127" s="175"/>
      <c r="BB1127" s="42"/>
      <c r="BC1127" s="431"/>
      <c r="BG1127" s="315"/>
      <c r="BH1127" s="42"/>
    </row>
    <row r="1128" spans="51:60" x14ac:dyDescent="0.2">
      <c r="AY1128" s="315"/>
      <c r="AZ1128" s="326"/>
      <c r="BA1128" s="175"/>
      <c r="BB1128" s="42"/>
      <c r="BC1128" s="431"/>
      <c r="BG1128" s="315"/>
      <c r="BH1128" s="42"/>
    </row>
    <row r="1129" spans="51:60" x14ac:dyDescent="0.2">
      <c r="AY1129" s="315"/>
      <c r="AZ1129" s="326"/>
      <c r="BA1129" s="175"/>
      <c r="BB1129" s="42"/>
      <c r="BC1129" s="431"/>
      <c r="BG1129" s="315"/>
      <c r="BH1129" s="42"/>
    </row>
    <row r="1130" spans="51:60" x14ac:dyDescent="0.2">
      <c r="AY1130" s="315"/>
      <c r="AZ1130" s="326"/>
      <c r="BA1130" s="175"/>
      <c r="BB1130" s="42"/>
      <c r="BC1130" s="431"/>
      <c r="BG1130" s="315"/>
      <c r="BH1130" s="42"/>
    </row>
    <row r="1131" spans="51:60" x14ac:dyDescent="0.2">
      <c r="AY1131" s="315"/>
      <c r="AZ1131" s="326"/>
      <c r="BA1131" s="175"/>
      <c r="BB1131" s="42"/>
      <c r="BC1131" s="431"/>
      <c r="BG1131" s="315"/>
      <c r="BH1131" s="42"/>
    </row>
    <row r="1132" spans="51:60" x14ac:dyDescent="0.2">
      <c r="AY1132" s="315"/>
      <c r="AZ1132" s="326"/>
      <c r="BA1132" s="175"/>
      <c r="BB1132" s="42"/>
      <c r="BC1132" s="431"/>
      <c r="BG1132" s="315"/>
      <c r="BH1132" s="42"/>
    </row>
    <row r="1133" spans="51:60" x14ac:dyDescent="0.2">
      <c r="AY1133" s="315"/>
      <c r="AZ1133" s="326"/>
      <c r="BA1133" s="175"/>
      <c r="BB1133" s="42"/>
      <c r="BC1133" s="431"/>
      <c r="BG1133" s="315"/>
      <c r="BH1133" s="42"/>
    </row>
    <row r="1134" spans="51:60" x14ac:dyDescent="0.2">
      <c r="AY1134" s="315"/>
      <c r="AZ1134" s="326"/>
      <c r="BA1134" s="175"/>
      <c r="BB1134" s="42"/>
      <c r="BC1134" s="431"/>
      <c r="BG1134" s="315"/>
      <c r="BH1134" s="42"/>
    </row>
    <row r="1135" spans="51:60" x14ac:dyDescent="0.2">
      <c r="AY1135" s="315"/>
      <c r="AZ1135" s="326"/>
      <c r="BA1135" s="175"/>
      <c r="BB1135" s="42"/>
      <c r="BC1135" s="431"/>
      <c r="BG1135" s="315"/>
      <c r="BH1135" s="42"/>
    </row>
    <row r="1136" spans="51:60" x14ac:dyDescent="0.2">
      <c r="AY1136" s="315"/>
      <c r="AZ1136" s="326"/>
      <c r="BA1136" s="175"/>
      <c r="BB1136" s="42"/>
      <c r="BC1136" s="431"/>
      <c r="BG1136" s="315"/>
      <c r="BH1136" s="42"/>
    </row>
    <row r="1137" spans="51:60" x14ac:dyDescent="0.2">
      <c r="AY1137" s="315"/>
      <c r="AZ1137" s="326"/>
      <c r="BA1137" s="175"/>
      <c r="BB1137" s="42"/>
      <c r="BC1137" s="431"/>
      <c r="BG1137" s="315"/>
      <c r="BH1137" s="42"/>
    </row>
    <row r="1138" spans="51:60" x14ac:dyDescent="0.2">
      <c r="AY1138" s="315"/>
      <c r="AZ1138" s="326"/>
      <c r="BA1138" s="175"/>
      <c r="BB1138" s="42"/>
      <c r="BC1138" s="431"/>
      <c r="BG1138" s="315"/>
      <c r="BH1138" s="42"/>
    </row>
    <row r="1139" spans="51:60" x14ac:dyDescent="0.2">
      <c r="AY1139" s="315"/>
      <c r="AZ1139" s="326"/>
      <c r="BA1139" s="175"/>
      <c r="BB1139" s="42"/>
      <c r="BC1139" s="431"/>
      <c r="BG1139" s="315"/>
      <c r="BH1139" s="42"/>
    </row>
    <row r="1140" spans="51:60" x14ac:dyDescent="0.2">
      <c r="AY1140" s="315"/>
      <c r="AZ1140" s="326"/>
      <c r="BA1140" s="175"/>
      <c r="BB1140" s="42"/>
      <c r="BC1140" s="431"/>
      <c r="BG1140" s="315"/>
      <c r="BH1140" s="42"/>
    </row>
    <row r="1141" spans="51:60" x14ac:dyDescent="0.2">
      <c r="AY1141" s="315"/>
      <c r="AZ1141" s="326"/>
      <c r="BA1141" s="175"/>
      <c r="BB1141" s="42"/>
      <c r="BC1141" s="431"/>
      <c r="BG1141" s="315"/>
      <c r="BH1141" s="42"/>
    </row>
    <row r="1142" spans="51:60" x14ac:dyDescent="0.2">
      <c r="AY1142" s="315"/>
      <c r="AZ1142" s="326"/>
      <c r="BA1142" s="175"/>
      <c r="BB1142" s="42"/>
      <c r="BC1142" s="431"/>
      <c r="BG1142" s="315"/>
      <c r="BH1142" s="42"/>
    </row>
    <row r="1143" spans="51:60" x14ac:dyDescent="0.2">
      <c r="AY1143" s="315"/>
      <c r="AZ1143" s="326"/>
      <c r="BA1143" s="175"/>
      <c r="BB1143" s="42"/>
      <c r="BC1143" s="431"/>
      <c r="BG1143" s="315"/>
      <c r="BH1143" s="42"/>
    </row>
    <row r="1144" spans="51:60" x14ac:dyDescent="0.2">
      <c r="AY1144" s="315"/>
      <c r="AZ1144" s="326"/>
      <c r="BA1144" s="175"/>
      <c r="BB1144" s="42"/>
      <c r="BC1144" s="431"/>
      <c r="BG1144" s="315"/>
      <c r="BH1144" s="42"/>
    </row>
    <row r="1145" spans="51:60" x14ac:dyDescent="0.2">
      <c r="AY1145" s="315"/>
      <c r="AZ1145" s="326"/>
      <c r="BA1145" s="175"/>
      <c r="BB1145" s="42"/>
      <c r="BC1145" s="431"/>
      <c r="BG1145" s="315"/>
      <c r="BH1145" s="42"/>
    </row>
    <row r="1146" spans="51:60" x14ac:dyDescent="0.2">
      <c r="AY1146" s="315"/>
      <c r="AZ1146" s="326"/>
      <c r="BA1146" s="175"/>
      <c r="BB1146" s="42"/>
      <c r="BC1146" s="431"/>
      <c r="BG1146" s="315"/>
      <c r="BH1146" s="42"/>
    </row>
    <row r="1147" spans="51:60" x14ac:dyDescent="0.2">
      <c r="AY1147" s="315"/>
      <c r="AZ1147" s="326"/>
      <c r="BA1147" s="175"/>
      <c r="BB1147" s="42"/>
      <c r="BC1147" s="431"/>
      <c r="BG1147" s="315"/>
      <c r="BH1147" s="42"/>
    </row>
    <row r="1148" spans="51:60" x14ac:dyDescent="0.2">
      <c r="AY1148" s="315"/>
      <c r="AZ1148" s="326"/>
      <c r="BA1148" s="175"/>
      <c r="BB1148" s="42"/>
      <c r="BC1148" s="431"/>
      <c r="BG1148" s="315"/>
      <c r="BH1148" s="42"/>
    </row>
    <row r="1149" spans="51:60" x14ac:dyDescent="0.2">
      <c r="AY1149" s="315"/>
      <c r="AZ1149" s="326"/>
      <c r="BA1149" s="175"/>
      <c r="BB1149" s="42"/>
      <c r="BC1149" s="431"/>
      <c r="BG1149" s="315"/>
      <c r="BH1149" s="42"/>
    </row>
    <row r="1150" spans="51:60" x14ac:dyDescent="0.2">
      <c r="AY1150" s="315"/>
      <c r="AZ1150" s="326"/>
      <c r="BA1150" s="175"/>
      <c r="BB1150" s="42"/>
      <c r="BC1150" s="431"/>
      <c r="BG1150" s="315"/>
      <c r="BH1150" s="42"/>
    </row>
    <row r="1151" spans="51:60" x14ac:dyDescent="0.2">
      <c r="AY1151" s="315"/>
      <c r="AZ1151" s="326"/>
      <c r="BA1151" s="175"/>
      <c r="BB1151" s="42"/>
      <c r="BC1151" s="431"/>
      <c r="BG1151" s="315"/>
      <c r="BH1151" s="42"/>
    </row>
    <row r="1152" spans="51:60" x14ac:dyDescent="0.2">
      <c r="AY1152" s="315"/>
      <c r="AZ1152" s="326"/>
      <c r="BA1152" s="175"/>
      <c r="BB1152" s="42"/>
      <c r="BC1152" s="431"/>
      <c r="BG1152" s="315"/>
      <c r="BH1152" s="42"/>
    </row>
    <row r="1153" spans="51:60" x14ac:dyDescent="0.2">
      <c r="AY1153" s="315"/>
      <c r="AZ1153" s="326"/>
      <c r="BA1153" s="175"/>
      <c r="BB1153" s="42"/>
      <c r="BC1153" s="431"/>
      <c r="BG1153" s="315"/>
      <c r="BH1153" s="42"/>
    </row>
    <row r="1154" spans="51:60" x14ac:dyDescent="0.2">
      <c r="AY1154" s="315"/>
      <c r="AZ1154" s="326"/>
      <c r="BA1154" s="175"/>
      <c r="BB1154" s="42"/>
      <c r="BC1154" s="431"/>
      <c r="BG1154" s="315"/>
      <c r="BH1154" s="42"/>
    </row>
    <row r="1155" spans="51:60" x14ac:dyDescent="0.2">
      <c r="AY1155" s="315"/>
      <c r="AZ1155" s="326"/>
      <c r="BA1155" s="175"/>
      <c r="BB1155" s="42"/>
      <c r="BC1155" s="431"/>
      <c r="BG1155" s="315"/>
      <c r="BH1155" s="42"/>
    </row>
    <row r="1156" spans="51:60" x14ac:dyDescent="0.2">
      <c r="AY1156" s="315"/>
      <c r="AZ1156" s="326"/>
      <c r="BA1156" s="175"/>
      <c r="BB1156" s="42"/>
      <c r="BC1156" s="431"/>
      <c r="BG1156" s="315"/>
      <c r="BH1156" s="42"/>
    </row>
    <row r="1157" spans="51:60" x14ac:dyDescent="0.2">
      <c r="AY1157" s="315"/>
      <c r="AZ1157" s="326"/>
      <c r="BA1157" s="175"/>
      <c r="BB1157" s="42"/>
      <c r="BC1157" s="431"/>
      <c r="BG1157" s="315"/>
      <c r="BH1157" s="42"/>
    </row>
    <row r="1158" spans="51:60" x14ac:dyDescent="0.2">
      <c r="AY1158" s="315"/>
      <c r="AZ1158" s="326"/>
      <c r="BA1158" s="175"/>
      <c r="BB1158" s="42"/>
      <c r="BC1158" s="431"/>
      <c r="BG1158" s="315"/>
      <c r="BH1158" s="42"/>
    </row>
    <row r="1159" spans="51:60" x14ac:dyDescent="0.2">
      <c r="AY1159" s="315"/>
      <c r="AZ1159" s="326"/>
      <c r="BA1159" s="175"/>
      <c r="BB1159" s="42"/>
      <c r="BC1159" s="431"/>
      <c r="BG1159" s="315"/>
      <c r="BH1159" s="42"/>
    </row>
    <row r="1160" spans="51:60" x14ac:dyDescent="0.2">
      <c r="AY1160" s="315"/>
      <c r="AZ1160" s="326"/>
      <c r="BA1160" s="175"/>
      <c r="BB1160" s="42"/>
      <c r="BC1160" s="431"/>
      <c r="BG1160" s="315"/>
      <c r="BH1160" s="42"/>
    </row>
    <row r="1161" spans="51:60" x14ac:dyDescent="0.2">
      <c r="AY1161" s="315"/>
      <c r="AZ1161" s="326"/>
      <c r="BA1161" s="175"/>
      <c r="BB1161" s="42"/>
      <c r="BC1161" s="431"/>
      <c r="BG1161" s="315"/>
      <c r="BH1161" s="42"/>
    </row>
    <row r="1162" spans="51:60" x14ac:dyDescent="0.2">
      <c r="AY1162" s="315"/>
      <c r="AZ1162" s="326"/>
      <c r="BA1162" s="175"/>
      <c r="BB1162" s="42"/>
      <c r="BC1162" s="431"/>
      <c r="BG1162" s="315"/>
      <c r="BH1162" s="42"/>
    </row>
    <row r="1163" spans="51:60" x14ac:dyDescent="0.2">
      <c r="AY1163" s="315"/>
      <c r="AZ1163" s="326"/>
      <c r="BA1163" s="175"/>
      <c r="BB1163" s="42"/>
      <c r="BC1163" s="431"/>
      <c r="BG1163" s="315"/>
      <c r="BH1163" s="42"/>
    </row>
    <row r="1164" spans="51:60" x14ac:dyDescent="0.2">
      <c r="AY1164" s="315"/>
      <c r="AZ1164" s="326"/>
      <c r="BA1164" s="175"/>
      <c r="BB1164" s="42"/>
      <c r="BC1164" s="431"/>
      <c r="BG1164" s="315"/>
      <c r="BH1164" s="42"/>
    </row>
    <row r="1165" spans="51:60" x14ac:dyDescent="0.2">
      <c r="AY1165" s="315"/>
      <c r="AZ1165" s="326"/>
      <c r="BA1165" s="175"/>
      <c r="BB1165" s="42"/>
      <c r="BC1165" s="431"/>
      <c r="BG1165" s="315"/>
      <c r="BH1165" s="42"/>
    </row>
    <row r="1166" spans="51:60" x14ac:dyDescent="0.2">
      <c r="AY1166" s="315"/>
      <c r="AZ1166" s="326"/>
      <c r="BA1166" s="175"/>
      <c r="BB1166" s="42"/>
      <c r="BC1166" s="431"/>
      <c r="BG1166" s="315"/>
      <c r="BH1166" s="42"/>
    </row>
    <row r="1167" spans="51:60" x14ac:dyDescent="0.2">
      <c r="AY1167" s="315"/>
      <c r="AZ1167" s="326"/>
      <c r="BA1167" s="175"/>
      <c r="BB1167" s="42"/>
      <c r="BC1167" s="431"/>
      <c r="BG1167" s="315"/>
      <c r="BH1167" s="42"/>
    </row>
    <row r="1168" spans="51:60" x14ac:dyDescent="0.2">
      <c r="AY1168" s="315"/>
      <c r="AZ1168" s="326"/>
      <c r="BA1168" s="175"/>
      <c r="BB1168" s="42"/>
      <c r="BC1168" s="431"/>
      <c r="BG1168" s="315"/>
      <c r="BH1168" s="42"/>
    </row>
    <row r="1169" spans="51:60" x14ac:dyDescent="0.2">
      <c r="AY1169" s="315"/>
      <c r="AZ1169" s="326"/>
      <c r="BA1169" s="175"/>
      <c r="BB1169" s="42"/>
      <c r="BC1169" s="431"/>
      <c r="BG1169" s="315"/>
      <c r="BH1169" s="42"/>
    </row>
    <row r="1170" spans="51:60" x14ac:dyDescent="0.2">
      <c r="AY1170" s="315"/>
      <c r="AZ1170" s="326"/>
      <c r="BA1170" s="175"/>
      <c r="BB1170" s="42"/>
      <c r="BC1170" s="431"/>
      <c r="BG1170" s="315"/>
      <c r="BH1170" s="42"/>
    </row>
    <row r="1171" spans="51:60" x14ac:dyDescent="0.2">
      <c r="AY1171" s="315"/>
      <c r="AZ1171" s="326"/>
      <c r="BA1171" s="175"/>
      <c r="BB1171" s="42"/>
      <c r="BC1171" s="431"/>
      <c r="BG1171" s="315"/>
      <c r="BH1171" s="42"/>
    </row>
    <row r="1172" spans="51:60" x14ac:dyDescent="0.2">
      <c r="AY1172" s="315"/>
      <c r="AZ1172" s="326"/>
      <c r="BA1172" s="175"/>
      <c r="BB1172" s="42"/>
      <c r="BC1172" s="431"/>
      <c r="BG1172" s="315"/>
      <c r="BH1172" s="42"/>
    </row>
    <row r="1173" spans="51:60" x14ac:dyDescent="0.2">
      <c r="AY1173" s="315"/>
      <c r="AZ1173" s="326"/>
      <c r="BA1173" s="175"/>
      <c r="BB1173" s="42"/>
      <c r="BC1173" s="431"/>
      <c r="BG1173" s="315"/>
      <c r="BH1173" s="42"/>
    </row>
    <row r="1174" spans="51:60" x14ac:dyDescent="0.2">
      <c r="AY1174" s="315"/>
      <c r="AZ1174" s="326"/>
      <c r="BA1174" s="175"/>
      <c r="BB1174" s="42"/>
      <c r="BC1174" s="431"/>
      <c r="BG1174" s="315"/>
      <c r="BH1174" s="42"/>
    </row>
    <row r="1175" spans="51:60" x14ac:dyDescent="0.2">
      <c r="AY1175" s="315"/>
      <c r="AZ1175" s="326"/>
      <c r="BA1175" s="175"/>
      <c r="BB1175" s="42"/>
      <c r="BC1175" s="431"/>
      <c r="BG1175" s="315"/>
      <c r="BH1175" s="42"/>
    </row>
    <row r="1176" spans="51:60" x14ac:dyDescent="0.2">
      <c r="AY1176" s="315"/>
      <c r="AZ1176" s="326"/>
      <c r="BA1176" s="175"/>
      <c r="BB1176" s="42"/>
      <c r="BC1176" s="431"/>
      <c r="BG1176" s="315"/>
      <c r="BH1176" s="42"/>
    </row>
    <row r="1177" spans="51:60" x14ac:dyDescent="0.2">
      <c r="AY1177" s="315"/>
      <c r="AZ1177" s="326"/>
      <c r="BA1177" s="175"/>
      <c r="BB1177" s="42"/>
      <c r="BC1177" s="431"/>
      <c r="BG1177" s="315"/>
      <c r="BH1177" s="42"/>
    </row>
    <row r="1178" spans="51:60" x14ac:dyDescent="0.2">
      <c r="AY1178" s="315"/>
      <c r="AZ1178" s="326"/>
      <c r="BA1178" s="175"/>
      <c r="BB1178" s="42"/>
      <c r="BC1178" s="431"/>
      <c r="BG1178" s="315"/>
      <c r="BH1178" s="42"/>
    </row>
    <row r="1179" spans="51:60" x14ac:dyDescent="0.2">
      <c r="AY1179" s="315"/>
      <c r="AZ1179" s="326"/>
      <c r="BA1179" s="175"/>
      <c r="BB1179" s="42"/>
      <c r="BC1179" s="431"/>
      <c r="BG1179" s="315"/>
      <c r="BH1179" s="42"/>
    </row>
    <row r="1180" spans="51:60" x14ac:dyDescent="0.2">
      <c r="AY1180" s="315"/>
      <c r="AZ1180" s="326"/>
      <c r="BA1180" s="175"/>
      <c r="BB1180" s="42"/>
      <c r="BC1180" s="431"/>
      <c r="BG1180" s="315"/>
      <c r="BH1180" s="42"/>
    </row>
    <row r="1181" spans="51:60" x14ac:dyDescent="0.2">
      <c r="AY1181" s="315"/>
      <c r="AZ1181" s="326"/>
      <c r="BA1181" s="175"/>
      <c r="BB1181" s="42"/>
      <c r="BC1181" s="431"/>
      <c r="BG1181" s="315"/>
      <c r="BH1181" s="42"/>
    </row>
    <row r="1182" spans="51:60" x14ac:dyDescent="0.2">
      <c r="AY1182" s="315"/>
      <c r="AZ1182" s="326"/>
      <c r="BA1182" s="175"/>
      <c r="BB1182" s="42"/>
      <c r="BC1182" s="431"/>
      <c r="BG1182" s="315"/>
      <c r="BH1182" s="42"/>
    </row>
    <row r="1183" spans="51:60" x14ac:dyDescent="0.2">
      <c r="AY1183" s="315"/>
      <c r="AZ1183" s="326"/>
      <c r="BA1183" s="175"/>
      <c r="BB1183" s="42"/>
      <c r="BC1183" s="431"/>
      <c r="BG1183" s="315"/>
      <c r="BH1183" s="42"/>
    </row>
    <row r="1184" spans="51:60" x14ac:dyDescent="0.2">
      <c r="AY1184" s="315"/>
      <c r="AZ1184" s="326"/>
      <c r="BA1184" s="175"/>
      <c r="BB1184" s="42"/>
      <c r="BC1184" s="431"/>
      <c r="BG1184" s="315"/>
      <c r="BH1184" s="42"/>
    </row>
    <row r="1185" spans="51:60" x14ac:dyDescent="0.2">
      <c r="AY1185" s="315"/>
      <c r="AZ1185" s="326"/>
      <c r="BA1185" s="175"/>
      <c r="BB1185" s="42"/>
      <c r="BC1185" s="431"/>
      <c r="BG1185" s="315"/>
      <c r="BH1185" s="42"/>
    </row>
    <row r="1186" spans="51:60" x14ac:dyDescent="0.2">
      <c r="AY1186" s="315"/>
      <c r="AZ1186" s="326"/>
      <c r="BA1186" s="175"/>
      <c r="BB1186" s="42"/>
      <c r="BC1186" s="431"/>
      <c r="BG1186" s="315"/>
      <c r="BH1186" s="42"/>
    </row>
    <row r="1187" spans="51:60" x14ac:dyDescent="0.2">
      <c r="AY1187" s="315"/>
      <c r="AZ1187" s="326"/>
      <c r="BA1187" s="175"/>
      <c r="BB1187" s="42"/>
      <c r="BC1187" s="431"/>
      <c r="BG1187" s="315"/>
      <c r="BH1187" s="42"/>
    </row>
    <row r="1188" spans="51:60" x14ac:dyDescent="0.2">
      <c r="AY1188" s="315"/>
      <c r="AZ1188" s="326"/>
      <c r="BA1188" s="175"/>
      <c r="BB1188" s="42"/>
      <c r="BC1188" s="431"/>
      <c r="BG1188" s="315"/>
      <c r="BH1188" s="42"/>
    </row>
    <row r="1189" spans="51:60" x14ac:dyDescent="0.2">
      <c r="AY1189" s="315"/>
      <c r="AZ1189" s="326"/>
      <c r="BA1189" s="175"/>
      <c r="BB1189" s="42"/>
      <c r="BC1189" s="431"/>
      <c r="BG1189" s="315"/>
      <c r="BH1189" s="42"/>
    </row>
    <row r="1190" spans="51:60" x14ac:dyDescent="0.2">
      <c r="AY1190" s="315"/>
      <c r="AZ1190" s="326"/>
      <c r="BA1190" s="175"/>
      <c r="BB1190" s="42"/>
      <c r="BC1190" s="431"/>
      <c r="BG1190" s="315"/>
      <c r="BH1190" s="42"/>
    </row>
    <row r="1191" spans="51:60" x14ac:dyDescent="0.2">
      <c r="AY1191" s="315"/>
      <c r="AZ1191" s="326"/>
      <c r="BA1191" s="175"/>
      <c r="BB1191" s="42"/>
      <c r="BC1191" s="431"/>
      <c r="BG1191" s="315"/>
      <c r="BH1191" s="42"/>
    </row>
    <row r="1192" spans="51:60" x14ac:dyDescent="0.2">
      <c r="AY1192" s="315"/>
      <c r="AZ1192" s="326"/>
      <c r="BA1192" s="175"/>
      <c r="BB1192" s="42"/>
      <c r="BC1192" s="431"/>
      <c r="BG1192" s="315"/>
      <c r="BH1192" s="42"/>
    </row>
    <row r="1193" spans="51:60" x14ac:dyDescent="0.2">
      <c r="AY1193" s="315"/>
      <c r="AZ1193" s="326"/>
      <c r="BA1193" s="175"/>
      <c r="BB1193" s="42"/>
      <c r="BC1193" s="431"/>
      <c r="BG1193" s="315"/>
      <c r="BH1193" s="42"/>
    </row>
    <row r="1194" spans="51:60" x14ac:dyDescent="0.2">
      <c r="AY1194" s="315"/>
      <c r="AZ1194" s="326"/>
      <c r="BA1194" s="175"/>
      <c r="BB1194" s="42"/>
      <c r="BC1194" s="431"/>
      <c r="BG1194" s="315"/>
      <c r="BH1194" s="42"/>
    </row>
    <row r="1195" spans="51:60" x14ac:dyDescent="0.2">
      <c r="AY1195" s="315"/>
      <c r="AZ1195" s="326"/>
      <c r="BA1195" s="175"/>
      <c r="BB1195" s="42"/>
      <c r="BC1195" s="431"/>
      <c r="BG1195" s="315"/>
      <c r="BH1195" s="42"/>
    </row>
    <row r="1196" spans="51:60" x14ac:dyDescent="0.2">
      <c r="AY1196" s="315"/>
      <c r="AZ1196" s="326"/>
      <c r="BA1196" s="175"/>
      <c r="BB1196" s="42"/>
      <c r="BC1196" s="431"/>
      <c r="BG1196" s="315"/>
      <c r="BH1196" s="42"/>
    </row>
    <row r="1197" spans="51:60" x14ac:dyDescent="0.2">
      <c r="AY1197" s="315"/>
      <c r="AZ1197" s="326"/>
      <c r="BA1197" s="175"/>
      <c r="BB1197" s="42"/>
      <c r="BC1197" s="431"/>
      <c r="BG1197" s="315"/>
      <c r="BH1197" s="42"/>
    </row>
    <row r="1198" spans="51:60" x14ac:dyDescent="0.2">
      <c r="AY1198" s="315"/>
      <c r="AZ1198" s="326"/>
      <c r="BA1198" s="175"/>
      <c r="BB1198" s="42"/>
      <c r="BC1198" s="431"/>
      <c r="BG1198" s="315"/>
      <c r="BH1198" s="42"/>
    </row>
    <row r="1199" spans="51:60" x14ac:dyDescent="0.2">
      <c r="AY1199" s="315"/>
      <c r="AZ1199" s="326"/>
      <c r="BA1199" s="175"/>
      <c r="BB1199" s="42"/>
      <c r="BC1199" s="431"/>
      <c r="BG1199" s="315"/>
      <c r="BH1199" s="42"/>
    </row>
    <row r="1200" spans="51:60" x14ac:dyDescent="0.2">
      <c r="AY1200" s="315"/>
      <c r="AZ1200" s="326"/>
      <c r="BA1200" s="175"/>
      <c r="BB1200" s="42"/>
      <c r="BC1200" s="431"/>
      <c r="BG1200" s="315"/>
      <c r="BH1200" s="42"/>
    </row>
    <row r="1201" spans="51:60" x14ac:dyDescent="0.2">
      <c r="AY1201" s="315"/>
      <c r="AZ1201" s="326"/>
      <c r="BA1201" s="175"/>
      <c r="BB1201" s="42"/>
      <c r="BC1201" s="431"/>
      <c r="BG1201" s="315"/>
      <c r="BH1201" s="42"/>
    </row>
    <row r="1202" spans="51:60" x14ac:dyDescent="0.2">
      <c r="AY1202" s="315"/>
      <c r="AZ1202" s="326"/>
      <c r="BA1202" s="175"/>
      <c r="BB1202" s="42"/>
      <c r="BC1202" s="431"/>
      <c r="BG1202" s="315"/>
      <c r="BH1202" s="42"/>
    </row>
    <row r="1203" spans="51:60" x14ac:dyDescent="0.2">
      <c r="AY1203" s="315"/>
      <c r="AZ1203" s="326"/>
      <c r="BA1203" s="175"/>
      <c r="BB1203" s="42"/>
      <c r="BC1203" s="431"/>
      <c r="BG1203" s="315"/>
      <c r="BH1203" s="42"/>
    </row>
    <row r="1204" spans="51:60" x14ac:dyDescent="0.2">
      <c r="AY1204" s="315"/>
      <c r="AZ1204" s="326"/>
      <c r="BA1204" s="175"/>
      <c r="BB1204" s="42"/>
      <c r="BC1204" s="431"/>
      <c r="BG1204" s="315"/>
      <c r="BH1204" s="42"/>
    </row>
    <row r="1205" spans="51:60" x14ac:dyDescent="0.2">
      <c r="AY1205" s="315"/>
      <c r="AZ1205" s="326"/>
      <c r="BA1205" s="175"/>
      <c r="BB1205" s="42"/>
      <c r="BC1205" s="431"/>
      <c r="BG1205" s="315"/>
      <c r="BH1205" s="42"/>
    </row>
    <row r="1206" spans="51:60" x14ac:dyDescent="0.2">
      <c r="AY1206" s="315"/>
      <c r="AZ1206" s="326"/>
      <c r="BA1206" s="175"/>
      <c r="BB1206" s="42"/>
      <c r="BC1206" s="431"/>
      <c r="BG1206" s="315"/>
      <c r="BH1206" s="42"/>
    </row>
    <row r="1207" spans="51:60" x14ac:dyDescent="0.2">
      <c r="AY1207" s="315"/>
      <c r="AZ1207" s="326"/>
      <c r="BA1207" s="175"/>
      <c r="BB1207" s="42"/>
      <c r="BC1207" s="431"/>
      <c r="BG1207" s="315"/>
      <c r="BH1207" s="42"/>
    </row>
    <row r="1208" spans="51:60" x14ac:dyDescent="0.2">
      <c r="AY1208" s="315"/>
      <c r="AZ1208" s="326"/>
      <c r="BA1208" s="175"/>
      <c r="BB1208" s="42"/>
      <c r="BC1208" s="431"/>
      <c r="BG1208" s="315"/>
      <c r="BH1208" s="42"/>
    </row>
    <row r="1209" spans="51:60" x14ac:dyDescent="0.2">
      <c r="AY1209" s="315"/>
      <c r="AZ1209" s="326"/>
      <c r="BA1209" s="175"/>
      <c r="BB1209" s="42"/>
      <c r="BC1209" s="431"/>
      <c r="BG1209" s="315"/>
      <c r="BH1209" s="42"/>
    </row>
    <row r="1210" spans="51:60" x14ac:dyDescent="0.2">
      <c r="AY1210" s="315"/>
      <c r="AZ1210" s="326"/>
      <c r="BA1210" s="175"/>
      <c r="BB1210" s="42"/>
      <c r="BC1210" s="431"/>
      <c r="BG1210" s="315"/>
      <c r="BH1210" s="42"/>
    </row>
    <row r="1211" spans="51:60" x14ac:dyDescent="0.2">
      <c r="AY1211" s="315"/>
      <c r="AZ1211" s="326"/>
      <c r="BA1211" s="175"/>
      <c r="BB1211" s="42"/>
      <c r="BC1211" s="431"/>
      <c r="BG1211" s="315"/>
      <c r="BH1211" s="42"/>
    </row>
    <row r="1212" spans="51:60" x14ac:dyDescent="0.2">
      <c r="AY1212" s="315"/>
      <c r="AZ1212" s="326"/>
      <c r="BA1212" s="175"/>
      <c r="BB1212" s="42"/>
      <c r="BC1212" s="431"/>
      <c r="BG1212" s="315"/>
      <c r="BH1212" s="42"/>
    </row>
    <row r="1213" spans="51:60" x14ac:dyDescent="0.2">
      <c r="AY1213" s="315"/>
      <c r="AZ1213" s="326"/>
      <c r="BA1213" s="175"/>
      <c r="BB1213" s="42"/>
      <c r="BC1213" s="431"/>
      <c r="BG1213" s="315"/>
      <c r="BH1213" s="42"/>
    </row>
    <row r="1214" spans="51:60" x14ac:dyDescent="0.2">
      <c r="AY1214" s="315"/>
      <c r="AZ1214" s="326"/>
      <c r="BA1214" s="175"/>
      <c r="BB1214" s="42"/>
      <c r="BC1214" s="431"/>
      <c r="BG1214" s="315"/>
      <c r="BH1214" s="42"/>
    </row>
    <row r="1215" spans="51:60" x14ac:dyDescent="0.2">
      <c r="AY1215" s="315"/>
      <c r="AZ1215" s="326"/>
      <c r="BA1215" s="175"/>
      <c r="BB1215" s="42"/>
      <c r="BC1215" s="431"/>
      <c r="BG1215" s="315"/>
      <c r="BH1215" s="42"/>
    </row>
    <row r="1216" spans="51:60" x14ac:dyDescent="0.2">
      <c r="AY1216" s="315"/>
      <c r="AZ1216" s="326"/>
      <c r="BA1216" s="175"/>
      <c r="BB1216" s="42"/>
      <c r="BC1216" s="431"/>
      <c r="BG1216" s="315"/>
      <c r="BH1216" s="42"/>
    </row>
    <row r="1217" spans="51:60" x14ac:dyDescent="0.2">
      <c r="AY1217" s="315"/>
      <c r="AZ1217" s="326"/>
      <c r="BA1217" s="175"/>
      <c r="BB1217" s="42"/>
      <c r="BC1217" s="431"/>
      <c r="BG1217" s="315"/>
      <c r="BH1217" s="42"/>
    </row>
    <row r="1218" spans="51:60" x14ac:dyDescent="0.2">
      <c r="AY1218" s="315"/>
      <c r="AZ1218" s="326"/>
      <c r="BA1218" s="175"/>
      <c r="BB1218" s="42"/>
      <c r="BC1218" s="431"/>
      <c r="BG1218" s="315"/>
      <c r="BH1218" s="42"/>
    </row>
    <row r="1219" spans="51:60" x14ac:dyDescent="0.2">
      <c r="AY1219" s="315"/>
      <c r="AZ1219" s="326"/>
      <c r="BA1219" s="175"/>
      <c r="BB1219" s="42"/>
      <c r="BC1219" s="431"/>
      <c r="BG1219" s="315"/>
      <c r="BH1219" s="42"/>
    </row>
    <row r="1220" spans="51:60" x14ac:dyDescent="0.2">
      <c r="AY1220" s="315"/>
      <c r="AZ1220" s="326"/>
      <c r="BA1220" s="175"/>
      <c r="BB1220" s="42"/>
      <c r="BC1220" s="431"/>
      <c r="BG1220" s="315"/>
      <c r="BH1220" s="42"/>
    </row>
    <row r="1221" spans="51:60" x14ac:dyDescent="0.2">
      <c r="AY1221" s="315"/>
      <c r="AZ1221" s="326"/>
      <c r="BA1221" s="175"/>
      <c r="BB1221" s="42"/>
      <c r="BC1221" s="431"/>
      <c r="BG1221" s="315"/>
      <c r="BH1221" s="42"/>
    </row>
    <row r="1222" spans="51:60" x14ac:dyDescent="0.2">
      <c r="AY1222" s="315"/>
      <c r="AZ1222" s="326"/>
      <c r="BA1222" s="175"/>
      <c r="BB1222" s="42"/>
      <c r="BC1222" s="431"/>
      <c r="BG1222" s="315"/>
      <c r="BH1222" s="42"/>
    </row>
    <row r="1223" spans="51:60" x14ac:dyDescent="0.2">
      <c r="AY1223" s="315"/>
      <c r="AZ1223" s="326"/>
      <c r="BA1223" s="175"/>
      <c r="BB1223" s="42"/>
      <c r="BC1223" s="431"/>
      <c r="BG1223" s="315"/>
      <c r="BH1223" s="42"/>
    </row>
    <row r="1224" spans="51:60" x14ac:dyDescent="0.2">
      <c r="AY1224" s="315"/>
      <c r="AZ1224" s="326"/>
      <c r="BA1224" s="175"/>
      <c r="BB1224" s="42"/>
      <c r="BC1224" s="431"/>
      <c r="BG1224" s="315"/>
      <c r="BH1224" s="42"/>
    </row>
    <row r="1225" spans="51:60" x14ac:dyDescent="0.2">
      <c r="AY1225" s="315"/>
      <c r="AZ1225" s="326"/>
      <c r="BA1225" s="175"/>
      <c r="BB1225" s="42"/>
      <c r="BC1225" s="431"/>
      <c r="BG1225" s="315"/>
      <c r="BH1225" s="42"/>
    </row>
    <row r="1226" spans="51:60" x14ac:dyDescent="0.2">
      <c r="AY1226" s="315"/>
      <c r="AZ1226" s="326"/>
      <c r="BA1226" s="175"/>
      <c r="BB1226" s="42"/>
      <c r="BC1226" s="431"/>
      <c r="BG1226" s="315"/>
      <c r="BH1226" s="42"/>
    </row>
    <row r="1227" spans="51:60" x14ac:dyDescent="0.2">
      <c r="AY1227" s="315"/>
      <c r="AZ1227" s="326"/>
      <c r="BA1227" s="175"/>
      <c r="BB1227" s="42"/>
      <c r="BC1227" s="431"/>
      <c r="BG1227" s="315"/>
      <c r="BH1227" s="42"/>
    </row>
    <row r="1228" spans="51:60" x14ac:dyDescent="0.2">
      <c r="AY1228" s="315"/>
      <c r="AZ1228" s="326"/>
      <c r="BA1228" s="175"/>
      <c r="BB1228" s="42"/>
      <c r="BC1228" s="431"/>
      <c r="BG1228" s="315"/>
      <c r="BH1228" s="42"/>
    </row>
    <row r="1229" spans="51:60" x14ac:dyDescent="0.2">
      <c r="AY1229" s="315"/>
      <c r="AZ1229" s="326"/>
      <c r="BA1229" s="175"/>
      <c r="BB1229" s="42"/>
      <c r="BC1229" s="431"/>
      <c r="BG1229" s="315"/>
      <c r="BH1229" s="42"/>
    </row>
    <row r="1230" spans="51:60" x14ac:dyDescent="0.2">
      <c r="AY1230" s="315"/>
      <c r="AZ1230" s="326"/>
      <c r="BA1230" s="175"/>
      <c r="BB1230" s="42"/>
      <c r="BC1230" s="431"/>
      <c r="BG1230" s="315"/>
      <c r="BH1230" s="42"/>
    </row>
    <row r="1231" spans="51:60" x14ac:dyDescent="0.2">
      <c r="AY1231" s="315"/>
      <c r="AZ1231" s="326"/>
      <c r="BA1231" s="175"/>
      <c r="BB1231" s="42"/>
      <c r="BC1231" s="431"/>
      <c r="BG1231" s="315"/>
      <c r="BH1231" s="42"/>
    </row>
    <row r="1232" spans="51:60" x14ac:dyDescent="0.2">
      <c r="AY1232" s="315"/>
      <c r="AZ1232" s="326"/>
      <c r="BA1232" s="175"/>
      <c r="BB1232" s="42"/>
      <c r="BC1232" s="431"/>
      <c r="BG1232" s="315"/>
      <c r="BH1232" s="42"/>
    </row>
    <row r="1233" spans="51:60" x14ac:dyDescent="0.2">
      <c r="AY1233" s="315"/>
      <c r="AZ1233" s="326"/>
      <c r="BA1233" s="175"/>
      <c r="BB1233" s="42"/>
      <c r="BC1233" s="431"/>
      <c r="BG1233" s="315"/>
      <c r="BH1233" s="42"/>
    </row>
    <row r="1234" spans="51:60" x14ac:dyDescent="0.2">
      <c r="AY1234" s="315"/>
      <c r="AZ1234" s="326"/>
      <c r="BA1234" s="175"/>
      <c r="BB1234" s="42"/>
      <c r="BC1234" s="431"/>
      <c r="BG1234" s="315"/>
      <c r="BH1234" s="42"/>
    </row>
    <row r="1235" spans="51:60" x14ac:dyDescent="0.2">
      <c r="AY1235" s="315"/>
      <c r="AZ1235" s="326"/>
      <c r="BA1235" s="175"/>
      <c r="BB1235" s="42"/>
      <c r="BC1235" s="431"/>
      <c r="BG1235" s="315"/>
      <c r="BH1235" s="42"/>
    </row>
    <row r="1236" spans="51:60" x14ac:dyDescent="0.2">
      <c r="AY1236" s="315"/>
      <c r="AZ1236" s="326"/>
      <c r="BA1236" s="175"/>
      <c r="BB1236" s="42"/>
      <c r="BC1236" s="431"/>
      <c r="BG1236" s="315"/>
      <c r="BH1236" s="42"/>
    </row>
    <row r="1237" spans="51:60" x14ac:dyDescent="0.2">
      <c r="AY1237" s="315"/>
      <c r="AZ1237" s="326"/>
      <c r="BA1237" s="175"/>
      <c r="BB1237" s="42"/>
      <c r="BC1237" s="431"/>
      <c r="BG1237" s="315"/>
      <c r="BH1237" s="42"/>
    </row>
    <row r="1238" spans="51:60" x14ac:dyDescent="0.2">
      <c r="AY1238" s="315"/>
      <c r="AZ1238" s="326"/>
      <c r="BA1238" s="175"/>
      <c r="BB1238" s="42"/>
      <c r="BC1238" s="431"/>
      <c r="BG1238" s="315"/>
      <c r="BH1238" s="42"/>
    </row>
    <row r="1239" spans="51:60" x14ac:dyDescent="0.2">
      <c r="AY1239" s="315"/>
      <c r="AZ1239" s="326"/>
      <c r="BA1239" s="175"/>
      <c r="BB1239" s="42"/>
      <c r="BC1239" s="431"/>
      <c r="BG1239" s="315"/>
      <c r="BH1239" s="42"/>
    </row>
    <row r="1240" spans="51:60" x14ac:dyDescent="0.2">
      <c r="AY1240" s="315"/>
      <c r="AZ1240" s="326"/>
      <c r="BA1240" s="175"/>
      <c r="BB1240" s="42"/>
      <c r="BC1240" s="431"/>
      <c r="BG1240" s="315"/>
      <c r="BH1240" s="42"/>
    </row>
    <row r="1241" spans="51:60" x14ac:dyDescent="0.2">
      <c r="AY1241" s="315"/>
      <c r="AZ1241" s="326"/>
      <c r="BA1241" s="175"/>
      <c r="BB1241" s="42"/>
      <c r="BC1241" s="431"/>
      <c r="BG1241" s="315"/>
      <c r="BH1241" s="42"/>
    </row>
    <row r="1242" spans="51:60" x14ac:dyDescent="0.2">
      <c r="AY1242" s="315"/>
      <c r="AZ1242" s="326"/>
      <c r="BA1242" s="175"/>
      <c r="BB1242" s="42"/>
      <c r="BC1242" s="431"/>
      <c r="BG1242" s="315"/>
      <c r="BH1242" s="42"/>
    </row>
    <row r="1243" spans="51:60" x14ac:dyDescent="0.2">
      <c r="AY1243" s="315"/>
      <c r="AZ1243" s="326"/>
      <c r="BA1243" s="175"/>
      <c r="BB1243" s="42"/>
      <c r="BC1243" s="431"/>
      <c r="BG1243" s="315"/>
      <c r="BH1243" s="42"/>
    </row>
    <row r="1244" spans="51:60" x14ac:dyDescent="0.2">
      <c r="AY1244" s="315"/>
      <c r="AZ1244" s="326"/>
      <c r="BA1244" s="175"/>
      <c r="BB1244" s="42"/>
      <c r="BC1244" s="431"/>
      <c r="BG1244" s="315"/>
      <c r="BH1244" s="42"/>
    </row>
    <row r="1245" spans="51:60" x14ac:dyDescent="0.2">
      <c r="AY1245" s="315"/>
      <c r="AZ1245" s="326"/>
      <c r="BA1245" s="175"/>
      <c r="BB1245" s="42"/>
      <c r="BC1245" s="431"/>
      <c r="BG1245" s="315"/>
      <c r="BH1245" s="42"/>
    </row>
    <row r="1246" spans="51:60" x14ac:dyDescent="0.2">
      <c r="AY1246" s="315"/>
      <c r="AZ1246" s="326"/>
      <c r="BA1246" s="175"/>
      <c r="BB1246" s="42"/>
      <c r="BC1246" s="431"/>
      <c r="BG1246" s="315"/>
      <c r="BH1246" s="42"/>
    </row>
    <row r="1247" spans="51:60" x14ac:dyDescent="0.2">
      <c r="AY1247" s="315"/>
      <c r="AZ1247" s="326"/>
      <c r="BA1247" s="175"/>
      <c r="BB1247" s="42"/>
      <c r="BC1247" s="431"/>
      <c r="BG1247" s="315"/>
      <c r="BH1247" s="42"/>
    </row>
    <row r="1248" spans="51:60" x14ac:dyDescent="0.2">
      <c r="AY1248" s="315"/>
      <c r="AZ1248" s="326"/>
      <c r="BA1248" s="175"/>
      <c r="BB1248" s="42"/>
      <c r="BC1248" s="431"/>
      <c r="BG1248" s="315"/>
      <c r="BH1248" s="42"/>
    </row>
    <row r="1249" spans="51:60" x14ac:dyDescent="0.2">
      <c r="AY1249" s="315"/>
      <c r="AZ1249" s="326"/>
      <c r="BA1249" s="175"/>
      <c r="BB1249" s="42"/>
      <c r="BC1249" s="431"/>
      <c r="BG1249" s="315"/>
      <c r="BH1249" s="42"/>
    </row>
    <row r="1250" spans="51:60" x14ac:dyDescent="0.2">
      <c r="AY1250" s="315"/>
      <c r="AZ1250" s="326"/>
      <c r="BA1250" s="175"/>
      <c r="BB1250" s="42"/>
      <c r="BC1250" s="431"/>
      <c r="BG1250" s="315"/>
      <c r="BH1250" s="42"/>
    </row>
    <row r="1251" spans="51:60" x14ac:dyDescent="0.2">
      <c r="AY1251" s="315"/>
      <c r="AZ1251" s="326"/>
      <c r="BA1251" s="175"/>
      <c r="BB1251" s="42"/>
      <c r="BC1251" s="431"/>
      <c r="BG1251" s="315"/>
      <c r="BH1251" s="42"/>
    </row>
    <row r="1252" spans="51:60" x14ac:dyDescent="0.2">
      <c r="AY1252" s="315"/>
      <c r="AZ1252" s="326"/>
      <c r="BA1252" s="175"/>
      <c r="BB1252" s="42"/>
      <c r="BC1252" s="431"/>
      <c r="BG1252" s="315"/>
      <c r="BH1252" s="42"/>
    </row>
    <row r="1253" spans="51:60" x14ac:dyDescent="0.2">
      <c r="AY1253" s="315"/>
      <c r="AZ1253" s="326"/>
      <c r="BA1253" s="175"/>
      <c r="BB1253" s="42"/>
      <c r="BC1253" s="431"/>
      <c r="BG1253" s="315"/>
      <c r="BH1253" s="42"/>
    </row>
    <row r="1254" spans="51:60" x14ac:dyDescent="0.2">
      <c r="AY1254" s="315"/>
      <c r="AZ1254" s="326"/>
      <c r="BA1254" s="175"/>
      <c r="BB1254" s="42"/>
      <c r="BC1254" s="431"/>
      <c r="BG1254" s="315"/>
      <c r="BH1254" s="42"/>
    </row>
    <row r="1255" spans="51:60" x14ac:dyDescent="0.2">
      <c r="AY1255" s="315"/>
      <c r="AZ1255" s="326"/>
      <c r="BA1255" s="175"/>
      <c r="BB1255" s="42"/>
      <c r="BC1255" s="431"/>
      <c r="BG1255" s="315"/>
      <c r="BH1255" s="42"/>
    </row>
    <row r="1256" spans="51:60" x14ac:dyDescent="0.2">
      <c r="AY1256" s="315"/>
      <c r="AZ1256" s="326"/>
      <c r="BA1256" s="175"/>
      <c r="BB1256" s="42"/>
      <c r="BC1256" s="431"/>
      <c r="BG1256" s="315"/>
      <c r="BH1256" s="42"/>
    </row>
    <row r="1257" spans="51:60" x14ac:dyDescent="0.2">
      <c r="AY1257" s="315"/>
      <c r="AZ1257" s="326"/>
      <c r="BA1257" s="175"/>
      <c r="BB1257" s="42"/>
      <c r="BC1257" s="431"/>
      <c r="BG1257" s="315"/>
      <c r="BH1257" s="42"/>
    </row>
    <row r="1258" spans="51:60" x14ac:dyDescent="0.2">
      <c r="AY1258" s="315"/>
      <c r="AZ1258" s="326"/>
      <c r="BA1258" s="175"/>
      <c r="BB1258" s="42"/>
      <c r="BC1258" s="431"/>
      <c r="BG1258" s="315"/>
      <c r="BH1258" s="42"/>
    </row>
    <row r="1259" spans="51:60" x14ac:dyDescent="0.2">
      <c r="AY1259" s="315"/>
      <c r="AZ1259" s="326"/>
      <c r="BA1259" s="175"/>
      <c r="BB1259" s="42"/>
      <c r="BC1259" s="431"/>
      <c r="BG1259" s="315"/>
      <c r="BH1259" s="42"/>
    </row>
    <row r="1260" spans="51:60" x14ac:dyDescent="0.2">
      <c r="AY1260" s="315"/>
      <c r="AZ1260" s="326"/>
      <c r="BA1260" s="175"/>
      <c r="BB1260" s="42"/>
      <c r="BC1260" s="431"/>
      <c r="BG1260" s="315"/>
      <c r="BH1260" s="42"/>
    </row>
    <row r="1261" spans="51:60" x14ac:dyDescent="0.2">
      <c r="AY1261" s="315"/>
      <c r="AZ1261" s="326"/>
      <c r="BA1261" s="175"/>
      <c r="BB1261" s="42"/>
      <c r="BC1261" s="431"/>
      <c r="BG1261" s="315"/>
      <c r="BH1261" s="42"/>
    </row>
    <row r="1262" spans="51:60" x14ac:dyDescent="0.2">
      <c r="AY1262" s="315"/>
      <c r="AZ1262" s="326"/>
      <c r="BA1262" s="175"/>
      <c r="BB1262" s="42"/>
      <c r="BC1262" s="431"/>
      <c r="BG1262" s="315"/>
      <c r="BH1262" s="42"/>
    </row>
    <row r="1263" spans="51:60" x14ac:dyDescent="0.2">
      <c r="AY1263" s="315"/>
      <c r="AZ1263" s="326"/>
      <c r="BA1263" s="175"/>
      <c r="BB1263" s="42"/>
      <c r="BC1263" s="431"/>
      <c r="BG1263" s="315"/>
      <c r="BH1263" s="42"/>
    </row>
    <row r="1264" spans="51:60" x14ac:dyDescent="0.2">
      <c r="AY1264" s="315"/>
      <c r="AZ1264" s="326"/>
      <c r="BA1264" s="175"/>
      <c r="BB1264" s="42"/>
      <c r="BC1264" s="431"/>
      <c r="BG1264" s="315"/>
      <c r="BH1264" s="42"/>
    </row>
    <row r="1265" spans="51:60" x14ac:dyDescent="0.2">
      <c r="AY1265" s="315"/>
      <c r="AZ1265" s="326"/>
      <c r="BA1265" s="175"/>
      <c r="BB1265" s="42"/>
      <c r="BC1265" s="431"/>
      <c r="BG1265" s="315"/>
      <c r="BH1265" s="42"/>
    </row>
    <row r="1266" spans="51:60" x14ac:dyDescent="0.2">
      <c r="AY1266" s="315"/>
      <c r="AZ1266" s="326"/>
      <c r="BA1266" s="175"/>
      <c r="BB1266" s="42"/>
      <c r="BC1266" s="431"/>
      <c r="BG1266" s="315"/>
      <c r="BH1266" s="42"/>
    </row>
    <row r="1267" spans="51:60" x14ac:dyDescent="0.2">
      <c r="AY1267" s="315"/>
      <c r="AZ1267" s="326"/>
      <c r="BA1267" s="175"/>
      <c r="BB1267" s="42"/>
      <c r="BC1267" s="431"/>
      <c r="BG1267" s="315"/>
      <c r="BH1267" s="42"/>
    </row>
    <row r="1268" spans="51:60" x14ac:dyDescent="0.2">
      <c r="AY1268" s="315"/>
      <c r="AZ1268" s="326"/>
      <c r="BA1268" s="175"/>
      <c r="BB1268" s="42"/>
      <c r="BC1268" s="431"/>
      <c r="BG1268" s="315"/>
      <c r="BH1268" s="42"/>
    </row>
    <row r="1269" spans="51:60" x14ac:dyDescent="0.2">
      <c r="AY1269" s="315"/>
      <c r="AZ1269" s="326"/>
      <c r="BA1269" s="175"/>
      <c r="BB1269" s="42"/>
      <c r="BC1269" s="431"/>
      <c r="BG1269" s="315"/>
      <c r="BH1269" s="42"/>
    </row>
    <row r="1270" spans="51:60" x14ac:dyDescent="0.2">
      <c r="AY1270" s="315"/>
      <c r="AZ1270" s="326"/>
      <c r="BA1270" s="175"/>
      <c r="BB1270" s="42"/>
      <c r="BC1270" s="431"/>
      <c r="BG1270" s="315"/>
      <c r="BH1270" s="42"/>
    </row>
    <row r="1271" spans="51:60" x14ac:dyDescent="0.2">
      <c r="AY1271" s="315"/>
      <c r="AZ1271" s="326"/>
      <c r="BA1271" s="175"/>
      <c r="BB1271" s="42"/>
      <c r="BC1271" s="431"/>
      <c r="BG1271" s="315"/>
      <c r="BH1271" s="42"/>
    </row>
    <row r="1272" spans="51:60" x14ac:dyDescent="0.2">
      <c r="AY1272" s="315"/>
      <c r="AZ1272" s="326"/>
      <c r="BA1272" s="175"/>
      <c r="BB1272" s="42"/>
      <c r="BC1272" s="431"/>
      <c r="BG1272" s="315"/>
      <c r="BH1272" s="42"/>
    </row>
    <row r="1273" spans="51:60" x14ac:dyDescent="0.2">
      <c r="AY1273" s="315"/>
      <c r="AZ1273" s="326"/>
      <c r="BA1273" s="175"/>
      <c r="BB1273" s="42"/>
      <c r="BC1273" s="431"/>
      <c r="BG1273" s="315"/>
      <c r="BH1273" s="42"/>
    </row>
    <row r="1274" spans="51:60" x14ac:dyDescent="0.2">
      <c r="AY1274" s="315"/>
      <c r="AZ1274" s="326"/>
      <c r="BA1274" s="175"/>
      <c r="BB1274" s="42"/>
      <c r="BC1274" s="431"/>
      <c r="BG1274" s="315"/>
      <c r="BH1274" s="42"/>
    </row>
    <row r="1275" spans="51:60" x14ac:dyDescent="0.2">
      <c r="AY1275" s="315"/>
      <c r="AZ1275" s="326"/>
      <c r="BA1275" s="175"/>
      <c r="BB1275" s="42"/>
      <c r="BC1275" s="431"/>
      <c r="BG1275" s="315"/>
      <c r="BH1275" s="42"/>
    </row>
    <row r="1276" spans="51:60" x14ac:dyDescent="0.2">
      <c r="AY1276" s="315"/>
      <c r="AZ1276" s="326"/>
      <c r="BA1276" s="175"/>
      <c r="BB1276" s="42"/>
      <c r="BC1276" s="431"/>
      <c r="BG1276" s="315"/>
      <c r="BH1276" s="42"/>
    </row>
    <row r="1277" spans="51:60" x14ac:dyDescent="0.2">
      <c r="AY1277" s="315"/>
      <c r="AZ1277" s="326"/>
      <c r="BA1277" s="175"/>
      <c r="BB1277" s="42"/>
      <c r="BC1277" s="431"/>
      <c r="BG1277" s="315"/>
      <c r="BH1277" s="42"/>
    </row>
    <row r="1278" spans="51:60" x14ac:dyDescent="0.2">
      <c r="AY1278" s="315"/>
      <c r="AZ1278" s="326"/>
      <c r="BA1278" s="175"/>
      <c r="BB1278" s="42"/>
      <c r="BC1278" s="431"/>
      <c r="BG1278" s="315"/>
      <c r="BH1278" s="42"/>
    </row>
    <row r="1279" spans="51:60" x14ac:dyDescent="0.2">
      <c r="AY1279" s="315"/>
      <c r="AZ1279" s="326"/>
      <c r="BA1279" s="175"/>
      <c r="BB1279" s="42"/>
      <c r="BC1279" s="431"/>
      <c r="BG1279" s="315"/>
      <c r="BH1279" s="42"/>
    </row>
    <row r="1280" spans="51:60" x14ac:dyDescent="0.2">
      <c r="AY1280" s="315"/>
      <c r="AZ1280" s="326"/>
      <c r="BA1280" s="175"/>
      <c r="BB1280" s="42"/>
      <c r="BC1280" s="431"/>
      <c r="BG1280" s="315"/>
      <c r="BH1280" s="42"/>
    </row>
    <row r="1281" spans="51:60" x14ac:dyDescent="0.2">
      <c r="AY1281" s="315"/>
      <c r="AZ1281" s="326"/>
      <c r="BA1281" s="175"/>
      <c r="BB1281" s="42"/>
      <c r="BC1281" s="431"/>
      <c r="BG1281" s="315"/>
      <c r="BH1281" s="42"/>
    </row>
    <row r="1282" spans="51:60" x14ac:dyDescent="0.2">
      <c r="AY1282" s="315"/>
      <c r="AZ1282" s="326"/>
      <c r="BA1282" s="175"/>
      <c r="BB1282" s="42"/>
      <c r="BC1282" s="431"/>
      <c r="BG1282" s="315"/>
      <c r="BH1282" s="42"/>
    </row>
    <row r="1283" spans="51:60" x14ac:dyDescent="0.2">
      <c r="AY1283" s="315"/>
      <c r="AZ1283" s="326"/>
      <c r="BA1283" s="175"/>
      <c r="BB1283" s="42"/>
      <c r="BC1283" s="431"/>
      <c r="BG1283" s="315"/>
      <c r="BH1283" s="42"/>
    </row>
    <row r="1284" spans="51:60" x14ac:dyDescent="0.2">
      <c r="AY1284" s="315"/>
      <c r="AZ1284" s="326"/>
      <c r="BA1284" s="175"/>
      <c r="BB1284" s="42"/>
      <c r="BC1284" s="431"/>
      <c r="BG1284" s="315"/>
      <c r="BH1284" s="42"/>
    </row>
    <row r="1285" spans="51:60" x14ac:dyDescent="0.2">
      <c r="AY1285" s="315"/>
      <c r="AZ1285" s="326"/>
      <c r="BA1285" s="175"/>
      <c r="BB1285" s="42"/>
      <c r="BC1285" s="431"/>
      <c r="BG1285" s="315"/>
      <c r="BH1285" s="42"/>
    </row>
    <row r="1286" spans="51:60" x14ac:dyDescent="0.2">
      <c r="AY1286" s="315"/>
      <c r="AZ1286" s="326"/>
      <c r="BA1286" s="175"/>
      <c r="BB1286" s="42"/>
      <c r="BC1286" s="431"/>
      <c r="BG1286" s="315"/>
      <c r="BH1286" s="42"/>
    </row>
    <row r="1287" spans="51:60" x14ac:dyDescent="0.2">
      <c r="AY1287" s="315"/>
      <c r="AZ1287" s="326"/>
      <c r="BA1287" s="175"/>
      <c r="BB1287" s="42"/>
      <c r="BC1287" s="431"/>
      <c r="BG1287" s="315"/>
      <c r="BH1287" s="42"/>
    </row>
    <row r="1288" spans="51:60" x14ac:dyDescent="0.2">
      <c r="AY1288" s="315"/>
      <c r="AZ1288" s="326"/>
      <c r="BA1288" s="175"/>
      <c r="BB1288" s="42"/>
      <c r="BC1288" s="431"/>
      <c r="BG1288" s="315"/>
      <c r="BH1288" s="42"/>
    </row>
    <row r="1289" spans="51:60" x14ac:dyDescent="0.2">
      <c r="AY1289" s="315"/>
      <c r="AZ1289" s="326"/>
      <c r="BA1289" s="175"/>
      <c r="BB1289" s="42"/>
      <c r="BC1289" s="431"/>
      <c r="BG1289" s="315"/>
      <c r="BH1289" s="42"/>
    </row>
    <row r="1290" spans="51:60" x14ac:dyDescent="0.2">
      <c r="AY1290" s="315"/>
      <c r="AZ1290" s="326"/>
      <c r="BA1290" s="175"/>
      <c r="BB1290" s="42"/>
      <c r="BC1290" s="431"/>
      <c r="BG1290" s="315"/>
      <c r="BH1290" s="42"/>
    </row>
    <row r="1291" spans="51:60" x14ac:dyDescent="0.2">
      <c r="AY1291" s="315"/>
      <c r="AZ1291" s="326"/>
      <c r="BA1291" s="175"/>
      <c r="BB1291" s="42"/>
      <c r="BC1291" s="431"/>
      <c r="BG1291" s="315"/>
      <c r="BH1291" s="42"/>
    </row>
    <row r="1292" spans="51:60" x14ac:dyDescent="0.2">
      <c r="AY1292" s="315"/>
      <c r="AZ1292" s="326"/>
      <c r="BA1292" s="175"/>
      <c r="BB1292" s="42"/>
      <c r="BC1292" s="431"/>
      <c r="BG1292" s="315"/>
      <c r="BH1292" s="42"/>
    </row>
    <row r="1293" spans="51:60" x14ac:dyDescent="0.2">
      <c r="AY1293" s="315"/>
      <c r="AZ1293" s="326"/>
      <c r="BA1293" s="175"/>
      <c r="BB1293" s="42"/>
      <c r="BC1293" s="431"/>
      <c r="BG1293" s="315"/>
      <c r="BH1293" s="42"/>
    </row>
    <row r="1294" spans="51:60" x14ac:dyDescent="0.2">
      <c r="AY1294" s="315"/>
      <c r="AZ1294" s="326"/>
      <c r="BA1294" s="175"/>
      <c r="BB1294" s="42"/>
      <c r="BC1294" s="431"/>
      <c r="BG1294" s="315"/>
      <c r="BH1294" s="42"/>
    </row>
    <row r="1295" spans="51:60" x14ac:dyDescent="0.2">
      <c r="AY1295" s="315"/>
      <c r="AZ1295" s="326"/>
      <c r="BA1295" s="175"/>
      <c r="BB1295" s="42"/>
      <c r="BC1295" s="431"/>
      <c r="BG1295" s="315"/>
      <c r="BH1295" s="42"/>
    </row>
    <row r="1296" spans="51:60" x14ac:dyDescent="0.2">
      <c r="AY1296" s="315"/>
      <c r="AZ1296" s="326"/>
      <c r="BA1296" s="175"/>
      <c r="BB1296" s="42"/>
      <c r="BC1296" s="431"/>
      <c r="BG1296" s="315"/>
      <c r="BH1296" s="42"/>
    </row>
    <row r="1297" spans="51:60" x14ac:dyDescent="0.2">
      <c r="AY1297" s="315"/>
      <c r="AZ1297" s="326"/>
      <c r="BA1297" s="175"/>
      <c r="BB1297" s="42"/>
      <c r="BC1297" s="431"/>
      <c r="BG1297" s="315"/>
      <c r="BH1297" s="42"/>
    </row>
    <row r="1298" spans="51:60" x14ac:dyDescent="0.2">
      <c r="AY1298" s="315"/>
      <c r="AZ1298" s="326"/>
      <c r="BA1298" s="175"/>
      <c r="BB1298" s="42"/>
      <c r="BC1298" s="431"/>
      <c r="BG1298" s="315"/>
      <c r="BH1298" s="42"/>
    </row>
    <row r="1299" spans="51:60" x14ac:dyDescent="0.2">
      <c r="AY1299" s="315"/>
      <c r="AZ1299" s="326"/>
      <c r="BA1299" s="175"/>
      <c r="BB1299" s="42"/>
      <c r="BC1299" s="431"/>
      <c r="BG1299" s="315"/>
      <c r="BH1299" s="42"/>
    </row>
    <row r="1300" spans="51:60" x14ac:dyDescent="0.2">
      <c r="AY1300" s="315"/>
      <c r="AZ1300" s="326"/>
      <c r="BA1300" s="175"/>
      <c r="BB1300" s="42"/>
      <c r="BC1300" s="431"/>
      <c r="BG1300" s="315"/>
      <c r="BH1300" s="42"/>
    </row>
    <row r="1301" spans="51:60" x14ac:dyDescent="0.2">
      <c r="AY1301" s="315"/>
      <c r="AZ1301" s="326"/>
      <c r="BA1301" s="175"/>
      <c r="BB1301" s="42"/>
      <c r="BC1301" s="431"/>
      <c r="BG1301" s="315"/>
      <c r="BH1301" s="42"/>
    </row>
    <row r="1302" spans="51:60" x14ac:dyDescent="0.2">
      <c r="AY1302" s="315"/>
      <c r="AZ1302" s="326"/>
      <c r="BA1302" s="175"/>
      <c r="BB1302" s="42"/>
      <c r="BC1302" s="431"/>
      <c r="BG1302" s="315"/>
      <c r="BH1302" s="42"/>
    </row>
    <row r="1303" spans="51:60" x14ac:dyDescent="0.2">
      <c r="AY1303" s="315"/>
      <c r="AZ1303" s="326"/>
      <c r="BA1303" s="175"/>
      <c r="BB1303" s="42"/>
      <c r="BC1303" s="431"/>
      <c r="BG1303" s="315"/>
      <c r="BH1303" s="42"/>
    </row>
    <row r="1304" spans="51:60" x14ac:dyDescent="0.2">
      <c r="AY1304" s="315"/>
      <c r="AZ1304" s="326"/>
      <c r="BA1304" s="175"/>
      <c r="BB1304" s="42"/>
      <c r="BC1304" s="431"/>
      <c r="BG1304" s="315"/>
      <c r="BH1304" s="42"/>
    </row>
    <row r="1305" spans="51:60" x14ac:dyDescent="0.2">
      <c r="AY1305" s="315"/>
      <c r="AZ1305" s="326"/>
      <c r="BA1305" s="175"/>
      <c r="BB1305" s="42"/>
      <c r="BC1305" s="431"/>
      <c r="BG1305" s="315"/>
      <c r="BH1305" s="42"/>
    </row>
    <row r="1306" spans="51:60" x14ac:dyDescent="0.2">
      <c r="AY1306" s="315"/>
      <c r="AZ1306" s="326"/>
      <c r="BA1306" s="175"/>
      <c r="BB1306" s="42"/>
      <c r="BC1306" s="431"/>
      <c r="BG1306" s="315"/>
      <c r="BH1306" s="42"/>
    </row>
    <row r="1307" spans="51:60" x14ac:dyDescent="0.2">
      <c r="AY1307" s="315"/>
      <c r="AZ1307" s="326"/>
      <c r="BA1307" s="175"/>
      <c r="BB1307" s="42"/>
      <c r="BC1307" s="431"/>
      <c r="BG1307" s="315"/>
      <c r="BH1307" s="42"/>
    </row>
    <row r="1308" spans="51:60" x14ac:dyDescent="0.2">
      <c r="AY1308" s="315"/>
      <c r="AZ1308" s="326"/>
      <c r="BA1308" s="175"/>
      <c r="BB1308" s="42"/>
      <c r="BC1308" s="431"/>
      <c r="BG1308" s="315"/>
      <c r="BH1308" s="42"/>
    </row>
    <row r="1309" spans="51:60" x14ac:dyDescent="0.2">
      <c r="AY1309" s="315"/>
      <c r="AZ1309" s="326"/>
      <c r="BA1309" s="175"/>
      <c r="BB1309" s="42"/>
      <c r="BC1309" s="431"/>
      <c r="BG1309" s="315"/>
      <c r="BH1309" s="42"/>
    </row>
    <row r="1310" spans="51:60" x14ac:dyDescent="0.2">
      <c r="AY1310" s="315"/>
      <c r="AZ1310" s="326"/>
      <c r="BA1310" s="175"/>
      <c r="BB1310" s="42"/>
      <c r="BC1310" s="431"/>
      <c r="BG1310" s="315"/>
      <c r="BH1310" s="42"/>
    </row>
    <row r="1311" spans="51:60" x14ac:dyDescent="0.2">
      <c r="AY1311" s="315"/>
      <c r="AZ1311" s="326"/>
      <c r="BA1311" s="175"/>
      <c r="BB1311" s="42"/>
      <c r="BC1311" s="431"/>
      <c r="BG1311" s="315"/>
      <c r="BH1311" s="42"/>
    </row>
    <row r="1312" spans="51:60" x14ac:dyDescent="0.2">
      <c r="AY1312" s="315"/>
      <c r="AZ1312" s="326"/>
      <c r="BA1312" s="175"/>
      <c r="BB1312" s="42"/>
      <c r="BC1312" s="431"/>
      <c r="BG1312" s="315"/>
      <c r="BH1312" s="42"/>
    </row>
    <row r="1313" spans="51:60" x14ac:dyDescent="0.2">
      <c r="AY1313" s="315"/>
      <c r="AZ1313" s="326"/>
      <c r="BA1313" s="175"/>
      <c r="BB1313" s="42"/>
      <c r="BC1313" s="431"/>
      <c r="BG1313" s="315"/>
      <c r="BH1313" s="42"/>
    </row>
    <row r="1314" spans="51:60" x14ac:dyDescent="0.2">
      <c r="AY1314" s="315"/>
      <c r="AZ1314" s="326"/>
      <c r="BA1314" s="175"/>
      <c r="BB1314" s="42"/>
      <c r="BC1314" s="431"/>
      <c r="BG1314" s="315"/>
      <c r="BH1314" s="42"/>
    </row>
    <row r="1315" spans="51:60" x14ac:dyDescent="0.2">
      <c r="AY1315" s="315"/>
      <c r="AZ1315" s="326"/>
      <c r="BA1315" s="175"/>
      <c r="BB1315" s="42"/>
      <c r="BC1315" s="431"/>
      <c r="BG1315" s="315"/>
      <c r="BH1315" s="42"/>
    </row>
    <row r="1316" spans="51:60" x14ac:dyDescent="0.2">
      <c r="AY1316" s="315"/>
      <c r="AZ1316" s="326"/>
      <c r="BA1316" s="175"/>
      <c r="BB1316" s="42"/>
      <c r="BC1316" s="431"/>
      <c r="BG1316" s="315"/>
      <c r="BH1316" s="42"/>
    </row>
    <row r="1317" spans="51:60" x14ac:dyDescent="0.2">
      <c r="AY1317" s="315"/>
      <c r="AZ1317" s="326"/>
      <c r="BA1317" s="175"/>
      <c r="BB1317" s="42"/>
      <c r="BC1317" s="431"/>
      <c r="BG1317" s="315"/>
      <c r="BH1317" s="42"/>
    </row>
    <row r="1318" spans="51:60" x14ac:dyDescent="0.2">
      <c r="AY1318" s="315"/>
      <c r="AZ1318" s="326"/>
      <c r="BA1318" s="175"/>
      <c r="BB1318" s="42"/>
      <c r="BC1318" s="431"/>
      <c r="BG1318" s="315"/>
      <c r="BH1318" s="42"/>
    </row>
    <row r="1319" spans="51:60" x14ac:dyDescent="0.2">
      <c r="AY1319" s="315"/>
      <c r="AZ1319" s="326"/>
      <c r="BA1319" s="175"/>
      <c r="BB1319" s="42"/>
      <c r="BC1319" s="431"/>
      <c r="BG1319" s="315"/>
      <c r="BH1319" s="42"/>
    </row>
    <row r="1320" spans="51:60" x14ac:dyDescent="0.2">
      <c r="AY1320" s="315"/>
      <c r="AZ1320" s="326"/>
      <c r="BA1320" s="175"/>
      <c r="BB1320" s="42"/>
      <c r="BC1320" s="431"/>
      <c r="BG1320" s="315"/>
      <c r="BH1320" s="42"/>
    </row>
    <row r="1321" spans="51:60" x14ac:dyDescent="0.2">
      <c r="AY1321" s="315"/>
      <c r="AZ1321" s="326"/>
      <c r="BA1321" s="175"/>
      <c r="BB1321" s="42"/>
      <c r="BC1321" s="431"/>
      <c r="BG1321" s="315"/>
      <c r="BH1321" s="42"/>
    </row>
    <row r="1322" spans="51:60" x14ac:dyDescent="0.2">
      <c r="AY1322" s="315"/>
      <c r="AZ1322" s="326"/>
      <c r="BA1322" s="175"/>
      <c r="BB1322" s="42"/>
      <c r="BC1322" s="431"/>
      <c r="BG1322" s="315"/>
      <c r="BH1322" s="42"/>
    </row>
    <row r="1323" spans="51:60" x14ac:dyDescent="0.2">
      <c r="AY1323" s="315"/>
      <c r="AZ1323" s="326"/>
      <c r="BA1323" s="175"/>
      <c r="BB1323" s="42"/>
      <c r="BC1323" s="431"/>
      <c r="BG1323" s="315"/>
      <c r="BH1323" s="42"/>
    </row>
    <row r="1324" spans="51:60" x14ac:dyDescent="0.2">
      <c r="AY1324" s="315"/>
      <c r="AZ1324" s="326"/>
      <c r="BA1324" s="175"/>
      <c r="BB1324" s="42"/>
      <c r="BC1324" s="431"/>
      <c r="BG1324" s="315"/>
      <c r="BH1324" s="42"/>
    </row>
    <row r="1325" spans="51:60" x14ac:dyDescent="0.2">
      <c r="AY1325" s="315"/>
      <c r="AZ1325" s="326"/>
      <c r="BA1325" s="175"/>
      <c r="BB1325" s="42"/>
      <c r="BC1325" s="431"/>
      <c r="BG1325" s="315"/>
      <c r="BH1325" s="42"/>
    </row>
    <row r="1326" spans="51:60" x14ac:dyDescent="0.2">
      <c r="AY1326" s="315"/>
      <c r="AZ1326" s="326"/>
      <c r="BA1326" s="175"/>
      <c r="BB1326" s="42"/>
      <c r="BC1326" s="431"/>
      <c r="BG1326" s="315"/>
      <c r="BH1326" s="42"/>
    </row>
    <row r="1327" spans="51:60" x14ac:dyDescent="0.2">
      <c r="AY1327" s="315"/>
      <c r="AZ1327" s="326"/>
      <c r="BA1327" s="175"/>
      <c r="BB1327" s="42"/>
      <c r="BC1327" s="431"/>
      <c r="BG1327" s="315"/>
      <c r="BH1327" s="42"/>
    </row>
    <row r="1328" spans="51:60" x14ac:dyDescent="0.2">
      <c r="AY1328" s="315"/>
      <c r="AZ1328" s="326"/>
      <c r="BA1328" s="175"/>
      <c r="BB1328" s="42"/>
      <c r="BC1328" s="431"/>
      <c r="BG1328" s="315"/>
      <c r="BH1328" s="42"/>
    </row>
    <row r="1329" spans="51:60" x14ac:dyDescent="0.2">
      <c r="AY1329" s="315"/>
      <c r="AZ1329" s="326"/>
      <c r="BA1329" s="175"/>
      <c r="BB1329" s="42"/>
      <c r="BC1329" s="431"/>
      <c r="BG1329" s="315"/>
      <c r="BH1329" s="42"/>
    </row>
    <row r="1330" spans="51:60" x14ac:dyDescent="0.2">
      <c r="AY1330" s="315"/>
      <c r="AZ1330" s="326"/>
      <c r="BA1330" s="175"/>
      <c r="BB1330" s="42"/>
      <c r="BC1330" s="431"/>
      <c r="BG1330" s="315"/>
      <c r="BH1330" s="42"/>
    </row>
    <row r="1331" spans="51:60" x14ac:dyDescent="0.2">
      <c r="AY1331" s="315"/>
      <c r="AZ1331" s="326"/>
      <c r="BA1331" s="175"/>
      <c r="BB1331" s="42"/>
      <c r="BC1331" s="431"/>
      <c r="BG1331" s="315"/>
      <c r="BH1331" s="42"/>
    </row>
    <row r="1332" spans="51:60" x14ac:dyDescent="0.2">
      <c r="AY1332" s="315"/>
      <c r="AZ1332" s="326"/>
      <c r="BA1332" s="175"/>
      <c r="BB1332" s="42"/>
      <c r="BC1332" s="431"/>
      <c r="BG1332" s="315"/>
      <c r="BH1332" s="42"/>
    </row>
    <row r="1333" spans="51:60" x14ac:dyDescent="0.2">
      <c r="AY1333" s="315"/>
      <c r="AZ1333" s="326"/>
      <c r="BA1333" s="175"/>
      <c r="BB1333" s="42"/>
      <c r="BC1333" s="431"/>
      <c r="BG1333" s="315"/>
      <c r="BH1333" s="42"/>
    </row>
    <row r="1334" spans="51:60" x14ac:dyDescent="0.2">
      <c r="AY1334" s="315"/>
      <c r="AZ1334" s="326"/>
      <c r="BA1334" s="175"/>
      <c r="BB1334" s="42"/>
      <c r="BC1334" s="431"/>
      <c r="BG1334" s="315"/>
      <c r="BH1334" s="42"/>
    </row>
    <row r="1335" spans="51:60" x14ac:dyDescent="0.2">
      <c r="AY1335" s="315"/>
      <c r="AZ1335" s="326"/>
      <c r="BA1335" s="175"/>
      <c r="BB1335" s="42"/>
      <c r="BC1335" s="431"/>
      <c r="BG1335" s="315"/>
      <c r="BH1335" s="42"/>
    </row>
    <row r="1336" spans="51:60" x14ac:dyDescent="0.2">
      <c r="AY1336" s="315"/>
      <c r="AZ1336" s="326"/>
      <c r="BA1336" s="175"/>
      <c r="BB1336" s="42"/>
      <c r="BC1336" s="431"/>
      <c r="BG1336" s="315"/>
      <c r="BH1336" s="42"/>
    </row>
    <row r="1337" spans="51:60" x14ac:dyDescent="0.2">
      <c r="AY1337" s="315"/>
      <c r="AZ1337" s="326"/>
      <c r="BA1337" s="175"/>
      <c r="BB1337" s="42"/>
      <c r="BC1337" s="431"/>
      <c r="BG1337" s="315"/>
      <c r="BH1337" s="42"/>
    </row>
    <row r="1338" spans="51:60" x14ac:dyDescent="0.2">
      <c r="AY1338" s="315"/>
      <c r="AZ1338" s="326"/>
      <c r="BA1338" s="175"/>
      <c r="BB1338" s="42"/>
      <c r="BC1338" s="431"/>
      <c r="BG1338" s="315"/>
      <c r="BH1338" s="42"/>
    </row>
    <row r="1339" spans="51:60" x14ac:dyDescent="0.2">
      <c r="AY1339" s="315"/>
      <c r="AZ1339" s="326"/>
      <c r="BA1339" s="175"/>
      <c r="BB1339" s="42"/>
      <c r="BC1339" s="431"/>
      <c r="BG1339" s="315"/>
      <c r="BH1339" s="42"/>
    </row>
    <row r="1340" spans="51:60" x14ac:dyDescent="0.2">
      <c r="AY1340" s="315"/>
      <c r="AZ1340" s="326"/>
      <c r="BA1340" s="175"/>
      <c r="BB1340" s="42"/>
      <c r="BC1340" s="431"/>
      <c r="BG1340" s="315"/>
      <c r="BH1340" s="42"/>
    </row>
    <row r="1341" spans="51:60" x14ac:dyDescent="0.2">
      <c r="AY1341" s="315"/>
      <c r="AZ1341" s="326"/>
      <c r="BA1341" s="175"/>
      <c r="BB1341" s="42"/>
      <c r="BC1341" s="431"/>
      <c r="BG1341" s="315"/>
      <c r="BH1341" s="42"/>
    </row>
    <row r="1342" spans="51:60" x14ac:dyDescent="0.2">
      <c r="AY1342" s="315"/>
      <c r="AZ1342" s="326"/>
      <c r="BA1342" s="175"/>
      <c r="BB1342" s="42"/>
      <c r="BC1342" s="431"/>
      <c r="BG1342" s="315"/>
      <c r="BH1342" s="42"/>
    </row>
    <row r="1343" spans="51:60" x14ac:dyDescent="0.2">
      <c r="AY1343" s="315"/>
      <c r="AZ1343" s="326"/>
      <c r="BA1343" s="175"/>
      <c r="BB1343" s="42"/>
      <c r="BC1343" s="431"/>
      <c r="BG1343" s="315"/>
      <c r="BH1343" s="42"/>
    </row>
    <row r="1344" spans="51:60" x14ac:dyDescent="0.2">
      <c r="AY1344" s="315"/>
      <c r="AZ1344" s="326"/>
      <c r="BA1344" s="175"/>
      <c r="BB1344" s="42"/>
      <c r="BC1344" s="431"/>
      <c r="BG1344" s="315"/>
      <c r="BH1344" s="42"/>
    </row>
    <row r="1345" spans="51:60" x14ac:dyDescent="0.2">
      <c r="AY1345" s="315"/>
      <c r="AZ1345" s="326"/>
      <c r="BA1345" s="175"/>
      <c r="BB1345" s="42"/>
      <c r="BC1345" s="431"/>
      <c r="BG1345" s="315"/>
      <c r="BH1345" s="42"/>
    </row>
    <row r="1346" spans="51:60" x14ac:dyDescent="0.2">
      <c r="AY1346" s="315"/>
      <c r="AZ1346" s="326"/>
      <c r="BA1346" s="175"/>
      <c r="BB1346" s="42"/>
      <c r="BC1346" s="431"/>
      <c r="BG1346" s="315"/>
      <c r="BH1346" s="42"/>
    </row>
    <row r="1347" spans="51:60" x14ac:dyDescent="0.2">
      <c r="AY1347" s="315"/>
      <c r="AZ1347" s="326"/>
      <c r="BA1347" s="175"/>
      <c r="BB1347" s="42"/>
      <c r="BC1347" s="431"/>
      <c r="BG1347" s="315"/>
      <c r="BH1347" s="42"/>
    </row>
    <row r="1348" spans="51:60" x14ac:dyDescent="0.2">
      <c r="AY1348" s="315"/>
      <c r="AZ1348" s="326"/>
      <c r="BA1348" s="175"/>
      <c r="BB1348" s="42"/>
      <c r="BC1348" s="431"/>
      <c r="BG1348" s="315"/>
      <c r="BH1348" s="42"/>
    </row>
    <row r="1349" spans="51:60" x14ac:dyDescent="0.2">
      <c r="AY1349" s="315"/>
      <c r="AZ1349" s="326"/>
      <c r="BA1349" s="175"/>
      <c r="BB1349" s="42"/>
      <c r="BC1349" s="431"/>
      <c r="BG1349" s="315"/>
      <c r="BH1349" s="42"/>
    </row>
    <row r="1350" spans="51:60" x14ac:dyDescent="0.2">
      <c r="AY1350" s="315"/>
      <c r="AZ1350" s="326"/>
      <c r="BA1350" s="175"/>
      <c r="BB1350" s="42"/>
      <c r="BC1350" s="431"/>
      <c r="BG1350" s="315"/>
      <c r="BH1350" s="42"/>
    </row>
    <row r="1351" spans="51:60" x14ac:dyDescent="0.2">
      <c r="AY1351" s="315"/>
      <c r="AZ1351" s="326"/>
      <c r="BA1351" s="175"/>
      <c r="BB1351" s="42"/>
      <c r="BC1351" s="431"/>
      <c r="BG1351" s="315"/>
      <c r="BH1351" s="42"/>
    </row>
    <row r="1352" spans="51:60" x14ac:dyDescent="0.2">
      <c r="AY1352" s="315"/>
      <c r="AZ1352" s="326"/>
      <c r="BA1352" s="175"/>
      <c r="BB1352" s="42"/>
      <c r="BC1352" s="431"/>
      <c r="BG1352" s="315"/>
      <c r="BH1352" s="42"/>
    </row>
    <row r="1353" spans="51:60" x14ac:dyDescent="0.2">
      <c r="AY1353" s="315"/>
      <c r="AZ1353" s="326"/>
      <c r="BA1353" s="175"/>
      <c r="BB1353" s="42"/>
      <c r="BC1353" s="431"/>
      <c r="BG1353" s="315"/>
      <c r="BH1353" s="42"/>
    </row>
    <row r="1354" spans="51:60" x14ac:dyDescent="0.2">
      <c r="AY1354" s="315"/>
      <c r="AZ1354" s="326"/>
      <c r="BA1354" s="175"/>
      <c r="BB1354" s="42"/>
      <c r="BC1354" s="431"/>
      <c r="BG1354" s="315"/>
      <c r="BH1354" s="42"/>
    </row>
    <row r="1355" spans="51:60" x14ac:dyDescent="0.2">
      <c r="AY1355" s="315"/>
      <c r="AZ1355" s="326"/>
      <c r="BA1355" s="175"/>
      <c r="BB1355" s="42"/>
      <c r="BC1355" s="431"/>
      <c r="BG1355" s="315"/>
      <c r="BH1355" s="42"/>
    </row>
    <row r="1356" spans="51:60" x14ac:dyDescent="0.2">
      <c r="AY1356" s="315"/>
      <c r="AZ1356" s="326"/>
      <c r="BA1356" s="175"/>
      <c r="BB1356" s="42"/>
      <c r="BC1356" s="431"/>
      <c r="BG1356" s="315"/>
      <c r="BH1356" s="42"/>
    </row>
    <row r="1357" spans="51:60" x14ac:dyDescent="0.2">
      <c r="AY1357" s="315"/>
      <c r="AZ1357" s="326"/>
      <c r="BA1357" s="175"/>
      <c r="BB1357" s="42"/>
      <c r="BC1357" s="431"/>
      <c r="BG1357" s="315"/>
      <c r="BH1357" s="42"/>
    </row>
    <row r="1358" spans="51:60" x14ac:dyDescent="0.2">
      <c r="AY1358" s="315"/>
      <c r="AZ1358" s="326"/>
      <c r="BA1358" s="175"/>
      <c r="BB1358" s="42"/>
      <c r="BC1358" s="431"/>
      <c r="BG1358" s="315"/>
      <c r="BH1358" s="42"/>
    </row>
    <row r="1359" spans="51:60" x14ac:dyDescent="0.2">
      <c r="AY1359" s="315"/>
      <c r="AZ1359" s="326"/>
      <c r="BA1359" s="175"/>
      <c r="BB1359" s="42"/>
      <c r="BC1359" s="431"/>
      <c r="BG1359" s="315"/>
      <c r="BH1359" s="42"/>
    </row>
    <row r="1360" spans="51:60" x14ac:dyDescent="0.2">
      <c r="AY1360" s="315"/>
      <c r="AZ1360" s="326"/>
      <c r="BA1360" s="175"/>
      <c r="BB1360" s="42"/>
      <c r="BC1360" s="431"/>
      <c r="BG1360" s="315"/>
      <c r="BH1360" s="42"/>
    </row>
    <row r="1361" spans="51:60" x14ac:dyDescent="0.2">
      <c r="AY1361" s="315"/>
      <c r="AZ1361" s="326"/>
      <c r="BA1361" s="175"/>
      <c r="BB1361" s="42"/>
      <c r="BC1361" s="431"/>
      <c r="BG1361" s="315"/>
      <c r="BH1361" s="42"/>
    </row>
    <row r="1362" spans="51:60" x14ac:dyDescent="0.2">
      <c r="AY1362" s="315"/>
      <c r="AZ1362" s="326"/>
      <c r="BA1362" s="175"/>
      <c r="BB1362" s="42"/>
      <c r="BC1362" s="431"/>
      <c r="BG1362" s="315"/>
      <c r="BH1362" s="42"/>
    </row>
    <row r="1363" spans="51:60" x14ac:dyDescent="0.2">
      <c r="AY1363" s="315"/>
      <c r="AZ1363" s="326"/>
      <c r="BA1363" s="175"/>
      <c r="BB1363" s="42"/>
      <c r="BC1363" s="431"/>
      <c r="BG1363" s="315"/>
      <c r="BH1363" s="42"/>
    </row>
    <row r="1364" spans="51:60" x14ac:dyDescent="0.2">
      <c r="AY1364" s="315"/>
      <c r="AZ1364" s="326"/>
      <c r="BA1364" s="175"/>
      <c r="BB1364" s="42"/>
      <c r="BC1364" s="431"/>
      <c r="BG1364" s="315"/>
      <c r="BH1364" s="42"/>
    </row>
    <row r="1365" spans="51:60" x14ac:dyDescent="0.2">
      <c r="AY1365" s="315"/>
      <c r="AZ1365" s="326"/>
      <c r="BA1365" s="175"/>
      <c r="BB1365" s="42"/>
      <c r="BC1365" s="431"/>
      <c r="BG1365" s="315"/>
      <c r="BH1365" s="42"/>
    </row>
    <row r="1366" spans="51:60" x14ac:dyDescent="0.2">
      <c r="AY1366" s="315"/>
      <c r="AZ1366" s="326"/>
      <c r="BA1366" s="175"/>
      <c r="BB1366" s="42"/>
      <c r="BC1366" s="431"/>
      <c r="BG1366" s="315"/>
      <c r="BH1366" s="42"/>
    </row>
    <row r="1367" spans="51:60" x14ac:dyDescent="0.2">
      <c r="AY1367" s="315"/>
      <c r="AZ1367" s="326"/>
      <c r="BA1367" s="175"/>
      <c r="BB1367" s="42"/>
      <c r="BC1367" s="431"/>
      <c r="BG1367" s="315"/>
      <c r="BH1367" s="42"/>
    </row>
    <row r="1368" spans="51:60" x14ac:dyDescent="0.2">
      <c r="AY1368" s="315"/>
      <c r="AZ1368" s="326"/>
      <c r="BA1368" s="175"/>
      <c r="BB1368" s="42"/>
      <c r="BC1368" s="431"/>
      <c r="BG1368" s="315"/>
      <c r="BH1368" s="42"/>
    </row>
    <row r="1369" spans="51:60" x14ac:dyDescent="0.2">
      <c r="AY1369" s="315"/>
      <c r="AZ1369" s="326"/>
      <c r="BA1369" s="175"/>
      <c r="BB1369" s="42"/>
      <c r="BC1369" s="431"/>
      <c r="BG1369" s="315"/>
      <c r="BH1369" s="42"/>
    </row>
    <row r="1370" spans="51:60" x14ac:dyDescent="0.2">
      <c r="AY1370" s="315"/>
      <c r="AZ1370" s="326"/>
      <c r="BA1370" s="175"/>
      <c r="BB1370" s="42"/>
      <c r="BC1370" s="431"/>
      <c r="BG1370" s="315"/>
      <c r="BH1370" s="42"/>
    </row>
    <row r="1371" spans="51:60" x14ac:dyDescent="0.2">
      <c r="AY1371" s="315"/>
      <c r="AZ1371" s="326"/>
      <c r="BA1371" s="175"/>
      <c r="BB1371" s="42"/>
      <c r="BC1371" s="431"/>
      <c r="BG1371" s="315"/>
      <c r="BH1371" s="42"/>
    </row>
    <row r="1372" spans="51:60" x14ac:dyDescent="0.2">
      <c r="AY1372" s="315"/>
      <c r="AZ1372" s="326"/>
      <c r="BA1372" s="175"/>
      <c r="BB1372" s="42"/>
      <c r="BC1372" s="431"/>
      <c r="BG1372" s="315"/>
      <c r="BH1372" s="42"/>
    </row>
    <row r="1373" spans="51:60" x14ac:dyDescent="0.2">
      <c r="AY1373" s="315"/>
      <c r="AZ1373" s="326"/>
      <c r="BA1373" s="175"/>
      <c r="BB1373" s="42"/>
      <c r="BC1373" s="431"/>
      <c r="BG1373" s="315"/>
      <c r="BH1373" s="42"/>
    </row>
    <row r="1374" spans="51:60" x14ac:dyDescent="0.2">
      <c r="AY1374" s="315"/>
      <c r="AZ1374" s="326"/>
      <c r="BA1374" s="175"/>
      <c r="BB1374" s="42"/>
      <c r="BC1374" s="431"/>
      <c r="BG1374" s="315"/>
      <c r="BH1374" s="42"/>
    </row>
    <row r="1375" spans="51:60" x14ac:dyDescent="0.2">
      <c r="AY1375" s="315"/>
      <c r="AZ1375" s="326"/>
      <c r="BA1375" s="175"/>
      <c r="BB1375" s="42"/>
      <c r="BC1375" s="431"/>
      <c r="BG1375" s="315"/>
      <c r="BH1375" s="42"/>
    </row>
    <row r="1376" spans="51:60" x14ac:dyDescent="0.2">
      <c r="AY1376" s="315"/>
      <c r="AZ1376" s="326"/>
      <c r="BA1376" s="175"/>
      <c r="BB1376" s="42"/>
      <c r="BC1376" s="431"/>
      <c r="BG1376" s="315"/>
      <c r="BH1376" s="42"/>
    </row>
    <row r="1377" spans="51:60" x14ac:dyDescent="0.2">
      <c r="AY1377" s="315"/>
      <c r="AZ1377" s="326"/>
      <c r="BA1377" s="175"/>
      <c r="BB1377" s="42"/>
      <c r="BC1377" s="431"/>
      <c r="BG1377" s="315"/>
      <c r="BH1377" s="42"/>
    </row>
    <row r="1378" spans="51:60" x14ac:dyDescent="0.2">
      <c r="AY1378" s="315"/>
      <c r="AZ1378" s="326"/>
      <c r="BA1378" s="175"/>
      <c r="BB1378" s="42"/>
      <c r="BC1378" s="431"/>
      <c r="BG1378" s="315"/>
      <c r="BH1378" s="42"/>
    </row>
    <row r="1379" spans="51:60" x14ac:dyDescent="0.2">
      <c r="AY1379" s="315"/>
      <c r="AZ1379" s="326"/>
      <c r="BA1379" s="175"/>
      <c r="BB1379" s="42"/>
      <c r="BC1379" s="431"/>
      <c r="BG1379" s="315"/>
      <c r="BH1379" s="42"/>
    </row>
    <row r="1380" spans="51:60" x14ac:dyDescent="0.2">
      <c r="AY1380" s="315"/>
      <c r="AZ1380" s="326"/>
      <c r="BA1380" s="175"/>
      <c r="BB1380" s="42"/>
      <c r="BC1380" s="431"/>
      <c r="BG1380" s="315"/>
      <c r="BH1380" s="42"/>
    </row>
    <row r="1381" spans="51:60" x14ac:dyDescent="0.2">
      <c r="AY1381" s="315"/>
      <c r="AZ1381" s="326"/>
      <c r="BA1381" s="175"/>
      <c r="BB1381" s="42"/>
      <c r="BC1381" s="431"/>
      <c r="BG1381" s="315"/>
      <c r="BH1381" s="42"/>
    </row>
    <row r="1382" spans="51:60" x14ac:dyDescent="0.2">
      <c r="AY1382" s="315"/>
      <c r="AZ1382" s="326"/>
      <c r="BA1382" s="175"/>
      <c r="BB1382" s="42"/>
      <c r="BC1382" s="431"/>
      <c r="BG1382" s="315"/>
      <c r="BH1382" s="42"/>
    </row>
    <row r="1383" spans="51:60" x14ac:dyDescent="0.2">
      <c r="AY1383" s="315"/>
      <c r="AZ1383" s="326"/>
      <c r="BA1383" s="175"/>
      <c r="BB1383" s="42"/>
      <c r="BC1383" s="431"/>
      <c r="BG1383" s="315"/>
      <c r="BH1383" s="42"/>
    </row>
    <row r="1384" spans="51:60" x14ac:dyDescent="0.2">
      <c r="AY1384" s="315"/>
      <c r="AZ1384" s="326"/>
      <c r="BA1384" s="175"/>
      <c r="BB1384" s="42"/>
      <c r="BC1384" s="431"/>
      <c r="BG1384" s="315"/>
      <c r="BH1384" s="42"/>
    </row>
    <row r="1385" spans="51:60" x14ac:dyDescent="0.2">
      <c r="AY1385" s="315"/>
      <c r="AZ1385" s="326"/>
      <c r="BA1385" s="175"/>
      <c r="BB1385" s="42"/>
      <c r="BC1385" s="431"/>
      <c r="BG1385" s="315"/>
      <c r="BH1385" s="42"/>
    </row>
    <row r="1386" spans="51:60" x14ac:dyDescent="0.2">
      <c r="AY1386" s="315"/>
      <c r="AZ1386" s="326"/>
      <c r="BA1386" s="175"/>
      <c r="BB1386" s="42"/>
      <c r="BC1386" s="431"/>
      <c r="BG1386" s="315"/>
      <c r="BH1386" s="42"/>
    </row>
    <row r="1387" spans="51:60" x14ac:dyDescent="0.2">
      <c r="AY1387" s="315"/>
      <c r="AZ1387" s="326"/>
      <c r="BA1387" s="175"/>
      <c r="BB1387" s="42"/>
      <c r="BC1387" s="431"/>
      <c r="BG1387" s="315"/>
      <c r="BH1387" s="42"/>
    </row>
    <row r="1388" spans="51:60" x14ac:dyDescent="0.2">
      <c r="AY1388" s="315"/>
      <c r="AZ1388" s="326"/>
      <c r="BA1388" s="175"/>
      <c r="BB1388" s="42"/>
      <c r="BC1388" s="431"/>
      <c r="BG1388" s="315"/>
      <c r="BH1388" s="42"/>
    </row>
    <row r="1389" spans="51:60" x14ac:dyDescent="0.2">
      <c r="AY1389" s="315"/>
      <c r="AZ1389" s="326"/>
      <c r="BA1389" s="175"/>
      <c r="BB1389" s="42"/>
      <c r="BC1389" s="431"/>
      <c r="BG1389" s="315"/>
      <c r="BH1389" s="42"/>
    </row>
    <row r="1390" spans="51:60" x14ac:dyDescent="0.2">
      <c r="AY1390" s="315"/>
      <c r="AZ1390" s="326"/>
      <c r="BA1390" s="175"/>
      <c r="BB1390" s="42"/>
      <c r="BC1390" s="431"/>
      <c r="BG1390" s="315"/>
      <c r="BH1390" s="42"/>
    </row>
    <row r="1391" spans="51:60" x14ac:dyDescent="0.2">
      <c r="AY1391" s="315"/>
      <c r="AZ1391" s="326"/>
      <c r="BA1391" s="175"/>
      <c r="BB1391" s="42"/>
      <c r="BC1391" s="431"/>
      <c r="BG1391" s="315"/>
      <c r="BH1391" s="42"/>
    </row>
    <row r="1392" spans="51:60" x14ac:dyDescent="0.2">
      <c r="AY1392" s="315"/>
      <c r="AZ1392" s="326"/>
      <c r="BA1392" s="175"/>
      <c r="BB1392" s="42"/>
      <c r="BC1392" s="431"/>
      <c r="BG1392" s="315"/>
      <c r="BH1392" s="42"/>
    </row>
    <row r="1393" spans="51:60" x14ac:dyDescent="0.2">
      <c r="AY1393" s="315"/>
      <c r="AZ1393" s="326"/>
      <c r="BA1393" s="175"/>
      <c r="BB1393" s="42"/>
      <c r="BC1393" s="431"/>
      <c r="BG1393" s="315"/>
      <c r="BH1393" s="42"/>
    </row>
    <row r="1394" spans="51:60" x14ac:dyDescent="0.2">
      <c r="AY1394" s="315"/>
      <c r="AZ1394" s="326"/>
      <c r="BA1394" s="175"/>
      <c r="BB1394" s="42"/>
      <c r="BC1394" s="431"/>
      <c r="BG1394" s="315"/>
      <c r="BH1394" s="42"/>
    </row>
    <row r="1395" spans="51:60" x14ac:dyDescent="0.2">
      <c r="AY1395" s="315"/>
      <c r="AZ1395" s="326"/>
      <c r="BA1395" s="175"/>
      <c r="BB1395" s="42"/>
      <c r="BC1395" s="431"/>
      <c r="BG1395" s="315"/>
      <c r="BH1395" s="42"/>
    </row>
    <row r="1396" spans="51:60" x14ac:dyDescent="0.2">
      <c r="AY1396" s="315"/>
      <c r="AZ1396" s="326"/>
      <c r="BA1396" s="175"/>
      <c r="BB1396" s="42"/>
      <c r="BC1396" s="431"/>
      <c r="BG1396" s="315"/>
      <c r="BH1396" s="42"/>
    </row>
    <row r="1397" spans="51:60" x14ac:dyDescent="0.2">
      <c r="AY1397" s="315"/>
      <c r="AZ1397" s="326"/>
      <c r="BA1397" s="175"/>
      <c r="BB1397" s="42"/>
      <c r="BC1397" s="431"/>
      <c r="BG1397" s="315"/>
      <c r="BH1397" s="42"/>
    </row>
    <row r="1398" spans="51:60" x14ac:dyDescent="0.2">
      <c r="AY1398" s="315"/>
      <c r="AZ1398" s="326"/>
      <c r="BA1398" s="175"/>
      <c r="BB1398" s="42"/>
      <c r="BC1398" s="431"/>
      <c r="BG1398" s="315"/>
      <c r="BH1398" s="42"/>
    </row>
    <row r="1399" spans="51:60" x14ac:dyDescent="0.2">
      <c r="AY1399" s="315"/>
      <c r="AZ1399" s="326"/>
      <c r="BA1399" s="175"/>
      <c r="BB1399" s="42"/>
      <c r="BC1399" s="431"/>
      <c r="BG1399" s="315"/>
      <c r="BH1399" s="42"/>
    </row>
    <row r="1400" spans="51:60" x14ac:dyDescent="0.2">
      <c r="AY1400" s="315"/>
      <c r="AZ1400" s="326"/>
      <c r="BA1400" s="175"/>
      <c r="BB1400" s="42"/>
      <c r="BC1400" s="431"/>
      <c r="BG1400" s="315"/>
      <c r="BH1400" s="42"/>
    </row>
    <row r="1401" spans="51:60" x14ac:dyDescent="0.2">
      <c r="AY1401" s="315"/>
      <c r="AZ1401" s="326"/>
      <c r="BA1401" s="175"/>
      <c r="BB1401" s="42"/>
      <c r="BC1401" s="431"/>
      <c r="BG1401" s="315"/>
      <c r="BH1401" s="42"/>
    </row>
    <row r="1402" spans="51:60" x14ac:dyDescent="0.2">
      <c r="AY1402" s="315"/>
      <c r="AZ1402" s="326"/>
      <c r="BA1402" s="175"/>
      <c r="BB1402" s="42"/>
      <c r="BC1402" s="431"/>
      <c r="BG1402" s="315"/>
      <c r="BH1402" s="42"/>
    </row>
    <row r="1403" spans="51:60" x14ac:dyDescent="0.2">
      <c r="AY1403" s="315"/>
      <c r="AZ1403" s="326"/>
      <c r="BA1403" s="175"/>
      <c r="BB1403" s="42"/>
      <c r="BC1403" s="431"/>
      <c r="BG1403" s="315"/>
      <c r="BH1403" s="42"/>
    </row>
    <row r="1404" spans="51:60" x14ac:dyDescent="0.2">
      <c r="AY1404" s="315"/>
      <c r="AZ1404" s="326"/>
      <c r="BA1404" s="175"/>
      <c r="BB1404" s="42"/>
      <c r="BC1404" s="431"/>
      <c r="BG1404" s="315"/>
      <c r="BH1404" s="42"/>
    </row>
    <row r="1405" spans="51:60" x14ac:dyDescent="0.2">
      <c r="AY1405" s="315"/>
      <c r="AZ1405" s="326"/>
      <c r="BA1405" s="175"/>
      <c r="BB1405" s="42"/>
      <c r="BC1405" s="431"/>
      <c r="BG1405" s="315"/>
      <c r="BH1405" s="42"/>
    </row>
    <row r="1406" spans="51:60" x14ac:dyDescent="0.2">
      <c r="AY1406" s="315"/>
      <c r="AZ1406" s="326"/>
      <c r="BA1406" s="175"/>
      <c r="BB1406" s="42"/>
      <c r="BC1406" s="431"/>
      <c r="BG1406" s="315"/>
      <c r="BH1406" s="42"/>
    </row>
    <row r="1407" spans="51:60" x14ac:dyDescent="0.2">
      <c r="AY1407" s="315"/>
      <c r="AZ1407" s="326"/>
      <c r="BA1407" s="175"/>
      <c r="BB1407" s="42"/>
      <c r="BC1407" s="431"/>
      <c r="BG1407" s="315"/>
      <c r="BH1407" s="42"/>
    </row>
    <row r="1408" spans="51:60" x14ac:dyDescent="0.2">
      <c r="AY1408" s="315"/>
      <c r="AZ1408" s="326"/>
      <c r="BA1408" s="175"/>
      <c r="BB1408" s="42"/>
      <c r="BC1408" s="431"/>
      <c r="BG1408" s="315"/>
      <c r="BH1408" s="42"/>
    </row>
    <row r="1409" spans="51:60" x14ac:dyDescent="0.2">
      <c r="AY1409" s="315"/>
      <c r="AZ1409" s="326"/>
      <c r="BA1409" s="175"/>
      <c r="BB1409" s="42"/>
      <c r="BC1409" s="431"/>
      <c r="BG1409" s="315"/>
      <c r="BH1409" s="42"/>
    </row>
    <row r="1410" spans="51:60" x14ac:dyDescent="0.2">
      <c r="AY1410" s="315"/>
      <c r="AZ1410" s="326"/>
      <c r="BA1410" s="175"/>
      <c r="BB1410" s="42"/>
      <c r="BC1410" s="431"/>
      <c r="BG1410" s="315"/>
      <c r="BH1410" s="42"/>
    </row>
    <row r="1411" spans="51:60" x14ac:dyDescent="0.2">
      <c r="AY1411" s="315"/>
      <c r="AZ1411" s="326"/>
      <c r="BA1411" s="175"/>
      <c r="BB1411" s="42"/>
      <c r="BC1411" s="431"/>
      <c r="BG1411" s="315"/>
      <c r="BH1411" s="42"/>
    </row>
    <row r="1412" spans="51:60" x14ac:dyDescent="0.2">
      <c r="AY1412" s="315"/>
      <c r="AZ1412" s="326"/>
      <c r="BA1412" s="175"/>
      <c r="BB1412" s="42"/>
      <c r="BC1412" s="431"/>
      <c r="BG1412" s="315"/>
      <c r="BH1412" s="42"/>
    </row>
    <row r="1413" spans="51:60" x14ac:dyDescent="0.2">
      <c r="AY1413" s="315"/>
      <c r="AZ1413" s="326"/>
      <c r="BA1413" s="175"/>
      <c r="BB1413" s="42"/>
      <c r="BC1413" s="431"/>
      <c r="BG1413" s="315"/>
      <c r="BH1413" s="42"/>
    </row>
    <row r="1414" spans="51:60" x14ac:dyDescent="0.2">
      <c r="AY1414" s="315"/>
      <c r="AZ1414" s="326"/>
      <c r="BA1414" s="175"/>
      <c r="BB1414" s="42"/>
      <c r="BC1414" s="431"/>
      <c r="BG1414" s="315"/>
      <c r="BH1414" s="42"/>
    </row>
    <row r="1415" spans="51:60" x14ac:dyDescent="0.2">
      <c r="AY1415" s="315"/>
      <c r="AZ1415" s="326"/>
      <c r="BA1415" s="175"/>
      <c r="BB1415" s="42"/>
      <c r="BC1415" s="431"/>
      <c r="BG1415" s="315"/>
      <c r="BH1415" s="42"/>
    </row>
    <row r="1416" spans="51:60" x14ac:dyDescent="0.2">
      <c r="AY1416" s="315"/>
      <c r="AZ1416" s="326"/>
      <c r="BA1416" s="175"/>
      <c r="BB1416" s="42"/>
      <c r="BC1416" s="431"/>
      <c r="BG1416" s="315"/>
      <c r="BH1416" s="42"/>
    </row>
    <row r="1417" spans="51:60" x14ac:dyDescent="0.2">
      <c r="AY1417" s="315"/>
      <c r="AZ1417" s="326"/>
      <c r="BA1417" s="175"/>
      <c r="BB1417" s="42"/>
      <c r="BC1417" s="431"/>
      <c r="BG1417" s="315"/>
      <c r="BH1417" s="42"/>
    </row>
    <row r="1418" spans="51:60" x14ac:dyDescent="0.2">
      <c r="AY1418" s="315"/>
      <c r="AZ1418" s="326"/>
      <c r="BA1418" s="175"/>
      <c r="BB1418" s="42"/>
      <c r="BC1418" s="431"/>
      <c r="BG1418" s="315"/>
      <c r="BH1418" s="42"/>
    </row>
    <row r="1419" spans="51:60" x14ac:dyDescent="0.2">
      <c r="AY1419" s="315"/>
      <c r="AZ1419" s="326"/>
      <c r="BA1419" s="175"/>
      <c r="BB1419" s="42"/>
      <c r="BC1419" s="431"/>
      <c r="BG1419" s="315"/>
      <c r="BH1419" s="42"/>
    </row>
    <row r="1420" spans="51:60" x14ac:dyDescent="0.2">
      <c r="AY1420" s="315"/>
      <c r="AZ1420" s="326"/>
      <c r="BA1420" s="175"/>
      <c r="BB1420" s="42"/>
      <c r="BC1420" s="431"/>
      <c r="BG1420" s="315"/>
      <c r="BH1420" s="42"/>
    </row>
    <row r="1421" spans="51:60" x14ac:dyDescent="0.2">
      <c r="AY1421" s="315"/>
      <c r="AZ1421" s="326"/>
      <c r="BA1421" s="175"/>
      <c r="BB1421" s="42"/>
      <c r="BC1421" s="431"/>
      <c r="BG1421" s="315"/>
      <c r="BH1421" s="42"/>
    </row>
    <row r="1422" spans="51:60" x14ac:dyDescent="0.2">
      <c r="AY1422" s="315"/>
      <c r="AZ1422" s="326"/>
      <c r="BA1422" s="175"/>
      <c r="BB1422" s="42"/>
      <c r="BC1422" s="431"/>
      <c r="BG1422" s="315"/>
      <c r="BH1422" s="42"/>
    </row>
    <row r="1423" spans="51:60" x14ac:dyDescent="0.2">
      <c r="AY1423" s="315"/>
      <c r="AZ1423" s="326"/>
      <c r="BA1423" s="175"/>
      <c r="BB1423" s="42"/>
      <c r="BC1423" s="431"/>
      <c r="BG1423" s="315"/>
      <c r="BH1423" s="42"/>
    </row>
    <row r="1424" spans="51:60" x14ac:dyDescent="0.2">
      <c r="AY1424" s="315"/>
      <c r="AZ1424" s="326"/>
      <c r="BA1424" s="175"/>
      <c r="BB1424" s="42"/>
      <c r="BC1424" s="431"/>
      <c r="BG1424" s="315"/>
      <c r="BH1424" s="42"/>
    </row>
    <row r="1425" spans="51:60" x14ac:dyDescent="0.2">
      <c r="AY1425" s="315"/>
      <c r="AZ1425" s="326"/>
      <c r="BA1425" s="175"/>
      <c r="BB1425" s="42"/>
      <c r="BC1425" s="431"/>
      <c r="BG1425" s="315"/>
      <c r="BH1425" s="42"/>
    </row>
    <row r="1426" spans="51:60" x14ac:dyDescent="0.2">
      <c r="AY1426" s="315"/>
      <c r="AZ1426" s="326"/>
      <c r="BA1426" s="175"/>
      <c r="BB1426" s="42"/>
      <c r="BC1426" s="431"/>
      <c r="BG1426" s="315"/>
      <c r="BH1426" s="42"/>
    </row>
    <row r="1427" spans="51:60" x14ac:dyDescent="0.2">
      <c r="AY1427" s="315"/>
      <c r="AZ1427" s="326"/>
      <c r="BA1427" s="175"/>
      <c r="BB1427" s="42"/>
      <c r="BC1427" s="431"/>
      <c r="BG1427" s="315"/>
      <c r="BH1427" s="42"/>
    </row>
    <row r="1428" spans="51:60" x14ac:dyDescent="0.2">
      <c r="AY1428" s="315"/>
      <c r="AZ1428" s="326"/>
      <c r="BA1428" s="175"/>
      <c r="BB1428" s="42"/>
      <c r="BC1428" s="431"/>
      <c r="BG1428" s="315"/>
      <c r="BH1428" s="42"/>
    </row>
    <row r="1429" spans="51:60" x14ac:dyDescent="0.2">
      <c r="AY1429" s="315"/>
      <c r="AZ1429" s="326"/>
      <c r="BA1429" s="175"/>
      <c r="BB1429" s="42"/>
      <c r="BC1429" s="431"/>
      <c r="BG1429" s="315"/>
      <c r="BH1429" s="42"/>
    </row>
    <row r="1430" spans="51:60" x14ac:dyDescent="0.2">
      <c r="AY1430" s="315"/>
      <c r="AZ1430" s="326"/>
      <c r="BA1430" s="175"/>
      <c r="BB1430" s="42"/>
      <c r="BC1430" s="431"/>
      <c r="BG1430" s="315"/>
      <c r="BH1430" s="42"/>
    </row>
    <row r="1431" spans="51:60" x14ac:dyDescent="0.2">
      <c r="AY1431" s="315"/>
      <c r="AZ1431" s="326"/>
      <c r="BA1431" s="175"/>
      <c r="BB1431" s="42"/>
      <c r="BC1431" s="431"/>
      <c r="BG1431" s="315"/>
      <c r="BH1431" s="42"/>
    </row>
    <row r="1432" spans="51:60" x14ac:dyDescent="0.2">
      <c r="AY1432" s="315"/>
      <c r="AZ1432" s="326"/>
      <c r="BA1432" s="175"/>
      <c r="BB1432" s="42"/>
      <c r="BC1432" s="431"/>
      <c r="BG1432" s="315"/>
      <c r="BH1432" s="42"/>
    </row>
    <row r="1433" spans="51:60" x14ac:dyDescent="0.2">
      <c r="AY1433" s="315"/>
      <c r="AZ1433" s="326"/>
      <c r="BA1433" s="175"/>
      <c r="BB1433" s="42"/>
      <c r="BC1433" s="431"/>
      <c r="BG1433" s="315"/>
      <c r="BH1433" s="42"/>
    </row>
    <row r="1434" spans="51:60" x14ac:dyDescent="0.2">
      <c r="AY1434" s="315"/>
      <c r="AZ1434" s="326"/>
      <c r="BA1434" s="175"/>
      <c r="BB1434" s="42"/>
      <c r="BC1434" s="431"/>
      <c r="BG1434" s="315"/>
      <c r="BH1434" s="42"/>
    </row>
    <row r="1435" spans="51:60" x14ac:dyDescent="0.2">
      <c r="AY1435" s="315"/>
      <c r="AZ1435" s="326"/>
      <c r="BA1435" s="175"/>
      <c r="BB1435" s="42"/>
      <c r="BC1435" s="431"/>
      <c r="BG1435" s="315"/>
      <c r="BH1435" s="42"/>
    </row>
    <row r="1436" spans="51:60" x14ac:dyDescent="0.2">
      <c r="AY1436" s="315"/>
      <c r="AZ1436" s="326"/>
      <c r="BA1436" s="175"/>
      <c r="BB1436" s="42"/>
      <c r="BC1436" s="431"/>
      <c r="BG1436" s="315"/>
      <c r="BH1436" s="42"/>
    </row>
    <row r="1437" spans="51:60" x14ac:dyDescent="0.2">
      <c r="AY1437" s="315"/>
      <c r="AZ1437" s="326"/>
      <c r="BA1437" s="175"/>
      <c r="BB1437" s="42"/>
      <c r="BC1437" s="431"/>
      <c r="BG1437" s="315"/>
      <c r="BH1437" s="42"/>
    </row>
    <row r="1438" spans="51:60" x14ac:dyDescent="0.2">
      <c r="AY1438" s="315"/>
      <c r="AZ1438" s="326"/>
      <c r="BA1438" s="175"/>
      <c r="BB1438" s="42"/>
      <c r="BC1438" s="431"/>
      <c r="BG1438" s="315"/>
      <c r="BH1438" s="42"/>
    </row>
    <row r="1439" spans="51:60" x14ac:dyDescent="0.2">
      <c r="AY1439" s="315"/>
      <c r="AZ1439" s="326"/>
      <c r="BA1439" s="175"/>
      <c r="BB1439" s="42"/>
      <c r="BC1439" s="431"/>
      <c r="BG1439" s="315"/>
      <c r="BH1439" s="42"/>
    </row>
    <row r="1440" spans="51:60" x14ac:dyDescent="0.2">
      <c r="AY1440" s="315"/>
      <c r="AZ1440" s="326"/>
      <c r="BA1440" s="175"/>
      <c r="BB1440" s="42"/>
      <c r="BC1440" s="431"/>
      <c r="BG1440" s="315"/>
      <c r="BH1440" s="42"/>
    </row>
    <row r="1441" spans="51:60" x14ac:dyDescent="0.2">
      <c r="AY1441" s="315"/>
      <c r="AZ1441" s="326"/>
      <c r="BA1441" s="175"/>
      <c r="BB1441" s="42"/>
      <c r="BC1441" s="431"/>
      <c r="BG1441" s="315"/>
      <c r="BH1441" s="42"/>
    </row>
    <row r="1442" spans="51:60" x14ac:dyDescent="0.2">
      <c r="AY1442" s="315"/>
      <c r="AZ1442" s="326"/>
      <c r="BA1442" s="175"/>
      <c r="BB1442" s="42"/>
      <c r="BC1442" s="431"/>
      <c r="BG1442" s="315"/>
      <c r="BH1442" s="42"/>
    </row>
    <row r="1443" spans="51:60" x14ac:dyDescent="0.2">
      <c r="AY1443" s="315"/>
      <c r="AZ1443" s="326"/>
      <c r="BA1443" s="175"/>
      <c r="BB1443" s="42"/>
      <c r="BC1443" s="431"/>
      <c r="BG1443" s="315"/>
      <c r="BH1443" s="42"/>
    </row>
    <row r="1444" spans="51:60" x14ac:dyDescent="0.2">
      <c r="AY1444" s="315"/>
      <c r="AZ1444" s="326"/>
      <c r="BA1444" s="175"/>
      <c r="BB1444" s="42"/>
      <c r="BC1444" s="431"/>
      <c r="BG1444" s="315"/>
      <c r="BH1444" s="42"/>
    </row>
    <row r="1445" spans="51:60" x14ac:dyDescent="0.2">
      <c r="AY1445" s="315"/>
      <c r="AZ1445" s="326"/>
      <c r="BA1445" s="175"/>
      <c r="BB1445" s="42"/>
      <c r="BC1445" s="431"/>
      <c r="BG1445" s="315"/>
      <c r="BH1445" s="42"/>
    </row>
    <row r="1446" spans="51:60" x14ac:dyDescent="0.2">
      <c r="AY1446" s="315"/>
      <c r="AZ1446" s="326"/>
      <c r="BA1446" s="175"/>
      <c r="BB1446" s="42"/>
      <c r="BC1446" s="431"/>
      <c r="BG1446" s="315"/>
      <c r="BH1446" s="42"/>
    </row>
    <row r="1447" spans="51:60" x14ac:dyDescent="0.2">
      <c r="AY1447" s="315"/>
      <c r="AZ1447" s="326"/>
      <c r="BA1447" s="175"/>
      <c r="BB1447" s="42"/>
      <c r="BC1447" s="431"/>
      <c r="BG1447" s="315"/>
      <c r="BH1447" s="42"/>
    </row>
    <row r="1448" spans="51:60" x14ac:dyDescent="0.2">
      <c r="AY1448" s="315"/>
      <c r="AZ1448" s="326"/>
      <c r="BA1448" s="175"/>
      <c r="BB1448" s="42"/>
      <c r="BC1448" s="431"/>
      <c r="BG1448" s="315"/>
      <c r="BH1448" s="42"/>
    </row>
    <row r="1449" spans="51:60" x14ac:dyDescent="0.2">
      <c r="AY1449" s="315"/>
      <c r="AZ1449" s="326"/>
      <c r="BA1449" s="175"/>
      <c r="BB1449" s="42"/>
      <c r="BC1449" s="431"/>
      <c r="BG1449" s="315"/>
      <c r="BH1449" s="42"/>
    </row>
    <row r="1450" spans="51:60" x14ac:dyDescent="0.2">
      <c r="AY1450" s="315"/>
      <c r="AZ1450" s="326"/>
      <c r="BA1450" s="175"/>
      <c r="BB1450" s="42"/>
      <c r="BC1450" s="431"/>
      <c r="BG1450" s="315"/>
      <c r="BH1450" s="42"/>
    </row>
    <row r="1451" spans="51:60" x14ac:dyDescent="0.2">
      <c r="AY1451" s="315"/>
      <c r="AZ1451" s="326"/>
      <c r="BA1451" s="175"/>
      <c r="BB1451" s="42"/>
      <c r="BC1451" s="431"/>
      <c r="BG1451" s="315"/>
      <c r="BH1451" s="42"/>
    </row>
    <row r="1452" spans="51:60" x14ac:dyDescent="0.2">
      <c r="AY1452" s="315"/>
      <c r="AZ1452" s="326"/>
      <c r="BA1452" s="175"/>
      <c r="BB1452" s="42"/>
      <c r="BC1452" s="431"/>
      <c r="BG1452" s="315"/>
      <c r="BH1452" s="42"/>
    </row>
    <row r="1453" spans="51:60" x14ac:dyDescent="0.2">
      <c r="AY1453" s="315"/>
      <c r="AZ1453" s="326"/>
      <c r="BA1453" s="175"/>
      <c r="BB1453" s="42"/>
      <c r="BC1453" s="431"/>
      <c r="BG1453" s="315"/>
      <c r="BH1453" s="42"/>
    </row>
    <row r="1454" spans="51:60" x14ac:dyDescent="0.2">
      <c r="AY1454" s="315"/>
      <c r="AZ1454" s="326"/>
      <c r="BA1454" s="175"/>
      <c r="BB1454" s="42"/>
      <c r="BC1454" s="431"/>
      <c r="BG1454" s="315"/>
      <c r="BH1454" s="42"/>
    </row>
    <row r="1455" spans="51:60" x14ac:dyDescent="0.2">
      <c r="AY1455" s="315"/>
      <c r="AZ1455" s="326"/>
      <c r="BA1455" s="175"/>
      <c r="BB1455" s="42"/>
      <c r="BC1455" s="431"/>
      <c r="BG1455" s="315"/>
      <c r="BH1455" s="42"/>
    </row>
    <row r="1456" spans="51:60" x14ac:dyDescent="0.2">
      <c r="AY1456" s="315"/>
      <c r="AZ1456" s="326"/>
      <c r="BA1456" s="175"/>
      <c r="BB1456" s="42"/>
      <c r="BC1456" s="431"/>
      <c r="BG1456" s="315"/>
      <c r="BH1456" s="42"/>
    </row>
    <row r="1457" spans="51:60" x14ac:dyDescent="0.2">
      <c r="AY1457" s="315"/>
      <c r="AZ1457" s="326"/>
      <c r="BA1457" s="175"/>
      <c r="BB1457" s="42"/>
      <c r="BC1457" s="431"/>
      <c r="BG1457" s="315"/>
      <c r="BH1457" s="42"/>
    </row>
    <row r="1458" spans="51:60" x14ac:dyDescent="0.2">
      <c r="AY1458" s="315"/>
      <c r="AZ1458" s="326"/>
      <c r="BA1458" s="175"/>
      <c r="BB1458" s="42"/>
      <c r="BC1458" s="431"/>
      <c r="BG1458" s="315"/>
      <c r="BH1458" s="42"/>
    </row>
    <row r="1459" spans="51:60" x14ac:dyDescent="0.2">
      <c r="AY1459" s="315"/>
      <c r="AZ1459" s="326"/>
      <c r="BA1459" s="175"/>
      <c r="BB1459" s="42"/>
      <c r="BC1459" s="431"/>
      <c r="BG1459" s="315"/>
      <c r="BH1459" s="42"/>
    </row>
    <row r="1460" spans="51:60" x14ac:dyDescent="0.2">
      <c r="AY1460" s="315"/>
      <c r="AZ1460" s="326"/>
      <c r="BA1460" s="175"/>
      <c r="BB1460" s="42"/>
      <c r="BC1460" s="431"/>
      <c r="BG1460" s="315"/>
      <c r="BH1460" s="42"/>
    </row>
    <row r="1461" spans="51:60" x14ac:dyDescent="0.2">
      <c r="AY1461" s="315"/>
      <c r="AZ1461" s="326"/>
      <c r="BA1461" s="175"/>
      <c r="BB1461" s="42"/>
      <c r="BC1461" s="431"/>
      <c r="BG1461" s="315"/>
      <c r="BH1461" s="42"/>
    </row>
    <row r="1462" spans="51:60" x14ac:dyDescent="0.2">
      <c r="AY1462" s="315"/>
      <c r="AZ1462" s="326"/>
      <c r="BA1462" s="175"/>
      <c r="BB1462" s="42"/>
      <c r="BC1462" s="431"/>
      <c r="BG1462" s="315"/>
      <c r="BH1462" s="42"/>
    </row>
    <row r="1463" spans="51:60" x14ac:dyDescent="0.2">
      <c r="AY1463" s="315"/>
      <c r="AZ1463" s="326"/>
      <c r="BA1463" s="175"/>
      <c r="BB1463" s="42"/>
      <c r="BC1463" s="431"/>
      <c r="BG1463" s="315"/>
      <c r="BH1463" s="42"/>
    </row>
    <row r="1464" spans="51:60" x14ac:dyDescent="0.2">
      <c r="AY1464" s="315"/>
      <c r="AZ1464" s="326"/>
      <c r="BA1464" s="175"/>
      <c r="BB1464" s="42"/>
      <c r="BC1464" s="431"/>
      <c r="BG1464" s="315"/>
      <c r="BH1464" s="42"/>
    </row>
    <row r="1465" spans="51:60" x14ac:dyDescent="0.2">
      <c r="AY1465" s="315"/>
      <c r="AZ1465" s="326"/>
      <c r="BA1465" s="175"/>
      <c r="BB1465" s="42"/>
      <c r="BC1465" s="431"/>
      <c r="BG1465" s="315"/>
      <c r="BH1465" s="42"/>
    </row>
    <row r="1466" spans="51:60" x14ac:dyDescent="0.2">
      <c r="AY1466" s="315"/>
      <c r="AZ1466" s="326"/>
      <c r="BA1466" s="175"/>
      <c r="BB1466" s="42"/>
      <c r="BC1466" s="431"/>
      <c r="BG1466" s="315"/>
      <c r="BH1466" s="42"/>
    </row>
    <row r="1467" spans="51:60" x14ac:dyDescent="0.2">
      <c r="AY1467" s="315"/>
      <c r="AZ1467" s="326"/>
      <c r="BA1467" s="175"/>
      <c r="BB1467" s="42"/>
      <c r="BC1467" s="431"/>
      <c r="BG1467" s="315"/>
      <c r="BH1467" s="42"/>
    </row>
    <row r="1468" spans="51:60" x14ac:dyDescent="0.2">
      <c r="AY1468" s="315"/>
      <c r="AZ1468" s="326"/>
      <c r="BA1468" s="175"/>
      <c r="BB1468" s="42"/>
      <c r="BC1468" s="431"/>
      <c r="BG1468" s="315"/>
      <c r="BH1468" s="42"/>
    </row>
    <row r="1469" spans="51:60" x14ac:dyDescent="0.2">
      <c r="AY1469" s="315"/>
      <c r="AZ1469" s="326"/>
      <c r="BA1469" s="175"/>
      <c r="BB1469" s="42"/>
      <c r="BC1469" s="431"/>
      <c r="BG1469" s="315"/>
      <c r="BH1469" s="42"/>
    </row>
    <row r="1470" spans="51:60" x14ac:dyDescent="0.2">
      <c r="AY1470" s="315"/>
      <c r="AZ1470" s="326"/>
      <c r="BA1470" s="175"/>
      <c r="BB1470" s="42"/>
      <c r="BC1470" s="431"/>
      <c r="BG1470" s="315"/>
      <c r="BH1470" s="42"/>
    </row>
    <row r="1471" spans="51:60" x14ac:dyDescent="0.2">
      <c r="AY1471" s="315"/>
      <c r="AZ1471" s="326"/>
      <c r="BA1471" s="175"/>
      <c r="BB1471" s="42"/>
      <c r="BC1471" s="431"/>
      <c r="BG1471" s="315"/>
      <c r="BH1471" s="42"/>
    </row>
    <row r="1472" spans="51:60" x14ac:dyDescent="0.2">
      <c r="AY1472" s="315"/>
      <c r="AZ1472" s="326"/>
      <c r="BA1472" s="175"/>
      <c r="BB1472" s="42"/>
      <c r="BC1472" s="431"/>
      <c r="BG1472" s="315"/>
      <c r="BH1472" s="42"/>
    </row>
    <row r="1473" spans="51:60" x14ac:dyDescent="0.2">
      <c r="AY1473" s="315"/>
      <c r="AZ1473" s="326"/>
      <c r="BA1473" s="175"/>
      <c r="BB1473" s="42"/>
      <c r="BC1473" s="431"/>
      <c r="BG1473" s="315"/>
      <c r="BH1473" s="42"/>
    </row>
    <row r="1474" spans="51:60" x14ac:dyDescent="0.2">
      <c r="AY1474" s="315"/>
      <c r="AZ1474" s="326"/>
      <c r="BA1474" s="175"/>
      <c r="BB1474" s="42"/>
      <c r="BC1474" s="431"/>
      <c r="BG1474" s="315"/>
      <c r="BH1474" s="42"/>
    </row>
    <row r="1475" spans="51:60" x14ac:dyDescent="0.2">
      <c r="AY1475" s="315"/>
      <c r="AZ1475" s="326"/>
      <c r="BA1475" s="175"/>
      <c r="BB1475" s="42"/>
      <c r="BC1475" s="431"/>
      <c r="BG1475" s="315"/>
      <c r="BH1475" s="42"/>
    </row>
    <row r="1476" spans="51:60" x14ac:dyDescent="0.2">
      <c r="AY1476" s="315"/>
      <c r="AZ1476" s="326"/>
      <c r="BA1476" s="175"/>
      <c r="BB1476" s="42"/>
      <c r="BC1476" s="431"/>
      <c r="BG1476" s="315"/>
      <c r="BH1476" s="42"/>
    </row>
    <row r="1477" spans="51:60" x14ac:dyDescent="0.2">
      <c r="AY1477" s="315"/>
      <c r="AZ1477" s="326"/>
      <c r="BA1477" s="175"/>
      <c r="BB1477" s="42"/>
      <c r="BC1477" s="431"/>
      <c r="BG1477" s="315"/>
      <c r="BH1477" s="42"/>
    </row>
    <row r="1478" spans="51:60" x14ac:dyDescent="0.2">
      <c r="AY1478" s="315"/>
      <c r="AZ1478" s="326"/>
      <c r="BA1478" s="175"/>
      <c r="BB1478" s="42"/>
      <c r="BC1478" s="431"/>
      <c r="BG1478" s="315"/>
      <c r="BH1478" s="42"/>
    </row>
    <row r="1479" spans="51:60" x14ac:dyDescent="0.2">
      <c r="AY1479" s="315"/>
      <c r="AZ1479" s="326"/>
      <c r="BA1479" s="175"/>
      <c r="BB1479" s="42"/>
      <c r="BC1479" s="431"/>
      <c r="BG1479" s="315"/>
      <c r="BH1479" s="42"/>
    </row>
    <row r="1480" spans="51:60" x14ac:dyDescent="0.2">
      <c r="AY1480" s="315"/>
      <c r="AZ1480" s="326"/>
      <c r="BA1480" s="175"/>
      <c r="BB1480" s="42"/>
      <c r="BC1480" s="431"/>
      <c r="BG1480" s="315"/>
      <c r="BH1480" s="42"/>
    </row>
    <row r="1481" spans="51:60" x14ac:dyDescent="0.2">
      <c r="AY1481" s="315"/>
      <c r="AZ1481" s="326"/>
      <c r="BA1481" s="175"/>
      <c r="BB1481" s="42"/>
      <c r="BC1481" s="431"/>
      <c r="BG1481" s="315"/>
      <c r="BH1481" s="42"/>
    </row>
    <row r="1482" spans="51:60" x14ac:dyDescent="0.2">
      <c r="AY1482" s="315"/>
      <c r="AZ1482" s="326"/>
      <c r="BA1482" s="175"/>
      <c r="BB1482" s="42"/>
      <c r="BC1482" s="431"/>
      <c r="BG1482" s="315"/>
      <c r="BH1482" s="42"/>
    </row>
    <row r="1483" spans="51:60" x14ac:dyDescent="0.2">
      <c r="AY1483" s="315"/>
      <c r="AZ1483" s="326"/>
      <c r="BA1483" s="175"/>
      <c r="BB1483" s="42"/>
      <c r="BC1483" s="431"/>
      <c r="BG1483" s="315"/>
      <c r="BH1483" s="42"/>
    </row>
    <row r="1484" spans="51:60" x14ac:dyDescent="0.2">
      <c r="AY1484" s="315"/>
      <c r="AZ1484" s="326"/>
      <c r="BA1484" s="175"/>
      <c r="BB1484" s="42"/>
      <c r="BC1484" s="431"/>
      <c r="BG1484" s="315"/>
      <c r="BH1484" s="42"/>
    </row>
    <row r="1485" spans="51:60" x14ac:dyDescent="0.2">
      <c r="AY1485" s="315"/>
      <c r="AZ1485" s="326"/>
      <c r="BA1485" s="175"/>
      <c r="BB1485" s="42"/>
      <c r="BC1485" s="431"/>
      <c r="BG1485" s="315"/>
      <c r="BH1485" s="42"/>
    </row>
    <row r="1486" spans="51:60" x14ac:dyDescent="0.2">
      <c r="AY1486" s="315"/>
      <c r="AZ1486" s="326"/>
      <c r="BA1486" s="175"/>
      <c r="BB1486" s="42"/>
      <c r="BC1486" s="431"/>
      <c r="BG1486" s="315"/>
      <c r="BH1486" s="42"/>
    </row>
    <row r="1487" spans="51:60" x14ac:dyDescent="0.2">
      <c r="AY1487" s="315"/>
      <c r="AZ1487" s="326"/>
      <c r="BA1487" s="175"/>
      <c r="BB1487" s="42"/>
      <c r="BC1487" s="431"/>
      <c r="BG1487" s="315"/>
      <c r="BH1487" s="42"/>
    </row>
    <row r="1488" spans="51:60" x14ac:dyDescent="0.2">
      <c r="AY1488" s="315"/>
      <c r="AZ1488" s="326"/>
      <c r="BA1488" s="175"/>
      <c r="BB1488" s="42"/>
      <c r="BC1488" s="431"/>
      <c r="BG1488" s="315"/>
      <c r="BH1488" s="42"/>
    </row>
    <row r="1489" spans="51:60" x14ac:dyDescent="0.2">
      <c r="AY1489" s="315"/>
      <c r="AZ1489" s="326"/>
      <c r="BA1489" s="175"/>
      <c r="BB1489" s="42"/>
      <c r="BC1489" s="431"/>
      <c r="BG1489" s="315"/>
      <c r="BH1489" s="42"/>
    </row>
    <row r="1490" spans="51:60" x14ac:dyDescent="0.2">
      <c r="AY1490" s="315"/>
      <c r="AZ1490" s="326"/>
      <c r="BA1490" s="175"/>
      <c r="BB1490" s="42"/>
      <c r="BC1490" s="431"/>
      <c r="BG1490" s="315"/>
      <c r="BH1490" s="42"/>
    </row>
    <row r="1491" spans="51:60" x14ac:dyDescent="0.2">
      <c r="AY1491" s="315"/>
      <c r="AZ1491" s="326"/>
      <c r="BA1491" s="175"/>
      <c r="BB1491" s="42"/>
      <c r="BC1491" s="431"/>
      <c r="BG1491" s="315"/>
      <c r="BH1491" s="42"/>
    </row>
    <row r="1492" spans="51:60" x14ac:dyDescent="0.2">
      <c r="AY1492" s="315"/>
      <c r="AZ1492" s="326"/>
      <c r="BA1492" s="175"/>
      <c r="BB1492" s="42"/>
      <c r="BC1492" s="431"/>
      <c r="BG1492" s="315"/>
      <c r="BH1492" s="42"/>
    </row>
    <row r="1493" spans="51:60" x14ac:dyDescent="0.2">
      <c r="AY1493" s="315"/>
      <c r="AZ1493" s="326"/>
      <c r="BA1493" s="175"/>
      <c r="BB1493" s="42"/>
      <c r="BC1493" s="431"/>
      <c r="BG1493" s="315"/>
      <c r="BH1493" s="42"/>
    </row>
    <row r="1494" spans="51:60" x14ac:dyDescent="0.2">
      <c r="AY1494" s="315"/>
      <c r="AZ1494" s="326"/>
      <c r="BA1494" s="175"/>
      <c r="BB1494" s="42"/>
      <c r="BC1494" s="431"/>
      <c r="BG1494" s="315"/>
      <c r="BH1494" s="42"/>
    </row>
    <row r="1495" spans="51:60" x14ac:dyDescent="0.2">
      <c r="AY1495" s="315"/>
      <c r="AZ1495" s="326"/>
      <c r="BA1495" s="175"/>
      <c r="BB1495" s="42"/>
      <c r="BC1495" s="431"/>
      <c r="BG1495" s="315"/>
      <c r="BH1495" s="42"/>
    </row>
    <row r="1496" spans="51:60" x14ac:dyDescent="0.2">
      <c r="AY1496" s="315"/>
      <c r="AZ1496" s="326"/>
      <c r="BA1496" s="175"/>
      <c r="BB1496" s="42"/>
      <c r="BC1496" s="431"/>
      <c r="BG1496" s="315"/>
      <c r="BH1496" s="42"/>
    </row>
    <row r="1497" spans="51:60" x14ac:dyDescent="0.2">
      <c r="AY1497" s="315"/>
      <c r="AZ1497" s="326"/>
      <c r="BA1497" s="175"/>
      <c r="BB1497" s="42"/>
      <c r="BC1497" s="431"/>
      <c r="BG1497" s="315"/>
      <c r="BH1497" s="42"/>
    </row>
    <row r="1498" spans="51:60" x14ac:dyDescent="0.2">
      <c r="AY1498" s="315"/>
      <c r="AZ1498" s="326"/>
      <c r="BA1498" s="175"/>
      <c r="BB1498" s="42"/>
      <c r="BC1498" s="431"/>
      <c r="BG1498" s="315"/>
      <c r="BH1498" s="42"/>
    </row>
    <row r="1499" spans="51:60" x14ac:dyDescent="0.2">
      <c r="AY1499" s="315"/>
      <c r="AZ1499" s="326"/>
      <c r="BA1499" s="175"/>
      <c r="BB1499" s="42"/>
      <c r="BC1499" s="431"/>
      <c r="BG1499" s="315"/>
      <c r="BH1499" s="42"/>
    </row>
    <row r="1500" spans="51:60" x14ac:dyDescent="0.2">
      <c r="AY1500" s="315"/>
      <c r="AZ1500" s="326"/>
      <c r="BA1500" s="175"/>
      <c r="BB1500" s="42"/>
      <c r="BC1500" s="431"/>
      <c r="BG1500" s="315"/>
      <c r="BH1500" s="42"/>
    </row>
    <row r="1501" spans="51:60" x14ac:dyDescent="0.2">
      <c r="AY1501" s="315"/>
      <c r="AZ1501" s="326"/>
      <c r="BA1501" s="175"/>
      <c r="BB1501" s="42"/>
      <c r="BC1501" s="431"/>
      <c r="BG1501" s="315"/>
      <c r="BH1501" s="42"/>
    </row>
    <row r="1502" spans="51:60" x14ac:dyDescent="0.2">
      <c r="AY1502" s="315"/>
      <c r="AZ1502" s="326"/>
      <c r="BA1502" s="175"/>
      <c r="BB1502" s="42"/>
      <c r="BC1502" s="431"/>
      <c r="BG1502" s="315"/>
      <c r="BH1502" s="42"/>
    </row>
    <row r="1503" spans="51:60" x14ac:dyDescent="0.2">
      <c r="AY1503" s="315"/>
      <c r="AZ1503" s="326"/>
      <c r="BA1503" s="175"/>
      <c r="BB1503" s="42"/>
      <c r="BC1503" s="431"/>
      <c r="BG1503" s="315"/>
      <c r="BH1503" s="42"/>
    </row>
    <row r="1504" spans="51:60" x14ac:dyDescent="0.2">
      <c r="AY1504" s="315"/>
      <c r="AZ1504" s="326"/>
      <c r="BA1504" s="175"/>
      <c r="BB1504" s="42"/>
      <c r="BC1504" s="431"/>
      <c r="BG1504" s="315"/>
      <c r="BH1504" s="42"/>
    </row>
    <row r="1505" spans="51:60" x14ac:dyDescent="0.2">
      <c r="AY1505" s="315"/>
      <c r="AZ1505" s="326"/>
      <c r="BA1505" s="175"/>
      <c r="BB1505" s="42"/>
      <c r="BC1505" s="431"/>
      <c r="BG1505" s="315"/>
      <c r="BH1505" s="42"/>
    </row>
    <row r="1506" spans="51:60" x14ac:dyDescent="0.2">
      <c r="AY1506" s="315"/>
      <c r="AZ1506" s="326"/>
      <c r="BA1506" s="175"/>
      <c r="BB1506" s="42"/>
      <c r="BC1506" s="431"/>
      <c r="BG1506" s="315"/>
      <c r="BH1506" s="42"/>
    </row>
    <row r="1507" spans="51:60" x14ac:dyDescent="0.2">
      <c r="AY1507" s="315"/>
      <c r="AZ1507" s="326"/>
      <c r="BA1507" s="175"/>
      <c r="BB1507" s="42"/>
      <c r="BC1507" s="431"/>
      <c r="BG1507" s="315"/>
      <c r="BH1507" s="42"/>
    </row>
    <row r="1508" spans="51:60" x14ac:dyDescent="0.2">
      <c r="AY1508" s="315"/>
      <c r="AZ1508" s="326"/>
      <c r="BA1508" s="175"/>
      <c r="BB1508" s="42"/>
      <c r="BC1508" s="431"/>
      <c r="BG1508" s="315"/>
      <c r="BH1508" s="42"/>
    </row>
    <row r="1509" spans="51:60" x14ac:dyDescent="0.2">
      <c r="AY1509" s="315"/>
      <c r="AZ1509" s="326"/>
      <c r="BA1509" s="175"/>
      <c r="BB1509" s="42"/>
      <c r="BC1509" s="431"/>
      <c r="BG1509" s="315"/>
      <c r="BH1509" s="42"/>
    </row>
    <row r="1510" spans="51:60" x14ac:dyDescent="0.2">
      <c r="AY1510" s="315"/>
      <c r="AZ1510" s="326"/>
      <c r="BA1510" s="175"/>
      <c r="BB1510" s="42"/>
      <c r="BC1510" s="431"/>
      <c r="BG1510" s="315"/>
      <c r="BH1510" s="42"/>
    </row>
    <row r="1511" spans="51:60" x14ac:dyDescent="0.2">
      <c r="AY1511" s="315"/>
      <c r="AZ1511" s="326"/>
      <c r="BA1511" s="175"/>
      <c r="BB1511" s="42"/>
      <c r="BC1511" s="431"/>
      <c r="BG1511" s="315"/>
      <c r="BH1511" s="42"/>
    </row>
    <row r="1512" spans="51:60" x14ac:dyDescent="0.2">
      <c r="AY1512" s="315"/>
      <c r="AZ1512" s="326"/>
      <c r="BA1512" s="175"/>
      <c r="BB1512" s="42"/>
      <c r="BC1512" s="431"/>
      <c r="BG1512" s="315"/>
      <c r="BH1512" s="42"/>
    </row>
    <row r="1513" spans="51:60" x14ac:dyDescent="0.2">
      <c r="AY1513" s="315"/>
      <c r="AZ1513" s="326"/>
      <c r="BA1513" s="175"/>
      <c r="BB1513" s="42"/>
      <c r="BC1513" s="431"/>
      <c r="BG1513" s="315"/>
      <c r="BH1513" s="42"/>
    </row>
    <row r="1514" spans="51:60" x14ac:dyDescent="0.2">
      <c r="AY1514" s="315"/>
      <c r="AZ1514" s="326"/>
      <c r="BA1514" s="175"/>
      <c r="BB1514" s="42"/>
      <c r="BC1514" s="431"/>
      <c r="BG1514" s="315"/>
      <c r="BH1514" s="42"/>
    </row>
    <row r="1515" spans="51:60" x14ac:dyDescent="0.2">
      <c r="AY1515" s="315"/>
      <c r="AZ1515" s="326"/>
      <c r="BA1515" s="175"/>
      <c r="BB1515" s="42"/>
      <c r="BC1515" s="431"/>
      <c r="BG1515" s="315"/>
      <c r="BH1515" s="42"/>
    </row>
    <row r="1516" spans="51:60" x14ac:dyDescent="0.2">
      <c r="AY1516" s="315"/>
      <c r="AZ1516" s="326"/>
      <c r="BA1516" s="175"/>
      <c r="BB1516" s="42"/>
      <c r="BC1516" s="431"/>
      <c r="BG1516" s="315"/>
      <c r="BH1516" s="42"/>
    </row>
    <row r="1517" spans="51:60" x14ac:dyDescent="0.2">
      <c r="AY1517" s="315"/>
      <c r="AZ1517" s="326"/>
      <c r="BA1517" s="175"/>
      <c r="BB1517" s="42"/>
      <c r="BC1517" s="431"/>
      <c r="BG1517" s="315"/>
      <c r="BH1517" s="42"/>
    </row>
    <row r="1518" spans="51:60" x14ac:dyDescent="0.2">
      <c r="AY1518" s="315"/>
      <c r="AZ1518" s="326"/>
      <c r="BA1518" s="175"/>
      <c r="BB1518" s="42"/>
      <c r="BC1518" s="431"/>
      <c r="BG1518" s="315"/>
      <c r="BH1518" s="42"/>
    </row>
    <row r="1519" spans="51:60" x14ac:dyDescent="0.2">
      <c r="AY1519" s="315"/>
      <c r="AZ1519" s="326"/>
      <c r="BA1519" s="175"/>
      <c r="BB1519" s="42"/>
      <c r="BC1519" s="431"/>
      <c r="BG1519" s="315"/>
      <c r="BH1519" s="42"/>
    </row>
    <row r="1520" spans="51:60" x14ac:dyDescent="0.2">
      <c r="AY1520" s="315"/>
      <c r="AZ1520" s="326"/>
      <c r="BA1520" s="175"/>
      <c r="BB1520" s="42"/>
      <c r="BC1520" s="431"/>
      <c r="BG1520" s="315"/>
      <c r="BH1520" s="42"/>
    </row>
    <row r="1521" spans="51:60" x14ac:dyDescent="0.2">
      <c r="AY1521" s="315"/>
      <c r="AZ1521" s="326"/>
      <c r="BA1521" s="175"/>
      <c r="BB1521" s="42"/>
      <c r="BC1521" s="431"/>
      <c r="BG1521" s="315"/>
      <c r="BH1521" s="42"/>
    </row>
    <row r="1522" spans="51:60" x14ac:dyDescent="0.2">
      <c r="AY1522" s="315"/>
      <c r="AZ1522" s="326"/>
      <c r="BA1522" s="175"/>
      <c r="BB1522" s="42"/>
      <c r="BC1522" s="431"/>
      <c r="BG1522" s="315"/>
      <c r="BH1522" s="42"/>
    </row>
    <row r="1523" spans="51:60" x14ac:dyDescent="0.2">
      <c r="AY1523" s="315"/>
      <c r="AZ1523" s="326"/>
      <c r="BA1523" s="175"/>
      <c r="BB1523" s="42"/>
      <c r="BC1523" s="431"/>
      <c r="BG1523" s="315"/>
      <c r="BH1523" s="42"/>
    </row>
    <row r="1524" spans="51:60" x14ac:dyDescent="0.2">
      <c r="AY1524" s="315"/>
      <c r="AZ1524" s="326"/>
      <c r="BA1524" s="175"/>
      <c r="BB1524" s="42"/>
      <c r="BC1524" s="431"/>
      <c r="BG1524" s="315"/>
      <c r="BH1524" s="42"/>
    </row>
    <row r="1525" spans="51:60" x14ac:dyDescent="0.2">
      <c r="AY1525" s="315"/>
      <c r="AZ1525" s="326"/>
      <c r="BA1525" s="175"/>
      <c r="BB1525" s="42"/>
      <c r="BC1525" s="431"/>
      <c r="BG1525" s="315"/>
      <c r="BH1525" s="42"/>
    </row>
    <row r="1526" spans="51:60" x14ac:dyDescent="0.2">
      <c r="AY1526" s="315"/>
      <c r="AZ1526" s="326"/>
      <c r="BA1526" s="175"/>
      <c r="BB1526" s="42"/>
      <c r="BC1526" s="431"/>
      <c r="BG1526" s="315"/>
      <c r="BH1526" s="42"/>
    </row>
    <row r="1527" spans="51:60" x14ac:dyDescent="0.2">
      <c r="AY1527" s="315"/>
      <c r="AZ1527" s="326"/>
      <c r="BA1527" s="175"/>
      <c r="BB1527" s="42"/>
      <c r="BC1527" s="431"/>
      <c r="BG1527" s="315"/>
      <c r="BH1527" s="42"/>
    </row>
    <row r="1528" spans="51:60" x14ac:dyDescent="0.2">
      <c r="AY1528" s="315"/>
      <c r="AZ1528" s="326"/>
      <c r="BA1528" s="175"/>
      <c r="BB1528" s="42"/>
      <c r="BC1528" s="431"/>
      <c r="BG1528" s="315"/>
      <c r="BH1528" s="42"/>
    </row>
    <row r="1529" spans="51:60" x14ac:dyDescent="0.2">
      <c r="AY1529" s="315"/>
      <c r="AZ1529" s="326"/>
      <c r="BA1529" s="175"/>
      <c r="BB1529" s="42"/>
      <c r="BC1529" s="431"/>
      <c r="BG1529" s="315"/>
      <c r="BH1529" s="42"/>
    </row>
    <row r="1530" spans="51:60" x14ac:dyDescent="0.2">
      <c r="AY1530" s="315"/>
      <c r="AZ1530" s="326"/>
      <c r="BA1530" s="175"/>
      <c r="BB1530" s="42"/>
      <c r="BC1530" s="431"/>
      <c r="BG1530" s="315"/>
      <c r="BH1530" s="42"/>
    </row>
    <row r="1531" spans="51:60" x14ac:dyDescent="0.2">
      <c r="AY1531" s="315"/>
      <c r="AZ1531" s="326"/>
      <c r="BA1531" s="175"/>
      <c r="BB1531" s="42"/>
      <c r="BC1531" s="431"/>
      <c r="BG1531" s="315"/>
      <c r="BH1531" s="42"/>
    </row>
    <row r="1532" spans="51:60" x14ac:dyDescent="0.2">
      <c r="AY1532" s="315"/>
      <c r="AZ1532" s="326"/>
      <c r="BA1532" s="175"/>
      <c r="BB1532" s="42"/>
      <c r="BC1532" s="431"/>
      <c r="BG1532" s="315"/>
      <c r="BH1532" s="42"/>
    </row>
    <row r="1533" spans="51:60" x14ac:dyDescent="0.2">
      <c r="AY1533" s="315"/>
      <c r="AZ1533" s="326"/>
      <c r="BA1533" s="175"/>
      <c r="BB1533" s="42"/>
      <c r="BC1533" s="431"/>
      <c r="BG1533" s="315"/>
      <c r="BH1533" s="42"/>
    </row>
    <row r="1534" spans="51:60" x14ac:dyDescent="0.2">
      <c r="AY1534" s="315"/>
      <c r="AZ1534" s="326"/>
      <c r="BA1534" s="175"/>
      <c r="BB1534" s="42"/>
      <c r="BC1534" s="431"/>
      <c r="BG1534" s="315"/>
      <c r="BH1534" s="42"/>
    </row>
    <row r="1535" spans="51:60" x14ac:dyDescent="0.2">
      <c r="AY1535" s="315"/>
      <c r="AZ1535" s="326"/>
      <c r="BA1535" s="175"/>
      <c r="BB1535" s="42"/>
      <c r="BC1535" s="431"/>
      <c r="BG1535" s="315"/>
      <c r="BH1535" s="42"/>
    </row>
    <row r="1536" spans="51:60" x14ac:dyDescent="0.2">
      <c r="AY1536" s="315"/>
      <c r="AZ1536" s="326"/>
      <c r="BA1536" s="175"/>
      <c r="BB1536" s="42"/>
      <c r="BC1536" s="431"/>
      <c r="BG1536" s="315"/>
      <c r="BH1536" s="42"/>
    </row>
    <row r="1537" spans="51:60" x14ac:dyDescent="0.2">
      <c r="AY1537" s="315"/>
      <c r="AZ1537" s="326"/>
      <c r="BA1537" s="175"/>
      <c r="BB1537" s="42"/>
      <c r="BC1537" s="431"/>
      <c r="BG1537" s="315"/>
      <c r="BH1537" s="42"/>
    </row>
    <row r="1538" spans="51:60" x14ac:dyDescent="0.2">
      <c r="AY1538" s="315"/>
      <c r="AZ1538" s="326"/>
      <c r="BA1538" s="175"/>
      <c r="BB1538" s="42"/>
      <c r="BC1538" s="431"/>
      <c r="BG1538" s="315"/>
      <c r="BH1538" s="42"/>
    </row>
    <row r="1539" spans="51:60" x14ac:dyDescent="0.2">
      <c r="AY1539" s="315"/>
      <c r="AZ1539" s="326"/>
      <c r="BA1539" s="175"/>
      <c r="BB1539" s="42"/>
      <c r="BC1539" s="431"/>
      <c r="BG1539" s="315"/>
      <c r="BH1539" s="42"/>
    </row>
    <row r="1540" spans="51:60" x14ac:dyDescent="0.2">
      <c r="AY1540" s="315"/>
      <c r="AZ1540" s="326"/>
      <c r="BA1540" s="175"/>
      <c r="BB1540" s="42"/>
      <c r="BC1540" s="431"/>
      <c r="BG1540" s="315"/>
      <c r="BH1540" s="42"/>
    </row>
    <row r="1541" spans="51:60" x14ac:dyDescent="0.2">
      <c r="AY1541" s="315"/>
      <c r="AZ1541" s="326"/>
      <c r="BA1541" s="175"/>
      <c r="BB1541" s="42"/>
      <c r="BC1541" s="431"/>
      <c r="BG1541" s="315"/>
      <c r="BH1541" s="42"/>
    </row>
    <row r="1542" spans="51:60" x14ac:dyDescent="0.2">
      <c r="AY1542" s="315"/>
      <c r="AZ1542" s="326"/>
      <c r="BA1542" s="175"/>
      <c r="BB1542" s="42"/>
      <c r="BC1542" s="431"/>
      <c r="BG1542" s="315"/>
      <c r="BH1542" s="42"/>
    </row>
    <row r="1543" spans="51:60" x14ac:dyDescent="0.2">
      <c r="AY1543" s="315"/>
      <c r="AZ1543" s="326"/>
      <c r="BA1543" s="175"/>
      <c r="BB1543" s="42"/>
      <c r="BC1543" s="431"/>
      <c r="BG1543" s="315"/>
      <c r="BH1543" s="42"/>
    </row>
    <row r="1544" spans="51:60" x14ac:dyDescent="0.2">
      <c r="AY1544" s="315"/>
      <c r="AZ1544" s="326"/>
      <c r="BA1544" s="175"/>
      <c r="BB1544" s="42"/>
      <c r="BC1544" s="431"/>
      <c r="BG1544" s="315"/>
      <c r="BH1544" s="42"/>
    </row>
    <row r="1545" spans="51:60" x14ac:dyDescent="0.2">
      <c r="AY1545" s="315"/>
      <c r="AZ1545" s="326"/>
      <c r="BA1545" s="175"/>
      <c r="BB1545" s="42"/>
      <c r="BC1545" s="431"/>
      <c r="BG1545" s="315"/>
      <c r="BH1545" s="42"/>
    </row>
    <row r="1546" spans="51:60" x14ac:dyDescent="0.2">
      <c r="AY1546" s="315"/>
      <c r="AZ1546" s="326"/>
      <c r="BA1546" s="175"/>
      <c r="BB1546" s="42"/>
      <c r="BC1546" s="431"/>
      <c r="BG1546" s="315"/>
      <c r="BH1546" s="42"/>
    </row>
    <row r="1547" spans="51:60" x14ac:dyDescent="0.2">
      <c r="AY1547" s="315"/>
      <c r="AZ1547" s="326"/>
      <c r="BA1547" s="175"/>
      <c r="BB1547" s="42"/>
      <c r="BC1547" s="431"/>
      <c r="BG1547" s="315"/>
      <c r="BH1547" s="42"/>
    </row>
    <row r="1548" spans="51:60" x14ac:dyDescent="0.2">
      <c r="AY1548" s="315"/>
      <c r="AZ1548" s="326"/>
      <c r="BA1548" s="175"/>
      <c r="BB1548" s="42"/>
      <c r="BC1548" s="431"/>
      <c r="BG1548" s="315"/>
      <c r="BH1548" s="42"/>
    </row>
    <row r="1549" spans="51:60" x14ac:dyDescent="0.2">
      <c r="AY1549" s="315"/>
      <c r="AZ1549" s="326"/>
      <c r="BA1549" s="175"/>
      <c r="BB1549" s="42"/>
      <c r="BC1549" s="431"/>
      <c r="BG1549" s="315"/>
      <c r="BH1549" s="42"/>
    </row>
    <row r="1550" spans="51:60" x14ac:dyDescent="0.2">
      <c r="AY1550" s="315"/>
      <c r="AZ1550" s="326"/>
      <c r="BA1550" s="175"/>
      <c r="BB1550" s="42"/>
      <c r="BC1550" s="431"/>
      <c r="BG1550" s="315"/>
      <c r="BH1550" s="42"/>
    </row>
    <row r="1551" spans="51:60" x14ac:dyDescent="0.2">
      <c r="AY1551" s="315"/>
      <c r="AZ1551" s="326"/>
      <c r="BA1551" s="175"/>
      <c r="BB1551" s="42"/>
      <c r="BC1551" s="431"/>
      <c r="BG1551" s="315"/>
      <c r="BH1551" s="42"/>
    </row>
    <row r="1552" spans="51:60" x14ac:dyDescent="0.2">
      <c r="AY1552" s="315"/>
      <c r="AZ1552" s="326"/>
      <c r="BA1552" s="175"/>
      <c r="BB1552" s="42"/>
      <c r="BC1552" s="431"/>
      <c r="BG1552" s="315"/>
      <c r="BH1552" s="42"/>
    </row>
    <row r="1553" spans="51:60" x14ac:dyDescent="0.2">
      <c r="AY1553" s="315"/>
      <c r="AZ1553" s="326"/>
      <c r="BA1553" s="175"/>
      <c r="BB1553" s="42"/>
      <c r="BC1553" s="431"/>
      <c r="BG1553" s="315"/>
      <c r="BH1553" s="42"/>
    </row>
    <row r="1554" spans="51:60" x14ac:dyDescent="0.2">
      <c r="AY1554" s="315"/>
      <c r="AZ1554" s="326"/>
      <c r="BA1554" s="175"/>
      <c r="BB1554" s="42"/>
      <c r="BC1554" s="431"/>
      <c r="BG1554" s="315"/>
      <c r="BH1554" s="42"/>
    </row>
    <row r="1555" spans="51:60" x14ac:dyDescent="0.2">
      <c r="AY1555" s="315"/>
      <c r="AZ1555" s="326"/>
      <c r="BA1555" s="175"/>
      <c r="BB1555" s="42"/>
      <c r="BC1555" s="431"/>
      <c r="BG1555" s="315"/>
      <c r="BH1555" s="42"/>
    </row>
    <row r="1556" spans="51:60" x14ac:dyDescent="0.2">
      <c r="AY1556" s="315"/>
      <c r="AZ1556" s="326"/>
      <c r="BA1556" s="175"/>
      <c r="BB1556" s="42"/>
      <c r="BC1556" s="431"/>
      <c r="BG1556" s="315"/>
      <c r="BH1556" s="42"/>
    </row>
    <row r="1557" spans="51:60" x14ac:dyDescent="0.2">
      <c r="AY1557" s="315"/>
      <c r="AZ1557" s="326"/>
      <c r="BA1557" s="175"/>
      <c r="BB1557" s="42"/>
      <c r="BC1557" s="431"/>
      <c r="BG1557" s="315"/>
      <c r="BH1557" s="42"/>
    </row>
    <row r="1558" spans="51:60" x14ac:dyDescent="0.2">
      <c r="AY1558" s="315"/>
      <c r="AZ1558" s="326"/>
      <c r="BA1558" s="175"/>
      <c r="BB1558" s="42"/>
      <c r="BC1558" s="431"/>
      <c r="BG1558" s="315"/>
      <c r="BH1558" s="42"/>
    </row>
    <row r="1559" spans="51:60" x14ac:dyDescent="0.2">
      <c r="AY1559" s="315"/>
      <c r="AZ1559" s="326"/>
      <c r="BA1559" s="175"/>
      <c r="BB1559" s="42"/>
      <c r="BC1559" s="431"/>
      <c r="BG1559" s="315"/>
      <c r="BH1559" s="42"/>
    </row>
    <row r="1560" spans="51:60" x14ac:dyDescent="0.2">
      <c r="AY1560" s="315"/>
      <c r="AZ1560" s="326"/>
      <c r="BA1560" s="175"/>
      <c r="BB1560" s="42"/>
      <c r="BC1560" s="431"/>
      <c r="BG1560" s="315"/>
      <c r="BH1560" s="42"/>
    </row>
    <row r="1561" spans="51:60" x14ac:dyDescent="0.2">
      <c r="AY1561" s="315"/>
      <c r="AZ1561" s="326"/>
      <c r="BA1561" s="175"/>
      <c r="BB1561" s="42"/>
      <c r="BC1561" s="431"/>
      <c r="BG1561" s="315"/>
      <c r="BH1561" s="42"/>
    </row>
    <row r="1562" spans="51:60" x14ac:dyDescent="0.2">
      <c r="AY1562" s="315"/>
      <c r="AZ1562" s="326"/>
      <c r="BA1562" s="175"/>
      <c r="BB1562" s="42"/>
      <c r="BC1562" s="431"/>
      <c r="BG1562" s="315"/>
      <c r="BH1562" s="42"/>
    </row>
    <row r="1563" spans="51:60" x14ac:dyDescent="0.2">
      <c r="AY1563" s="315"/>
      <c r="AZ1563" s="326"/>
      <c r="BA1563" s="175"/>
      <c r="BB1563" s="42"/>
      <c r="BC1563" s="431"/>
      <c r="BG1563" s="315"/>
      <c r="BH1563" s="42"/>
    </row>
    <row r="1564" spans="51:60" x14ac:dyDescent="0.2">
      <c r="AY1564" s="315"/>
      <c r="AZ1564" s="326"/>
      <c r="BA1564" s="175"/>
      <c r="BB1564" s="42"/>
      <c r="BC1564" s="431"/>
      <c r="BG1564" s="315"/>
      <c r="BH1564" s="42"/>
    </row>
    <row r="1565" spans="51:60" x14ac:dyDescent="0.2">
      <c r="AY1565" s="315"/>
      <c r="AZ1565" s="326"/>
      <c r="BA1565" s="175"/>
      <c r="BB1565" s="42"/>
      <c r="BC1565" s="431"/>
      <c r="BG1565" s="315"/>
      <c r="BH1565" s="42"/>
    </row>
    <row r="1566" spans="51:60" x14ac:dyDescent="0.2">
      <c r="AY1566" s="315"/>
      <c r="AZ1566" s="326"/>
      <c r="BA1566" s="175"/>
      <c r="BB1566" s="42"/>
      <c r="BC1566" s="431"/>
      <c r="BG1566" s="315"/>
      <c r="BH1566" s="42"/>
    </row>
    <row r="1567" spans="51:60" x14ac:dyDescent="0.2">
      <c r="AY1567" s="315"/>
      <c r="AZ1567" s="326"/>
      <c r="BA1567" s="175"/>
      <c r="BB1567" s="42"/>
      <c r="BC1567" s="431"/>
      <c r="BG1567" s="315"/>
      <c r="BH1567" s="42"/>
    </row>
    <row r="1568" spans="51:60" x14ac:dyDescent="0.2">
      <c r="AY1568" s="315"/>
      <c r="AZ1568" s="326"/>
      <c r="BA1568" s="175"/>
      <c r="BB1568" s="42"/>
      <c r="BC1568" s="431"/>
      <c r="BG1568" s="315"/>
      <c r="BH1568" s="42"/>
    </row>
    <row r="1569" spans="51:60" x14ac:dyDescent="0.2">
      <c r="AY1569" s="315"/>
      <c r="AZ1569" s="326"/>
      <c r="BA1569" s="175"/>
      <c r="BB1569" s="42"/>
      <c r="BC1569" s="431"/>
      <c r="BG1569" s="315"/>
      <c r="BH1569" s="42"/>
    </row>
    <row r="1570" spans="51:60" x14ac:dyDescent="0.2">
      <c r="AY1570" s="315"/>
      <c r="AZ1570" s="326"/>
      <c r="BA1570" s="175"/>
      <c r="BB1570" s="42"/>
      <c r="BC1570" s="431"/>
      <c r="BG1570" s="315"/>
      <c r="BH1570" s="42"/>
    </row>
    <row r="1571" spans="51:60" x14ac:dyDescent="0.2">
      <c r="AY1571" s="315"/>
      <c r="AZ1571" s="326"/>
      <c r="BA1571" s="175"/>
      <c r="BB1571" s="42"/>
      <c r="BC1571" s="431"/>
      <c r="BG1571" s="315"/>
      <c r="BH1571" s="42"/>
    </row>
    <row r="1572" spans="51:60" x14ac:dyDescent="0.2">
      <c r="AY1572" s="315"/>
      <c r="AZ1572" s="326"/>
      <c r="BA1572" s="175"/>
      <c r="BB1572" s="42"/>
      <c r="BC1572" s="431"/>
      <c r="BG1572" s="315"/>
      <c r="BH1572" s="42"/>
    </row>
    <row r="1573" spans="51:60" x14ac:dyDescent="0.2">
      <c r="AY1573" s="315"/>
      <c r="AZ1573" s="326"/>
      <c r="BA1573" s="175"/>
      <c r="BB1573" s="42"/>
      <c r="BC1573" s="431"/>
      <c r="BG1573" s="315"/>
      <c r="BH1573" s="42"/>
    </row>
    <row r="1574" spans="51:60" x14ac:dyDescent="0.2">
      <c r="AY1574" s="315"/>
      <c r="AZ1574" s="326"/>
      <c r="BA1574" s="175"/>
      <c r="BB1574" s="42"/>
      <c r="BC1574" s="431"/>
      <c r="BG1574" s="315"/>
      <c r="BH1574" s="42"/>
    </row>
    <row r="1575" spans="51:60" x14ac:dyDescent="0.2">
      <c r="AY1575" s="315"/>
      <c r="AZ1575" s="326"/>
      <c r="BA1575" s="175"/>
      <c r="BB1575" s="42"/>
      <c r="BC1575" s="431"/>
      <c r="BG1575" s="315"/>
      <c r="BH1575" s="42"/>
    </row>
    <row r="1576" spans="51:60" x14ac:dyDescent="0.2">
      <c r="AY1576" s="315"/>
      <c r="AZ1576" s="326"/>
      <c r="BA1576" s="175"/>
      <c r="BB1576" s="42"/>
      <c r="BC1576" s="431"/>
      <c r="BG1576" s="315"/>
      <c r="BH1576" s="42"/>
    </row>
    <row r="1577" spans="51:60" x14ac:dyDescent="0.2">
      <c r="AY1577" s="315"/>
      <c r="AZ1577" s="326"/>
      <c r="BA1577" s="175"/>
      <c r="BB1577" s="42"/>
      <c r="BC1577" s="431"/>
      <c r="BG1577" s="315"/>
      <c r="BH1577" s="42"/>
    </row>
    <row r="1578" spans="51:60" x14ac:dyDescent="0.2">
      <c r="AY1578" s="315"/>
      <c r="AZ1578" s="326"/>
      <c r="BA1578" s="175"/>
      <c r="BB1578" s="42"/>
      <c r="BC1578" s="431"/>
      <c r="BG1578" s="315"/>
      <c r="BH1578" s="42"/>
    </row>
    <row r="1579" spans="51:60" x14ac:dyDescent="0.2">
      <c r="AY1579" s="315"/>
      <c r="AZ1579" s="326"/>
      <c r="BA1579" s="175"/>
      <c r="BB1579" s="42"/>
      <c r="BC1579" s="431"/>
      <c r="BG1579" s="315"/>
      <c r="BH1579" s="42"/>
    </row>
    <row r="1580" spans="51:60" x14ac:dyDescent="0.2">
      <c r="AY1580" s="315"/>
      <c r="AZ1580" s="326"/>
      <c r="BA1580" s="175"/>
      <c r="BB1580" s="42"/>
      <c r="BC1580" s="431"/>
      <c r="BG1580" s="315"/>
      <c r="BH1580" s="42"/>
    </row>
    <row r="1581" spans="51:60" x14ac:dyDescent="0.2">
      <c r="AY1581" s="315"/>
      <c r="AZ1581" s="326"/>
      <c r="BA1581" s="175"/>
      <c r="BB1581" s="42"/>
      <c r="BC1581" s="431"/>
      <c r="BG1581" s="315"/>
      <c r="BH1581" s="42"/>
    </row>
    <row r="1582" spans="51:60" x14ac:dyDescent="0.2">
      <c r="AY1582" s="315"/>
      <c r="AZ1582" s="326"/>
      <c r="BA1582" s="175"/>
      <c r="BB1582" s="42"/>
      <c r="BC1582" s="431"/>
      <c r="BG1582" s="315"/>
      <c r="BH1582" s="42"/>
    </row>
    <row r="1583" spans="51:60" x14ac:dyDescent="0.2">
      <c r="AY1583" s="315"/>
      <c r="AZ1583" s="326"/>
      <c r="BA1583" s="175"/>
      <c r="BB1583" s="42"/>
      <c r="BC1583" s="431"/>
      <c r="BG1583" s="315"/>
      <c r="BH1583" s="42"/>
    </row>
    <row r="1584" spans="51:60" x14ac:dyDescent="0.2">
      <c r="AY1584" s="315"/>
      <c r="AZ1584" s="326"/>
      <c r="BA1584" s="175"/>
      <c r="BB1584" s="42"/>
      <c r="BC1584" s="431"/>
      <c r="BG1584" s="315"/>
      <c r="BH1584" s="42"/>
    </row>
    <row r="1585" spans="51:60" x14ac:dyDescent="0.2">
      <c r="AY1585" s="315"/>
      <c r="AZ1585" s="326"/>
      <c r="BA1585" s="175"/>
      <c r="BB1585" s="42"/>
      <c r="BC1585" s="431"/>
      <c r="BG1585" s="315"/>
      <c r="BH1585" s="42"/>
    </row>
    <row r="1586" spans="51:60" x14ac:dyDescent="0.2">
      <c r="AY1586" s="315"/>
      <c r="AZ1586" s="326"/>
      <c r="BA1586" s="175"/>
      <c r="BB1586" s="42"/>
      <c r="BC1586" s="431"/>
      <c r="BG1586" s="315"/>
      <c r="BH1586" s="42"/>
    </row>
    <row r="1587" spans="51:60" x14ac:dyDescent="0.2">
      <c r="AY1587" s="315"/>
      <c r="AZ1587" s="326"/>
      <c r="BA1587" s="175"/>
      <c r="BB1587" s="42"/>
      <c r="BC1587" s="431"/>
      <c r="BG1587" s="315"/>
      <c r="BH1587" s="42"/>
    </row>
    <row r="1588" spans="51:60" x14ac:dyDescent="0.2">
      <c r="AY1588" s="315"/>
      <c r="AZ1588" s="326"/>
      <c r="BA1588" s="175"/>
      <c r="BB1588" s="42"/>
      <c r="BC1588" s="431"/>
      <c r="BG1588" s="315"/>
      <c r="BH1588" s="42"/>
    </row>
    <row r="1589" spans="51:60" x14ac:dyDescent="0.2">
      <c r="AY1589" s="315"/>
      <c r="AZ1589" s="326"/>
      <c r="BA1589" s="175"/>
      <c r="BB1589" s="42"/>
      <c r="BC1589" s="431"/>
      <c r="BG1589" s="315"/>
      <c r="BH1589" s="42"/>
    </row>
    <row r="1590" spans="51:60" x14ac:dyDescent="0.2">
      <c r="AY1590" s="315"/>
      <c r="AZ1590" s="326"/>
      <c r="BA1590" s="175"/>
      <c r="BB1590" s="42"/>
      <c r="BC1590" s="431"/>
      <c r="BG1590" s="315"/>
      <c r="BH1590" s="42"/>
    </row>
    <row r="1591" spans="51:60" x14ac:dyDescent="0.2">
      <c r="AY1591" s="315"/>
      <c r="AZ1591" s="326"/>
      <c r="BA1591" s="175"/>
      <c r="BB1591" s="42"/>
      <c r="BC1591" s="431"/>
      <c r="BG1591" s="315"/>
      <c r="BH1591" s="42"/>
    </row>
    <row r="1592" spans="51:60" x14ac:dyDescent="0.2">
      <c r="AY1592" s="315"/>
      <c r="AZ1592" s="326"/>
      <c r="BA1592" s="175"/>
      <c r="BB1592" s="42"/>
      <c r="BC1592" s="431"/>
      <c r="BG1592" s="315"/>
      <c r="BH1592" s="42"/>
    </row>
    <row r="1593" spans="51:60" x14ac:dyDescent="0.2">
      <c r="AY1593" s="315"/>
      <c r="AZ1593" s="326"/>
      <c r="BA1593" s="175"/>
      <c r="BB1593" s="42"/>
      <c r="BC1593" s="431"/>
      <c r="BG1593" s="315"/>
      <c r="BH1593" s="42"/>
    </row>
    <row r="1594" spans="51:60" x14ac:dyDescent="0.2">
      <c r="AY1594" s="315"/>
      <c r="AZ1594" s="326"/>
      <c r="BA1594" s="175"/>
      <c r="BB1594" s="42"/>
      <c r="BC1594" s="431"/>
      <c r="BG1594" s="315"/>
      <c r="BH1594" s="42"/>
    </row>
    <row r="1595" spans="51:60" x14ac:dyDescent="0.2">
      <c r="AY1595" s="315"/>
      <c r="AZ1595" s="326"/>
      <c r="BA1595" s="175"/>
      <c r="BB1595" s="42"/>
      <c r="BC1595" s="431"/>
      <c r="BG1595" s="315"/>
      <c r="BH1595" s="42"/>
    </row>
    <row r="1596" spans="51:60" x14ac:dyDescent="0.2">
      <c r="AY1596" s="315"/>
      <c r="AZ1596" s="326"/>
      <c r="BA1596" s="175"/>
      <c r="BB1596" s="42"/>
      <c r="BC1596" s="431"/>
      <c r="BG1596" s="315"/>
      <c r="BH1596" s="42"/>
    </row>
    <row r="1597" spans="51:60" x14ac:dyDescent="0.2">
      <c r="AY1597" s="315"/>
      <c r="AZ1597" s="326"/>
      <c r="BA1597" s="175"/>
      <c r="BB1597" s="42"/>
      <c r="BC1597" s="431"/>
      <c r="BG1597" s="315"/>
      <c r="BH1597" s="42"/>
    </row>
    <row r="1598" spans="51:60" x14ac:dyDescent="0.2">
      <c r="AY1598" s="315"/>
      <c r="AZ1598" s="326"/>
      <c r="BA1598" s="175"/>
      <c r="BB1598" s="42"/>
      <c r="BC1598" s="431"/>
      <c r="BG1598" s="315"/>
      <c r="BH1598" s="42"/>
    </row>
    <row r="1599" spans="51:60" x14ac:dyDescent="0.2">
      <c r="AY1599" s="315"/>
      <c r="AZ1599" s="326"/>
      <c r="BA1599" s="175"/>
      <c r="BB1599" s="42"/>
      <c r="BC1599" s="431"/>
      <c r="BG1599" s="315"/>
      <c r="BH1599" s="42"/>
    </row>
    <row r="1600" spans="51:60" x14ac:dyDescent="0.2">
      <c r="AY1600" s="315"/>
      <c r="AZ1600" s="326"/>
      <c r="BA1600" s="175"/>
      <c r="BB1600" s="42"/>
      <c r="BC1600" s="431"/>
      <c r="BG1600" s="315"/>
      <c r="BH1600" s="42"/>
    </row>
    <row r="1601" spans="51:60" x14ac:dyDescent="0.2">
      <c r="AY1601" s="315"/>
      <c r="AZ1601" s="326"/>
      <c r="BA1601" s="175"/>
      <c r="BB1601" s="42"/>
      <c r="BC1601" s="431"/>
      <c r="BG1601" s="315"/>
      <c r="BH1601" s="42"/>
    </row>
    <row r="1602" spans="51:60" x14ac:dyDescent="0.2">
      <c r="AY1602" s="315"/>
      <c r="AZ1602" s="326"/>
      <c r="BA1602" s="175"/>
      <c r="BB1602" s="42"/>
      <c r="BC1602" s="431"/>
      <c r="BG1602" s="315"/>
      <c r="BH1602" s="42"/>
    </row>
    <row r="1603" spans="51:60" x14ac:dyDescent="0.2">
      <c r="AY1603" s="315"/>
      <c r="AZ1603" s="326"/>
      <c r="BA1603" s="175"/>
      <c r="BB1603" s="42"/>
      <c r="BC1603" s="431"/>
      <c r="BG1603" s="315"/>
      <c r="BH1603" s="42"/>
    </row>
    <row r="1604" spans="51:60" x14ac:dyDescent="0.2">
      <c r="AY1604" s="315"/>
      <c r="AZ1604" s="326"/>
      <c r="BA1604" s="175"/>
      <c r="BB1604" s="42"/>
      <c r="BC1604" s="431"/>
      <c r="BG1604" s="315"/>
      <c r="BH1604" s="42"/>
    </row>
    <row r="1605" spans="51:60" x14ac:dyDescent="0.2">
      <c r="AY1605" s="315"/>
      <c r="AZ1605" s="326"/>
      <c r="BA1605" s="175"/>
      <c r="BB1605" s="42"/>
      <c r="BC1605" s="431"/>
      <c r="BG1605" s="315"/>
      <c r="BH1605" s="42"/>
    </row>
    <row r="1606" spans="51:60" x14ac:dyDescent="0.2">
      <c r="AY1606" s="315"/>
      <c r="AZ1606" s="326"/>
      <c r="BA1606" s="175"/>
      <c r="BB1606" s="42"/>
      <c r="BC1606" s="431"/>
      <c r="BG1606" s="315"/>
      <c r="BH1606" s="42"/>
    </row>
    <row r="1607" spans="51:60" x14ac:dyDescent="0.2">
      <c r="AY1607" s="315"/>
      <c r="AZ1607" s="326"/>
      <c r="BA1607" s="175"/>
      <c r="BB1607" s="42"/>
      <c r="BC1607" s="431"/>
      <c r="BG1607" s="315"/>
      <c r="BH1607" s="42"/>
    </row>
    <row r="1608" spans="51:60" x14ac:dyDescent="0.2">
      <c r="AY1608" s="315"/>
      <c r="AZ1608" s="326"/>
      <c r="BA1608" s="175"/>
      <c r="BB1608" s="42"/>
      <c r="BC1608" s="431"/>
      <c r="BG1608" s="315"/>
      <c r="BH1608" s="42"/>
    </row>
    <row r="1609" spans="51:60" x14ac:dyDescent="0.2">
      <c r="AY1609" s="315"/>
      <c r="AZ1609" s="326"/>
      <c r="BA1609" s="175"/>
      <c r="BB1609" s="42"/>
      <c r="BC1609" s="431"/>
      <c r="BG1609" s="315"/>
      <c r="BH1609" s="42"/>
    </row>
    <row r="1610" spans="51:60" x14ac:dyDescent="0.2">
      <c r="AY1610" s="315"/>
      <c r="AZ1610" s="326"/>
      <c r="BA1610" s="175"/>
      <c r="BB1610" s="42"/>
      <c r="BC1610" s="431"/>
      <c r="BG1610" s="315"/>
      <c r="BH1610" s="42"/>
    </row>
    <row r="1611" spans="51:60" x14ac:dyDescent="0.2">
      <c r="AY1611" s="315"/>
      <c r="AZ1611" s="326"/>
      <c r="BA1611" s="175"/>
      <c r="BB1611" s="42"/>
      <c r="BC1611" s="431"/>
      <c r="BG1611" s="315"/>
      <c r="BH1611" s="42"/>
    </row>
    <row r="1612" spans="51:60" x14ac:dyDescent="0.2">
      <c r="AY1612" s="315"/>
      <c r="AZ1612" s="326"/>
      <c r="BA1612" s="175"/>
      <c r="BB1612" s="42"/>
      <c r="BC1612" s="431"/>
      <c r="BG1612" s="315"/>
      <c r="BH1612" s="42"/>
    </row>
    <row r="1613" spans="51:60" x14ac:dyDescent="0.2">
      <c r="AY1613" s="315"/>
      <c r="AZ1613" s="326"/>
      <c r="BA1613" s="175"/>
      <c r="BB1613" s="42"/>
      <c r="BC1613" s="431"/>
      <c r="BG1613" s="315"/>
      <c r="BH1613" s="42"/>
    </row>
    <row r="1614" spans="51:60" x14ac:dyDescent="0.2">
      <c r="AY1614" s="315"/>
      <c r="AZ1614" s="326"/>
      <c r="BA1614" s="175"/>
      <c r="BB1614" s="42"/>
      <c r="BC1614" s="431"/>
      <c r="BG1614" s="315"/>
      <c r="BH1614" s="42"/>
    </row>
    <row r="1615" spans="51:60" x14ac:dyDescent="0.2">
      <c r="AY1615" s="315"/>
      <c r="AZ1615" s="326"/>
      <c r="BA1615" s="175"/>
      <c r="BB1615" s="42"/>
      <c r="BC1615" s="431"/>
      <c r="BG1615" s="315"/>
      <c r="BH1615" s="42"/>
    </row>
    <row r="1616" spans="51:60" x14ac:dyDescent="0.2">
      <c r="AY1616" s="315"/>
      <c r="AZ1616" s="326"/>
      <c r="BA1616" s="175"/>
      <c r="BB1616" s="42"/>
      <c r="BC1616" s="431"/>
      <c r="BG1616" s="315"/>
      <c r="BH1616" s="42"/>
    </row>
    <row r="1617" spans="51:60" x14ac:dyDescent="0.2">
      <c r="AY1617" s="315"/>
      <c r="AZ1617" s="326"/>
      <c r="BA1617" s="175"/>
      <c r="BB1617" s="42"/>
      <c r="BC1617" s="431"/>
      <c r="BG1617" s="315"/>
      <c r="BH1617" s="42"/>
    </row>
    <row r="1618" spans="51:60" x14ac:dyDescent="0.2">
      <c r="AY1618" s="315"/>
      <c r="AZ1618" s="326"/>
      <c r="BA1618" s="175"/>
      <c r="BB1618" s="42"/>
      <c r="BC1618" s="431"/>
      <c r="BG1618" s="315"/>
      <c r="BH1618" s="42"/>
    </row>
    <row r="1619" spans="51:60" x14ac:dyDescent="0.2">
      <c r="AY1619" s="315"/>
      <c r="AZ1619" s="326"/>
      <c r="BA1619" s="175"/>
      <c r="BB1619" s="42"/>
      <c r="BC1619" s="431"/>
      <c r="BG1619" s="315"/>
      <c r="BH1619" s="42"/>
    </row>
    <row r="1620" spans="51:60" x14ac:dyDescent="0.2">
      <c r="AY1620" s="315"/>
      <c r="AZ1620" s="326"/>
      <c r="BA1620" s="175"/>
      <c r="BB1620" s="42"/>
      <c r="BC1620" s="431"/>
      <c r="BG1620" s="315"/>
      <c r="BH1620" s="42"/>
    </row>
    <row r="1621" spans="51:60" x14ac:dyDescent="0.2">
      <c r="AY1621" s="315"/>
      <c r="AZ1621" s="326"/>
      <c r="BA1621" s="175"/>
      <c r="BB1621" s="42"/>
      <c r="BC1621" s="431"/>
      <c r="BG1621" s="315"/>
      <c r="BH1621" s="42"/>
    </row>
    <row r="1622" spans="51:60" x14ac:dyDescent="0.2">
      <c r="AY1622" s="315"/>
      <c r="AZ1622" s="326"/>
      <c r="BA1622" s="175"/>
      <c r="BB1622" s="42"/>
      <c r="BC1622" s="431"/>
      <c r="BG1622" s="315"/>
      <c r="BH1622" s="42"/>
    </row>
    <row r="1623" spans="51:60" x14ac:dyDescent="0.2">
      <c r="AY1623" s="315"/>
      <c r="AZ1623" s="326"/>
      <c r="BA1623" s="175"/>
      <c r="BB1623" s="42"/>
      <c r="BC1623" s="431"/>
      <c r="BG1623" s="315"/>
      <c r="BH1623" s="42"/>
    </row>
    <row r="1624" spans="51:60" x14ac:dyDescent="0.2">
      <c r="AY1624" s="315"/>
      <c r="AZ1624" s="326"/>
      <c r="BA1624" s="175"/>
      <c r="BB1624" s="42"/>
      <c r="BC1624" s="431"/>
      <c r="BG1624" s="315"/>
      <c r="BH1624" s="42"/>
    </row>
    <row r="1625" spans="51:60" x14ac:dyDescent="0.2">
      <c r="AY1625" s="315"/>
      <c r="AZ1625" s="326"/>
      <c r="BA1625" s="175"/>
      <c r="BB1625" s="42"/>
      <c r="BC1625" s="431"/>
      <c r="BG1625" s="315"/>
      <c r="BH1625" s="42"/>
    </row>
    <row r="1626" spans="51:60" x14ac:dyDescent="0.2">
      <c r="AY1626" s="315"/>
      <c r="AZ1626" s="326"/>
      <c r="BA1626" s="175"/>
      <c r="BB1626" s="42"/>
      <c r="BC1626" s="431"/>
      <c r="BG1626" s="315"/>
      <c r="BH1626" s="42"/>
    </row>
    <row r="1627" spans="51:60" x14ac:dyDescent="0.2">
      <c r="AY1627" s="315"/>
      <c r="AZ1627" s="326"/>
      <c r="BA1627" s="175"/>
      <c r="BB1627" s="42"/>
      <c r="BC1627" s="431"/>
      <c r="BG1627" s="315"/>
      <c r="BH1627" s="42"/>
    </row>
    <row r="1628" spans="51:60" x14ac:dyDescent="0.2">
      <c r="AY1628" s="315"/>
      <c r="AZ1628" s="326"/>
      <c r="BA1628" s="175"/>
      <c r="BB1628" s="42"/>
      <c r="BC1628" s="431"/>
      <c r="BG1628" s="315"/>
      <c r="BH1628" s="42"/>
    </row>
    <row r="1629" spans="51:60" x14ac:dyDescent="0.2">
      <c r="AY1629" s="315"/>
      <c r="AZ1629" s="326"/>
      <c r="BA1629" s="175"/>
      <c r="BB1629" s="42"/>
      <c r="BC1629" s="431"/>
      <c r="BG1629" s="315"/>
      <c r="BH1629" s="42"/>
    </row>
    <row r="1630" spans="51:60" x14ac:dyDescent="0.2">
      <c r="AY1630" s="315"/>
      <c r="AZ1630" s="326"/>
      <c r="BA1630" s="175"/>
      <c r="BB1630" s="42"/>
      <c r="BC1630" s="431"/>
      <c r="BG1630" s="315"/>
      <c r="BH1630" s="42"/>
    </row>
    <row r="1631" spans="51:60" x14ac:dyDescent="0.2">
      <c r="AY1631" s="315"/>
      <c r="AZ1631" s="326"/>
      <c r="BA1631" s="175"/>
      <c r="BB1631" s="42"/>
      <c r="BC1631" s="431"/>
      <c r="BG1631" s="315"/>
      <c r="BH1631" s="42"/>
    </row>
    <row r="1632" spans="51:60" x14ac:dyDescent="0.2">
      <c r="AY1632" s="315"/>
      <c r="AZ1632" s="326"/>
      <c r="BA1632" s="175"/>
      <c r="BB1632" s="42"/>
      <c r="BC1632" s="431"/>
      <c r="BG1632" s="315"/>
      <c r="BH1632" s="42"/>
    </row>
    <row r="1633" spans="51:60" x14ac:dyDescent="0.2">
      <c r="AY1633" s="315"/>
      <c r="AZ1633" s="326"/>
      <c r="BA1633" s="175"/>
      <c r="BB1633" s="42"/>
      <c r="BC1633" s="431"/>
      <c r="BG1633" s="315"/>
      <c r="BH1633" s="42"/>
    </row>
    <row r="1634" spans="51:60" x14ac:dyDescent="0.2">
      <c r="AY1634" s="315"/>
      <c r="AZ1634" s="326"/>
      <c r="BA1634" s="175"/>
      <c r="BB1634" s="42"/>
      <c r="BC1634" s="431"/>
      <c r="BG1634" s="315"/>
      <c r="BH1634" s="42"/>
    </row>
    <row r="1635" spans="51:60" x14ac:dyDescent="0.2">
      <c r="AY1635" s="315"/>
      <c r="AZ1635" s="326"/>
      <c r="BA1635" s="175"/>
      <c r="BB1635" s="42"/>
      <c r="BC1635" s="431"/>
      <c r="BG1635" s="315"/>
      <c r="BH1635" s="42"/>
    </row>
    <row r="1636" spans="51:60" x14ac:dyDescent="0.2">
      <c r="AY1636" s="315"/>
      <c r="AZ1636" s="326"/>
      <c r="BA1636" s="175"/>
      <c r="BB1636" s="42"/>
      <c r="BC1636" s="431"/>
      <c r="BG1636" s="315"/>
      <c r="BH1636" s="42"/>
    </row>
    <row r="1637" spans="51:60" x14ac:dyDescent="0.2">
      <c r="AY1637" s="315"/>
      <c r="AZ1637" s="326"/>
      <c r="BA1637" s="175"/>
      <c r="BB1637" s="42"/>
      <c r="BC1637" s="431"/>
      <c r="BG1637" s="315"/>
      <c r="BH1637" s="42"/>
    </row>
    <row r="1638" spans="51:60" x14ac:dyDescent="0.2">
      <c r="AY1638" s="315"/>
      <c r="AZ1638" s="326"/>
      <c r="BA1638" s="175"/>
      <c r="BB1638" s="42"/>
      <c r="BC1638" s="431"/>
      <c r="BG1638" s="315"/>
      <c r="BH1638" s="42"/>
    </row>
    <row r="1639" spans="51:60" x14ac:dyDescent="0.2">
      <c r="AY1639" s="315"/>
      <c r="AZ1639" s="326"/>
      <c r="BA1639" s="175"/>
      <c r="BB1639" s="42"/>
      <c r="BC1639" s="431"/>
      <c r="BG1639" s="315"/>
      <c r="BH1639" s="42"/>
    </row>
    <row r="1640" spans="51:60" x14ac:dyDescent="0.2">
      <c r="AY1640" s="315"/>
      <c r="AZ1640" s="326"/>
      <c r="BA1640" s="175"/>
      <c r="BB1640" s="42"/>
      <c r="BC1640" s="431"/>
      <c r="BG1640" s="315"/>
      <c r="BH1640" s="42"/>
    </row>
    <row r="1641" spans="51:60" x14ac:dyDescent="0.2">
      <c r="AY1641" s="315"/>
      <c r="AZ1641" s="326"/>
      <c r="BA1641" s="175"/>
      <c r="BB1641" s="42"/>
      <c r="BC1641" s="431"/>
      <c r="BG1641" s="315"/>
      <c r="BH1641" s="42"/>
    </row>
    <row r="1642" spans="51:60" x14ac:dyDescent="0.2">
      <c r="AY1642" s="315"/>
      <c r="AZ1642" s="326"/>
      <c r="BA1642" s="175"/>
      <c r="BB1642" s="42"/>
      <c r="BC1642" s="431"/>
      <c r="BG1642" s="315"/>
      <c r="BH1642" s="42"/>
    </row>
    <row r="1643" spans="51:60" x14ac:dyDescent="0.2">
      <c r="AY1643" s="315"/>
      <c r="AZ1643" s="326"/>
      <c r="BA1643" s="175"/>
      <c r="BB1643" s="42"/>
      <c r="BC1643" s="431"/>
      <c r="BG1643" s="315"/>
      <c r="BH1643" s="42"/>
    </row>
    <row r="1644" spans="51:60" x14ac:dyDescent="0.2">
      <c r="AY1644" s="315"/>
      <c r="AZ1644" s="326"/>
      <c r="BA1644" s="175"/>
      <c r="BB1644" s="42"/>
      <c r="BC1644" s="431"/>
      <c r="BG1644" s="315"/>
      <c r="BH1644" s="42"/>
    </row>
    <row r="1645" spans="51:60" x14ac:dyDescent="0.2">
      <c r="AY1645" s="315"/>
      <c r="AZ1645" s="326"/>
      <c r="BA1645" s="175"/>
      <c r="BB1645" s="42"/>
      <c r="BC1645" s="431"/>
      <c r="BG1645" s="315"/>
      <c r="BH1645" s="42"/>
    </row>
    <row r="1646" spans="51:60" x14ac:dyDescent="0.2">
      <c r="AY1646" s="315"/>
      <c r="AZ1646" s="326"/>
      <c r="BA1646" s="175"/>
      <c r="BB1646" s="42"/>
      <c r="BC1646" s="431"/>
      <c r="BG1646" s="315"/>
      <c r="BH1646" s="42"/>
    </row>
    <row r="1647" spans="51:60" x14ac:dyDescent="0.2">
      <c r="AY1647" s="315"/>
      <c r="AZ1647" s="326"/>
      <c r="BA1647" s="175"/>
      <c r="BB1647" s="42"/>
      <c r="BC1647" s="431"/>
      <c r="BG1647" s="315"/>
      <c r="BH1647" s="42"/>
    </row>
    <row r="1648" spans="51:60" x14ac:dyDescent="0.2">
      <c r="AY1648" s="315"/>
      <c r="AZ1648" s="326"/>
      <c r="BA1648" s="175"/>
      <c r="BB1648" s="42"/>
      <c r="BC1648" s="431"/>
      <c r="BG1648" s="315"/>
      <c r="BH1648" s="42"/>
    </row>
    <row r="1649" spans="51:60" x14ac:dyDescent="0.2">
      <c r="AY1649" s="315"/>
      <c r="AZ1649" s="326"/>
      <c r="BA1649" s="175"/>
      <c r="BB1649" s="42"/>
      <c r="BC1649" s="431"/>
      <c r="BG1649" s="315"/>
      <c r="BH1649" s="42"/>
    </row>
    <row r="1650" spans="51:60" x14ac:dyDescent="0.2">
      <c r="AY1650" s="315"/>
      <c r="AZ1650" s="326"/>
      <c r="BA1650" s="175"/>
      <c r="BB1650" s="42"/>
      <c r="BC1650" s="431"/>
      <c r="BG1650" s="315"/>
      <c r="BH1650" s="42"/>
    </row>
    <row r="1651" spans="51:60" x14ac:dyDescent="0.2">
      <c r="AY1651" s="315"/>
      <c r="AZ1651" s="326"/>
      <c r="BA1651" s="175"/>
      <c r="BB1651" s="42"/>
      <c r="BC1651" s="431"/>
      <c r="BG1651" s="315"/>
      <c r="BH1651" s="42"/>
    </row>
    <row r="1652" spans="51:60" x14ac:dyDescent="0.2">
      <c r="AY1652" s="315"/>
      <c r="AZ1652" s="326"/>
      <c r="BA1652" s="175"/>
      <c r="BB1652" s="42"/>
      <c r="BC1652" s="431"/>
      <c r="BG1652" s="315"/>
      <c r="BH1652" s="42"/>
    </row>
    <row r="1653" spans="51:60" x14ac:dyDescent="0.2">
      <c r="AY1653" s="315"/>
      <c r="AZ1653" s="326"/>
      <c r="BA1653" s="175"/>
      <c r="BB1653" s="42"/>
      <c r="BC1653" s="431"/>
      <c r="BG1653" s="315"/>
      <c r="BH1653" s="42"/>
    </row>
    <row r="1654" spans="51:60" x14ac:dyDescent="0.2">
      <c r="AY1654" s="315"/>
      <c r="AZ1654" s="326"/>
      <c r="BA1654" s="175"/>
      <c r="BB1654" s="42"/>
      <c r="BC1654" s="431"/>
      <c r="BG1654" s="315"/>
      <c r="BH1654" s="42"/>
    </row>
    <row r="1655" spans="51:60" x14ac:dyDescent="0.2">
      <c r="AY1655" s="315"/>
      <c r="AZ1655" s="326"/>
      <c r="BA1655" s="175"/>
      <c r="BB1655" s="42"/>
      <c r="BC1655" s="431"/>
      <c r="BG1655" s="315"/>
      <c r="BH1655" s="42"/>
    </row>
    <row r="1656" spans="51:60" x14ac:dyDescent="0.2">
      <c r="AY1656" s="315"/>
      <c r="AZ1656" s="326"/>
      <c r="BA1656" s="175"/>
      <c r="BB1656" s="42"/>
      <c r="BC1656" s="431"/>
      <c r="BG1656" s="315"/>
      <c r="BH1656" s="42"/>
    </row>
    <row r="1657" spans="51:60" x14ac:dyDescent="0.2">
      <c r="AY1657" s="315"/>
      <c r="AZ1657" s="326"/>
      <c r="BA1657" s="175"/>
      <c r="BB1657" s="42"/>
      <c r="BC1657" s="431"/>
      <c r="BG1657" s="315"/>
      <c r="BH1657" s="42"/>
    </row>
    <row r="1658" spans="51:60" x14ac:dyDescent="0.2">
      <c r="AY1658" s="315"/>
      <c r="AZ1658" s="326"/>
      <c r="BA1658" s="175"/>
      <c r="BB1658" s="42"/>
      <c r="BC1658" s="431"/>
      <c r="BG1658" s="315"/>
      <c r="BH1658" s="42"/>
    </row>
    <row r="1659" spans="51:60" x14ac:dyDescent="0.2">
      <c r="AY1659" s="315"/>
      <c r="AZ1659" s="326"/>
      <c r="BA1659" s="175"/>
      <c r="BB1659" s="42"/>
      <c r="BC1659" s="431"/>
      <c r="BG1659" s="315"/>
      <c r="BH1659" s="42"/>
    </row>
    <row r="1660" spans="51:60" x14ac:dyDescent="0.2">
      <c r="AY1660" s="315"/>
      <c r="AZ1660" s="326"/>
      <c r="BA1660" s="175"/>
      <c r="BB1660" s="42"/>
      <c r="BC1660" s="431"/>
      <c r="BG1660" s="315"/>
      <c r="BH1660" s="42"/>
    </row>
    <row r="1661" spans="51:60" x14ac:dyDescent="0.2">
      <c r="AY1661" s="315"/>
      <c r="AZ1661" s="326"/>
      <c r="BA1661" s="175"/>
      <c r="BB1661" s="42"/>
      <c r="BC1661" s="431"/>
      <c r="BG1661" s="315"/>
      <c r="BH1661" s="42"/>
    </row>
    <row r="1662" spans="51:60" x14ac:dyDescent="0.2">
      <c r="AY1662" s="315"/>
      <c r="AZ1662" s="326"/>
      <c r="BA1662" s="175"/>
      <c r="BB1662" s="42"/>
      <c r="BC1662" s="431"/>
      <c r="BG1662" s="315"/>
      <c r="BH1662" s="42"/>
    </row>
    <row r="1663" spans="51:60" x14ac:dyDescent="0.2">
      <c r="AY1663" s="315"/>
      <c r="AZ1663" s="326"/>
      <c r="BA1663" s="175"/>
      <c r="BB1663" s="42"/>
      <c r="BC1663" s="431"/>
      <c r="BG1663" s="315"/>
      <c r="BH1663" s="42"/>
    </row>
    <row r="1664" spans="51:60" x14ac:dyDescent="0.2">
      <c r="AY1664" s="315"/>
      <c r="AZ1664" s="326"/>
      <c r="BA1664" s="175"/>
      <c r="BB1664" s="42"/>
      <c r="BC1664" s="431"/>
      <c r="BG1664" s="315"/>
      <c r="BH1664" s="42"/>
    </row>
    <row r="1665" spans="51:60" x14ac:dyDescent="0.2">
      <c r="AY1665" s="315"/>
      <c r="AZ1665" s="326"/>
      <c r="BA1665" s="175"/>
      <c r="BB1665" s="42"/>
      <c r="BC1665" s="431"/>
      <c r="BG1665" s="315"/>
      <c r="BH1665" s="42"/>
    </row>
    <row r="1666" spans="51:60" x14ac:dyDescent="0.2">
      <c r="AY1666" s="315"/>
      <c r="AZ1666" s="326"/>
      <c r="BA1666" s="175"/>
      <c r="BB1666" s="42"/>
      <c r="BC1666" s="431"/>
      <c r="BG1666" s="315"/>
      <c r="BH1666" s="42"/>
    </row>
    <row r="1667" spans="51:60" x14ac:dyDescent="0.2">
      <c r="AY1667" s="315"/>
      <c r="AZ1667" s="326"/>
      <c r="BA1667" s="175"/>
      <c r="BB1667" s="42"/>
      <c r="BC1667" s="431"/>
      <c r="BG1667" s="315"/>
      <c r="BH1667" s="42"/>
    </row>
    <row r="1668" spans="51:60" x14ac:dyDescent="0.2">
      <c r="AY1668" s="315"/>
      <c r="AZ1668" s="326"/>
      <c r="BA1668" s="175"/>
      <c r="BB1668" s="42"/>
      <c r="BC1668" s="431"/>
      <c r="BG1668" s="315"/>
      <c r="BH1668" s="42"/>
    </row>
    <row r="1669" spans="51:60" x14ac:dyDescent="0.2">
      <c r="AY1669" s="315"/>
      <c r="AZ1669" s="326"/>
      <c r="BA1669" s="175"/>
      <c r="BB1669" s="42"/>
      <c r="BC1669" s="431"/>
      <c r="BG1669" s="315"/>
      <c r="BH1669" s="42"/>
    </row>
    <row r="1670" spans="51:60" x14ac:dyDescent="0.2">
      <c r="AY1670" s="315"/>
      <c r="AZ1670" s="326"/>
      <c r="BA1670" s="175"/>
      <c r="BB1670" s="42"/>
      <c r="BC1670" s="431"/>
      <c r="BG1670" s="315"/>
      <c r="BH1670" s="42"/>
    </row>
    <row r="1671" spans="51:60" x14ac:dyDescent="0.2">
      <c r="AY1671" s="315"/>
      <c r="AZ1671" s="326"/>
      <c r="BA1671" s="175"/>
      <c r="BB1671" s="42"/>
      <c r="BC1671" s="431"/>
      <c r="BG1671" s="315"/>
      <c r="BH1671" s="42"/>
    </row>
    <row r="1672" spans="51:60" x14ac:dyDescent="0.2">
      <c r="AY1672" s="315"/>
      <c r="AZ1672" s="326"/>
      <c r="BA1672" s="175"/>
      <c r="BB1672" s="42"/>
      <c r="BC1672" s="431"/>
      <c r="BG1672" s="315"/>
      <c r="BH1672" s="42"/>
    </row>
    <row r="1673" spans="51:60" x14ac:dyDescent="0.2">
      <c r="AY1673" s="315"/>
      <c r="AZ1673" s="326"/>
      <c r="BA1673" s="175"/>
      <c r="BB1673" s="42"/>
      <c r="BC1673" s="431"/>
      <c r="BG1673" s="315"/>
      <c r="BH1673" s="42"/>
    </row>
    <row r="1674" spans="51:60" x14ac:dyDescent="0.2">
      <c r="AY1674" s="315"/>
      <c r="AZ1674" s="326"/>
      <c r="BA1674" s="175"/>
      <c r="BB1674" s="42"/>
      <c r="BC1674" s="431"/>
      <c r="BG1674" s="315"/>
      <c r="BH1674" s="42"/>
    </row>
    <row r="1675" spans="51:60" x14ac:dyDescent="0.2">
      <c r="AY1675" s="315"/>
      <c r="AZ1675" s="326"/>
      <c r="BA1675" s="175"/>
      <c r="BB1675" s="42"/>
      <c r="BC1675" s="431"/>
      <c r="BG1675" s="315"/>
      <c r="BH1675" s="42"/>
    </row>
    <row r="1676" spans="51:60" x14ac:dyDescent="0.2">
      <c r="AY1676" s="315"/>
      <c r="AZ1676" s="326"/>
      <c r="BA1676" s="175"/>
      <c r="BB1676" s="42"/>
      <c r="BC1676" s="431"/>
      <c r="BG1676" s="315"/>
      <c r="BH1676" s="42"/>
    </row>
    <row r="1677" spans="51:60" x14ac:dyDescent="0.2">
      <c r="AY1677" s="315"/>
      <c r="AZ1677" s="326"/>
      <c r="BA1677" s="175"/>
      <c r="BB1677" s="42"/>
      <c r="BC1677" s="431"/>
      <c r="BG1677" s="315"/>
      <c r="BH1677" s="42"/>
    </row>
    <row r="1678" spans="51:60" x14ac:dyDescent="0.2">
      <c r="AY1678" s="315"/>
      <c r="AZ1678" s="326"/>
      <c r="BA1678" s="175"/>
      <c r="BB1678" s="42"/>
      <c r="BC1678" s="431"/>
      <c r="BG1678" s="315"/>
      <c r="BH1678" s="42"/>
    </row>
    <row r="1679" spans="51:60" x14ac:dyDescent="0.2">
      <c r="AY1679" s="315"/>
      <c r="AZ1679" s="326"/>
      <c r="BA1679" s="175"/>
      <c r="BB1679" s="42"/>
      <c r="BC1679" s="431"/>
      <c r="BG1679" s="315"/>
      <c r="BH1679" s="42"/>
    </row>
    <row r="1680" spans="51:60" x14ac:dyDescent="0.2">
      <c r="AY1680" s="315"/>
      <c r="AZ1680" s="326"/>
      <c r="BA1680" s="175"/>
      <c r="BB1680" s="42"/>
      <c r="BC1680" s="431"/>
      <c r="BG1680" s="315"/>
      <c r="BH1680" s="42"/>
    </row>
    <row r="1681" spans="51:60" x14ac:dyDescent="0.2">
      <c r="AY1681" s="315"/>
      <c r="AZ1681" s="326"/>
      <c r="BA1681" s="175"/>
      <c r="BB1681" s="42"/>
      <c r="BC1681" s="431"/>
      <c r="BG1681" s="315"/>
      <c r="BH1681" s="42"/>
    </row>
    <row r="1682" spans="51:60" x14ac:dyDescent="0.2">
      <c r="AY1682" s="315"/>
      <c r="AZ1682" s="326"/>
      <c r="BA1682" s="175"/>
      <c r="BB1682" s="42"/>
      <c r="BC1682" s="431"/>
      <c r="BG1682" s="315"/>
      <c r="BH1682" s="42"/>
    </row>
    <row r="1683" spans="51:60" x14ac:dyDescent="0.2">
      <c r="AY1683" s="315"/>
      <c r="AZ1683" s="326"/>
      <c r="BA1683" s="175"/>
      <c r="BB1683" s="42"/>
      <c r="BC1683" s="431"/>
      <c r="BG1683" s="315"/>
      <c r="BH1683" s="42"/>
    </row>
    <row r="1684" spans="51:60" x14ac:dyDescent="0.2">
      <c r="AY1684" s="315"/>
      <c r="AZ1684" s="326"/>
      <c r="BA1684" s="175"/>
      <c r="BB1684" s="42"/>
      <c r="BC1684" s="431"/>
      <c r="BG1684" s="315"/>
      <c r="BH1684" s="42"/>
    </row>
    <row r="1685" spans="51:60" x14ac:dyDescent="0.2">
      <c r="AY1685" s="315"/>
      <c r="AZ1685" s="326"/>
      <c r="BA1685" s="175"/>
      <c r="BB1685" s="42"/>
      <c r="BC1685" s="431"/>
      <c r="BG1685" s="315"/>
      <c r="BH1685" s="42"/>
    </row>
    <row r="1686" spans="51:60" x14ac:dyDescent="0.2">
      <c r="AY1686" s="315"/>
      <c r="AZ1686" s="326"/>
      <c r="BA1686" s="175"/>
      <c r="BB1686" s="42"/>
      <c r="BC1686" s="431"/>
      <c r="BG1686" s="315"/>
      <c r="BH1686" s="42"/>
    </row>
    <row r="1687" spans="51:60" x14ac:dyDescent="0.2">
      <c r="AY1687" s="315"/>
      <c r="AZ1687" s="326"/>
      <c r="BA1687" s="175"/>
      <c r="BB1687" s="42"/>
      <c r="BC1687" s="431"/>
      <c r="BG1687" s="315"/>
      <c r="BH1687" s="42"/>
    </row>
    <row r="1688" spans="51:60" x14ac:dyDescent="0.2">
      <c r="AY1688" s="315"/>
      <c r="AZ1688" s="326"/>
      <c r="BA1688" s="175"/>
      <c r="BB1688" s="42"/>
      <c r="BC1688" s="431"/>
      <c r="BG1688" s="315"/>
      <c r="BH1688" s="42"/>
    </row>
    <row r="1689" spans="51:60" x14ac:dyDescent="0.2">
      <c r="AY1689" s="315"/>
      <c r="AZ1689" s="326"/>
      <c r="BA1689" s="175"/>
      <c r="BB1689" s="42"/>
      <c r="BC1689" s="431"/>
      <c r="BG1689" s="315"/>
      <c r="BH1689" s="42"/>
    </row>
    <row r="1690" spans="51:60" x14ac:dyDescent="0.2">
      <c r="AY1690" s="315"/>
      <c r="AZ1690" s="326"/>
      <c r="BA1690" s="175"/>
      <c r="BB1690" s="42"/>
      <c r="BC1690" s="431"/>
      <c r="BG1690" s="315"/>
      <c r="BH1690" s="42"/>
    </row>
    <row r="1691" spans="51:60" x14ac:dyDescent="0.2">
      <c r="AY1691" s="315"/>
      <c r="AZ1691" s="326"/>
      <c r="BA1691" s="175"/>
      <c r="BB1691" s="42"/>
      <c r="BC1691" s="431"/>
      <c r="BG1691" s="315"/>
      <c r="BH1691" s="42"/>
    </row>
    <row r="1692" spans="51:60" x14ac:dyDescent="0.2">
      <c r="AY1692" s="315"/>
      <c r="AZ1692" s="326"/>
      <c r="BA1692" s="175"/>
      <c r="BB1692" s="42"/>
      <c r="BC1692" s="431"/>
      <c r="BG1692" s="315"/>
      <c r="BH1692" s="42"/>
    </row>
    <row r="1693" spans="51:60" x14ac:dyDescent="0.2">
      <c r="AY1693" s="315"/>
      <c r="AZ1693" s="326"/>
      <c r="BA1693" s="175"/>
      <c r="BB1693" s="42"/>
      <c r="BC1693" s="431"/>
      <c r="BG1693" s="315"/>
      <c r="BH1693" s="42"/>
    </row>
    <row r="1694" spans="51:60" x14ac:dyDescent="0.2">
      <c r="AY1694" s="315"/>
      <c r="AZ1694" s="326"/>
      <c r="BA1694" s="175"/>
      <c r="BB1694" s="42"/>
      <c r="BC1694" s="431"/>
      <c r="BG1694" s="315"/>
      <c r="BH1694" s="42"/>
    </row>
    <row r="1695" spans="51:60" x14ac:dyDescent="0.2">
      <c r="AY1695" s="315"/>
      <c r="AZ1695" s="326"/>
      <c r="BA1695" s="175"/>
      <c r="BB1695" s="42"/>
      <c r="BC1695" s="431"/>
      <c r="BG1695" s="315"/>
      <c r="BH1695" s="42"/>
    </row>
    <row r="1696" spans="51:60" x14ac:dyDescent="0.2">
      <c r="AY1696" s="315"/>
      <c r="AZ1696" s="326"/>
      <c r="BA1696" s="175"/>
      <c r="BB1696" s="42"/>
      <c r="BC1696" s="431"/>
      <c r="BG1696" s="315"/>
      <c r="BH1696" s="42"/>
    </row>
    <row r="1697" spans="51:60" x14ac:dyDescent="0.2">
      <c r="AY1697" s="315"/>
      <c r="AZ1697" s="326"/>
      <c r="BA1697" s="175"/>
      <c r="BB1697" s="42"/>
      <c r="BC1697" s="431"/>
      <c r="BG1697" s="315"/>
      <c r="BH1697" s="42"/>
    </row>
    <row r="1698" spans="51:60" x14ac:dyDescent="0.2">
      <c r="AY1698" s="315"/>
      <c r="AZ1698" s="326"/>
      <c r="BA1698" s="175"/>
      <c r="BB1698" s="42"/>
      <c r="BC1698" s="431"/>
      <c r="BG1698" s="315"/>
      <c r="BH1698" s="42"/>
    </row>
    <row r="1699" spans="51:60" x14ac:dyDescent="0.2">
      <c r="AY1699" s="315"/>
      <c r="AZ1699" s="326"/>
      <c r="BA1699" s="175"/>
      <c r="BB1699" s="42"/>
      <c r="BC1699" s="431"/>
      <c r="BG1699" s="315"/>
      <c r="BH1699" s="42"/>
    </row>
    <row r="1700" spans="51:60" x14ac:dyDescent="0.2">
      <c r="AY1700" s="315"/>
      <c r="AZ1700" s="326"/>
      <c r="BA1700" s="175"/>
      <c r="BB1700" s="42"/>
      <c r="BC1700" s="431"/>
      <c r="BG1700" s="315"/>
      <c r="BH1700" s="42"/>
    </row>
    <row r="1701" spans="51:60" x14ac:dyDescent="0.2">
      <c r="AY1701" s="315"/>
      <c r="AZ1701" s="326"/>
      <c r="BA1701" s="175"/>
      <c r="BB1701" s="42"/>
      <c r="BC1701" s="431"/>
      <c r="BG1701" s="315"/>
      <c r="BH1701" s="42"/>
    </row>
    <row r="1702" spans="51:60" x14ac:dyDescent="0.2">
      <c r="AY1702" s="315"/>
      <c r="AZ1702" s="326"/>
      <c r="BA1702" s="175"/>
      <c r="BB1702" s="42"/>
      <c r="BC1702" s="431"/>
      <c r="BG1702" s="315"/>
      <c r="BH1702" s="42"/>
    </row>
    <row r="1703" spans="51:60" x14ac:dyDescent="0.2">
      <c r="AY1703" s="315"/>
      <c r="AZ1703" s="326"/>
      <c r="BA1703" s="175"/>
      <c r="BB1703" s="42"/>
      <c r="BC1703" s="431"/>
      <c r="BG1703" s="315"/>
      <c r="BH1703" s="42"/>
    </row>
    <row r="1704" spans="51:60" x14ac:dyDescent="0.2">
      <c r="AY1704" s="315"/>
      <c r="AZ1704" s="326"/>
      <c r="BA1704" s="175"/>
      <c r="BB1704" s="42"/>
      <c r="BC1704" s="431"/>
      <c r="BG1704" s="315"/>
      <c r="BH1704" s="42"/>
    </row>
    <row r="1705" spans="51:60" x14ac:dyDescent="0.2">
      <c r="AY1705" s="315"/>
      <c r="AZ1705" s="326"/>
      <c r="BA1705" s="175"/>
      <c r="BB1705" s="42"/>
      <c r="BC1705" s="431"/>
      <c r="BG1705" s="315"/>
      <c r="BH1705" s="42"/>
    </row>
    <row r="1706" spans="51:60" x14ac:dyDescent="0.2">
      <c r="AY1706" s="315"/>
      <c r="AZ1706" s="326"/>
      <c r="BA1706" s="175"/>
      <c r="BB1706" s="42"/>
      <c r="BC1706" s="431"/>
      <c r="BG1706" s="315"/>
      <c r="BH1706" s="42"/>
    </row>
    <row r="1707" spans="51:60" x14ac:dyDescent="0.2">
      <c r="AY1707" s="315"/>
      <c r="AZ1707" s="326"/>
      <c r="BA1707" s="175"/>
      <c r="BB1707" s="42"/>
      <c r="BC1707" s="431"/>
      <c r="BG1707" s="315"/>
      <c r="BH1707" s="42"/>
    </row>
    <row r="1708" spans="51:60" x14ac:dyDescent="0.2">
      <c r="AY1708" s="315"/>
      <c r="AZ1708" s="326"/>
      <c r="BA1708" s="175"/>
      <c r="BB1708" s="42"/>
      <c r="BC1708" s="431"/>
      <c r="BG1708" s="315"/>
      <c r="BH1708" s="42"/>
    </row>
    <row r="1709" spans="51:60" x14ac:dyDescent="0.2">
      <c r="AY1709" s="315"/>
      <c r="AZ1709" s="326"/>
      <c r="BA1709" s="175"/>
      <c r="BB1709" s="42"/>
      <c r="BC1709" s="431"/>
      <c r="BG1709" s="315"/>
      <c r="BH1709" s="42"/>
    </row>
    <row r="1710" spans="51:60" x14ac:dyDescent="0.2">
      <c r="AY1710" s="315"/>
      <c r="AZ1710" s="326"/>
      <c r="BA1710" s="175"/>
      <c r="BB1710" s="42"/>
      <c r="BC1710" s="431"/>
      <c r="BG1710" s="315"/>
      <c r="BH1710" s="42"/>
    </row>
    <row r="1711" spans="51:60" x14ac:dyDescent="0.2">
      <c r="AY1711" s="315"/>
      <c r="AZ1711" s="326"/>
      <c r="BA1711" s="175"/>
      <c r="BB1711" s="42"/>
      <c r="BC1711" s="431"/>
      <c r="BG1711" s="315"/>
      <c r="BH1711" s="42"/>
    </row>
    <row r="1712" spans="51:60" x14ac:dyDescent="0.2">
      <c r="AY1712" s="315"/>
      <c r="AZ1712" s="326"/>
      <c r="BA1712" s="175"/>
      <c r="BB1712" s="42"/>
      <c r="BC1712" s="431"/>
      <c r="BG1712" s="315"/>
      <c r="BH1712" s="42"/>
    </row>
    <row r="1713" spans="51:60" x14ac:dyDescent="0.2">
      <c r="AY1713" s="315"/>
      <c r="AZ1713" s="326"/>
      <c r="BA1713" s="175"/>
      <c r="BB1713" s="42"/>
      <c r="BC1713" s="431"/>
      <c r="BG1713" s="315"/>
      <c r="BH1713" s="42"/>
    </row>
    <row r="1714" spans="51:60" x14ac:dyDescent="0.2">
      <c r="AY1714" s="315"/>
      <c r="AZ1714" s="326"/>
      <c r="BA1714" s="175"/>
      <c r="BB1714" s="42"/>
      <c r="BC1714" s="431"/>
      <c r="BG1714" s="315"/>
      <c r="BH1714" s="42"/>
    </row>
    <row r="1715" spans="51:60" x14ac:dyDescent="0.2">
      <c r="AY1715" s="315"/>
      <c r="AZ1715" s="326"/>
      <c r="BA1715" s="175"/>
      <c r="BB1715" s="42"/>
      <c r="BC1715" s="431"/>
      <c r="BG1715" s="315"/>
      <c r="BH1715" s="42"/>
    </row>
    <row r="1716" spans="51:60" x14ac:dyDescent="0.2">
      <c r="AY1716" s="315"/>
      <c r="AZ1716" s="326"/>
      <c r="BA1716" s="175"/>
      <c r="BB1716" s="42"/>
      <c r="BC1716" s="431"/>
      <c r="BG1716" s="315"/>
      <c r="BH1716" s="42"/>
    </row>
    <row r="1717" spans="51:60" x14ac:dyDescent="0.2">
      <c r="AY1717" s="315"/>
      <c r="AZ1717" s="326"/>
      <c r="BA1717" s="175"/>
      <c r="BB1717" s="42"/>
      <c r="BC1717" s="431"/>
      <c r="BG1717" s="315"/>
      <c r="BH1717" s="42"/>
    </row>
    <row r="1718" spans="51:60" x14ac:dyDescent="0.2">
      <c r="AY1718" s="315"/>
      <c r="AZ1718" s="326"/>
      <c r="BA1718" s="175"/>
      <c r="BB1718" s="42"/>
      <c r="BC1718" s="431"/>
      <c r="BG1718" s="315"/>
      <c r="BH1718" s="42"/>
    </row>
    <row r="1719" spans="51:60" x14ac:dyDescent="0.2">
      <c r="AY1719" s="315"/>
      <c r="AZ1719" s="326"/>
      <c r="BA1719" s="175"/>
      <c r="BB1719" s="42"/>
      <c r="BC1719" s="431"/>
      <c r="BG1719" s="315"/>
      <c r="BH1719" s="42"/>
    </row>
    <row r="1720" spans="51:60" x14ac:dyDescent="0.2">
      <c r="AY1720" s="315"/>
      <c r="AZ1720" s="326"/>
      <c r="BA1720" s="175"/>
      <c r="BB1720" s="42"/>
      <c r="BC1720" s="431"/>
      <c r="BG1720" s="315"/>
      <c r="BH1720" s="42"/>
    </row>
    <row r="1721" spans="51:60" x14ac:dyDescent="0.2">
      <c r="AY1721" s="315"/>
      <c r="AZ1721" s="326"/>
      <c r="BA1721" s="175"/>
      <c r="BB1721" s="42"/>
      <c r="BC1721" s="431"/>
      <c r="BG1721" s="315"/>
      <c r="BH1721" s="42"/>
    </row>
    <row r="1722" spans="51:60" x14ac:dyDescent="0.2">
      <c r="AY1722" s="315"/>
      <c r="AZ1722" s="326"/>
      <c r="BA1722" s="175"/>
      <c r="BB1722" s="42"/>
      <c r="BC1722" s="431"/>
      <c r="BG1722" s="315"/>
      <c r="BH1722" s="42"/>
    </row>
    <row r="1723" spans="51:60" x14ac:dyDescent="0.2">
      <c r="AY1723" s="315"/>
      <c r="AZ1723" s="326"/>
      <c r="BA1723" s="175"/>
      <c r="BB1723" s="42"/>
      <c r="BC1723" s="431"/>
      <c r="BG1723" s="315"/>
      <c r="BH1723" s="42"/>
    </row>
    <row r="1724" spans="51:60" x14ac:dyDescent="0.2">
      <c r="AY1724" s="315"/>
      <c r="AZ1724" s="326"/>
      <c r="BA1724" s="175"/>
      <c r="BB1724" s="42"/>
      <c r="BC1724" s="431"/>
      <c r="BG1724" s="315"/>
      <c r="BH1724" s="42"/>
    </row>
    <row r="1725" spans="51:60" x14ac:dyDescent="0.2">
      <c r="AY1725" s="315"/>
      <c r="AZ1725" s="326"/>
      <c r="BA1725" s="175"/>
      <c r="BB1725" s="42"/>
      <c r="BC1725" s="431"/>
      <c r="BG1725" s="315"/>
      <c r="BH1725" s="42"/>
    </row>
    <row r="1726" spans="51:60" x14ac:dyDescent="0.2">
      <c r="AY1726" s="315"/>
      <c r="AZ1726" s="326"/>
      <c r="BA1726" s="175"/>
      <c r="BB1726" s="42"/>
      <c r="BC1726" s="431"/>
      <c r="BG1726" s="315"/>
      <c r="BH1726" s="42"/>
    </row>
    <row r="1727" spans="51:60" x14ac:dyDescent="0.2">
      <c r="AY1727" s="315"/>
      <c r="AZ1727" s="326"/>
      <c r="BA1727" s="175"/>
      <c r="BB1727" s="42"/>
      <c r="BC1727" s="431"/>
      <c r="BG1727" s="315"/>
      <c r="BH1727" s="42"/>
    </row>
    <row r="1728" spans="51:60" x14ac:dyDescent="0.2">
      <c r="AY1728" s="315"/>
      <c r="AZ1728" s="326"/>
      <c r="BA1728" s="175"/>
      <c r="BB1728" s="42"/>
      <c r="BC1728" s="431"/>
      <c r="BG1728" s="315"/>
      <c r="BH1728" s="42"/>
    </row>
    <row r="1729" spans="51:60" x14ac:dyDescent="0.2">
      <c r="AY1729" s="315"/>
      <c r="AZ1729" s="326"/>
      <c r="BA1729" s="175"/>
      <c r="BB1729" s="42"/>
      <c r="BC1729" s="431"/>
      <c r="BG1729" s="315"/>
      <c r="BH1729" s="42"/>
    </row>
    <row r="1730" spans="51:60" x14ac:dyDescent="0.2">
      <c r="AY1730" s="315"/>
      <c r="AZ1730" s="326"/>
      <c r="BA1730" s="175"/>
      <c r="BB1730" s="42"/>
      <c r="BC1730" s="431"/>
      <c r="BG1730" s="315"/>
      <c r="BH1730" s="42"/>
    </row>
    <row r="1731" spans="51:60" x14ac:dyDescent="0.2">
      <c r="AY1731" s="315"/>
      <c r="AZ1731" s="326"/>
      <c r="BA1731" s="175"/>
      <c r="BB1731" s="42"/>
      <c r="BC1731" s="431"/>
      <c r="BG1731" s="315"/>
      <c r="BH1731" s="42"/>
    </row>
    <row r="1732" spans="51:60" x14ac:dyDescent="0.2">
      <c r="AY1732" s="315"/>
      <c r="AZ1732" s="326"/>
      <c r="BA1732" s="175"/>
      <c r="BB1732" s="42"/>
      <c r="BC1732" s="431"/>
      <c r="BG1732" s="315"/>
      <c r="BH1732" s="42"/>
    </row>
    <row r="1733" spans="51:60" x14ac:dyDescent="0.2">
      <c r="AY1733" s="315"/>
      <c r="AZ1733" s="326"/>
      <c r="BA1733" s="175"/>
      <c r="BB1733" s="42"/>
      <c r="BC1733" s="431"/>
      <c r="BG1733" s="315"/>
      <c r="BH1733" s="42"/>
    </row>
    <row r="1734" spans="51:60" x14ac:dyDescent="0.2">
      <c r="AY1734" s="315"/>
      <c r="AZ1734" s="326"/>
      <c r="BA1734" s="175"/>
      <c r="BB1734" s="42"/>
      <c r="BC1734" s="431"/>
      <c r="BG1734" s="315"/>
      <c r="BH1734" s="42"/>
    </row>
    <row r="1735" spans="51:60" x14ac:dyDescent="0.2">
      <c r="AY1735" s="315"/>
      <c r="AZ1735" s="326"/>
      <c r="BA1735" s="175"/>
      <c r="BB1735" s="42"/>
      <c r="BC1735" s="431"/>
      <c r="BG1735" s="315"/>
      <c r="BH1735" s="42"/>
    </row>
    <row r="1736" spans="51:60" x14ac:dyDescent="0.2">
      <c r="AY1736" s="315"/>
      <c r="AZ1736" s="326"/>
      <c r="BA1736" s="175"/>
      <c r="BB1736" s="42"/>
      <c r="BC1736" s="431"/>
      <c r="BG1736" s="315"/>
      <c r="BH1736" s="42"/>
    </row>
    <row r="1737" spans="51:60" x14ac:dyDescent="0.2">
      <c r="AY1737" s="315"/>
      <c r="AZ1737" s="326"/>
      <c r="BA1737" s="175"/>
      <c r="BB1737" s="42"/>
      <c r="BC1737" s="431"/>
      <c r="BG1737" s="315"/>
      <c r="BH1737" s="42"/>
    </row>
    <row r="1738" spans="51:60" x14ac:dyDescent="0.2">
      <c r="AY1738" s="315"/>
      <c r="AZ1738" s="326"/>
      <c r="BA1738" s="175"/>
      <c r="BB1738" s="42"/>
      <c r="BC1738" s="431"/>
      <c r="BG1738" s="315"/>
      <c r="BH1738" s="42"/>
    </row>
    <row r="1739" spans="51:60" x14ac:dyDescent="0.2">
      <c r="AY1739" s="315"/>
      <c r="AZ1739" s="326"/>
      <c r="BA1739" s="175"/>
      <c r="BB1739" s="42"/>
      <c r="BC1739" s="431"/>
      <c r="BG1739" s="315"/>
      <c r="BH1739" s="42"/>
    </row>
    <row r="1740" spans="51:60" x14ac:dyDescent="0.2">
      <c r="AY1740" s="315"/>
      <c r="AZ1740" s="326"/>
      <c r="BA1740" s="175"/>
      <c r="BB1740" s="42"/>
      <c r="BC1740" s="431"/>
      <c r="BG1740" s="315"/>
      <c r="BH1740" s="42"/>
    </row>
    <row r="1741" spans="51:60" x14ac:dyDescent="0.2">
      <c r="AY1741" s="315"/>
      <c r="AZ1741" s="326"/>
      <c r="BA1741" s="175"/>
      <c r="BB1741" s="42"/>
      <c r="BC1741" s="431"/>
      <c r="BG1741" s="315"/>
      <c r="BH1741" s="42"/>
    </row>
    <row r="1742" spans="51:60" x14ac:dyDescent="0.2">
      <c r="AY1742" s="315"/>
      <c r="AZ1742" s="326"/>
      <c r="BA1742" s="175"/>
      <c r="BB1742" s="42"/>
      <c r="BC1742" s="431"/>
      <c r="BG1742" s="315"/>
      <c r="BH1742" s="42"/>
    </row>
    <row r="1743" spans="51:60" x14ac:dyDescent="0.2">
      <c r="AY1743" s="315"/>
      <c r="AZ1743" s="326"/>
      <c r="BA1743" s="175"/>
      <c r="BB1743" s="42"/>
      <c r="BC1743" s="431"/>
      <c r="BG1743" s="315"/>
      <c r="BH1743" s="42"/>
    </row>
    <row r="1744" spans="51:60" x14ac:dyDescent="0.2">
      <c r="AY1744" s="315"/>
      <c r="AZ1744" s="326"/>
      <c r="BA1744" s="175"/>
      <c r="BB1744" s="42"/>
      <c r="BC1744" s="431"/>
      <c r="BG1744" s="315"/>
      <c r="BH1744" s="42"/>
    </row>
    <row r="1745" spans="51:60" x14ac:dyDescent="0.2">
      <c r="AY1745" s="315"/>
      <c r="AZ1745" s="326"/>
      <c r="BA1745" s="175"/>
      <c r="BB1745" s="42"/>
      <c r="BC1745" s="431"/>
      <c r="BG1745" s="315"/>
      <c r="BH1745" s="42"/>
    </row>
    <row r="1746" spans="51:60" x14ac:dyDescent="0.2">
      <c r="AY1746" s="315"/>
      <c r="AZ1746" s="326"/>
      <c r="BA1746" s="175"/>
      <c r="BB1746" s="42"/>
      <c r="BC1746" s="431"/>
      <c r="BG1746" s="315"/>
      <c r="BH1746" s="42"/>
    </row>
    <row r="1747" spans="51:60" x14ac:dyDescent="0.2">
      <c r="AY1747" s="315"/>
      <c r="AZ1747" s="326"/>
      <c r="BA1747" s="175"/>
      <c r="BB1747" s="42"/>
      <c r="BC1747" s="431"/>
      <c r="BG1747" s="315"/>
      <c r="BH1747" s="42"/>
    </row>
    <row r="1748" spans="51:60" x14ac:dyDescent="0.2">
      <c r="AY1748" s="315"/>
      <c r="AZ1748" s="326"/>
      <c r="BA1748" s="175"/>
      <c r="BB1748" s="42"/>
      <c r="BC1748" s="431"/>
      <c r="BG1748" s="315"/>
      <c r="BH1748" s="42"/>
    </row>
    <row r="1749" spans="51:60" x14ac:dyDescent="0.2">
      <c r="AY1749" s="315"/>
      <c r="AZ1749" s="326"/>
      <c r="BA1749" s="175"/>
      <c r="BB1749" s="42"/>
      <c r="BC1749" s="431"/>
      <c r="BG1749" s="315"/>
      <c r="BH1749" s="42"/>
    </row>
    <row r="1750" spans="51:60" x14ac:dyDescent="0.2">
      <c r="AY1750" s="315"/>
      <c r="AZ1750" s="326"/>
      <c r="BA1750" s="175"/>
      <c r="BB1750" s="42"/>
      <c r="BC1750" s="431"/>
      <c r="BG1750" s="315"/>
      <c r="BH1750" s="42"/>
    </row>
    <row r="1751" spans="51:60" x14ac:dyDescent="0.2">
      <c r="AY1751" s="315"/>
      <c r="AZ1751" s="326"/>
      <c r="BA1751" s="175"/>
      <c r="BB1751" s="42"/>
      <c r="BC1751" s="431"/>
      <c r="BG1751" s="315"/>
      <c r="BH1751" s="42"/>
    </row>
    <row r="1752" spans="51:60" x14ac:dyDescent="0.2">
      <c r="AY1752" s="315"/>
      <c r="AZ1752" s="326"/>
      <c r="BA1752" s="175"/>
      <c r="BB1752" s="42"/>
      <c r="BC1752" s="431"/>
      <c r="BG1752" s="315"/>
      <c r="BH1752" s="42"/>
    </row>
    <row r="1753" spans="51:60" x14ac:dyDescent="0.2">
      <c r="AY1753" s="315"/>
      <c r="AZ1753" s="326"/>
      <c r="BA1753" s="175"/>
      <c r="BB1753" s="42"/>
      <c r="BC1753" s="431"/>
      <c r="BG1753" s="315"/>
      <c r="BH1753" s="42"/>
    </row>
    <row r="1754" spans="51:60" x14ac:dyDescent="0.2">
      <c r="AY1754" s="315"/>
      <c r="AZ1754" s="326"/>
      <c r="BA1754" s="175"/>
      <c r="BB1754" s="42"/>
      <c r="BC1754" s="431"/>
      <c r="BG1754" s="315"/>
      <c r="BH1754" s="42"/>
    </row>
    <row r="1755" spans="51:60" x14ac:dyDescent="0.2">
      <c r="AY1755" s="315"/>
      <c r="AZ1755" s="326"/>
      <c r="BA1755" s="175"/>
      <c r="BB1755" s="42"/>
      <c r="BC1755" s="431"/>
      <c r="BG1755" s="315"/>
      <c r="BH1755" s="42"/>
    </row>
    <row r="1756" spans="51:60" x14ac:dyDescent="0.2">
      <c r="AY1756" s="315"/>
      <c r="AZ1756" s="326"/>
      <c r="BA1756" s="175"/>
      <c r="BB1756" s="42"/>
      <c r="BC1756" s="431"/>
      <c r="BG1756" s="315"/>
      <c r="BH1756" s="42"/>
    </row>
    <row r="1757" spans="51:60" x14ac:dyDescent="0.2">
      <c r="AY1757" s="315"/>
      <c r="AZ1757" s="326"/>
      <c r="BA1757" s="175"/>
      <c r="BB1757" s="42"/>
      <c r="BC1757" s="431"/>
      <c r="BG1757" s="315"/>
      <c r="BH1757" s="42"/>
    </row>
    <row r="1758" spans="51:60" x14ac:dyDescent="0.2">
      <c r="AY1758" s="315"/>
      <c r="AZ1758" s="326"/>
      <c r="BA1758" s="175"/>
      <c r="BB1758" s="42"/>
      <c r="BC1758" s="431"/>
      <c r="BG1758" s="315"/>
      <c r="BH1758" s="42"/>
    </row>
    <row r="1759" spans="51:60" x14ac:dyDescent="0.2">
      <c r="AY1759" s="315"/>
      <c r="AZ1759" s="326"/>
      <c r="BA1759" s="175"/>
      <c r="BB1759" s="42"/>
      <c r="BC1759" s="431"/>
      <c r="BG1759" s="315"/>
      <c r="BH1759" s="42"/>
    </row>
    <row r="1760" spans="51:60" x14ac:dyDescent="0.2">
      <c r="AY1760" s="315"/>
      <c r="AZ1760" s="326"/>
      <c r="BA1760" s="175"/>
      <c r="BB1760" s="42"/>
      <c r="BC1760" s="431"/>
      <c r="BG1760" s="315"/>
      <c r="BH1760" s="42"/>
    </row>
    <row r="1761" spans="51:60" x14ac:dyDescent="0.2">
      <c r="AY1761" s="315"/>
      <c r="AZ1761" s="326"/>
      <c r="BA1761" s="175"/>
      <c r="BB1761" s="42"/>
      <c r="BC1761" s="431"/>
      <c r="BG1761" s="315"/>
      <c r="BH1761" s="42"/>
    </row>
    <row r="1762" spans="51:60" x14ac:dyDescent="0.2">
      <c r="AY1762" s="315"/>
      <c r="AZ1762" s="326"/>
      <c r="BA1762" s="175"/>
      <c r="BB1762" s="42"/>
      <c r="BC1762" s="431"/>
      <c r="BG1762" s="315"/>
      <c r="BH1762" s="42"/>
    </row>
    <row r="1763" spans="51:60" x14ac:dyDescent="0.2">
      <c r="AY1763" s="315"/>
      <c r="AZ1763" s="326"/>
      <c r="BA1763" s="175"/>
      <c r="BB1763" s="42"/>
      <c r="BC1763" s="431"/>
      <c r="BG1763" s="315"/>
      <c r="BH1763" s="42"/>
    </row>
    <row r="1764" spans="51:60" x14ac:dyDescent="0.2">
      <c r="AY1764" s="315"/>
      <c r="AZ1764" s="326"/>
      <c r="BA1764" s="175"/>
      <c r="BB1764" s="42"/>
      <c r="BC1764" s="431"/>
      <c r="BG1764" s="315"/>
      <c r="BH1764" s="42"/>
    </row>
    <row r="1765" spans="51:60" x14ac:dyDescent="0.2">
      <c r="AY1765" s="315"/>
      <c r="AZ1765" s="326"/>
      <c r="BA1765" s="175"/>
      <c r="BB1765" s="42"/>
      <c r="BC1765" s="431"/>
      <c r="BG1765" s="315"/>
      <c r="BH1765" s="42"/>
    </row>
    <row r="1766" spans="51:60" x14ac:dyDescent="0.2">
      <c r="AY1766" s="315"/>
      <c r="AZ1766" s="326"/>
      <c r="BA1766" s="175"/>
      <c r="BB1766" s="42"/>
      <c r="BC1766" s="431"/>
      <c r="BG1766" s="315"/>
      <c r="BH1766" s="42"/>
    </row>
    <row r="1767" spans="51:60" x14ac:dyDescent="0.2">
      <c r="AY1767" s="315"/>
      <c r="AZ1767" s="326"/>
      <c r="BA1767" s="175"/>
      <c r="BB1767" s="42"/>
      <c r="BC1767" s="431"/>
      <c r="BG1767" s="315"/>
      <c r="BH1767" s="42"/>
    </row>
    <row r="1768" spans="51:60" x14ac:dyDescent="0.2">
      <c r="AY1768" s="315"/>
      <c r="AZ1768" s="326"/>
      <c r="BA1768" s="175"/>
      <c r="BB1768" s="42"/>
      <c r="BC1768" s="431"/>
      <c r="BG1768" s="315"/>
      <c r="BH1768" s="42"/>
    </row>
    <row r="1769" spans="51:60" x14ac:dyDescent="0.2">
      <c r="AY1769" s="315"/>
      <c r="AZ1769" s="326"/>
      <c r="BA1769" s="175"/>
      <c r="BB1769" s="42"/>
      <c r="BC1769" s="431"/>
      <c r="BG1769" s="315"/>
      <c r="BH1769" s="42"/>
    </row>
    <row r="1770" spans="51:60" x14ac:dyDescent="0.2">
      <c r="AY1770" s="315"/>
      <c r="AZ1770" s="326"/>
      <c r="BA1770" s="175"/>
      <c r="BB1770" s="42"/>
      <c r="BC1770" s="431"/>
      <c r="BG1770" s="315"/>
      <c r="BH1770" s="42"/>
    </row>
    <row r="1771" spans="51:60" x14ac:dyDescent="0.2">
      <c r="AY1771" s="315"/>
      <c r="AZ1771" s="326"/>
      <c r="BA1771" s="175"/>
      <c r="BB1771" s="42"/>
      <c r="BC1771" s="431"/>
      <c r="BG1771" s="315"/>
      <c r="BH1771" s="42"/>
    </row>
    <row r="1772" spans="51:60" x14ac:dyDescent="0.2">
      <c r="AY1772" s="315"/>
      <c r="AZ1772" s="326"/>
      <c r="BA1772" s="175"/>
      <c r="BB1772" s="42"/>
      <c r="BC1772" s="431"/>
      <c r="BG1772" s="315"/>
      <c r="BH1772" s="42"/>
    </row>
    <row r="1773" spans="51:60" x14ac:dyDescent="0.2">
      <c r="AY1773" s="315"/>
      <c r="AZ1773" s="326"/>
      <c r="BA1773" s="175"/>
      <c r="BB1773" s="42"/>
      <c r="BC1773" s="431"/>
      <c r="BG1773" s="315"/>
      <c r="BH1773" s="42"/>
    </row>
    <row r="1774" spans="51:60" x14ac:dyDescent="0.2">
      <c r="AY1774" s="315"/>
      <c r="AZ1774" s="326"/>
      <c r="BA1774" s="175"/>
      <c r="BB1774" s="42"/>
      <c r="BC1774" s="431"/>
      <c r="BG1774" s="315"/>
      <c r="BH1774" s="42"/>
    </row>
    <row r="1775" spans="51:60" x14ac:dyDescent="0.2">
      <c r="AY1775" s="315"/>
      <c r="AZ1775" s="326"/>
      <c r="BA1775" s="175"/>
      <c r="BB1775" s="42"/>
      <c r="BC1775" s="431"/>
      <c r="BG1775" s="315"/>
      <c r="BH1775" s="42"/>
    </row>
    <row r="1776" spans="51:60" x14ac:dyDescent="0.2">
      <c r="AY1776" s="315"/>
      <c r="AZ1776" s="326"/>
      <c r="BA1776" s="175"/>
      <c r="BB1776" s="42"/>
      <c r="BC1776" s="431"/>
      <c r="BG1776" s="315"/>
      <c r="BH1776" s="42"/>
    </row>
    <row r="1777" spans="51:60" x14ac:dyDescent="0.2">
      <c r="AY1777" s="315"/>
      <c r="AZ1777" s="326"/>
      <c r="BA1777" s="175"/>
      <c r="BB1777" s="42"/>
      <c r="BC1777" s="431"/>
      <c r="BG1777" s="315"/>
      <c r="BH1777" s="42"/>
    </row>
    <row r="1778" spans="51:60" x14ac:dyDescent="0.2">
      <c r="AY1778" s="315"/>
      <c r="AZ1778" s="326"/>
      <c r="BA1778" s="175"/>
      <c r="BB1778" s="42"/>
      <c r="BC1778" s="431"/>
      <c r="BG1778" s="315"/>
      <c r="BH1778" s="42"/>
    </row>
    <row r="1779" spans="51:60" x14ac:dyDescent="0.2">
      <c r="AY1779" s="315"/>
      <c r="AZ1779" s="326"/>
      <c r="BA1779" s="175"/>
      <c r="BB1779" s="42"/>
      <c r="BC1779" s="431"/>
      <c r="BG1779" s="315"/>
      <c r="BH1779" s="42"/>
    </row>
    <row r="1780" spans="51:60" x14ac:dyDescent="0.2">
      <c r="AY1780" s="315"/>
      <c r="AZ1780" s="326"/>
      <c r="BA1780" s="175"/>
      <c r="BB1780" s="42"/>
      <c r="BC1780" s="431"/>
      <c r="BG1780" s="315"/>
      <c r="BH1780" s="42"/>
    </row>
    <row r="1781" spans="51:60" x14ac:dyDescent="0.2">
      <c r="AY1781" s="315"/>
      <c r="AZ1781" s="326"/>
      <c r="BA1781" s="175"/>
      <c r="BB1781" s="42"/>
      <c r="BC1781" s="431"/>
      <c r="BG1781" s="315"/>
      <c r="BH1781" s="42"/>
    </row>
    <row r="1782" spans="51:60" x14ac:dyDescent="0.2">
      <c r="AY1782" s="315"/>
      <c r="AZ1782" s="326"/>
      <c r="BA1782" s="175"/>
      <c r="BB1782" s="42"/>
      <c r="BC1782" s="431"/>
      <c r="BG1782" s="315"/>
      <c r="BH1782" s="42"/>
    </row>
    <row r="1783" spans="51:60" x14ac:dyDescent="0.2">
      <c r="AY1783" s="315"/>
      <c r="AZ1783" s="326"/>
      <c r="BA1783" s="175"/>
      <c r="BB1783" s="42"/>
      <c r="BC1783" s="431"/>
      <c r="BG1783" s="315"/>
      <c r="BH1783" s="42"/>
    </row>
    <row r="1784" spans="51:60" x14ac:dyDescent="0.2">
      <c r="AY1784" s="315"/>
      <c r="AZ1784" s="326"/>
      <c r="BA1784" s="175"/>
      <c r="BB1784" s="42"/>
      <c r="BC1784" s="431"/>
      <c r="BG1784" s="315"/>
      <c r="BH1784" s="42"/>
    </row>
    <row r="1785" spans="51:60" x14ac:dyDescent="0.2">
      <c r="AY1785" s="315"/>
      <c r="AZ1785" s="326"/>
      <c r="BA1785" s="175"/>
      <c r="BB1785" s="42"/>
      <c r="BC1785" s="431"/>
      <c r="BG1785" s="315"/>
      <c r="BH1785" s="42"/>
    </row>
    <row r="1786" spans="51:60" x14ac:dyDescent="0.2">
      <c r="AY1786" s="315"/>
      <c r="AZ1786" s="326"/>
      <c r="BA1786" s="175"/>
      <c r="BB1786" s="42"/>
      <c r="BC1786" s="431"/>
      <c r="BG1786" s="315"/>
      <c r="BH1786" s="42"/>
    </row>
    <row r="1787" spans="51:60" x14ac:dyDescent="0.2">
      <c r="AY1787" s="315"/>
      <c r="AZ1787" s="326"/>
      <c r="BA1787" s="175"/>
      <c r="BB1787" s="42"/>
      <c r="BC1787" s="431"/>
      <c r="BG1787" s="315"/>
      <c r="BH1787" s="42"/>
    </row>
    <row r="1788" spans="51:60" x14ac:dyDescent="0.2">
      <c r="AY1788" s="315"/>
      <c r="AZ1788" s="326"/>
      <c r="BA1788" s="175"/>
      <c r="BB1788" s="42"/>
      <c r="BC1788" s="431"/>
      <c r="BG1788" s="315"/>
      <c r="BH1788" s="42"/>
    </row>
    <row r="1789" spans="51:60" x14ac:dyDescent="0.2">
      <c r="AY1789" s="315"/>
      <c r="AZ1789" s="326"/>
      <c r="BA1789" s="175"/>
      <c r="BB1789" s="42"/>
      <c r="BC1789" s="431"/>
      <c r="BG1789" s="315"/>
      <c r="BH1789" s="42"/>
    </row>
    <row r="1790" spans="51:60" x14ac:dyDescent="0.2">
      <c r="AY1790" s="315"/>
      <c r="AZ1790" s="326"/>
      <c r="BA1790" s="175"/>
      <c r="BB1790" s="42"/>
      <c r="BC1790" s="431"/>
      <c r="BG1790" s="315"/>
      <c r="BH1790" s="42"/>
    </row>
    <row r="1791" spans="51:60" x14ac:dyDescent="0.2">
      <c r="AY1791" s="315"/>
      <c r="AZ1791" s="326"/>
      <c r="BA1791" s="175"/>
      <c r="BB1791" s="42"/>
      <c r="BC1791" s="431"/>
      <c r="BG1791" s="315"/>
      <c r="BH1791" s="42"/>
    </row>
    <row r="1792" spans="51:60" x14ac:dyDescent="0.2">
      <c r="AY1792" s="315"/>
      <c r="AZ1792" s="326"/>
      <c r="BA1792" s="175"/>
      <c r="BB1792" s="42"/>
      <c r="BC1792" s="431"/>
      <c r="BG1792" s="315"/>
      <c r="BH1792" s="42"/>
    </row>
    <row r="1793" spans="51:60" x14ac:dyDescent="0.2">
      <c r="AY1793" s="315"/>
      <c r="AZ1793" s="326"/>
      <c r="BA1793" s="175"/>
      <c r="BB1793" s="42"/>
      <c r="BC1793" s="431"/>
      <c r="BG1793" s="315"/>
      <c r="BH1793" s="42"/>
    </row>
    <row r="1794" spans="51:60" x14ac:dyDescent="0.2">
      <c r="AY1794" s="315"/>
      <c r="AZ1794" s="326"/>
      <c r="BA1794" s="175"/>
      <c r="BB1794" s="42"/>
      <c r="BC1794" s="431"/>
      <c r="BG1794" s="315"/>
      <c r="BH1794" s="42"/>
    </row>
    <row r="1795" spans="51:60" x14ac:dyDescent="0.2">
      <c r="AY1795" s="315"/>
      <c r="AZ1795" s="326"/>
      <c r="BA1795" s="175"/>
      <c r="BB1795" s="42"/>
      <c r="BC1795" s="431"/>
      <c r="BG1795" s="315"/>
      <c r="BH1795" s="42"/>
    </row>
    <row r="1796" spans="51:60" x14ac:dyDescent="0.2">
      <c r="AY1796" s="315"/>
      <c r="AZ1796" s="326"/>
      <c r="BA1796" s="175"/>
      <c r="BB1796" s="42"/>
      <c r="BC1796" s="431"/>
      <c r="BG1796" s="315"/>
      <c r="BH1796" s="42"/>
    </row>
    <row r="1797" spans="51:60" x14ac:dyDescent="0.2">
      <c r="AY1797" s="315"/>
      <c r="AZ1797" s="326"/>
      <c r="BA1797" s="175"/>
      <c r="BB1797" s="42"/>
      <c r="BC1797" s="431"/>
      <c r="BG1797" s="315"/>
      <c r="BH1797" s="42"/>
    </row>
    <row r="1798" spans="51:60" x14ac:dyDescent="0.2">
      <c r="AY1798" s="315"/>
      <c r="AZ1798" s="326"/>
      <c r="BA1798" s="175"/>
      <c r="BB1798" s="42"/>
      <c r="BC1798" s="431"/>
      <c r="BG1798" s="315"/>
      <c r="BH1798" s="42"/>
    </row>
    <row r="1799" spans="51:60" x14ac:dyDescent="0.2">
      <c r="AY1799" s="315"/>
      <c r="AZ1799" s="326"/>
      <c r="BA1799" s="175"/>
      <c r="BB1799" s="42"/>
      <c r="BC1799" s="431"/>
      <c r="BG1799" s="315"/>
      <c r="BH1799" s="42"/>
    </row>
    <row r="1800" spans="51:60" x14ac:dyDescent="0.2">
      <c r="AY1800" s="315"/>
      <c r="AZ1800" s="326"/>
      <c r="BA1800" s="175"/>
      <c r="BB1800" s="42"/>
      <c r="BC1800" s="431"/>
      <c r="BG1800" s="315"/>
      <c r="BH1800" s="42"/>
    </row>
    <row r="1801" spans="51:60" x14ac:dyDescent="0.2">
      <c r="AY1801" s="315"/>
      <c r="AZ1801" s="326"/>
      <c r="BA1801" s="175"/>
      <c r="BB1801" s="42"/>
      <c r="BC1801" s="431"/>
      <c r="BG1801" s="315"/>
      <c r="BH1801" s="42"/>
    </row>
    <row r="1802" spans="51:60" x14ac:dyDescent="0.2">
      <c r="AY1802" s="315"/>
      <c r="AZ1802" s="326"/>
      <c r="BA1802" s="175"/>
      <c r="BB1802" s="42"/>
      <c r="BC1802" s="431"/>
      <c r="BG1802" s="315"/>
      <c r="BH1802" s="42"/>
    </row>
    <row r="1803" spans="51:60" x14ac:dyDescent="0.2">
      <c r="AY1803" s="315"/>
      <c r="AZ1803" s="326"/>
      <c r="BA1803" s="175"/>
      <c r="BB1803" s="42"/>
      <c r="BC1803" s="431"/>
      <c r="BG1803" s="315"/>
      <c r="BH1803" s="42"/>
    </row>
    <row r="1804" spans="51:60" x14ac:dyDescent="0.2">
      <c r="AY1804" s="315"/>
      <c r="AZ1804" s="326"/>
      <c r="BA1804" s="175"/>
      <c r="BB1804" s="42"/>
      <c r="BC1804" s="431"/>
      <c r="BG1804" s="315"/>
      <c r="BH1804" s="42"/>
    </row>
    <row r="1805" spans="51:60" x14ac:dyDescent="0.2">
      <c r="AY1805" s="315"/>
      <c r="AZ1805" s="326"/>
      <c r="BA1805" s="175"/>
      <c r="BB1805" s="42"/>
      <c r="BC1805" s="431"/>
      <c r="BG1805" s="315"/>
      <c r="BH1805" s="42"/>
    </row>
    <row r="1806" spans="51:60" x14ac:dyDescent="0.2">
      <c r="AY1806" s="315"/>
      <c r="AZ1806" s="326"/>
      <c r="BA1806" s="175"/>
      <c r="BB1806" s="42"/>
      <c r="BC1806" s="431"/>
      <c r="BG1806" s="315"/>
      <c r="BH1806" s="42"/>
    </row>
    <row r="1807" spans="51:60" x14ac:dyDescent="0.2">
      <c r="AY1807" s="315"/>
      <c r="AZ1807" s="326"/>
      <c r="BA1807" s="175"/>
      <c r="BB1807" s="42"/>
      <c r="BC1807" s="431"/>
      <c r="BG1807" s="315"/>
      <c r="BH1807" s="42"/>
    </row>
    <row r="1808" spans="51:60" x14ac:dyDescent="0.2">
      <c r="AY1808" s="315"/>
      <c r="AZ1808" s="326"/>
      <c r="BA1808" s="175"/>
      <c r="BB1808" s="42"/>
      <c r="BC1808" s="431"/>
      <c r="BG1808" s="315"/>
      <c r="BH1808" s="42"/>
    </row>
    <row r="1809" spans="51:60" x14ac:dyDescent="0.2">
      <c r="AY1809" s="315"/>
      <c r="AZ1809" s="326"/>
      <c r="BA1809" s="175"/>
      <c r="BB1809" s="42"/>
      <c r="BC1809" s="431"/>
      <c r="BG1809" s="315"/>
      <c r="BH1809" s="42"/>
    </row>
    <row r="1810" spans="51:60" x14ac:dyDescent="0.2">
      <c r="AY1810" s="315"/>
      <c r="AZ1810" s="326"/>
      <c r="BA1810" s="175"/>
      <c r="BB1810" s="42"/>
      <c r="BC1810" s="431"/>
      <c r="BG1810" s="315"/>
      <c r="BH1810" s="42"/>
    </row>
    <row r="1811" spans="51:60" x14ac:dyDescent="0.2">
      <c r="AY1811" s="315"/>
      <c r="AZ1811" s="326"/>
      <c r="BA1811" s="175"/>
      <c r="BB1811" s="42"/>
      <c r="BC1811" s="431"/>
      <c r="BG1811" s="315"/>
      <c r="BH1811" s="42"/>
    </row>
    <row r="1812" spans="51:60" x14ac:dyDescent="0.2">
      <c r="AY1812" s="315"/>
      <c r="AZ1812" s="326"/>
      <c r="BA1812" s="175"/>
      <c r="BB1812" s="42"/>
      <c r="BC1812" s="431"/>
      <c r="BG1812" s="315"/>
      <c r="BH1812" s="42"/>
    </row>
    <row r="1813" spans="51:60" x14ac:dyDescent="0.2">
      <c r="AY1813" s="315"/>
      <c r="AZ1813" s="326"/>
      <c r="BA1813" s="175"/>
      <c r="BB1813" s="42"/>
      <c r="BC1813" s="431"/>
      <c r="BG1813" s="315"/>
      <c r="BH1813" s="42"/>
    </row>
    <row r="1814" spans="51:60" x14ac:dyDescent="0.2">
      <c r="AY1814" s="315"/>
      <c r="AZ1814" s="326"/>
      <c r="BA1814" s="175"/>
      <c r="BB1814" s="42"/>
      <c r="BC1814" s="431"/>
      <c r="BG1814" s="315"/>
      <c r="BH1814" s="42"/>
    </row>
    <row r="1815" spans="51:60" x14ac:dyDescent="0.2">
      <c r="AY1815" s="315"/>
      <c r="AZ1815" s="326"/>
      <c r="BA1815" s="175"/>
      <c r="BB1815" s="42"/>
      <c r="BC1815" s="431"/>
      <c r="BG1815" s="315"/>
      <c r="BH1815" s="42"/>
    </row>
    <row r="1816" spans="51:60" x14ac:dyDescent="0.2">
      <c r="AY1816" s="315"/>
      <c r="AZ1816" s="326"/>
      <c r="BA1816" s="175"/>
      <c r="BB1816" s="42"/>
      <c r="BC1816" s="431"/>
      <c r="BG1816" s="315"/>
      <c r="BH1816" s="42"/>
    </row>
    <row r="1817" spans="51:60" x14ac:dyDescent="0.2">
      <c r="AY1817" s="315"/>
      <c r="AZ1817" s="326"/>
      <c r="BA1817" s="175"/>
      <c r="BB1817" s="42"/>
      <c r="BC1817" s="431"/>
      <c r="BG1817" s="315"/>
      <c r="BH1817" s="42"/>
    </row>
    <row r="1818" spans="51:60" x14ac:dyDescent="0.2">
      <c r="AY1818" s="315"/>
      <c r="AZ1818" s="326"/>
      <c r="BA1818" s="175"/>
      <c r="BB1818" s="42"/>
      <c r="BC1818" s="431"/>
      <c r="BG1818" s="315"/>
      <c r="BH1818" s="42"/>
    </row>
    <row r="1819" spans="51:60" x14ac:dyDescent="0.2">
      <c r="AY1819" s="315"/>
      <c r="AZ1819" s="326"/>
      <c r="BA1819" s="175"/>
      <c r="BB1819" s="42"/>
      <c r="BC1819" s="431"/>
      <c r="BG1819" s="315"/>
      <c r="BH1819" s="42"/>
    </row>
    <row r="1820" spans="51:60" x14ac:dyDescent="0.2">
      <c r="AY1820" s="315"/>
      <c r="AZ1820" s="326"/>
      <c r="BA1820" s="175"/>
      <c r="BB1820" s="42"/>
      <c r="BC1820" s="431"/>
      <c r="BG1820" s="315"/>
      <c r="BH1820" s="42"/>
    </row>
    <row r="1821" spans="51:60" x14ac:dyDescent="0.2">
      <c r="AY1821" s="315"/>
      <c r="AZ1821" s="326"/>
      <c r="BA1821" s="175"/>
      <c r="BB1821" s="42"/>
      <c r="BC1821" s="431"/>
      <c r="BG1821" s="315"/>
      <c r="BH1821" s="42"/>
    </row>
    <row r="1822" spans="51:60" x14ac:dyDescent="0.2">
      <c r="AY1822" s="315"/>
      <c r="AZ1822" s="326"/>
      <c r="BA1822" s="175"/>
      <c r="BB1822" s="42"/>
      <c r="BC1822" s="431"/>
      <c r="BG1822" s="315"/>
      <c r="BH1822" s="42"/>
    </row>
    <row r="1823" spans="51:60" x14ac:dyDescent="0.2">
      <c r="AY1823" s="315"/>
      <c r="AZ1823" s="326"/>
      <c r="BA1823" s="175"/>
      <c r="BB1823" s="42"/>
      <c r="BC1823" s="431"/>
      <c r="BG1823" s="315"/>
      <c r="BH1823" s="42"/>
    </row>
    <row r="1824" spans="51:60" x14ac:dyDescent="0.2">
      <c r="AY1824" s="315"/>
      <c r="AZ1824" s="326"/>
      <c r="BA1824" s="175"/>
      <c r="BB1824" s="42"/>
      <c r="BC1824" s="431"/>
      <c r="BG1824" s="315"/>
      <c r="BH1824" s="42"/>
    </row>
    <row r="1825" spans="51:60" x14ac:dyDescent="0.2">
      <c r="AY1825" s="315"/>
      <c r="AZ1825" s="326"/>
      <c r="BA1825" s="175"/>
      <c r="BB1825" s="42"/>
      <c r="BC1825" s="431"/>
      <c r="BG1825" s="315"/>
      <c r="BH1825" s="42"/>
    </row>
    <row r="1826" spans="51:60" x14ac:dyDescent="0.2">
      <c r="AY1826" s="315"/>
      <c r="AZ1826" s="326"/>
      <c r="BA1826" s="175"/>
      <c r="BB1826" s="42"/>
      <c r="BC1826" s="431"/>
      <c r="BG1826" s="315"/>
      <c r="BH1826" s="42"/>
    </row>
    <row r="1827" spans="51:60" x14ac:dyDescent="0.2">
      <c r="AY1827" s="315"/>
      <c r="AZ1827" s="326"/>
      <c r="BA1827" s="175"/>
      <c r="BB1827" s="42"/>
      <c r="BC1827" s="431"/>
      <c r="BG1827" s="315"/>
      <c r="BH1827" s="42"/>
    </row>
    <row r="1828" spans="51:60" x14ac:dyDescent="0.2">
      <c r="AY1828" s="315"/>
      <c r="AZ1828" s="326"/>
      <c r="BA1828" s="175"/>
      <c r="BB1828" s="42"/>
      <c r="BC1828" s="431"/>
      <c r="BG1828" s="315"/>
      <c r="BH1828" s="42"/>
    </row>
    <row r="1829" spans="51:60" x14ac:dyDescent="0.2">
      <c r="AY1829" s="315"/>
      <c r="AZ1829" s="326"/>
      <c r="BA1829" s="175"/>
      <c r="BB1829" s="42"/>
      <c r="BC1829" s="431"/>
      <c r="BG1829" s="315"/>
      <c r="BH1829" s="42"/>
    </row>
    <row r="1830" spans="51:60" x14ac:dyDescent="0.2">
      <c r="AY1830" s="315"/>
      <c r="AZ1830" s="326"/>
      <c r="BA1830" s="175"/>
      <c r="BB1830" s="42"/>
      <c r="BC1830" s="431"/>
      <c r="BG1830" s="315"/>
      <c r="BH1830" s="42"/>
    </row>
    <row r="1831" spans="51:60" x14ac:dyDescent="0.2">
      <c r="AY1831" s="315"/>
      <c r="AZ1831" s="326"/>
      <c r="BA1831" s="175"/>
      <c r="BB1831" s="42"/>
      <c r="BC1831" s="431"/>
      <c r="BG1831" s="315"/>
      <c r="BH1831" s="42"/>
    </row>
    <row r="1832" spans="51:60" x14ac:dyDescent="0.2">
      <c r="AY1832" s="315"/>
      <c r="AZ1832" s="326"/>
      <c r="BA1832" s="175"/>
      <c r="BB1832" s="42"/>
      <c r="BC1832" s="431"/>
      <c r="BG1832" s="315"/>
      <c r="BH1832" s="42"/>
    </row>
    <row r="1833" spans="51:60" x14ac:dyDescent="0.2">
      <c r="AY1833" s="315"/>
      <c r="AZ1833" s="326"/>
      <c r="BA1833" s="175"/>
      <c r="BB1833" s="42"/>
      <c r="BC1833" s="431"/>
      <c r="BG1833" s="315"/>
      <c r="BH1833" s="42"/>
    </row>
    <row r="1834" spans="51:60" x14ac:dyDescent="0.2">
      <c r="AY1834" s="315"/>
      <c r="AZ1834" s="326"/>
      <c r="BA1834" s="175"/>
      <c r="BB1834" s="42"/>
      <c r="BC1834" s="431"/>
      <c r="BG1834" s="315"/>
      <c r="BH1834" s="42"/>
    </row>
    <row r="1835" spans="51:60" x14ac:dyDescent="0.2">
      <c r="AY1835" s="315"/>
      <c r="AZ1835" s="326"/>
      <c r="BA1835" s="175"/>
      <c r="BB1835" s="42"/>
      <c r="BC1835" s="431"/>
      <c r="BG1835" s="315"/>
      <c r="BH1835" s="42"/>
    </row>
    <row r="1836" spans="51:60" x14ac:dyDescent="0.2">
      <c r="AY1836" s="315"/>
      <c r="AZ1836" s="326"/>
      <c r="BA1836" s="175"/>
      <c r="BB1836" s="42"/>
      <c r="BC1836" s="431"/>
      <c r="BG1836" s="315"/>
      <c r="BH1836" s="42"/>
    </row>
    <row r="1837" spans="51:60" x14ac:dyDescent="0.2">
      <c r="AY1837" s="315"/>
      <c r="AZ1837" s="326"/>
      <c r="BA1837" s="175"/>
      <c r="BB1837" s="42"/>
      <c r="BC1837" s="431"/>
      <c r="BG1837" s="315"/>
      <c r="BH1837" s="42"/>
    </row>
    <row r="1838" spans="51:60" x14ac:dyDescent="0.2">
      <c r="AY1838" s="315"/>
      <c r="AZ1838" s="326"/>
      <c r="BA1838" s="175"/>
      <c r="BB1838" s="42"/>
      <c r="BC1838" s="431"/>
      <c r="BG1838" s="315"/>
      <c r="BH1838" s="42"/>
    </row>
    <row r="1839" spans="51:60" x14ac:dyDescent="0.2">
      <c r="AY1839" s="315"/>
      <c r="AZ1839" s="326"/>
      <c r="BA1839" s="175"/>
      <c r="BB1839" s="42"/>
      <c r="BC1839" s="431"/>
      <c r="BG1839" s="315"/>
      <c r="BH1839" s="42"/>
    </row>
    <row r="1840" spans="51:60" x14ac:dyDescent="0.2">
      <c r="AY1840" s="315"/>
      <c r="AZ1840" s="326"/>
      <c r="BA1840" s="175"/>
      <c r="BB1840" s="42"/>
      <c r="BC1840" s="431"/>
      <c r="BG1840" s="315"/>
      <c r="BH1840" s="42"/>
    </row>
    <row r="1841" spans="51:60" x14ac:dyDescent="0.2">
      <c r="AY1841" s="315"/>
      <c r="AZ1841" s="326"/>
      <c r="BA1841" s="175"/>
      <c r="BB1841" s="42"/>
      <c r="BC1841" s="431"/>
      <c r="BG1841" s="315"/>
      <c r="BH1841" s="42"/>
    </row>
    <row r="1842" spans="51:60" x14ac:dyDescent="0.2">
      <c r="AY1842" s="315"/>
      <c r="AZ1842" s="326"/>
      <c r="BA1842" s="175"/>
      <c r="BB1842" s="42"/>
      <c r="BC1842" s="431"/>
      <c r="BG1842" s="315"/>
      <c r="BH1842" s="42"/>
    </row>
    <row r="1843" spans="51:60" x14ac:dyDescent="0.2">
      <c r="AY1843" s="315"/>
      <c r="AZ1843" s="326"/>
      <c r="BA1843" s="175"/>
      <c r="BB1843" s="42"/>
      <c r="BC1843" s="431"/>
      <c r="BG1843" s="315"/>
      <c r="BH1843" s="42"/>
    </row>
    <row r="1844" spans="51:60" x14ac:dyDescent="0.2">
      <c r="AY1844" s="315"/>
      <c r="AZ1844" s="326"/>
      <c r="BA1844" s="175"/>
      <c r="BB1844" s="42"/>
      <c r="BC1844" s="431"/>
      <c r="BG1844" s="315"/>
      <c r="BH1844" s="42"/>
    </row>
    <row r="1845" spans="51:60" x14ac:dyDescent="0.2">
      <c r="AY1845" s="315"/>
      <c r="AZ1845" s="326"/>
      <c r="BA1845" s="175"/>
      <c r="BB1845" s="42"/>
      <c r="BC1845" s="431"/>
      <c r="BG1845" s="315"/>
      <c r="BH1845" s="42"/>
    </row>
    <row r="1846" spans="51:60" x14ac:dyDescent="0.2">
      <c r="AY1846" s="315"/>
      <c r="AZ1846" s="326"/>
      <c r="BA1846" s="175"/>
      <c r="BB1846" s="42"/>
      <c r="BC1846" s="431"/>
      <c r="BG1846" s="315"/>
      <c r="BH1846" s="42"/>
    </row>
    <row r="1847" spans="51:60" x14ac:dyDescent="0.2">
      <c r="AY1847" s="315"/>
      <c r="AZ1847" s="326"/>
      <c r="BA1847" s="175"/>
      <c r="BB1847" s="42"/>
      <c r="BC1847" s="431"/>
      <c r="BG1847" s="315"/>
      <c r="BH1847" s="42"/>
    </row>
    <row r="1848" spans="51:60" x14ac:dyDescent="0.2">
      <c r="AY1848" s="315"/>
      <c r="AZ1848" s="326"/>
      <c r="BA1848" s="175"/>
      <c r="BB1848" s="42"/>
      <c r="BC1848" s="431"/>
      <c r="BG1848" s="315"/>
      <c r="BH1848" s="42"/>
    </row>
    <row r="1849" spans="51:60" x14ac:dyDescent="0.2">
      <c r="AY1849" s="315"/>
      <c r="AZ1849" s="326"/>
      <c r="BA1849" s="175"/>
      <c r="BB1849" s="42"/>
      <c r="BC1849" s="431"/>
      <c r="BG1849" s="315"/>
      <c r="BH1849" s="42"/>
    </row>
    <row r="1850" spans="51:60" x14ac:dyDescent="0.2">
      <c r="AY1850" s="315"/>
      <c r="AZ1850" s="326"/>
      <c r="BA1850" s="175"/>
      <c r="BB1850" s="42"/>
      <c r="BC1850" s="431"/>
      <c r="BG1850" s="315"/>
      <c r="BH1850" s="42"/>
    </row>
    <row r="1851" spans="51:60" x14ac:dyDescent="0.2">
      <c r="AY1851" s="315"/>
      <c r="AZ1851" s="326"/>
      <c r="BA1851" s="175"/>
      <c r="BB1851" s="42"/>
      <c r="BC1851" s="431"/>
      <c r="BG1851" s="315"/>
      <c r="BH1851" s="42"/>
    </row>
    <row r="1852" spans="51:60" x14ac:dyDescent="0.2">
      <c r="AY1852" s="315"/>
      <c r="AZ1852" s="326"/>
      <c r="BA1852" s="175"/>
      <c r="BB1852" s="42"/>
      <c r="BC1852" s="431"/>
      <c r="BG1852" s="315"/>
      <c r="BH1852" s="42"/>
    </row>
    <row r="1853" spans="51:60" x14ac:dyDescent="0.2">
      <c r="AY1853" s="315"/>
      <c r="AZ1853" s="326"/>
      <c r="BA1853" s="175"/>
      <c r="BB1853" s="42"/>
      <c r="BC1853" s="431"/>
      <c r="BG1853" s="315"/>
      <c r="BH1853" s="42"/>
    </row>
    <row r="1854" spans="51:60" x14ac:dyDescent="0.2">
      <c r="AY1854" s="315"/>
      <c r="AZ1854" s="326"/>
      <c r="BA1854" s="175"/>
      <c r="BB1854" s="42"/>
      <c r="BC1854" s="431"/>
      <c r="BG1854" s="315"/>
      <c r="BH1854" s="42"/>
    </row>
    <row r="1855" spans="51:60" x14ac:dyDescent="0.2">
      <c r="AY1855" s="315"/>
      <c r="AZ1855" s="326"/>
      <c r="BA1855" s="175"/>
      <c r="BB1855" s="42"/>
      <c r="BC1855" s="431"/>
      <c r="BG1855" s="315"/>
      <c r="BH1855" s="42"/>
    </row>
    <row r="1856" spans="51:60" x14ac:dyDescent="0.2">
      <c r="AY1856" s="315"/>
      <c r="AZ1856" s="326"/>
      <c r="BA1856" s="175"/>
      <c r="BB1856" s="42"/>
      <c r="BC1856" s="431"/>
      <c r="BG1856" s="315"/>
      <c r="BH1856" s="42"/>
    </row>
    <row r="1857" spans="51:60" x14ac:dyDescent="0.2">
      <c r="AY1857" s="315"/>
      <c r="AZ1857" s="326"/>
      <c r="BA1857" s="175"/>
      <c r="BB1857" s="42"/>
      <c r="BC1857" s="431"/>
      <c r="BG1857" s="315"/>
      <c r="BH1857" s="42"/>
    </row>
    <row r="1858" spans="51:60" x14ac:dyDescent="0.2">
      <c r="AY1858" s="315"/>
      <c r="AZ1858" s="326"/>
      <c r="BA1858" s="175"/>
      <c r="BB1858" s="42"/>
      <c r="BC1858" s="431"/>
      <c r="BG1858" s="315"/>
      <c r="BH1858" s="42"/>
    </row>
    <row r="1859" spans="51:60" x14ac:dyDescent="0.2">
      <c r="AY1859" s="315"/>
      <c r="AZ1859" s="326"/>
      <c r="BA1859" s="175"/>
      <c r="BB1859" s="42"/>
      <c r="BC1859" s="431"/>
      <c r="BG1859" s="315"/>
      <c r="BH1859" s="42"/>
    </row>
    <row r="1860" spans="51:60" x14ac:dyDescent="0.2">
      <c r="AY1860" s="315"/>
      <c r="AZ1860" s="326"/>
      <c r="BA1860" s="175"/>
      <c r="BB1860" s="42"/>
      <c r="BC1860" s="431"/>
      <c r="BG1860" s="315"/>
      <c r="BH1860" s="42"/>
    </row>
    <row r="1861" spans="51:60" x14ac:dyDescent="0.2">
      <c r="AY1861" s="315"/>
      <c r="AZ1861" s="326"/>
      <c r="BA1861" s="175"/>
      <c r="BB1861" s="42"/>
      <c r="BC1861" s="431"/>
      <c r="BG1861" s="315"/>
      <c r="BH1861" s="42"/>
    </row>
    <row r="1862" spans="51:60" x14ac:dyDescent="0.2">
      <c r="AY1862" s="315"/>
      <c r="AZ1862" s="326"/>
      <c r="BA1862" s="175"/>
      <c r="BB1862" s="42"/>
      <c r="BC1862" s="431"/>
      <c r="BG1862" s="315"/>
      <c r="BH1862" s="42"/>
    </row>
    <row r="1863" spans="51:60" x14ac:dyDescent="0.2">
      <c r="AY1863" s="315"/>
      <c r="AZ1863" s="326"/>
      <c r="BA1863" s="175"/>
      <c r="BB1863" s="42"/>
      <c r="BC1863" s="431"/>
      <c r="BG1863" s="315"/>
      <c r="BH1863" s="42"/>
    </row>
    <row r="1864" spans="51:60" x14ac:dyDescent="0.2">
      <c r="AY1864" s="315"/>
      <c r="AZ1864" s="326"/>
      <c r="BA1864" s="175"/>
      <c r="BB1864" s="42"/>
      <c r="BC1864" s="431"/>
      <c r="BG1864" s="315"/>
      <c r="BH1864" s="42"/>
    </row>
    <row r="1865" spans="51:60" x14ac:dyDescent="0.2">
      <c r="AY1865" s="315"/>
      <c r="AZ1865" s="326"/>
      <c r="BA1865" s="175"/>
      <c r="BB1865" s="42"/>
      <c r="BC1865" s="431"/>
      <c r="BG1865" s="315"/>
      <c r="BH1865" s="42"/>
    </row>
    <row r="1866" spans="51:60" x14ac:dyDescent="0.2">
      <c r="AY1866" s="315"/>
      <c r="AZ1866" s="326"/>
      <c r="BA1866" s="175"/>
      <c r="BB1866" s="42"/>
      <c r="BC1866" s="431"/>
      <c r="BG1866" s="315"/>
      <c r="BH1866" s="42"/>
    </row>
    <row r="1867" spans="51:60" x14ac:dyDescent="0.2">
      <c r="AY1867" s="315"/>
      <c r="AZ1867" s="326"/>
      <c r="BA1867" s="175"/>
      <c r="BB1867" s="42"/>
      <c r="BC1867" s="431"/>
      <c r="BG1867" s="315"/>
      <c r="BH1867" s="42"/>
    </row>
    <row r="1868" spans="51:60" x14ac:dyDescent="0.2">
      <c r="AY1868" s="315"/>
      <c r="AZ1868" s="326"/>
      <c r="BA1868" s="175"/>
      <c r="BB1868" s="42"/>
      <c r="BC1868" s="431"/>
      <c r="BG1868" s="315"/>
      <c r="BH1868" s="42"/>
    </row>
    <row r="1869" spans="51:60" x14ac:dyDescent="0.2">
      <c r="AY1869" s="315"/>
      <c r="AZ1869" s="326"/>
      <c r="BA1869" s="175"/>
      <c r="BB1869" s="42"/>
      <c r="BC1869" s="431"/>
      <c r="BG1869" s="315"/>
      <c r="BH1869" s="42"/>
    </row>
    <row r="1870" spans="51:60" x14ac:dyDescent="0.2">
      <c r="AY1870" s="315"/>
      <c r="AZ1870" s="326"/>
      <c r="BA1870" s="175"/>
      <c r="BB1870" s="42"/>
      <c r="BC1870" s="431"/>
      <c r="BG1870" s="315"/>
      <c r="BH1870" s="42"/>
    </row>
    <row r="1871" spans="51:60" x14ac:dyDescent="0.2">
      <c r="AY1871" s="315"/>
      <c r="AZ1871" s="326"/>
      <c r="BA1871" s="175"/>
      <c r="BB1871" s="42"/>
      <c r="BC1871" s="431"/>
      <c r="BG1871" s="315"/>
      <c r="BH1871" s="42"/>
    </row>
    <row r="1872" spans="51:60" x14ac:dyDescent="0.2">
      <c r="AY1872" s="315"/>
      <c r="AZ1872" s="326"/>
      <c r="BA1872" s="175"/>
      <c r="BB1872" s="42"/>
      <c r="BC1872" s="431"/>
      <c r="BG1872" s="315"/>
      <c r="BH1872" s="42"/>
    </row>
    <row r="1873" spans="51:60" x14ac:dyDescent="0.2">
      <c r="AY1873" s="315"/>
      <c r="AZ1873" s="326"/>
      <c r="BA1873" s="175"/>
      <c r="BB1873" s="42"/>
      <c r="BC1873" s="431"/>
      <c r="BG1873" s="315"/>
      <c r="BH1873" s="42"/>
    </row>
    <row r="1874" spans="51:60" x14ac:dyDescent="0.2">
      <c r="AY1874" s="315"/>
      <c r="AZ1874" s="326"/>
      <c r="BA1874" s="175"/>
      <c r="BB1874" s="42"/>
      <c r="BC1874" s="431"/>
      <c r="BG1874" s="315"/>
      <c r="BH1874" s="42"/>
    </row>
    <row r="1875" spans="51:60" x14ac:dyDescent="0.2">
      <c r="AY1875" s="315"/>
      <c r="AZ1875" s="326"/>
      <c r="BA1875" s="175"/>
      <c r="BB1875" s="42"/>
      <c r="BC1875" s="431"/>
      <c r="BG1875" s="315"/>
      <c r="BH1875" s="42"/>
    </row>
    <row r="1876" spans="51:60" x14ac:dyDescent="0.2">
      <c r="AY1876" s="315"/>
      <c r="AZ1876" s="326"/>
      <c r="BA1876" s="175"/>
      <c r="BB1876" s="42"/>
      <c r="BC1876" s="431"/>
      <c r="BG1876" s="315"/>
      <c r="BH1876" s="42"/>
    </row>
    <row r="1877" spans="51:60" x14ac:dyDescent="0.2">
      <c r="AY1877" s="315"/>
      <c r="AZ1877" s="326"/>
      <c r="BA1877" s="175"/>
      <c r="BB1877" s="42"/>
      <c r="BC1877" s="431"/>
      <c r="BG1877" s="315"/>
      <c r="BH1877" s="42"/>
    </row>
    <row r="1878" spans="51:60" x14ac:dyDescent="0.2">
      <c r="AY1878" s="315"/>
      <c r="AZ1878" s="326"/>
      <c r="BA1878" s="175"/>
      <c r="BB1878" s="42"/>
      <c r="BC1878" s="431"/>
      <c r="BG1878" s="315"/>
      <c r="BH1878" s="42"/>
    </row>
    <row r="1879" spans="51:60" x14ac:dyDescent="0.2">
      <c r="AY1879" s="315"/>
      <c r="AZ1879" s="326"/>
      <c r="BA1879" s="175"/>
      <c r="BB1879" s="42"/>
      <c r="BC1879" s="431"/>
      <c r="BG1879" s="315"/>
      <c r="BH1879" s="42"/>
    </row>
    <row r="1880" spans="51:60" x14ac:dyDescent="0.2">
      <c r="AY1880" s="315"/>
      <c r="AZ1880" s="326"/>
      <c r="BA1880" s="175"/>
      <c r="BB1880" s="42"/>
      <c r="BC1880" s="431"/>
      <c r="BG1880" s="315"/>
      <c r="BH1880" s="42"/>
    </row>
    <row r="1881" spans="51:60" x14ac:dyDescent="0.2">
      <c r="AY1881" s="315"/>
      <c r="AZ1881" s="326"/>
      <c r="BA1881" s="175"/>
      <c r="BB1881" s="42"/>
      <c r="BC1881" s="431"/>
      <c r="BG1881" s="315"/>
      <c r="BH1881" s="42"/>
    </row>
    <row r="1882" spans="51:60" x14ac:dyDescent="0.2">
      <c r="AY1882" s="315"/>
      <c r="AZ1882" s="326"/>
      <c r="BA1882" s="175"/>
      <c r="BB1882" s="42"/>
      <c r="BC1882" s="431"/>
      <c r="BG1882" s="315"/>
      <c r="BH1882" s="42"/>
    </row>
    <row r="1883" spans="51:60" x14ac:dyDescent="0.2">
      <c r="AY1883" s="315"/>
      <c r="AZ1883" s="326"/>
      <c r="BA1883" s="175"/>
      <c r="BB1883" s="42"/>
      <c r="BC1883" s="431"/>
      <c r="BG1883" s="315"/>
      <c r="BH1883" s="42"/>
    </row>
    <row r="1884" spans="51:60" x14ac:dyDescent="0.2">
      <c r="AY1884" s="315"/>
      <c r="AZ1884" s="326"/>
      <c r="BA1884" s="175"/>
      <c r="BB1884" s="42"/>
      <c r="BC1884" s="431"/>
      <c r="BG1884" s="315"/>
      <c r="BH1884" s="42"/>
    </row>
    <row r="1885" spans="51:60" x14ac:dyDescent="0.2">
      <c r="AY1885" s="315"/>
      <c r="AZ1885" s="326"/>
      <c r="BA1885" s="175"/>
      <c r="BB1885" s="42"/>
      <c r="BC1885" s="431"/>
      <c r="BG1885" s="315"/>
      <c r="BH1885" s="42"/>
    </row>
    <row r="1886" spans="51:60" x14ac:dyDescent="0.2">
      <c r="AY1886" s="315"/>
      <c r="AZ1886" s="326"/>
      <c r="BA1886" s="175"/>
      <c r="BB1886" s="42"/>
      <c r="BC1886" s="431"/>
      <c r="BG1886" s="315"/>
      <c r="BH1886" s="42"/>
    </row>
    <row r="1887" spans="51:60" x14ac:dyDescent="0.2">
      <c r="AY1887" s="315"/>
      <c r="AZ1887" s="326"/>
      <c r="BA1887" s="175"/>
      <c r="BB1887" s="42"/>
      <c r="BC1887" s="431"/>
      <c r="BG1887" s="315"/>
      <c r="BH1887" s="42"/>
    </row>
    <row r="1888" spans="51:60" x14ac:dyDescent="0.2">
      <c r="AY1888" s="315"/>
      <c r="AZ1888" s="326"/>
      <c r="BA1888" s="175"/>
      <c r="BB1888" s="42"/>
      <c r="BC1888" s="431"/>
      <c r="BG1888" s="315"/>
      <c r="BH1888" s="42"/>
    </row>
    <row r="1889" spans="51:60" x14ac:dyDescent="0.2">
      <c r="AY1889" s="315"/>
      <c r="AZ1889" s="326"/>
      <c r="BA1889" s="175"/>
      <c r="BB1889" s="42"/>
      <c r="BC1889" s="431"/>
      <c r="BG1889" s="315"/>
      <c r="BH1889" s="42"/>
    </row>
    <row r="1890" spans="51:60" x14ac:dyDescent="0.2">
      <c r="AY1890" s="315"/>
      <c r="AZ1890" s="326"/>
      <c r="BA1890" s="175"/>
      <c r="BB1890" s="42"/>
      <c r="BC1890" s="431"/>
      <c r="BG1890" s="315"/>
      <c r="BH1890" s="42"/>
    </row>
    <row r="1891" spans="51:60" x14ac:dyDescent="0.2">
      <c r="AY1891" s="315"/>
      <c r="AZ1891" s="326"/>
      <c r="BA1891" s="175"/>
      <c r="BB1891" s="42"/>
      <c r="BC1891" s="431"/>
      <c r="BG1891" s="315"/>
      <c r="BH1891" s="42"/>
    </row>
    <row r="1892" spans="51:60" x14ac:dyDescent="0.2">
      <c r="AY1892" s="315"/>
      <c r="AZ1892" s="326"/>
      <c r="BA1892" s="175"/>
      <c r="BB1892" s="42"/>
      <c r="BC1892" s="431"/>
      <c r="BG1892" s="315"/>
      <c r="BH1892" s="42"/>
    </row>
    <row r="1893" spans="51:60" x14ac:dyDescent="0.2">
      <c r="AY1893" s="315"/>
      <c r="AZ1893" s="326"/>
      <c r="BA1893" s="175"/>
      <c r="BB1893" s="42"/>
      <c r="BC1893" s="431"/>
      <c r="BG1893" s="315"/>
      <c r="BH1893" s="42"/>
    </row>
    <row r="1894" spans="51:60" x14ac:dyDescent="0.2">
      <c r="AY1894" s="315"/>
      <c r="AZ1894" s="326"/>
      <c r="BA1894" s="175"/>
      <c r="BB1894" s="42"/>
      <c r="BC1894" s="431"/>
      <c r="BG1894" s="315"/>
      <c r="BH1894" s="42"/>
    </row>
    <row r="1895" spans="51:60" x14ac:dyDescent="0.2">
      <c r="AY1895" s="315"/>
      <c r="AZ1895" s="326"/>
      <c r="BA1895" s="175"/>
      <c r="BB1895" s="42"/>
      <c r="BC1895" s="431"/>
      <c r="BG1895" s="315"/>
      <c r="BH1895" s="42"/>
    </row>
    <row r="1896" spans="51:60" x14ac:dyDescent="0.2">
      <c r="AY1896" s="315"/>
      <c r="AZ1896" s="326"/>
      <c r="BA1896" s="175"/>
      <c r="BB1896" s="42"/>
      <c r="BC1896" s="431"/>
      <c r="BG1896" s="315"/>
      <c r="BH1896" s="42"/>
    </row>
    <row r="1897" spans="51:60" x14ac:dyDescent="0.2">
      <c r="AY1897" s="315"/>
      <c r="AZ1897" s="326"/>
      <c r="BA1897" s="175"/>
      <c r="BB1897" s="42"/>
      <c r="BC1897" s="431"/>
      <c r="BG1897" s="315"/>
      <c r="BH1897" s="42"/>
    </row>
    <row r="1898" spans="51:60" x14ac:dyDescent="0.2">
      <c r="AY1898" s="315"/>
      <c r="AZ1898" s="326"/>
      <c r="BA1898" s="175"/>
      <c r="BB1898" s="42"/>
      <c r="BC1898" s="431"/>
      <c r="BG1898" s="315"/>
      <c r="BH1898" s="42"/>
    </row>
    <row r="1899" spans="51:60" x14ac:dyDescent="0.2">
      <c r="AY1899" s="315"/>
      <c r="AZ1899" s="326"/>
      <c r="BA1899" s="175"/>
      <c r="BB1899" s="42"/>
      <c r="BC1899" s="431"/>
      <c r="BG1899" s="315"/>
      <c r="BH1899" s="42"/>
    </row>
    <row r="1900" spans="51:60" x14ac:dyDescent="0.2">
      <c r="AY1900" s="315"/>
      <c r="AZ1900" s="326"/>
      <c r="BA1900" s="175"/>
      <c r="BB1900" s="42"/>
      <c r="BC1900" s="431"/>
      <c r="BG1900" s="315"/>
      <c r="BH1900" s="42"/>
    </row>
    <row r="1901" spans="51:60" x14ac:dyDescent="0.2">
      <c r="AY1901" s="315"/>
      <c r="AZ1901" s="326"/>
      <c r="BA1901" s="175"/>
      <c r="BB1901" s="42"/>
      <c r="BC1901" s="431"/>
      <c r="BG1901" s="315"/>
      <c r="BH1901" s="42"/>
    </row>
    <row r="1902" spans="51:60" x14ac:dyDescent="0.2">
      <c r="AY1902" s="315"/>
      <c r="AZ1902" s="326"/>
      <c r="BA1902" s="175"/>
      <c r="BB1902" s="42"/>
      <c r="BC1902" s="431"/>
      <c r="BG1902" s="315"/>
      <c r="BH1902" s="42"/>
    </row>
    <row r="1903" spans="51:60" x14ac:dyDescent="0.2">
      <c r="AY1903" s="315"/>
      <c r="AZ1903" s="326"/>
      <c r="BA1903" s="175"/>
      <c r="BB1903" s="42"/>
      <c r="BC1903" s="431"/>
      <c r="BG1903" s="315"/>
      <c r="BH1903" s="42"/>
    </row>
    <row r="1904" spans="51:60" x14ac:dyDescent="0.2">
      <c r="AY1904" s="315"/>
      <c r="AZ1904" s="326"/>
      <c r="BA1904" s="175"/>
      <c r="BB1904" s="42"/>
      <c r="BC1904" s="431"/>
      <c r="BG1904" s="315"/>
      <c r="BH1904" s="42"/>
    </row>
    <row r="1905" spans="51:60" x14ac:dyDescent="0.2">
      <c r="AY1905" s="315"/>
      <c r="AZ1905" s="326"/>
      <c r="BA1905" s="175"/>
      <c r="BB1905" s="42"/>
      <c r="BC1905" s="431"/>
      <c r="BG1905" s="315"/>
      <c r="BH1905" s="42"/>
    </row>
    <row r="1906" spans="51:60" x14ac:dyDescent="0.2">
      <c r="AY1906" s="315"/>
      <c r="AZ1906" s="326"/>
      <c r="BA1906" s="175"/>
      <c r="BB1906" s="42"/>
      <c r="BC1906" s="431"/>
      <c r="BG1906" s="315"/>
      <c r="BH1906" s="42"/>
    </row>
    <row r="1907" spans="51:60" x14ac:dyDescent="0.2">
      <c r="AY1907" s="315"/>
      <c r="AZ1907" s="326"/>
      <c r="BA1907" s="175"/>
      <c r="BB1907" s="42"/>
      <c r="BC1907" s="431"/>
      <c r="BG1907" s="315"/>
      <c r="BH1907" s="42"/>
    </row>
    <row r="1908" spans="51:60" x14ac:dyDescent="0.2">
      <c r="AY1908" s="315"/>
      <c r="AZ1908" s="326"/>
      <c r="BA1908" s="175"/>
      <c r="BB1908" s="42"/>
      <c r="BC1908" s="431"/>
      <c r="BG1908" s="315"/>
      <c r="BH1908" s="42"/>
    </row>
    <row r="1909" spans="51:60" x14ac:dyDescent="0.2">
      <c r="AY1909" s="315"/>
      <c r="AZ1909" s="326"/>
      <c r="BA1909" s="175"/>
      <c r="BB1909" s="42"/>
      <c r="BC1909" s="431"/>
      <c r="BG1909" s="315"/>
      <c r="BH1909" s="42"/>
    </row>
    <row r="1910" spans="51:60" x14ac:dyDescent="0.2">
      <c r="AY1910" s="315"/>
      <c r="AZ1910" s="326"/>
      <c r="BA1910" s="175"/>
      <c r="BB1910" s="42"/>
      <c r="BC1910" s="431"/>
      <c r="BG1910" s="315"/>
      <c r="BH1910" s="42"/>
    </row>
    <row r="1911" spans="51:60" x14ac:dyDescent="0.2">
      <c r="AY1911" s="315"/>
      <c r="AZ1911" s="326"/>
      <c r="BA1911" s="175"/>
      <c r="BB1911" s="42"/>
      <c r="BC1911" s="431"/>
      <c r="BG1911" s="315"/>
      <c r="BH1911" s="42"/>
    </row>
    <row r="1912" spans="51:60" x14ac:dyDescent="0.2">
      <c r="AY1912" s="315"/>
      <c r="AZ1912" s="326"/>
      <c r="BA1912" s="175"/>
      <c r="BB1912" s="42"/>
      <c r="BC1912" s="431"/>
      <c r="BG1912" s="315"/>
      <c r="BH1912" s="42"/>
    </row>
    <row r="1913" spans="51:60" x14ac:dyDescent="0.2">
      <c r="AY1913" s="315"/>
      <c r="AZ1913" s="326"/>
      <c r="BA1913" s="175"/>
      <c r="BB1913" s="42"/>
      <c r="BC1913" s="431"/>
      <c r="BG1913" s="315"/>
      <c r="BH1913" s="42"/>
    </row>
    <row r="1914" spans="51:60" x14ac:dyDescent="0.2">
      <c r="AY1914" s="315"/>
      <c r="AZ1914" s="326"/>
      <c r="BA1914" s="175"/>
      <c r="BB1914" s="42"/>
      <c r="BC1914" s="431"/>
      <c r="BG1914" s="315"/>
      <c r="BH1914" s="42"/>
    </row>
    <row r="1915" spans="51:60" x14ac:dyDescent="0.2">
      <c r="AY1915" s="315"/>
      <c r="AZ1915" s="326"/>
      <c r="BA1915" s="175"/>
      <c r="BB1915" s="42"/>
      <c r="BC1915" s="431"/>
      <c r="BG1915" s="315"/>
      <c r="BH1915" s="42"/>
    </row>
    <row r="1916" spans="51:60" x14ac:dyDescent="0.2">
      <c r="AY1916" s="315"/>
      <c r="AZ1916" s="326"/>
      <c r="BA1916" s="175"/>
      <c r="BB1916" s="42"/>
      <c r="BC1916" s="431"/>
      <c r="BG1916" s="315"/>
      <c r="BH1916" s="42"/>
    </row>
    <row r="1917" spans="51:60" x14ac:dyDescent="0.2">
      <c r="AY1917" s="315"/>
      <c r="AZ1917" s="326"/>
      <c r="BA1917" s="175"/>
      <c r="BB1917" s="42"/>
      <c r="BC1917" s="431"/>
      <c r="BG1917" s="315"/>
      <c r="BH1917" s="42"/>
    </row>
    <row r="1918" spans="51:60" x14ac:dyDescent="0.2">
      <c r="AY1918" s="315"/>
      <c r="AZ1918" s="326"/>
      <c r="BA1918" s="175"/>
      <c r="BB1918" s="42"/>
      <c r="BC1918" s="431"/>
      <c r="BG1918" s="315"/>
      <c r="BH1918" s="42"/>
    </row>
    <row r="1919" spans="51:60" x14ac:dyDescent="0.2">
      <c r="AY1919" s="315"/>
      <c r="AZ1919" s="326"/>
      <c r="BA1919" s="175"/>
      <c r="BB1919" s="42"/>
      <c r="BC1919" s="431"/>
      <c r="BG1919" s="315"/>
      <c r="BH1919" s="42"/>
    </row>
    <row r="1920" spans="51:60" x14ac:dyDescent="0.2">
      <c r="AY1920" s="315"/>
      <c r="AZ1920" s="326"/>
      <c r="BA1920" s="175"/>
      <c r="BB1920" s="42"/>
      <c r="BC1920" s="431"/>
      <c r="BG1920" s="315"/>
      <c r="BH1920" s="42"/>
    </row>
    <row r="1921" spans="51:60" x14ac:dyDescent="0.2">
      <c r="AY1921" s="315"/>
      <c r="AZ1921" s="326"/>
      <c r="BA1921" s="175"/>
      <c r="BB1921" s="42"/>
      <c r="BC1921" s="431"/>
      <c r="BG1921" s="315"/>
      <c r="BH1921" s="42"/>
    </row>
    <row r="1922" spans="51:60" x14ac:dyDescent="0.2">
      <c r="AY1922" s="315"/>
      <c r="AZ1922" s="326"/>
      <c r="BA1922" s="175"/>
      <c r="BB1922" s="42"/>
      <c r="BC1922" s="431"/>
      <c r="BG1922" s="315"/>
      <c r="BH1922" s="42"/>
    </row>
    <row r="1923" spans="51:60" x14ac:dyDescent="0.2">
      <c r="AY1923" s="315"/>
      <c r="AZ1923" s="326"/>
      <c r="BA1923" s="175"/>
      <c r="BB1923" s="42"/>
      <c r="BC1923" s="431"/>
      <c r="BG1923" s="315"/>
      <c r="BH1923" s="42"/>
    </row>
    <row r="1924" spans="51:60" x14ac:dyDescent="0.2">
      <c r="AY1924" s="315"/>
      <c r="AZ1924" s="326"/>
      <c r="BA1924" s="175"/>
      <c r="BB1924" s="42"/>
      <c r="BC1924" s="431"/>
      <c r="BG1924" s="315"/>
      <c r="BH1924" s="42"/>
    </row>
    <row r="1925" spans="51:60" x14ac:dyDescent="0.2">
      <c r="AY1925" s="315"/>
      <c r="AZ1925" s="326"/>
      <c r="BA1925" s="175"/>
      <c r="BB1925" s="42"/>
      <c r="BC1925" s="431"/>
      <c r="BG1925" s="315"/>
      <c r="BH1925" s="42"/>
    </row>
    <row r="1926" spans="51:60" x14ac:dyDescent="0.2">
      <c r="AY1926" s="315"/>
      <c r="AZ1926" s="326"/>
      <c r="BA1926" s="175"/>
      <c r="BB1926" s="42"/>
      <c r="BC1926" s="431"/>
      <c r="BG1926" s="315"/>
      <c r="BH1926" s="42"/>
    </row>
    <row r="1927" spans="51:60" x14ac:dyDescent="0.2">
      <c r="AY1927" s="315"/>
      <c r="AZ1927" s="326"/>
      <c r="BA1927" s="175"/>
      <c r="BB1927" s="42"/>
      <c r="BC1927" s="431"/>
      <c r="BG1927" s="315"/>
      <c r="BH1927" s="42"/>
    </row>
    <row r="1928" spans="51:60" x14ac:dyDescent="0.2">
      <c r="AY1928" s="315"/>
      <c r="AZ1928" s="326"/>
      <c r="BA1928" s="175"/>
      <c r="BB1928" s="42"/>
      <c r="BC1928" s="431"/>
      <c r="BG1928" s="315"/>
      <c r="BH1928" s="42"/>
    </row>
    <row r="1929" spans="51:60" x14ac:dyDescent="0.2">
      <c r="AY1929" s="315"/>
      <c r="AZ1929" s="326"/>
      <c r="BA1929" s="175"/>
      <c r="BB1929" s="42"/>
      <c r="BC1929" s="431"/>
      <c r="BG1929" s="315"/>
      <c r="BH1929" s="42"/>
    </row>
    <row r="1930" spans="51:60" x14ac:dyDescent="0.2">
      <c r="AY1930" s="315"/>
      <c r="AZ1930" s="326"/>
      <c r="BA1930" s="175"/>
      <c r="BB1930" s="42"/>
      <c r="BC1930" s="431"/>
      <c r="BG1930" s="315"/>
      <c r="BH1930" s="42"/>
    </row>
    <row r="1931" spans="51:60" x14ac:dyDescent="0.2">
      <c r="AY1931" s="315"/>
      <c r="AZ1931" s="326"/>
      <c r="BA1931" s="175"/>
      <c r="BB1931" s="42"/>
      <c r="BC1931" s="431"/>
      <c r="BG1931" s="315"/>
      <c r="BH1931" s="42"/>
    </row>
    <row r="1932" spans="51:60" x14ac:dyDescent="0.2">
      <c r="AY1932" s="315"/>
      <c r="AZ1932" s="326"/>
      <c r="BA1932" s="175"/>
      <c r="BB1932" s="42"/>
      <c r="BC1932" s="431"/>
      <c r="BG1932" s="315"/>
      <c r="BH1932" s="42"/>
    </row>
    <row r="1933" spans="51:60" x14ac:dyDescent="0.2">
      <c r="AY1933" s="315"/>
      <c r="AZ1933" s="326"/>
      <c r="BA1933" s="175"/>
      <c r="BB1933" s="42"/>
      <c r="BC1933" s="431"/>
      <c r="BG1933" s="315"/>
      <c r="BH1933" s="42"/>
    </row>
    <row r="1934" spans="51:60" x14ac:dyDescent="0.2">
      <c r="AY1934" s="315"/>
      <c r="AZ1934" s="326"/>
      <c r="BA1934" s="175"/>
      <c r="BB1934" s="42"/>
      <c r="BC1934" s="431"/>
      <c r="BG1934" s="315"/>
      <c r="BH1934" s="42"/>
    </row>
    <row r="1935" spans="51:60" x14ac:dyDescent="0.2">
      <c r="AY1935" s="315"/>
      <c r="AZ1935" s="326"/>
      <c r="BA1935" s="175"/>
      <c r="BB1935" s="42"/>
      <c r="BC1935" s="431"/>
      <c r="BG1935" s="315"/>
      <c r="BH1935" s="42"/>
    </row>
    <row r="1936" spans="51:60" x14ac:dyDescent="0.2">
      <c r="AY1936" s="315"/>
      <c r="AZ1936" s="326"/>
      <c r="BA1936" s="175"/>
      <c r="BB1936" s="42"/>
      <c r="BC1936" s="431"/>
      <c r="BG1936" s="315"/>
      <c r="BH1936" s="42"/>
    </row>
    <row r="1937" spans="51:60" x14ac:dyDescent="0.2">
      <c r="AY1937" s="315"/>
      <c r="AZ1937" s="326"/>
      <c r="BA1937" s="175"/>
      <c r="BB1937" s="42"/>
      <c r="BC1937" s="431"/>
      <c r="BG1937" s="315"/>
      <c r="BH1937" s="42"/>
    </row>
    <row r="1938" spans="51:60" x14ac:dyDescent="0.2">
      <c r="AY1938" s="315"/>
      <c r="AZ1938" s="326"/>
      <c r="BA1938" s="175"/>
      <c r="BB1938" s="42"/>
      <c r="BC1938" s="431"/>
      <c r="BG1938" s="315"/>
      <c r="BH1938" s="42"/>
    </row>
    <row r="1939" spans="51:60" x14ac:dyDescent="0.2">
      <c r="AY1939" s="315"/>
      <c r="AZ1939" s="326"/>
      <c r="BA1939" s="175"/>
      <c r="BB1939" s="42"/>
      <c r="BC1939" s="431"/>
      <c r="BG1939" s="315"/>
      <c r="BH1939" s="42"/>
    </row>
    <row r="1940" spans="51:60" x14ac:dyDescent="0.2">
      <c r="AY1940" s="315"/>
      <c r="AZ1940" s="326"/>
      <c r="BA1940" s="175"/>
      <c r="BB1940" s="42"/>
      <c r="BC1940" s="431"/>
      <c r="BG1940" s="315"/>
      <c r="BH1940" s="42"/>
    </row>
    <row r="1941" spans="51:60" x14ac:dyDescent="0.2">
      <c r="AY1941" s="315"/>
      <c r="AZ1941" s="326"/>
      <c r="BA1941" s="175"/>
      <c r="BB1941" s="42"/>
      <c r="BC1941" s="431"/>
      <c r="BG1941" s="315"/>
      <c r="BH1941" s="42"/>
    </row>
    <row r="1942" spans="51:60" x14ac:dyDescent="0.2">
      <c r="AY1942" s="315"/>
      <c r="AZ1942" s="326"/>
      <c r="BA1942" s="175"/>
      <c r="BB1942" s="42"/>
      <c r="BC1942" s="431"/>
      <c r="BG1942" s="315"/>
      <c r="BH1942" s="42"/>
    </row>
    <row r="1943" spans="51:60" x14ac:dyDescent="0.2">
      <c r="AY1943" s="315"/>
      <c r="AZ1943" s="326"/>
      <c r="BA1943" s="175"/>
      <c r="BB1943" s="42"/>
      <c r="BC1943" s="431"/>
      <c r="BG1943" s="315"/>
      <c r="BH1943" s="42"/>
    </row>
    <row r="1944" spans="51:60" x14ac:dyDescent="0.2">
      <c r="AY1944" s="315"/>
      <c r="AZ1944" s="326"/>
      <c r="BA1944" s="175"/>
      <c r="BB1944" s="42"/>
      <c r="BC1944" s="431"/>
      <c r="BG1944" s="315"/>
      <c r="BH1944" s="42"/>
    </row>
    <row r="1945" spans="51:60" x14ac:dyDescent="0.2">
      <c r="AY1945" s="315"/>
      <c r="AZ1945" s="326"/>
      <c r="BA1945" s="175"/>
      <c r="BB1945" s="42"/>
      <c r="BC1945" s="431"/>
      <c r="BG1945" s="315"/>
      <c r="BH1945" s="42"/>
    </row>
    <row r="1946" spans="51:60" x14ac:dyDescent="0.2">
      <c r="AY1946" s="315"/>
      <c r="AZ1946" s="326"/>
      <c r="BA1946" s="175"/>
      <c r="BB1946" s="42"/>
      <c r="BC1946" s="431"/>
      <c r="BG1946" s="315"/>
      <c r="BH1946" s="42"/>
    </row>
    <row r="1947" spans="51:60" x14ac:dyDescent="0.2">
      <c r="AY1947" s="315"/>
      <c r="AZ1947" s="326"/>
      <c r="BA1947" s="175"/>
      <c r="BB1947" s="42"/>
      <c r="BC1947" s="431"/>
      <c r="BG1947" s="315"/>
      <c r="BH1947" s="42"/>
    </row>
    <row r="1948" spans="51:60" x14ac:dyDescent="0.2">
      <c r="AY1948" s="315"/>
      <c r="AZ1948" s="326"/>
      <c r="BA1948" s="175"/>
      <c r="BB1948" s="42"/>
      <c r="BC1948" s="431"/>
      <c r="BG1948" s="315"/>
      <c r="BH1948" s="42"/>
    </row>
    <row r="1949" spans="51:60" x14ac:dyDescent="0.2">
      <c r="AY1949" s="315"/>
      <c r="AZ1949" s="326"/>
      <c r="BA1949" s="175"/>
      <c r="BB1949" s="42"/>
      <c r="BC1949" s="431"/>
      <c r="BG1949" s="315"/>
      <c r="BH1949" s="42"/>
    </row>
    <row r="1950" spans="51:60" x14ac:dyDescent="0.2">
      <c r="AY1950" s="315"/>
      <c r="AZ1950" s="326"/>
      <c r="BA1950" s="175"/>
      <c r="BB1950" s="42"/>
      <c r="BC1950" s="431"/>
      <c r="BG1950" s="315"/>
      <c r="BH1950" s="42"/>
    </row>
    <row r="1951" spans="51:60" x14ac:dyDescent="0.2">
      <c r="AY1951" s="315"/>
      <c r="AZ1951" s="326"/>
      <c r="BA1951" s="175"/>
      <c r="BB1951" s="42"/>
      <c r="BC1951" s="431"/>
      <c r="BG1951" s="315"/>
      <c r="BH1951" s="42"/>
    </row>
    <row r="1952" spans="51:60" x14ac:dyDescent="0.2">
      <c r="AY1952" s="315"/>
      <c r="AZ1952" s="326"/>
      <c r="BA1952" s="175"/>
      <c r="BB1952" s="42"/>
      <c r="BC1952" s="431"/>
      <c r="BG1952" s="315"/>
      <c r="BH1952" s="42"/>
    </row>
    <row r="1953" spans="51:60" x14ac:dyDescent="0.2">
      <c r="AY1953" s="315"/>
      <c r="AZ1953" s="326"/>
      <c r="BA1953" s="175"/>
      <c r="BB1953" s="42"/>
      <c r="BC1953" s="431"/>
      <c r="BG1953" s="315"/>
      <c r="BH1953" s="42"/>
    </row>
    <row r="1954" spans="51:60" x14ac:dyDescent="0.2">
      <c r="AY1954" s="315"/>
      <c r="AZ1954" s="326"/>
      <c r="BA1954" s="175"/>
      <c r="BB1954" s="42"/>
      <c r="BC1954" s="431"/>
      <c r="BG1954" s="315"/>
      <c r="BH1954" s="42"/>
    </row>
    <row r="1955" spans="51:60" x14ac:dyDescent="0.2">
      <c r="AY1955" s="315"/>
      <c r="AZ1955" s="326"/>
      <c r="BA1955" s="175"/>
      <c r="BB1955" s="42"/>
      <c r="BC1955" s="431"/>
      <c r="BG1955" s="315"/>
      <c r="BH1955" s="42"/>
    </row>
    <row r="1956" spans="51:60" x14ac:dyDescent="0.2">
      <c r="AY1956" s="315"/>
      <c r="AZ1956" s="326"/>
      <c r="BA1956" s="175"/>
      <c r="BB1956" s="42"/>
      <c r="BC1956" s="431"/>
      <c r="BG1956" s="315"/>
      <c r="BH1956" s="42"/>
    </row>
    <row r="1957" spans="51:60" x14ac:dyDescent="0.2">
      <c r="AY1957" s="315"/>
      <c r="AZ1957" s="326"/>
      <c r="BA1957" s="175"/>
      <c r="BB1957" s="42"/>
      <c r="BC1957" s="431"/>
      <c r="BG1957" s="315"/>
      <c r="BH1957" s="42"/>
    </row>
    <row r="1958" spans="51:60" x14ac:dyDescent="0.2">
      <c r="AY1958" s="315"/>
      <c r="AZ1958" s="326"/>
      <c r="BA1958" s="175"/>
      <c r="BB1958" s="42"/>
      <c r="BC1958" s="431"/>
      <c r="BG1958" s="315"/>
      <c r="BH1958" s="42"/>
    </row>
    <row r="1959" spans="51:60" x14ac:dyDescent="0.2">
      <c r="AY1959" s="315"/>
      <c r="AZ1959" s="326"/>
      <c r="BA1959" s="175"/>
      <c r="BB1959" s="42"/>
      <c r="BC1959" s="431"/>
      <c r="BG1959" s="315"/>
      <c r="BH1959" s="42"/>
    </row>
    <row r="1960" spans="51:60" x14ac:dyDescent="0.2">
      <c r="AY1960" s="315"/>
      <c r="AZ1960" s="326"/>
      <c r="BA1960" s="175"/>
      <c r="BB1960" s="42"/>
      <c r="BC1960" s="431"/>
      <c r="BG1960" s="315"/>
      <c r="BH1960" s="42"/>
    </row>
    <row r="1961" spans="51:60" x14ac:dyDescent="0.2">
      <c r="AY1961" s="315"/>
      <c r="AZ1961" s="326"/>
      <c r="BA1961" s="175"/>
      <c r="BB1961" s="42"/>
      <c r="BC1961" s="431"/>
      <c r="BG1961" s="315"/>
      <c r="BH1961" s="42"/>
    </row>
    <row r="1962" spans="51:60" x14ac:dyDescent="0.2">
      <c r="AY1962" s="315"/>
      <c r="AZ1962" s="326"/>
      <c r="BA1962" s="175"/>
      <c r="BB1962" s="42"/>
      <c r="BC1962" s="431"/>
      <c r="BG1962" s="315"/>
      <c r="BH1962" s="42"/>
    </row>
    <row r="1963" spans="51:60" x14ac:dyDescent="0.2">
      <c r="AY1963" s="315"/>
      <c r="AZ1963" s="326"/>
      <c r="BA1963" s="175"/>
      <c r="BB1963" s="42"/>
      <c r="BC1963" s="431"/>
      <c r="BG1963" s="315"/>
      <c r="BH1963" s="42"/>
    </row>
    <row r="1964" spans="51:60" x14ac:dyDescent="0.2">
      <c r="AY1964" s="315"/>
      <c r="AZ1964" s="326"/>
      <c r="BA1964" s="175"/>
      <c r="BB1964" s="42"/>
      <c r="BC1964" s="431"/>
      <c r="BG1964" s="315"/>
      <c r="BH1964" s="42"/>
    </row>
    <row r="1965" spans="51:60" x14ac:dyDescent="0.2">
      <c r="AY1965" s="315"/>
      <c r="AZ1965" s="326"/>
      <c r="BA1965" s="175"/>
      <c r="BB1965" s="42"/>
      <c r="BC1965" s="431"/>
      <c r="BG1965" s="315"/>
      <c r="BH1965" s="42"/>
    </row>
    <row r="1966" spans="51:60" x14ac:dyDescent="0.2">
      <c r="AY1966" s="315"/>
      <c r="AZ1966" s="326"/>
      <c r="BA1966" s="175"/>
      <c r="BB1966" s="42"/>
      <c r="BC1966" s="431"/>
      <c r="BG1966" s="315"/>
      <c r="BH1966" s="42"/>
    </row>
    <row r="1967" spans="51:60" x14ac:dyDescent="0.2">
      <c r="AY1967" s="315"/>
      <c r="AZ1967" s="326"/>
      <c r="BA1967" s="175"/>
      <c r="BB1967" s="42"/>
      <c r="BC1967" s="431"/>
      <c r="BG1967" s="315"/>
      <c r="BH1967" s="42"/>
    </row>
    <row r="1968" spans="51:60" x14ac:dyDescent="0.2">
      <c r="AY1968" s="315"/>
      <c r="AZ1968" s="326"/>
      <c r="BA1968" s="175"/>
      <c r="BB1968" s="42"/>
      <c r="BC1968" s="431"/>
      <c r="BG1968" s="315"/>
      <c r="BH1968" s="42"/>
    </row>
    <row r="1969" spans="51:60" x14ac:dyDescent="0.2">
      <c r="AY1969" s="315"/>
      <c r="AZ1969" s="326"/>
      <c r="BA1969" s="175"/>
      <c r="BB1969" s="42"/>
      <c r="BC1969" s="431"/>
      <c r="BG1969" s="315"/>
      <c r="BH1969" s="42"/>
    </row>
    <row r="1970" spans="51:60" x14ac:dyDescent="0.2">
      <c r="AY1970" s="315"/>
      <c r="AZ1970" s="326"/>
      <c r="BA1970" s="175"/>
      <c r="BB1970" s="42"/>
      <c r="BC1970" s="431"/>
      <c r="BG1970" s="315"/>
      <c r="BH1970" s="42"/>
    </row>
    <row r="1971" spans="51:60" x14ac:dyDescent="0.2">
      <c r="AY1971" s="315"/>
      <c r="AZ1971" s="326"/>
      <c r="BA1971" s="175"/>
      <c r="BB1971" s="42"/>
      <c r="BC1971" s="431"/>
      <c r="BG1971" s="315"/>
      <c r="BH1971" s="42"/>
    </row>
    <row r="1972" spans="51:60" x14ac:dyDescent="0.2">
      <c r="AY1972" s="315"/>
      <c r="AZ1972" s="326"/>
      <c r="BA1972" s="175"/>
      <c r="BB1972" s="42"/>
      <c r="BC1972" s="431"/>
      <c r="BG1972" s="315"/>
      <c r="BH1972" s="42"/>
    </row>
    <row r="1973" spans="51:60" x14ac:dyDescent="0.2">
      <c r="AY1973" s="315"/>
      <c r="AZ1973" s="326"/>
      <c r="BA1973" s="175"/>
      <c r="BB1973" s="42"/>
      <c r="BC1973" s="431"/>
      <c r="BG1973" s="315"/>
      <c r="BH1973" s="42"/>
    </row>
    <row r="1974" spans="51:60" x14ac:dyDescent="0.2">
      <c r="AY1974" s="315"/>
      <c r="AZ1974" s="326"/>
      <c r="BA1974" s="175"/>
      <c r="BB1974" s="42"/>
      <c r="BC1974" s="431"/>
      <c r="BG1974" s="315"/>
      <c r="BH1974" s="42"/>
    </row>
    <row r="1975" spans="51:60" x14ac:dyDescent="0.2">
      <c r="AY1975" s="315"/>
      <c r="AZ1975" s="326"/>
      <c r="BA1975" s="175"/>
      <c r="BB1975" s="42"/>
      <c r="BC1975" s="431"/>
      <c r="BG1975" s="315"/>
      <c r="BH1975" s="42"/>
    </row>
    <row r="1976" spans="51:60" x14ac:dyDescent="0.2">
      <c r="AY1976" s="315"/>
      <c r="AZ1976" s="326"/>
      <c r="BA1976" s="175"/>
      <c r="BB1976" s="42"/>
      <c r="BC1976" s="431"/>
      <c r="BG1976" s="315"/>
      <c r="BH1976" s="42"/>
    </row>
    <row r="1977" spans="51:60" x14ac:dyDescent="0.2">
      <c r="AY1977" s="315"/>
      <c r="AZ1977" s="326"/>
      <c r="BA1977" s="175"/>
      <c r="BB1977" s="42"/>
      <c r="BC1977" s="431"/>
      <c r="BG1977" s="315"/>
      <c r="BH1977" s="42"/>
    </row>
    <row r="1978" spans="51:60" x14ac:dyDescent="0.2">
      <c r="AY1978" s="315"/>
      <c r="AZ1978" s="326"/>
      <c r="BA1978" s="175"/>
      <c r="BB1978" s="42"/>
      <c r="BC1978" s="431"/>
      <c r="BG1978" s="315"/>
      <c r="BH1978" s="42"/>
    </row>
    <row r="1979" spans="51:60" x14ac:dyDescent="0.2">
      <c r="AY1979" s="315"/>
      <c r="AZ1979" s="326"/>
      <c r="BA1979" s="175"/>
      <c r="BB1979" s="42"/>
      <c r="BC1979" s="431"/>
      <c r="BG1979" s="315"/>
      <c r="BH1979" s="42"/>
    </row>
    <row r="1980" spans="51:60" x14ac:dyDescent="0.2">
      <c r="AY1980" s="315"/>
      <c r="AZ1980" s="326"/>
      <c r="BA1980" s="175"/>
      <c r="BB1980" s="42"/>
      <c r="BC1980" s="431"/>
      <c r="BG1980" s="315"/>
      <c r="BH1980" s="42"/>
    </row>
    <row r="1981" spans="51:60" x14ac:dyDescent="0.2">
      <c r="AY1981" s="315"/>
      <c r="AZ1981" s="326"/>
      <c r="BA1981" s="175"/>
      <c r="BB1981" s="42"/>
      <c r="BC1981" s="431"/>
      <c r="BG1981" s="315"/>
      <c r="BH1981" s="42"/>
    </row>
    <row r="1982" spans="51:60" x14ac:dyDescent="0.2">
      <c r="AY1982" s="315"/>
      <c r="AZ1982" s="326"/>
      <c r="BA1982" s="175"/>
      <c r="BB1982" s="42"/>
      <c r="BC1982" s="431"/>
      <c r="BG1982" s="315"/>
      <c r="BH1982" s="42"/>
    </row>
    <row r="1983" spans="51:60" x14ac:dyDescent="0.2">
      <c r="AY1983" s="315"/>
      <c r="AZ1983" s="326"/>
      <c r="BA1983" s="175"/>
      <c r="BB1983" s="42"/>
      <c r="BC1983" s="431"/>
      <c r="BG1983" s="315"/>
      <c r="BH1983" s="42"/>
    </row>
    <row r="1984" spans="51:60" x14ac:dyDescent="0.2">
      <c r="AY1984" s="315"/>
      <c r="AZ1984" s="326"/>
      <c r="BA1984" s="175"/>
      <c r="BB1984" s="42"/>
      <c r="BC1984" s="431"/>
      <c r="BG1984" s="315"/>
      <c r="BH1984" s="42"/>
    </row>
    <row r="1985" spans="51:60" x14ac:dyDescent="0.2">
      <c r="AY1985" s="315"/>
      <c r="AZ1985" s="326"/>
      <c r="BA1985" s="175"/>
      <c r="BB1985" s="42"/>
      <c r="BC1985" s="431"/>
      <c r="BG1985" s="315"/>
      <c r="BH1985" s="42"/>
    </row>
    <row r="1986" spans="51:60" x14ac:dyDescent="0.2">
      <c r="AY1986" s="315"/>
      <c r="AZ1986" s="326"/>
      <c r="BA1986" s="175"/>
      <c r="BB1986" s="42"/>
      <c r="BC1986" s="431"/>
      <c r="BG1986" s="315"/>
      <c r="BH1986" s="42"/>
    </row>
    <row r="1987" spans="51:60" x14ac:dyDescent="0.2">
      <c r="AY1987" s="315"/>
      <c r="AZ1987" s="326"/>
      <c r="BA1987" s="175"/>
      <c r="BB1987" s="42"/>
      <c r="BC1987" s="431"/>
      <c r="BG1987" s="315"/>
      <c r="BH1987" s="42"/>
    </row>
    <row r="1988" spans="51:60" x14ac:dyDescent="0.2">
      <c r="AY1988" s="315"/>
      <c r="AZ1988" s="326"/>
      <c r="BA1988" s="175"/>
      <c r="BB1988" s="42"/>
      <c r="BC1988" s="431"/>
      <c r="BG1988" s="315"/>
      <c r="BH1988" s="42"/>
    </row>
    <row r="1989" spans="51:60" x14ac:dyDescent="0.2">
      <c r="AY1989" s="315"/>
      <c r="AZ1989" s="326"/>
      <c r="BA1989" s="175"/>
      <c r="BB1989" s="42"/>
      <c r="BC1989" s="431"/>
      <c r="BG1989" s="315"/>
      <c r="BH1989" s="42"/>
    </row>
    <row r="1990" spans="51:60" x14ac:dyDescent="0.2">
      <c r="AY1990" s="315"/>
      <c r="AZ1990" s="326"/>
      <c r="BA1990" s="175"/>
      <c r="BB1990" s="42"/>
      <c r="BC1990" s="431"/>
      <c r="BG1990" s="315"/>
      <c r="BH1990" s="42"/>
    </row>
    <row r="1991" spans="51:60" x14ac:dyDescent="0.2">
      <c r="AY1991" s="315"/>
      <c r="AZ1991" s="326"/>
      <c r="BA1991" s="175"/>
      <c r="BB1991" s="42"/>
      <c r="BC1991" s="431"/>
      <c r="BG1991" s="315"/>
      <c r="BH1991" s="42"/>
    </row>
    <row r="1992" spans="51:60" x14ac:dyDescent="0.2">
      <c r="AY1992" s="315"/>
      <c r="AZ1992" s="326"/>
      <c r="BA1992" s="175"/>
      <c r="BB1992" s="42"/>
      <c r="BC1992" s="431"/>
      <c r="BG1992" s="315"/>
      <c r="BH1992" s="42"/>
    </row>
    <row r="1993" spans="51:60" x14ac:dyDescent="0.2">
      <c r="AY1993" s="315"/>
      <c r="AZ1993" s="326"/>
      <c r="BA1993" s="175"/>
      <c r="BB1993" s="42"/>
      <c r="BC1993" s="431"/>
      <c r="BG1993" s="315"/>
      <c r="BH1993" s="42"/>
    </row>
    <row r="1994" spans="51:60" x14ac:dyDescent="0.2">
      <c r="AY1994" s="315"/>
      <c r="AZ1994" s="326"/>
      <c r="BA1994" s="175"/>
      <c r="BB1994" s="42"/>
      <c r="BC1994" s="431"/>
      <c r="BG1994" s="315"/>
      <c r="BH1994" s="42"/>
    </row>
    <row r="1995" spans="51:60" x14ac:dyDescent="0.2">
      <c r="AY1995" s="315"/>
      <c r="AZ1995" s="326"/>
      <c r="BA1995" s="175"/>
      <c r="BB1995" s="42"/>
      <c r="BC1995" s="431"/>
      <c r="BG1995" s="315"/>
      <c r="BH1995" s="42"/>
    </row>
    <row r="1996" spans="51:60" x14ac:dyDescent="0.2">
      <c r="AY1996" s="315"/>
      <c r="AZ1996" s="326"/>
      <c r="BA1996" s="175"/>
      <c r="BB1996" s="42"/>
      <c r="BC1996" s="431"/>
      <c r="BG1996" s="315"/>
      <c r="BH1996" s="42"/>
    </row>
    <row r="1997" spans="51:60" x14ac:dyDescent="0.2">
      <c r="AY1997" s="315"/>
      <c r="AZ1997" s="326"/>
      <c r="BA1997" s="175"/>
      <c r="BB1997" s="42"/>
      <c r="BC1997" s="431"/>
      <c r="BG1997" s="315"/>
      <c r="BH1997" s="42"/>
    </row>
    <row r="1998" spans="51:60" x14ac:dyDescent="0.2">
      <c r="AY1998" s="315"/>
      <c r="AZ1998" s="326"/>
      <c r="BA1998" s="175"/>
      <c r="BB1998" s="42"/>
      <c r="BC1998" s="431"/>
      <c r="BG1998" s="315"/>
      <c r="BH1998" s="42"/>
    </row>
    <row r="1999" spans="51:60" x14ac:dyDescent="0.2">
      <c r="AY1999" s="315"/>
      <c r="AZ1999" s="326"/>
      <c r="BA1999" s="175"/>
      <c r="BB1999" s="42"/>
      <c r="BC1999" s="431"/>
      <c r="BG1999" s="315"/>
      <c r="BH1999" s="42"/>
    </row>
    <row r="2000" spans="51:60" x14ac:dyDescent="0.2">
      <c r="AY2000" s="315"/>
      <c r="AZ2000" s="326"/>
      <c r="BA2000" s="175"/>
      <c r="BB2000" s="42"/>
      <c r="BC2000" s="431"/>
      <c r="BG2000" s="315"/>
      <c r="BH2000" s="42"/>
    </row>
    <row r="2001" spans="51:60" x14ac:dyDescent="0.2">
      <c r="AY2001" s="315"/>
      <c r="AZ2001" s="326"/>
      <c r="BA2001" s="175"/>
      <c r="BB2001" s="42"/>
      <c r="BC2001" s="431"/>
      <c r="BG2001" s="315"/>
      <c r="BH2001" s="42"/>
    </row>
    <row r="2002" spans="51:60" x14ac:dyDescent="0.2">
      <c r="AY2002" s="315"/>
      <c r="AZ2002" s="326"/>
      <c r="BA2002" s="175"/>
      <c r="BB2002" s="42"/>
      <c r="BC2002" s="431"/>
      <c r="BG2002" s="315"/>
      <c r="BH2002" s="42"/>
    </row>
    <row r="2003" spans="51:60" x14ac:dyDescent="0.2">
      <c r="AY2003" s="315"/>
      <c r="AZ2003" s="326"/>
      <c r="BA2003" s="175"/>
      <c r="BB2003" s="42"/>
      <c r="BC2003" s="431"/>
      <c r="BG2003" s="315"/>
      <c r="BH2003" s="42"/>
    </row>
    <row r="2004" spans="51:60" x14ac:dyDescent="0.2">
      <c r="AY2004" s="315"/>
      <c r="AZ2004" s="326"/>
      <c r="BA2004" s="175"/>
      <c r="BB2004" s="42"/>
      <c r="BC2004" s="431"/>
      <c r="BG2004" s="315"/>
      <c r="BH2004" s="42"/>
    </row>
    <row r="2005" spans="51:60" x14ac:dyDescent="0.2">
      <c r="AY2005" s="315"/>
      <c r="AZ2005" s="326"/>
      <c r="BA2005" s="175"/>
      <c r="BB2005" s="42"/>
      <c r="BC2005" s="431"/>
      <c r="BG2005" s="315"/>
      <c r="BH2005" s="42"/>
    </row>
    <row r="2006" spans="51:60" x14ac:dyDescent="0.2">
      <c r="AY2006" s="315"/>
      <c r="AZ2006" s="326"/>
      <c r="BA2006" s="175"/>
      <c r="BB2006" s="42"/>
      <c r="BC2006" s="431"/>
      <c r="BG2006" s="315"/>
      <c r="BH2006" s="42"/>
    </row>
    <row r="2007" spans="51:60" x14ac:dyDescent="0.2">
      <c r="AY2007" s="315"/>
      <c r="AZ2007" s="326"/>
      <c r="BA2007" s="175"/>
      <c r="BB2007" s="42"/>
      <c r="BC2007" s="431"/>
      <c r="BG2007" s="315"/>
      <c r="BH2007" s="42"/>
    </row>
    <row r="2008" spans="51:60" x14ac:dyDescent="0.2">
      <c r="AY2008" s="315"/>
      <c r="AZ2008" s="326"/>
      <c r="BA2008" s="175"/>
      <c r="BB2008" s="42"/>
      <c r="BC2008" s="431"/>
      <c r="BG2008" s="315"/>
      <c r="BH2008" s="42"/>
    </row>
    <row r="2009" spans="51:60" x14ac:dyDescent="0.2">
      <c r="AY2009" s="315"/>
      <c r="AZ2009" s="326"/>
      <c r="BA2009" s="175"/>
      <c r="BB2009" s="42"/>
      <c r="BC2009" s="431"/>
      <c r="BG2009" s="315"/>
      <c r="BH2009" s="42"/>
    </row>
    <row r="2010" spans="51:60" x14ac:dyDescent="0.2">
      <c r="AY2010" s="315"/>
      <c r="AZ2010" s="326"/>
      <c r="BA2010" s="175"/>
      <c r="BB2010" s="42"/>
      <c r="BC2010" s="431"/>
      <c r="BG2010" s="315"/>
      <c r="BH2010" s="42"/>
    </row>
    <row r="2011" spans="51:60" x14ac:dyDescent="0.2">
      <c r="AY2011" s="315"/>
      <c r="AZ2011" s="326"/>
      <c r="BA2011" s="175"/>
      <c r="BB2011" s="42"/>
      <c r="BC2011" s="431"/>
      <c r="BG2011" s="315"/>
      <c r="BH2011" s="42"/>
    </row>
    <row r="2012" spans="51:60" x14ac:dyDescent="0.2">
      <c r="AY2012" s="315"/>
      <c r="AZ2012" s="326"/>
      <c r="BA2012" s="175"/>
      <c r="BB2012" s="42"/>
      <c r="BC2012" s="431"/>
      <c r="BG2012" s="315"/>
      <c r="BH2012" s="42"/>
    </row>
    <row r="2013" spans="51:60" x14ac:dyDescent="0.2">
      <c r="AY2013" s="315"/>
      <c r="AZ2013" s="326"/>
      <c r="BA2013" s="175"/>
      <c r="BB2013" s="42"/>
      <c r="BC2013" s="431"/>
      <c r="BG2013" s="315"/>
      <c r="BH2013" s="42"/>
    </row>
    <row r="2014" spans="51:60" x14ac:dyDescent="0.2">
      <c r="AY2014" s="315"/>
      <c r="AZ2014" s="326"/>
      <c r="BA2014" s="175"/>
      <c r="BB2014" s="42"/>
      <c r="BC2014" s="431"/>
      <c r="BG2014" s="315"/>
      <c r="BH2014" s="42"/>
    </row>
    <row r="2015" spans="51:60" x14ac:dyDescent="0.2">
      <c r="AY2015" s="315"/>
      <c r="AZ2015" s="326"/>
      <c r="BA2015" s="175"/>
      <c r="BB2015" s="42"/>
      <c r="BC2015" s="431"/>
      <c r="BG2015" s="315"/>
      <c r="BH2015" s="42"/>
    </row>
    <row r="2016" spans="51:60" x14ac:dyDescent="0.2">
      <c r="AY2016" s="315"/>
      <c r="AZ2016" s="326"/>
      <c r="BA2016" s="175"/>
      <c r="BB2016" s="42"/>
      <c r="BC2016" s="431"/>
      <c r="BG2016" s="315"/>
      <c r="BH2016" s="42"/>
    </row>
    <row r="2017" spans="51:60" x14ac:dyDescent="0.2">
      <c r="AY2017" s="315"/>
      <c r="AZ2017" s="326"/>
      <c r="BA2017" s="175"/>
      <c r="BB2017" s="42"/>
      <c r="BC2017" s="431"/>
      <c r="BG2017" s="315"/>
      <c r="BH2017" s="42"/>
    </row>
    <row r="2018" spans="51:60" x14ac:dyDescent="0.2">
      <c r="AY2018" s="315"/>
      <c r="AZ2018" s="326"/>
      <c r="BA2018" s="175"/>
      <c r="BB2018" s="42"/>
      <c r="BC2018" s="431"/>
      <c r="BG2018" s="315"/>
      <c r="BH2018" s="42"/>
    </row>
    <row r="2019" spans="51:60" x14ac:dyDescent="0.2">
      <c r="AY2019" s="315"/>
      <c r="AZ2019" s="326"/>
      <c r="BA2019" s="175"/>
      <c r="BB2019" s="42"/>
      <c r="BC2019" s="431"/>
      <c r="BG2019" s="315"/>
      <c r="BH2019" s="42"/>
    </row>
    <row r="2020" spans="51:60" x14ac:dyDescent="0.2">
      <c r="AY2020" s="315"/>
      <c r="AZ2020" s="326"/>
      <c r="BA2020" s="175"/>
      <c r="BB2020" s="42"/>
      <c r="BC2020" s="431"/>
      <c r="BG2020" s="315"/>
      <c r="BH2020" s="42"/>
    </row>
    <row r="2021" spans="51:60" x14ac:dyDescent="0.2">
      <c r="AY2021" s="315"/>
      <c r="AZ2021" s="326"/>
      <c r="BA2021" s="175"/>
      <c r="BB2021" s="42"/>
      <c r="BC2021" s="431"/>
      <c r="BG2021" s="315"/>
      <c r="BH2021" s="42"/>
    </row>
    <row r="2022" spans="51:60" x14ac:dyDescent="0.2">
      <c r="AY2022" s="315"/>
      <c r="AZ2022" s="326"/>
      <c r="BA2022" s="175"/>
      <c r="BB2022" s="42"/>
      <c r="BC2022" s="431"/>
      <c r="BG2022" s="315"/>
      <c r="BH2022" s="42"/>
    </row>
    <row r="2023" spans="51:60" x14ac:dyDescent="0.2">
      <c r="AY2023" s="315"/>
      <c r="AZ2023" s="326"/>
      <c r="BA2023" s="175"/>
      <c r="BB2023" s="42"/>
      <c r="BC2023" s="431"/>
      <c r="BG2023" s="315"/>
      <c r="BH2023" s="42"/>
    </row>
    <row r="2024" spans="51:60" x14ac:dyDescent="0.2">
      <c r="AY2024" s="315"/>
      <c r="AZ2024" s="326"/>
      <c r="BA2024" s="175"/>
      <c r="BB2024" s="42"/>
      <c r="BC2024" s="431"/>
      <c r="BG2024" s="315"/>
      <c r="BH2024" s="42"/>
    </row>
    <row r="2025" spans="51:60" x14ac:dyDescent="0.2">
      <c r="AY2025" s="315"/>
      <c r="AZ2025" s="326"/>
      <c r="BA2025" s="175"/>
      <c r="BB2025" s="42"/>
      <c r="BC2025" s="431"/>
      <c r="BG2025" s="315"/>
      <c r="BH2025" s="42"/>
    </row>
    <row r="2026" spans="51:60" x14ac:dyDescent="0.2">
      <c r="AY2026" s="315"/>
      <c r="AZ2026" s="326"/>
      <c r="BA2026" s="175"/>
      <c r="BB2026" s="42"/>
      <c r="BC2026" s="431"/>
      <c r="BG2026" s="315"/>
      <c r="BH2026" s="42"/>
    </row>
    <row r="2027" spans="51:60" x14ac:dyDescent="0.2">
      <c r="AY2027" s="315"/>
      <c r="AZ2027" s="326"/>
      <c r="BA2027" s="175"/>
      <c r="BB2027" s="42"/>
      <c r="BC2027" s="431"/>
      <c r="BG2027" s="315"/>
      <c r="BH2027" s="42"/>
    </row>
    <row r="2028" spans="51:60" x14ac:dyDescent="0.2">
      <c r="AY2028" s="315"/>
      <c r="AZ2028" s="326"/>
      <c r="BA2028" s="175"/>
      <c r="BB2028" s="42"/>
      <c r="BC2028" s="431"/>
      <c r="BG2028" s="315"/>
      <c r="BH2028" s="42"/>
    </row>
    <row r="2029" spans="51:60" x14ac:dyDescent="0.2">
      <c r="AY2029" s="315"/>
      <c r="AZ2029" s="326"/>
      <c r="BA2029" s="175"/>
      <c r="BB2029" s="42"/>
      <c r="BC2029" s="431"/>
      <c r="BG2029" s="315"/>
      <c r="BH2029" s="42"/>
    </row>
    <row r="2030" spans="51:60" x14ac:dyDescent="0.2">
      <c r="AY2030" s="315"/>
      <c r="AZ2030" s="326"/>
      <c r="BA2030" s="175"/>
      <c r="BB2030" s="42"/>
      <c r="BC2030" s="431"/>
      <c r="BG2030" s="315"/>
      <c r="BH2030" s="42"/>
    </row>
    <row r="2031" spans="51:60" x14ac:dyDescent="0.2">
      <c r="AY2031" s="315"/>
      <c r="AZ2031" s="326"/>
      <c r="BA2031" s="175"/>
      <c r="BB2031" s="42"/>
      <c r="BC2031" s="431"/>
      <c r="BG2031" s="315"/>
      <c r="BH2031" s="42"/>
    </row>
    <row r="2032" spans="51:60" x14ac:dyDescent="0.2">
      <c r="AY2032" s="315"/>
      <c r="AZ2032" s="326"/>
      <c r="BA2032" s="175"/>
      <c r="BB2032" s="42"/>
      <c r="BC2032" s="431"/>
      <c r="BG2032" s="315"/>
      <c r="BH2032" s="42"/>
    </row>
    <row r="2033" spans="51:60" x14ac:dyDescent="0.2">
      <c r="AY2033" s="315"/>
      <c r="AZ2033" s="326"/>
      <c r="BA2033" s="175"/>
      <c r="BB2033" s="42"/>
      <c r="BC2033" s="431"/>
      <c r="BG2033" s="315"/>
      <c r="BH2033" s="42"/>
    </row>
    <row r="2034" spans="51:60" x14ac:dyDescent="0.2">
      <c r="AY2034" s="315"/>
      <c r="AZ2034" s="326"/>
      <c r="BA2034" s="175"/>
      <c r="BB2034" s="42"/>
      <c r="BC2034" s="431"/>
      <c r="BG2034" s="315"/>
      <c r="BH2034" s="42"/>
    </row>
    <row r="2035" spans="51:60" x14ac:dyDescent="0.2">
      <c r="AY2035" s="315"/>
      <c r="AZ2035" s="326"/>
      <c r="BA2035" s="175"/>
      <c r="BB2035" s="42"/>
      <c r="BC2035" s="431"/>
      <c r="BG2035" s="315"/>
      <c r="BH2035" s="42"/>
    </row>
    <row r="2036" spans="51:60" x14ac:dyDescent="0.2">
      <c r="AY2036" s="315"/>
      <c r="AZ2036" s="326"/>
      <c r="BA2036" s="175"/>
      <c r="BB2036" s="42"/>
      <c r="BC2036" s="431"/>
      <c r="BG2036" s="315"/>
      <c r="BH2036" s="42"/>
    </row>
    <row r="2037" spans="51:60" x14ac:dyDescent="0.2">
      <c r="AY2037" s="315"/>
      <c r="AZ2037" s="326"/>
      <c r="BA2037" s="175"/>
      <c r="BB2037" s="42"/>
      <c r="BC2037" s="431"/>
      <c r="BG2037" s="315"/>
      <c r="BH2037" s="42"/>
    </row>
    <row r="2038" spans="51:60" x14ac:dyDescent="0.2">
      <c r="AY2038" s="315"/>
      <c r="AZ2038" s="326"/>
      <c r="BA2038" s="175"/>
      <c r="BB2038" s="42"/>
      <c r="BC2038" s="431"/>
      <c r="BG2038" s="315"/>
      <c r="BH2038" s="42"/>
    </row>
    <row r="2039" spans="51:60" x14ac:dyDescent="0.2">
      <c r="AY2039" s="315"/>
      <c r="AZ2039" s="326"/>
      <c r="BA2039" s="175"/>
      <c r="BB2039" s="42"/>
      <c r="BC2039" s="431"/>
      <c r="BG2039" s="315"/>
      <c r="BH2039" s="42"/>
    </row>
    <row r="2040" spans="51:60" x14ac:dyDescent="0.2">
      <c r="AY2040" s="315"/>
      <c r="AZ2040" s="326"/>
      <c r="BA2040" s="175"/>
      <c r="BB2040" s="42"/>
      <c r="BC2040" s="431"/>
      <c r="BG2040" s="315"/>
      <c r="BH2040" s="42"/>
    </row>
    <row r="2041" spans="51:60" x14ac:dyDescent="0.2">
      <c r="AY2041" s="315"/>
      <c r="AZ2041" s="326"/>
      <c r="BA2041" s="175"/>
      <c r="BB2041" s="42"/>
      <c r="BC2041" s="431"/>
      <c r="BG2041" s="315"/>
      <c r="BH2041" s="42"/>
    </row>
    <row r="2042" spans="51:60" x14ac:dyDescent="0.2">
      <c r="AY2042" s="315"/>
      <c r="AZ2042" s="326"/>
      <c r="BA2042" s="175"/>
      <c r="BB2042" s="42"/>
      <c r="BC2042" s="431"/>
      <c r="BG2042" s="315"/>
      <c r="BH2042" s="42"/>
    </row>
    <row r="2043" spans="51:60" x14ac:dyDescent="0.2">
      <c r="AY2043" s="315"/>
      <c r="AZ2043" s="326"/>
      <c r="BA2043" s="175"/>
      <c r="BB2043" s="42"/>
      <c r="BC2043" s="431"/>
      <c r="BG2043" s="315"/>
      <c r="BH2043" s="42"/>
    </row>
    <row r="2044" spans="51:60" x14ac:dyDescent="0.2">
      <c r="AY2044" s="315"/>
      <c r="AZ2044" s="326"/>
      <c r="BA2044" s="175"/>
      <c r="BB2044" s="42"/>
      <c r="BC2044" s="431"/>
      <c r="BG2044" s="315"/>
      <c r="BH2044" s="42"/>
    </row>
    <row r="2045" spans="51:60" x14ac:dyDescent="0.2">
      <c r="AY2045" s="315"/>
      <c r="AZ2045" s="326"/>
      <c r="BA2045" s="175"/>
      <c r="BB2045" s="42"/>
      <c r="BC2045" s="431"/>
      <c r="BG2045" s="315"/>
      <c r="BH2045" s="42"/>
    </row>
    <row r="2046" spans="51:60" x14ac:dyDescent="0.2">
      <c r="AY2046" s="315"/>
      <c r="AZ2046" s="326"/>
      <c r="BA2046" s="175"/>
      <c r="BB2046" s="42"/>
      <c r="BC2046" s="431"/>
      <c r="BG2046" s="315"/>
      <c r="BH2046" s="42"/>
    </row>
    <row r="2047" spans="51:60" x14ac:dyDescent="0.2">
      <c r="AY2047" s="315"/>
      <c r="AZ2047" s="326"/>
      <c r="BA2047" s="175"/>
      <c r="BB2047" s="42"/>
      <c r="BC2047" s="431"/>
      <c r="BG2047" s="315"/>
      <c r="BH2047" s="42"/>
    </row>
    <row r="2048" spans="51:60" x14ac:dyDescent="0.2">
      <c r="AY2048" s="315"/>
      <c r="AZ2048" s="326"/>
      <c r="BA2048" s="175"/>
      <c r="BB2048" s="42"/>
      <c r="BC2048" s="431"/>
      <c r="BG2048" s="315"/>
      <c r="BH2048" s="42"/>
    </row>
    <row r="2049" spans="51:60" x14ac:dyDescent="0.2">
      <c r="AY2049" s="315"/>
      <c r="AZ2049" s="326"/>
      <c r="BA2049" s="175"/>
      <c r="BB2049" s="42"/>
      <c r="BC2049" s="431"/>
      <c r="BG2049" s="315"/>
      <c r="BH2049" s="42"/>
    </row>
    <row r="2050" spans="51:60" x14ac:dyDescent="0.2">
      <c r="AY2050" s="315"/>
      <c r="AZ2050" s="326"/>
      <c r="BA2050" s="175"/>
      <c r="BB2050" s="42"/>
      <c r="BC2050" s="431"/>
      <c r="BG2050" s="315"/>
      <c r="BH2050" s="42"/>
    </row>
    <row r="2051" spans="51:60" x14ac:dyDescent="0.2">
      <c r="AY2051" s="315"/>
      <c r="AZ2051" s="326"/>
      <c r="BA2051" s="175"/>
      <c r="BB2051" s="42"/>
      <c r="BC2051" s="431"/>
      <c r="BG2051" s="315"/>
      <c r="BH2051" s="42"/>
    </row>
    <row r="2052" spans="51:60" x14ac:dyDescent="0.2">
      <c r="AY2052" s="315"/>
      <c r="AZ2052" s="326"/>
      <c r="BA2052" s="175"/>
      <c r="BB2052" s="42"/>
      <c r="BC2052" s="431"/>
      <c r="BG2052" s="315"/>
      <c r="BH2052" s="42"/>
    </row>
    <row r="2053" spans="51:60" x14ac:dyDescent="0.2">
      <c r="AY2053" s="315"/>
      <c r="AZ2053" s="326"/>
      <c r="BA2053" s="175"/>
      <c r="BB2053" s="42"/>
      <c r="BC2053" s="431"/>
      <c r="BG2053" s="315"/>
      <c r="BH2053" s="42"/>
    </row>
    <row r="2054" spans="51:60" x14ac:dyDescent="0.2">
      <c r="AY2054" s="315"/>
      <c r="AZ2054" s="326"/>
      <c r="BA2054" s="175"/>
      <c r="BB2054" s="42"/>
      <c r="BC2054" s="431"/>
      <c r="BG2054" s="315"/>
      <c r="BH2054" s="42"/>
    </row>
    <row r="2055" spans="51:60" x14ac:dyDescent="0.2">
      <c r="AY2055" s="315"/>
      <c r="AZ2055" s="326"/>
      <c r="BA2055" s="175"/>
      <c r="BB2055" s="42"/>
      <c r="BC2055" s="431"/>
      <c r="BG2055" s="315"/>
      <c r="BH2055" s="42"/>
    </row>
    <row r="2056" spans="51:60" x14ac:dyDescent="0.2">
      <c r="AY2056" s="315"/>
      <c r="AZ2056" s="326"/>
      <c r="BA2056" s="175"/>
      <c r="BB2056" s="42"/>
      <c r="BC2056" s="431"/>
      <c r="BG2056" s="315"/>
      <c r="BH2056" s="42"/>
    </row>
    <row r="2057" spans="51:60" x14ac:dyDescent="0.2">
      <c r="AY2057" s="315"/>
      <c r="AZ2057" s="326"/>
      <c r="BA2057" s="175"/>
      <c r="BB2057" s="42"/>
      <c r="BC2057" s="431"/>
      <c r="BG2057" s="315"/>
      <c r="BH2057" s="42"/>
    </row>
    <row r="2058" spans="51:60" x14ac:dyDescent="0.2">
      <c r="AY2058" s="315"/>
      <c r="AZ2058" s="326"/>
      <c r="BA2058" s="175"/>
      <c r="BB2058" s="42"/>
      <c r="BC2058" s="431"/>
      <c r="BG2058" s="315"/>
      <c r="BH2058" s="42"/>
    </row>
    <row r="2059" spans="51:60" x14ac:dyDescent="0.2">
      <c r="AY2059" s="315"/>
      <c r="AZ2059" s="326"/>
      <c r="BA2059" s="175"/>
      <c r="BB2059" s="42"/>
      <c r="BC2059" s="431"/>
      <c r="BG2059" s="315"/>
      <c r="BH2059" s="42"/>
    </row>
    <row r="2060" spans="51:60" x14ac:dyDescent="0.2">
      <c r="AY2060" s="315"/>
      <c r="AZ2060" s="326"/>
      <c r="BA2060" s="175"/>
      <c r="BB2060" s="42"/>
      <c r="BC2060" s="431"/>
      <c r="BG2060" s="315"/>
      <c r="BH2060" s="42"/>
    </row>
    <row r="2061" spans="51:60" x14ac:dyDescent="0.2">
      <c r="AY2061" s="315"/>
      <c r="AZ2061" s="326"/>
      <c r="BA2061" s="175"/>
      <c r="BB2061" s="42"/>
      <c r="BC2061" s="431"/>
      <c r="BG2061" s="315"/>
      <c r="BH2061" s="42"/>
    </row>
    <row r="2062" spans="51:60" x14ac:dyDescent="0.2">
      <c r="AY2062" s="315"/>
      <c r="AZ2062" s="326"/>
      <c r="BA2062" s="175"/>
      <c r="BB2062" s="42"/>
      <c r="BC2062" s="431"/>
      <c r="BG2062" s="315"/>
      <c r="BH2062" s="42"/>
    </row>
    <row r="2063" spans="51:60" x14ac:dyDescent="0.2">
      <c r="AY2063" s="315"/>
      <c r="AZ2063" s="326"/>
      <c r="BA2063" s="175"/>
      <c r="BB2063" s="42"/>
      <c r="BC2063" s="431"/>
      <c r="BG2063" s="315"/>
      <c r="BH2063" s="42"/>
    </row>
    <row r="2064" spans="51:60" x14ac:dyDescent="0.2">
      <c r="AY2064" s="315"/>
      <c r="AZ2064" s="326"/>
      <c r="BA2064" s="175"/>
      <c r="BB2064" s="42"/>
      <c r="BC2064" s="431"/>
      <c r="BG2064" s="315"/>
      <c r="BH2064" s="42"/>
    </row>
    <row r="2065" spans="51:60" x14ac:dyDescent="0.2">
      <c r="AY2065" s="315"/>
      <c r="AZ2065" s="326"/>
      <c r="BA2065" s="175"/>
      <c r="BB2065" s="42"/>
      <c r="BC2065" s="431"/>
      <c r="BG2065" s="315"/>
      <c r="BH2065" s="42"/>
    </row>
    <row r="2066" spans="51:60" x14ac:dyDescent="0.2">
      <c r="AY2066" s="315"/>
      <c r="AZ2066" s="326"/>
      <c r="BA2066" s="175"/>
      <c r="BB2066" s="42"/>
      <c r="BC2066" s="431"/>
      <c r="BG2066" s="315"/>
      <c r="BH2066" s="42"/>
    </row>
    <row r="2067" spans="51:60" x14ac:dyDescent="0.2">
      <c r="AY2067" s="315"/>
      <c r="AZ2067" s="326"/>
      <c r="BA2067" s="175"/>
      <c r="BB2067" s="42"/>
      <c r="BC2067" s="431"/>
      <c r="BG2067" s="315"/>
      <c r="BH2067" s="42"/>
    </row>
    <row r="2068" spans="51:60" x14ac:dyDescent="0.2">
      <c r="AY2068" s="315"/>
      <c r="AZ2068" s="326"/>
      <c r="BA2068" s="175"/>
      <c r="BB2068" s="42"/>
      <c r="BC2068" s="431"/>
      <c r="BG2068" s="315"/>
      <c r="BH2068" s="42"/>
    </row>
    <row r="2069" spans="51:60" x14ac:dyDescent="0.2">
      <c r="AY2069" s="315"/>
      <c r="AZ2069" s="326"/>
      <c r="BA2069" s="175"/>
      <c r="BB2069" s="42"/>
      <c r="BC2069" s="431"/>
      <c r="BG2069" s="315"/>
      <c r="BH2069" s="42"/>
    </row>
    <row r="2070" spans="51:60" x14ac:dyDescent="0.2">
      <c r="AY2070" s="315"/>
      <c r="AZ2070" s="326"/>
      <c r="BA2070" s="175"/>
      <c r="BB2070" s="42"/>
      <c r="BC2070" s="431"/>
      <c r="BG2070" s="315"/>
      <c r="BH2070" s="42"/>
    </row>
    <row r="2071" spans="51:60" x14ac:dyDescent="0.2">
      <c r="AY2071" s="315"/>
      <c r="AZ2071" s="326"/>
      <c r="BA2071" s="175"/>
      <c r="BB2071" s="42"/>
      <c r="BC2071" s="431"/>
      <c r="BG2071" s="315"/>
      <c r="BH2071" s="42"/>
    </row>
    <row r="2072" spans="51:60" x14ac:dyDescent="0.2">
      <c r="AY2072" s="315"/>
      <c r="AZ2072" s="326"/>
      <c r="BA2072" s="175"/>
      <c r="BB2072" s="42"/>
      <c r="BC2072" s="431"/>
      <c r="BG2072" s="315"/>
      <c r="BH2072" s="42"/>
    </row>
    <row r="2073" spans="51:60" x14ac:dyDescent="0.2">
      <c r="AY2073" s="315"/>
      <c r="AZ2073" s="326"/>
      <c r="BA2073" s="175"/>
      <c r="BB2073" s="42"/>
      <c r="BC2073" s="431"/>
      <c r="BG2073" s="315"/>
      <c r="BH2073" s="42"/>
    </row>
    <row r="2074" spans="51:60" x14ac:dyDescent="0.2">
      <c r="AY2074" s="315"/>
      <c r="AZ2074" s="326"/>
      <c r="BA2074" s="175"/>
      <c r="BB2074" s="42"/>
      <c r="BC2074" s="431"/>
      <c r="BG2074" s="315"/>
      <c r="BH2074" s="42"/>
    </row>
    <row r="2075" spans="51:60" x14ac:dyDescent="0.2">
      <c r="AY2075" s="315"/>
      <c r="AZ2075" s="326"/>
      <c r="BA2075" s="175"/>
      <c r="BB2075" s="42"/>
      <c r="BC2075" s="431"/>
      <c r="BG2075" s="315"/>
      <c r="BH2075" s="42"/>
    </row>
    <row r="2076" spans="51:60" x14ac:dyDescent="0.2">
      <c r="AY2076" s="315"/>
      <c r="AZ2076" s="326"/>
      <c r="BA2076" s="175"/>
      <c r="BB2076" s="42"/>
      <c r="BC2076" s="431"/>
      <c r="BG2076" s="315"/>
      <c r="BH2076" s="42"/>
    </row>
    <row r="2077" spans="51:60" x14ac:dyDescent="0.2">
      <c r="AY2077" s="315"/>
      <c r="AZ2077" s="326"/>
      <c r="BA2077" s="175"/>
      <c r="BB2077" s="42"/>
      <c r="BC2077" s="431"/>
      <c r="BG2077" s="315"/>
      <c r="BH2077" s="42"/>
    </row>
    <row r="2078" spans="51:60" x14ac:dyDescent="0.2">
      <c r="AY2078" s="315"/>
      <c r="AZ2078" s="326"/>
      <c r="BA2078" s="175"/>
      <c r="BB2078" s="42"/>
      <c r="BC2078" s="431"/>
      <c r="BG2078" s="315"/>
      <c r="BH2078" s="42"/>
    </row>
    <row r="2079" spans="51:60" x14ac:dyDescent="0.2">
      <c r="AY2079" s="315"/>
      <c r="AZ2079" s="326"/>
      <c r="BA2079" s="175"/>
      <c r="BB2079" s="42"/>
      <c r="BC2079" s="431"/>
      <c r="BG2079" s="315"/>
      <c r="BH2079" s="42"/>
    </row>
    <row r="2080" spans="51:60" x14ac:dyDescent="0.2">
      <c r="AY2080" s="315"/>
      <c r="AZ2080" s="326"/>
      <c r="BA2080" s="175"/>
      <c r="BB2080" s="42"/>
      <c r="BC2080" s="431"/>
      <c r="BG2080" s="315"/>
      <c r="BH2080" s="42"/>
    </row>
    <row r="2081" spans="51:60" x14ac:dyDescent="0.2">
      <c r="AY2081" s="315"/>
      <c r="AZ2081" s="326"/>
      <c r="BA2081" s="175"/>
      <c r="BB2081" s="42"/>
      <c r="BC2081" s="431"/>
      <c r="BG2081" s="315"/>
      <c r="BH2081" s="42"/>
    </row>
    <row r="2082" spans="51:60" x14ac:dyDescent="0.2">
      <c r="AY2082" s="315"/>
      <c r="AZ2082" s="326"/>
      <c r="BA2082" s="175"/>
      <c r="BB2082" s="42"/>
      <c r="BC2082" s="431"/>
      <c r="BG2082" s="315"/>
      <c r="BH2082" s="42"/>
    </row>
    <row r="2083" spans="51:60" x14ac:dyDescent="0.2">
      <c r="AY2083" s="315"/>
      <c r="AZ2083" s="326"/>
      <c r="BA2083" s="175"/>
      <c r="BB2083" s="42"/>
      <c r="BC2083" s="431"/>
      <c r="BG2083" s="315"/>
      <c r="BH2083" s="42"/>
    </row>
    <row r="2084" spans="51:60" x14ac:dyDescent="0.2">
      <c r="AY2084" s="315"/>
      <c r="AZ2084" s="326"/>
      <c r="BA2084" s="175"/>
      <c r="BB2084" s="42"/>
      <c r="BC2084" s="431"/>
      <c r="BG2084" s="315"/>
      <c r="BH2084" s="42"/>
    </row>
    <row r="2085" spans="51:60" x14ac:dyDescent="0.2">
      <c r="AY2085" s="315"/>
      <c r="AZ2085" s="326"/>
      <c r="BA2085" s="175"/>
      <c r="BB2085" s="42"/>
      <c r="BC2085" s="431"/>
      <c r="BG2085" s="315"/>
      <c r="BH2085" s="42"/>
    </row>
    <row r="2086" spans="51:60" x14ac:dyDescent="0.2">
      <c r="AY2086" s="315"/>
      <c r="AZ2086" s="326"/>
      <c r="BA2086" s="175"/>
      <c r="BB2086" s="42"/>
      <c r="BC2086" s="431"/>
      <c r="BG2086" s="315"/>
      <c r="BH2086" s="42"/>
    </row>
    <row r="2087" spans="51:60" x14ac:dyDescent="0.2">
      <c r="AY2087" s="315"/>
      <c r="AZ2087" s="326"/>
      <c r="BA2087" s="175"/>
      <c r="BB2087" s="42"/>
      <c r="BC2087" s="431"/>
      <c r="BG2087" s="315"/>
      <c r="BH2087" s="42"/>
    </row>
    <row r="2088" spans="51:60" x14ac:dyDescent="0.2">
      <c r="AY2088" s="315"/>
      <c r="AZ2088" s="326"/>
      <c r="BA2088" s="175"/>
      <c r="BB2088" s="42"/>
      <c r="BC2088" s="431"/>
      <c r="BG2088" s="315"/>
      <c r="BH2088" s="42"/>
    </row>
    <row r="2089" spans="51:60" x14ac:dyDescent="0.2">
      <c r="AY2089" s="315"/>
      <c r="AZ2089" s="326"/>
      <c r="BA2089" s="175"/>
      <c r="BB2089" s="42"/>
      <c r="BC2089" s="431"/>
      <c r="BG2089" s="315"/>
      <c r="BH2089" s="42"/>
    </row>
    <row r="2090" spans="51:60" x14ac:dyDescent="0.2">
      <c r="AY2090" s="315"/>
      <c r="AZ2090" s="326"/>
      <c r="BA2090" s="175"/>
      <c r="BB2090" s="42"/>
      <c r="BC2090" s="431"/>
      <c r="BG2090" s="315"/>
      <c r="BH2090" s="42"/>
    </row>
    <row r="2091" spans="51:60" x14ac:dyDescent="0.2">
      <c r="AY2091" s="315"/>
      <c r="AZ2091" s="326"/>
      <c r="BA2091" s="175"/>
      <c r="BB2091" s="42"/>
      <c r="BC2091" s="431"/>
      <c r="BG2091" s="315"/>
      <c r="BH2091" s="42"/>
    </row>
    <row r="2092" spans="51:60" x14ac:dyDescent="0.2">
      <c r="AY2092" s="315"/>
      <c r="AZ2092" s="326"/>
      <c r="BA2092" s="175"/>
      <c r="BB2092" s="42"/>
      <c r="BC2092" s="431"/>
      <c r="BG2092" s="315"/>
      <c r="BH2092" s="42"/>
    </row>
    <row r="2093" spans="51:60" x14ac:dyDescent="0.2">
      <c r="AY2093" s="315"/>
      <c r="AZ2093" s="326"/>
      <c r="BA2093" s="175"/>
      <c r="BB2093" s="42"/>
      <c r="BC2093" s="431"/>
      <c r="BG2093" s="315"/>
      <c r="BH2093" s="42"/>
    </row>
    <row r="2094" spans="51:60" x14ac:dyDescent="0.2">
      <c r="AY2094" s="315"/>
      <c r="AZ2094" s="326"/>
      <c r="BA2094" s="175"/>
      <c r="BB2094" s="42"/>
      <c r="BC2094" s="431"/>
      <c r="BG2094" s="315"/>
      <c r="BH2094" s="42"/>
    </row>
    <row r="2095" spans="51:60" x14ac:dyDescent="0.2">
      <c r="AY2095" s="315"/>
      <c r="AZ2095" s="326"/>
      <c r="BA2095" s="175"/>
      <c r="BB2095" s="42"/>
      <c r="BC2095" s="431"/>
      <c r="BG2095" s="315"/>
      <c r="BH2095" s="42"/>
    </row>
    <row r="2096" spans="51:60" x14ac:dyDescent="0.2">
      <c r="AY2096" s="315"/>
      <c r="AZ2096" s="326"/>
      <c r="BA2096" s="175"/>
      <c r="BB2096" s="42"/>
      <c r="BC2096" s="431"/>
      <c r="BG2096" s="315"/>
      <c r="BH2096" s="42"/>
    </row>
    <row r="2097" spans="51:60" x14ac:dyDescent="0.2">
      <c r="AY2097" s="315"/>
      <c r="AZ2097" s="326"/>
      <c r="BA2097" s="175"/>
      <c r="BB2097" s="42"/>
      <c r="BC2097" s="431"/>
      <c r="BG2097" s="315"/>
      <c r="BH2097" s="42"/>
    </row>
    <row r="2098" spans="51:60" x14ac:dyDescent="0.2">
      <c r="AY2098" s="315"/>
      <c r="AZ2098" s="326"/>
      <c r="BA2098" s="175"/>
      <c r="BB2098" s="42"/>
      <c r="BC2098" s="431"/>
      <c r="BG2098" s="315"/>
      <c r="BH2098" s="42"/>
    </row>
    <row r="2099" spans="51:60" x14ac:dyDescent="0.2">
      <c r="AY2099" s="315"/>
      <c r="AZ2099" s="326"/>
      <c r="BA2099" s="175"/>
      <c r="BB2099" s="42"/>
      <c r="BC2099" s="431"/>
      <c r="BG2099" s="315"/>
      <c r="BH2099" s="42"/>
    </row>
    <row r="2100" spans="51:60" x14ac:dyDescent="0.2">
      <c r="AY2100" s="315"/>
      <c r="AZ2100" s="326"/>
      <c r="BA2100" s="175"/>
      <c r="BB2100" s="42"/>
      <c r="BC2100" s="431"/>
      <c r="BG2100" s="315"/>
      <c r="BH2100" s="42"/>
    </row>
    <row r="2101" spans="51:60" x14ac:dyDescent="0.2">
      <c r="AY2101" s="315"/>
      <c r="AZ2101" s="326"/>
      <c r="BA2101" s="175"/>
      <c r="BB2101" s="42"/>
      <c r="BC2101" s="431"/>
      <c r="BG2101" s="315"/>
      <c r="BH2101" s="42"/>
    </row>
    <row r="2102" spans="51:60" x14ac:dyDescent="0.2">
      <c r="AY2102" s="315"/>
      <c r="AZ2102" s="326"/>
      <c r="BA2102" s="175"/>
      <c r="BB2102" s="42"/>
      <c r="BC2102" s="431"/>
      <c r="BG2102" s="315"/>
      <c r="BH2102" s="42"/>
    </row>
    <row r="2103" spans="51:60" x14ac:dyDescent="0.2">
      <c r="AY2103" s="315"/>
      <c r="AZ2103" s="326"/>
      <c r="BA2103" s="175"/>
      <c r="BB2103" s="42"/>
      <c r="BC2103" s="431"/>
      <c r="BG2103" s="315"/>
      <c r="BH2103" s="42"/>
    </row>
    <row r="2104" spans="51:60" x14ac:dyDescent="0.2">
      <c r="AY2104" s="315"/>
      <c r="AZ2104" s="326"/>
      <c r="BA2104" s="175"/>
      <c r="BB2104" s="42"/>
      <c r="BC2104" s="431"/>
      <c r="BG2104" s="315"/>
      <c r="BH2104" s="42"/>
    </row>
    <row r="2105" spans="51:60" x14ac:dyDescent="0.2">
      <c r="AY2105" s="315"/>
      <c r="AZ2105" s="326"/>
      <c r="BA2105" s="175"/>
      <c r="BB2105" s="42"/>
      <c r="BC2105" s="431"/>
      <c r="BG2105" s="315"/>
      <c r="BH2105" s="42"/>
    </row>
    <row r="2106" spans="51:60" x14ac:dyDescent="0.2">
      <c r="AY2106" s="315"/>
      <c r="AZ2106" s="326"/>
      <c r="BA2106" s="175"/>
      <c r="BB2106" s="42"/>
      <c r="BC2106" s="431"/>
      <c r="BG2106" s="315"/>
      <c r="BH2106" s="42"/>
    </row>
    <row r="2107" spans="51:60" x14ac:dyDescent="0.2">
      <c r="AY2107" s="315"/>
      <c r="AZ2107" s="326"/>
      <c r="BA2107" s="175"/>
      <c r="BB2107" s="42"/>
      <c r="BC2107" s="431"/>
      <c r="BG2107" s="315"/>
      <c r="BH2107" s="42"/>
    </row>
    <row r="2108" spans="51:60" x14ac:dyDescent="0.2">
      <c r="AY2108" s="315"/>
      <c r="AZ2108" s="326"/>
      <c r="BA2108" s="175"/>
      <c r="BB2108" s="42"/>
      <c r="BC2108" s="431"/>
      <c r="BG2108" s="315"/>
      <c r="BH2108" s="42"/>
    </row>
    <row r="2109" spans="51:60" x14ac:dyDescent="0.2">
      <c r="AY2109" s="315"/>
      <c r="AZ2109" s="326"/>
      <c r="BA2109" s="175"/>
      <c r="BB2109" s="42"/>
      <c r="BC2109" s="431"/>
      <c r="BG2109" s="315"/>
      <c r="BH2109" s="42"/>
    </row>
    <row r="2110" spans="51:60" x14ac:dyDescent="0.2">
      <c r="AY2110" s="315"/>
      <c r="AZ2110" s="326"/>
      <c r="BA2110" s="175"/>
      <c r="BB2110" s="42"/>
      <c r="BC2110" s="431"/>
      <c r="BG2110" s="315"/>
      <c r="BH2110" s="42"/>
    </row>
    <row r="2111" spans="51:60" x14ac:dyDescent="0.2">
      <c r="AY2111" s="315"/>
      <c r="AZ2111" s="326"/>
      <c r="BA2111" s="175"/>
      <c r="BB2111" s="42"/>
      <c r="BC2111" s="431"/>
      <c r="BG2111" s="315"/>
      <c r="BH2111" s="42"/>
    </row>
    <row r="2112" spans="51:60" x14ac:dyDescent="0.2">
      <c r="AY2112" s="315"/>
      <c r="AZ2112" s="326"/>
      <c r="BA2112" s="175"/>
      <c r="BB2112" s="42"/>
      <c r="BC2112" s="431"/>
      <c r="BG2112" s="315"/>
      <c r="BH2112" s="42"/>
    </row>
    <row r="2113" spans="51:60" x14ac:dyDescent="0.2">
      <c r="AY2113" s="315"/>
      <c r="AZ2113" s="326"/>
      <c r="BA2113" s="175"/>
      <c r="BB2113" s="42"/>
      <c r="BC2113" s="431"/>
      <c r="BG2113" s="315"/>
      <c r="BH2113" s="42"/>
    </row>
    <row r="2114" spans="51:60" x14ac:dyDescent="0.2">
      <c r="AY2114" s="315"/>
      <c r="AZ2114" s="326"/>
      <c r="BA2114" s="175"/>
      <c r="BB2114" s="42"/>
      <c r="BC2114" s="431"/>
      <c r="BG2114" s="315"/>
      <c r="BH2114" s="42"/>
    </row>
    <row r="2115" spans="51:60" x14ac:dyDescent="0.2">
      <c r="AY2115" s="315"/>
      <c r="AZ2115" s="326"/>
      <c r="BA2115" s="175"/>
      <c r="BB2115" s="42"/>
      <c r="BC2115" s="431"/>
      <c r="BG2115" s="315"/>
      <c r="BH2115" s="42"/>
    </row>
    <row r="2116" spans="51:60" x14ac:dyDescent="0.2">
      <c r="AY2116" s="315"/>
      <c r="AZ2116" s="326"/>
      <c r="BA2116" s="175"/>
      <c r="BB2116" s="42"/>
      <c r="BC2116" s="431"/>
      <c r="BG2116" s="315"/>
      <c r="BH2116" s="42"/>
    </row>
    <row r="2117" spans="51:60" x14ac:dyDescent="0.2">
      <c r="AY2117" s="315"/>
      <c r="AZ2117" s="326"/>
      <c r="BA2117" s="175"/>
      <c r="BB2117" s="42"/>
      <c r="BC2117" s="431"/>
      <c r="BG2117" s="315"/>
      <c r="BH2117" s="42"/>
    </row>
    <row r="2118" spans="51:60" x14ac:dyDescent="0.2">
      <c r="AY2118" s="315"/>
      <c r="AZ2118" s="326"/>
      <c r="BA2118" s="175"/>
      <c r="BB2118" s="42"/>
      <c r="BC2118" s="431"/>
      <c r="BG2118" s="315"/>
      <c r="BH2118" s="42"/>
    </row>
    <row r="2119" spans="51:60" x14ac:dyDescent="0.2">
      <c r="AY2119" s="315"/>
      <c r="AZ2119" s="326"/>
      <c r="BA2119" s="175"/>
      <c r="BB2119" s="42"/>
      <c r="BC2119" s="431"/>
      <c r="BG2119" s="315"/>
      <c r="BH2119" s="42"/>
    </row>
    <row r="2120" spans="51:60" x14ac:dyDescent="0.2">
      <c r="AY2120" s="315"/>
      <c r="AZ2120" s="326"/>
      <c r="BA2120" s="175"/>
      <c r="BB2120" s="42"/>
      <c r="BC2120" s="431"/>
      <c r="BG2120" s="315"/>
      <c r="BH2120" s="42"/>
    </row>
    <row r="2121" spans="51:60" x14ac:dyDescent="0.2">
      <c r="AY2121" s="315"/>
      <c r="AZ2121" s="326"/>
      <c r="BA2121" s="175"/>
      <c r="BB2121" s="42"/>
      <c r="BC2121" s="431"/>
      <c r="BG2121" s="315"/>
      <c r="BH2121" s="42"/>
    </row>
    <row r="2122" spans="51:60" x14ac:dyDescent="0.2">
      <c r="AY2122" s="315"/>
      <c r="AZ2122" s="326"/>
      <c r="BA2122" s="175"/>
      <c r="BB2122" s="42"/>
      <c r="BC2122" s="431"/>
      <c r="BG2122" s="315"/>
      <c r="BH2122" s="42"/>
    </row>
    <row r="2123" spans="51:60" x14ac:dyDescent="0.2">
      <c r="AY2123" s="315"/>
      <c r="AZ2123" s="326"/>
      <c r="BA2123" s="175"/>
      <c r="BB2123" s="42"/>
      <c r="BC2123" s="431"/>
      <c r="BG2123" s="315"/>
      <c r="BH2123" s="42"/>
    </row>
    <row r="2124" spans="51:60" x14ac:dyDescent="0.2">
      <c r="AY2124" s="315"/>
      <c r="AZ2124" s="326"/>
      <c r="BA2124" s="175"/>
      <c r="BB2124" s="42"/>
      <c r="BC2124" s="431"/>
      <c r="BG2124" s="315"/>
      <c r="BH2124" s="42"/>
    </row>
    <row r="2125" spans="51:60" x14ac:dyDescent="0.2">
      <c r="AY2125" s="315"/>
      <c r="AZ2125" s="326"/>
      <c r="BA2125" s="175"/>
      <c r="BB2125" s="42"/>
      <c r="BC2125" s="431"/>
      <c r="BG2125" s="315"/>
      <c r="BH2125" s="42"/>
    </row>
    <row r="2126" spans="51:60" x14ac:dyDescent="0.2">
      <c r="AY2126" s="315"/>
      <c r="AZ2126" s="326"/>
      <c r="BA2126" s="175"/>
      <c r="BB2126" s="42"/>
      <c r="BC2126" s="431"/>
      <c r="BG2126" s="315"/>
      <c r="BH2126" s="42"/>
    </row>
    <row r="2127" spans="51:60" x14ac:dyDescent="0.2">
      <c r="AY2127" s="315"/>
      <c r="AZ2127" s="326"/>
      <c r="BA2127" s="175"/>
      <c r="BB2127" s="42"/>
      <c r="BC2127" s="431"/>
      <c r="BG2127" s="315"/>
      <c r="BH2127" s="42"/>
    </row>
    <row r="2128" spans="51:60" x14ac:dyDescent="0.2">
      <c r="AY2128" s="315"/>
      <c r="AZ2128" s="326"/>
      <c r="BA2128" s="175"/>
      <c r="BB2128" s="42"/>
      <c r="BC2128" s="431"/>
      <c r="BG2128" s="315"/>
      <c r="BH2128" s="42"/>
    </row>
    <row r="2129" spans="51:60" x14ac:dyDescent="0.2">
      <c r="AY2129" s="315"/>
      <c r="AZ2129" s="326"/>
      <c r="BA2129" s="175"/>
      <c r="BB2129" s="42"/>
      <c r="BC2129" s="431"/>
      <c r="BG2129" s="315"/>
      <c r="BH2129" s="42"/>
    </row>
    <row r="2130" spans="51:60" x14ac:dyDescent="0.2">
      <c r="AY2130" s="315"/>
      <c r="AZ2130" s="326"/>
      <c r="BA2130" s="175"/>
      <c r="BB2130" s="42"/>
      <c r="BC2130" s="431"/>
      <c r="BG2130" s="315"/>
      <c r="BH2130" s="42"/>
    </row>
    <row r="2131" spans="51:60" x14ac:dyDescent="0.2">
      <c r="AY2131" s="315"/>
      <c r="AZ2131" s="326"/>
      <c r="BA2131" s="175"/>
      <c r="BB2131" s="42"/>
      <c r="BC2131" s="431"/>
      <c r="BG2131" s="315"/>
      <c r="BH2131" s="42"/>
    </row>
    <row r="2132" spans="51:60" x14ac:dyDescent="0.2">
      <c r="AY2132" s="315"/>
      <c r="AZ2132" s="326"/>
      <c r="BA2132" s="175"/>
      <c r="BB2132" s="42"/>
      <c r="BC2132" s="431"/>
      <c r="BG2132" s="315"/>
      <c r="BH2132" s="42"/>
    </row>
    <row r="2133" spans="51:60" x14ac:dyDescent="0.2">
      <c r="AY2133" s="315"/>
      <c r="AZ2133" s="326"/>
      <c r="BA2133" s="175"/>
      <c r="BB2133" s="42"/>
      <c r="BC2133" s="431"/>
      <c r="BG2133" s="315"/>
      <c r="BH2133" s="42"/>
    </row>
    <row r="2134" spans="51:60" x14ac:dyDescent="0.2">
      <c r="AY2134" s="315"/>
      <c r="AZ2134" s="326"/>
      <c r="BA2134" s="175"/>
      <c r="BB2134" s="42"/>
      <c r="BC2134" s="431"/>
      <c r="BG2134" s="315"/>
      <c r="BH2134" s="42"/>
    </row>
    <row r="2135" spans="51:60" x14ac:dyDescent="0.2">
      <c r="AY2135" s="315"/>
      <c r="AZ2135" s="326"/>
      <c r="BA2135" s="175"/>
      <c r="BB2135" s="42"/>
      <c r="BC2135" s="431"/>
      <c r="BG2135" s="315"/>
      <c r="BH2135" s="42"/>
    </row>
    <row r="2136" spans="51:60" x14ac:dyDescent="0.2">
      <c r="AY2136" s="315"/>
      <c r="AZ2136" s="326"/>
      <c r="BA2136" s="175"/>
      <c r="BB2136" s="42"/>
      <c r="BC2136" s="431"/>
      <c r="BG2136" s="315"/>
      <c r="BH2136" s="42"/>
    </row>
    <row r="2137" spans="51:60" x14ac:dyDescent="0.2">
      <c r="AY2137" s="315"/>
      <c r="AZ2137" s="326"/>
      <c r="BA2137" s="175"/>
      <c r="BB2137" s="42"/>
      <c r="BC2137" s="431"/>
      <c r="BG2137" s="315"/>
      <c r="BH2137" s="42"/>
    </row>
    <row r="2138" spans="51:60" x14ac:dyDescent="0.2">
      <c r="AY2138" s="315"/>
      <c r="AZ2138" s="326"/>
      <c r="BA2138" s="175"/>
      <c r="BB2138" s="42"/>
      <c r="BC2138" s="431"/>
      <c r="BG2138" s="315"/>
      <c r="BH2138" s="42"/>
    </row>
    <row r="2139" spans="51:60" x14ac:dyDescent="0.2">
      <c r="AY2139" s="315"/>
      <c r="AZ2139" s="326"/>
      <c r="BA2139" s="175"/>
      <c r="BB2139" s="42"/>
      <c r="BC2139" s="431"/>
      <c r="BG2139" s="315"/>
      <c r="BH2139" s="42"/>
    </row>
    <row r="2140" spans="51:60" x14ac:dyDescent="0.2">
      <c r="AY2140" s="315"/>
      <c r="AZ2140" s="326"/>
      <c r="BA2140" s="175"/>
      <c r="BB2140" s="42"/>
      <c r="BC2140" s="431"/>
      <c r="BG2140" s="315"/>
      <c r="BH2140" s="42"/>
    </row>
    <row r="2141" spans="51:60" x14ac:dyDescent="0.2">
      <c r="AY2141" s="315"/>
      <c r="AZ2141" s="326"/>
      <c r="BA2141" s="175"/>
      <c r="BB2141" s="42"/>
      <c r="BC2141" s="431"/>
      <c r="BG2141" s="315"/>
      <c r="BH2141" s="42"/>
    </row>
    <row r="2142" spans="51:60" x14ac:dyDescent="0.2">
      <c r="AY2142" s="315"/>
      <c r="AZ2142" s="326"/>
      <c r="BA2142" s="175"/>
      <c r="BB2142" s="42"/>
      <c r="BC2142" s="431"/>
      <c r="BG2142" s="315"/>
      <c r="BH2142" s="42"/>
    </row>
    <row r="2143" spans="51:60" x14ac:dyDescent="0.2">
      <c r="AY2143" s="315"/>
      <c r="AZ2143" s="326"/>
      <c r="BA2143" s="175"/>
      <c r="BB2143" s="42"/>
      <c r="BC2143" s="431"/>
      <c r="BG2143" s="315"/>
      <c r="BH2143" s="42"/>
    </row>
    <row r="2144" spans="51:60" x14ac:dyDescent="0.2">
      <c r="AY2144" s="315"/>
      <c r="AZ2144" s="326"/>
      <c r="BA2144" s="175"/>
      <c r="BB2144" s="42"/>
      <c r="BC2144" s="431"/>
      <c r="BG2144" s="315"/>
      <c r="BH2144" s="42"/>
    </row>
    <row r="2145" spans="51:60" x14ac:dyDescent="0.2">
      <c r="AY2145" s="315"/>
      <c r="AZ2145" s="326"/>
      <c r="BA2145" s="175"/>
      <c r="BB2145" s="42"/>
      <c r="BC2145" s="431"/>
      <c r="BG2145" s="315"/>
      <c r="BH2145" s="42"/>
    </row>
    <row r="2146" spans="51:60" x14ac:dyDescent="0.2">
      <c r="AY2146" s="315"/>
      <c r="AZ2146" s="326"/>
      <c r="BA2146" s="175"/>
      <c r="BB2146" s="42"/>
      <c r="BC2146" s="431"/>
      <c r="BG2146" s="315"/>
      <c r="BH2146" s="42"/>
    </row>
    <row r="2147" spans="51:60" x14ac:dyDescent="0.2">
      <c r="AY2147" s="315"/>
      <c r="AZ2147" s="326"/>
      <c r="BA2147" s="175"/>
      <c r="BB2147" s="42"/>
      <c r="BC2147" s="431"/>
      <c r="BG2147" s="315"/>
      <c r="BH2147" s="42"/>
    </row>
    <row r="2148" spans="51:60" x14ac:dyDescent="0.2">
      <c r="AY2148" s="315"/>
      <c r="AZ2148" s="326"/>
      <c r="BA2148" s="175"/>
      <c r="BB2148" s="42"/>
      <c r="BC2148" s="431"/>
      <c r="BG2148" s="315"/>
      <c r="BH2148" s="42"/>
    </row>
    <row r="2149" spans="51:60" x14ac:dyDescent="0.2">
      <c r="AY2149" s="315"/>
      <c r="AZ2149" s="326"/>
      <c r="BA2149" s="175"/>
      <c r="BB2149" s="42"/>
      <c r="BC2149" s="431"/>
      <c r="BG2149" s="315"/>
      <c r="BH2149" s="42"/>
    </row>
    <row r="2150" spans="51:60" x14ac:dyDescent="0.2">
      <c r="AY2150" s="315"/>
      <c r="AZ2150" s="326"/>
      <c r="BA2150" s="175"/>
      <c r="BB2150" s="42"/>
      <c r="BC2150" s="431"/>
      <c r="BG2150" s="315"/>
      <c r="BH2150" s="42"/>
    </row>
    <row r="2151" spans="51:60" x14ac:dyDescent="0.2">
      <c r="AY2151" s="315"/>
      <c r="AZ2151" s="326"/>
      <c r="BA2151" s="175"/>
      <c r="BB2151" s="42"/>
      <c r="BC2151" s="431"/>
      <c r="BG2151" s="315"/>
      <c r="BH2151" s="42"/>
    </row>
    <row r="2152" spans="51:60" x14ac:dyDescent="0.2">
      <c r="AY2152" s="315"/>
      <c r="AZ2152" s="326"/>
      <c r="BA2152" s="175"/>
      <c r="BB2152" s="42"/>
      <c r="BC2152" s="431"/>
      <c r="BG2152" s="315"/>
      <c r="BH2152" s="42"/>
    </row>
    <row r="2153" spans="51:60" x14ac:dyDescent="0.2">
      <c r="AY2153" s="315"/>
      <c r="AZ2153" s="326"/>
      <c r="BA2153" s="175"/>
      <c r="BB2153" s="42"/>
      <c r="BC2153" s="431"/>
      <c r="BG2153" s="315"/>
      <c r="BH2153" s="42"/>
    </row>
    <row r="2154" spans="51:60" x14ac:dyDescent="0.2">
      <c r="AY2154" s="315"/>
      <c r="AZ2154" s="326"/>
      <c r="BA2154" s="175"/>
      <c r="BB2154" s="42"/>
      <c r="BC2154" s="431"/>
      <c r="BG2154" s="315"/>
      <c r="BH2154" s="42"/>
    </row>
    <row r="2155" spans="51:60" x14ac:dyDescent="0.2">
      <c r="AY2155" s="315"/>
      <c r="AZ2155" s="326"/>
      <c r="BA2155" s="175"/>
      <c r="BB2155" s="42"/>
      <c r="BC2155" s="431"/>
      <c r="BG2155" s="315"/>
      <c r="BH2155" s="42"/>
    </row>
    <row r="2156" spans="51:60" x14ac:dyDescent="0.2">
      <c r="AY2156" s="315"/>
      <c r="AZ2156" s="326"/>
      <c r="BA2156" s="175"/>
      <c r="BB2156" s="42"/>
      <c r="BC2156" s="431"/>
      <c r="BG2156" s="315"/>
      <c r="BH2156" s="42"/>
    </row>
    <row r="2157" spans="51:60" x14ac:dyDescent="0.2">
      <c r="AY2157" s="315"/>
      <c r="AZ2157" s="326"/>
      <c r="BA2157" s="175"/>
      <c r="BB2157" s="42"/>
      <c r="BC2157" s="431"/>
      <c r="BG2157" s="315"/>
      <c r="BH2157" s="42"/>
    </row>
    <row r="2158" spans="51:60" x14ac:dyDescent="0.2">
      <c r="AY2158" s="315"/>
      <c r="AZ2158" s="326"/>
      <c r="BA2158" s="175"/>
      <c r="BB2158" s="42"/>
      <c r="BC2158" s="431"/>
      <c r="BG2158" s="315"/>
      <c r="BH2158" s="42"/>
    </row>
    <row r="2159" spans="51:60" x14ac:dyDescent="0.2">
      <c r="AY2159" s="315"/>
      <c r="AZ2159" s="326"/>
      <c r="BA2159" s="175"/>
      <c r="BB2159" s="42"/>
      <c r="BC2159" s="431"/>
      <c r="BG2159" s="315"/>
      <c r="BH2159" s="42"/>
    </row>
    <row r="2160" spans="51:60" x14ac:dyDescent="0.2">
      <c r="AY2160" s="315"/>
      <c r="AZ2160" s="326"/>
      <c r="BA2160" s="175"/>
      <c r="BB2160" s="42"/>
      <c r="BC2160" s="431"/>
      <c r="BG2160" s="315"/>
      <c r="BH2160" s="42"/>
    </row>
    <row r="2161" spans="51:60" x14ac:dyDescent="0.2">
      <c r="AY2161" s="315"/>
      <c r="AZ2161" s="326"/>
      <c r="BA2161" s="175"/>
      <c r="BB2161" s="42"/>
      <c r="BC2161" s="431"/>
      <c r="BG2161" s="315"/>
      <c r="BH2161" s="42"/>
    </row>
    <row r="2162" spans="51:60" x14ac:dyDescent="0.2">
      <c r="AY2162" s="315"/>
      <c r="AZ2162" s="326"/>
      <c r="BA2162" s="175"/>
      <c r="BB2162" s="42"/>
      <c r="BC2162" s="431"/>
      <c r="BG2162" s="315"/>
      <c r="BH2162" s="42"/>
    </row>
    <row r="2163" spans="51:60" x14ac:dyDescent="0.2">
      <c r="AY2163" s="315"/>
      <c r="AZ2163" s="326"/>
      <c r="BA2163" s="175"/>
      <c r="BB2163" s="42"/>
      <c r="BC2163" s="431"/>
      <c r="BG2163" s="315"/>
      <c r="BH2163" s="42"/>
    </row>
    <row r="2164" spans="51:60" x14ac:dyDescent="0.2">
      <c r="AY2164" s="315"/>
      <c r="AZ2164" s="326"/>
      <c r="BA2164" s="175"/>
      <c r="BB2164" s="42"/>
      <c r="BC2164" s="431"/>
      <c r="BG2164" s="315"/>
      <c r="BH2164" s="42"/>
    </row>
    <row r="2165" spans="51:60" x14ac:dyDescent="0.2">
      <c r="AY2165" s="315"/>
      <c r="AZ2165" s="326"/>
      <c r="BA2165" s="175"/>
      <c r="BB2165" s="42"/>
      <c r="BC2165" s="431"/>
      <c r="BG2165" s="315"/>
      <c r="BH2165" s="42"/>
    </row>
    <row r="2166" spans="51:60" x14ac:dyDescent="0.2">
      <c r="AY2166" s="315"/>
      <c r="AZ2166" s="326"/>
      <c r="BA2166" s="175"/>
      <c r="BB2166" s="42"/>
      <c r="BC2166" s="431"/>
      <c r="BG2166" s="315"/>
      <c r="BH2166" s="42"/>
    </row>
    <row r="2167" spans="51:60" x14ac:dyDescent="0.2">
      <c r="AY2167" s="315"/>
      <c r="AZ2167" s="326"/>
      <c r="BA2167" s="175"/>
      <c r="BB2167" s="42"/>
      <c r="BC2167" s="431"/>
      <c r="BG2167" s="315"/>
      <c r="BH2167" s="42"/>
    </row>
    <row r="2168" spans="51:60" x14ac:dyDescent="0.2">
      <c r="AY2168" s="315"/>
      <c r="AZ2168" s="326"/>
      <c r="BA2168" s="175"/>
      <c r="BB2168" s="42"/>
      <c r="BC2168" s="431"/>
      <c r="BG2168" s="315"/>
      <c r="BH2168" s="42"/>
    </row>
    <row r="2169" spans="51:60" x14ac:dyDescent="0.2">
      <c r="AY2169" s="315"/>
      <c r="AZ2169" s="326"/>
      <c r="BA2169" s="175"/>
      <c r="BB2169" s="42"/>
      <c r="BC2169" s="431"/>
      <c r="BG2169" s="315"/>
      <c r="BH2169" s="42"/>
    </row>
    <row r="2170" spans="51:60" x14ac:dyDescent="0.2">
      <c r="AY2170" s="315"/>
      <c r="AZ2170" s="326"/>
      <c r="BA2170" s="175"/>
      <c r="BB2170" s="42"/>
      <c r="BC2170" s="431"/>
      <c r="BG2170" s="315"/>
      <c r="BH2170" s="42"/>
    </row>
    <row r="2171" spans="51:60" x14ac:dyDescent="0.2">
      <c r="AY2171" s="315"/>
      <c r="AZ2171" s="326"/>
      <c r="BA2171" s="175"/>
      <c r="BB2171" s="42"/>
      <c r="BC2171" s="431"/>
      <c r="BG2171" s="315"/>
      <c r="BH2171" s="42"/>
    </row>
    <row r="2172" spans="51:60" x14ac:dyDescent="0.2">
      <c r="AY2172" s="315"/>
      <c r="AZ2172" s="326"/>
      <c r="BA2172" s="175"/>
      <c r="BB2172" s="42"/>
      <c r="BC2172" s="431"/>
      <c r="BG2172" s="315"/>
      <c r="BH2172" s="42"/>
    </row>
    <row r="2173" spans="51:60" x14ac:dyDescent="0.2">
      <c r="AY2173" s="315"/>
      <c r="AZ2173" s="326"/>
      <c r="BA2173" s="175"/>
      <c r="BB2173" s="42"/>
      <c r="BC2173" s="431"/>
      <c r="BG2173" s="315"/>
      <c r="BH2173" s="42"/>
    </row>
    <row r="2174" spans="51:60" x14ac:dyDescent="0.2">
      <c r="AY2174" s="315"/>
      <c r="AZ2174" s="326"/>
      <c r="BA2174" s="175"/>
      <c r="BB2174" s="42"/>
      <c r="BC2174" s="431"/>
      <c r="BG2174" s="315"/>
      <c r="BH2174" s="42"/>
    </row>
    <row r="2175" spans="51:60" x14ac:dyDescent="0.2">
      <c r="AY2175" s="315"/>
      <c r="AZ2175" s="326"/>
      <c r="BA2175" s="175"/>
      <c r="BB2175" s="42"/>
      <c r="BC2175" s="431"/>
      <c r="BG2175" s="315"/>
      <c r="BH2175" s="42"/>
    </row>
    <row r="2176" spans="51:60" x14ac:dyDescent="0.2">
      <c r="AY2176" s="315"/>
      <c r="AZ2176" s="326"/>
      <c r="BA2176" s="175"/>
      <c r="BB2176" s="42"/>
      <c r="BC2176" s="431"/>
      <c r="BG2176" s="315"/>
      <c r="BH2176" s="42"/>
    </row>
    <row r="2177" spans="51:60" x14ac:dyDescent="0.2">
      <c r="AY2177" s="315"/>
      <c r="AZ2177" s="326"/>
      <c r="BA2177" s="175"/>
      <c r="BB2177" s="42"/>
      <c r="BC2177" s="431"/>
      <c r="BG2177" s="315"/>
      <c r="BH2177" s="42"/>
    </row>
    <row r="2178" spans="51:60" x14ac:dyDescent="0.2">
      <c r="AY2178" s="315"/>
      <c r="AZ2178" s="326"/>
      <c r="BA2178" s="175"/>
      <c r="BB2178" s="42"/>
      <c r="BC2178" s="431"/>
      <c r="BG2178" s="315"/>
      <c r="BH2178" s="42"/>
    </row>
    <row r="2179" spans="51:60" x14ac:dyDescent="0.2">
      <c r="AY2179" s="315"/>
      <c r="AZ2179" s="326"/>
      <c r="BA2179" s="175"/>
      <c r="BB2179" s="42"/>
      <c r="BC2179" s="431"/>
      <c r="BG2179" s="315"/>
      <c r="BH2179" s="42"/>
    </row>
    <row r="2180" spans="51:60" x14ac:dyDescent="0.2">
      <c r="AY2180" s="315"/>
      <c r="AZ2180" s="326"/>
      <c r="BA2180" s="175"/>
      <c r="BB2180" s="42"/>
      <c r="BC2180" s="431"/>
      <c r="BG2180" s="315"/>
      <c r="BH2180" s="42"/>
    </row>
    <row r="2181" spans="51:60" x14ac:dyDescent="0.2">
      <c r="AY2181" s="315"/>
      <c r="AZ2181" s="326"/>
      <c r="BA2181" s="175"/>
      <c r="BB2181" s="42"/>
      <c r="BC2181" s="431"/>
      <c r="BG2181" s="315"/>
      <c r="BH2181" s="42"/>
    </row>
    <row r="2182" spans="51:60" x14ac:dyDescent="0.2">
      <c r="AY2182" s="315"/>
      <c r="AZ2182" s="326"/>
      <c r="BA2182" s="175"/>
      <c r="BB2182" s="42"/>
      <c r="BC2182" s="431"/>
      <c r="BG2182" s="315"/>
      <c r="BH2182" s="42"/>
    </row>
    <row r="2183" spans="51:60" x14ac:dyDescent="0.2">
      <c r="AY2183" s="315"/>
      <c r="AZ2183" s="326"/>
      <c r="BA2183" s="175"/>
      <c r="BB2183" s="42"/>
      <c r="BC2183" s="431"/>
      <c r="BG2183" s="315"/>
      <c r="BH2183" s="42"/>
    </row>
    <row r="2184" spans="51:60" x14ac:dyDescent="0.2">
      <c r="AY2184" s="315"/>
      <c r="AZ2184" s="326"/>
      <c r="BA2184" s="175"/>
      <c r="BB2184" s="42"/>
      <c r="BC2184" s="431"/>
      <c r="BG2184" s="315"/>
      <c r="BH2184" s="42"/>
    </row>
    <row r="2185" spans="51:60" x14ac:dyDescent="0.2">
      <c r="AY2185" s="315"/>
      <c r="AZ2185" s="326"/>
      <c r="BA2185" s="175"/>
      <c r="BB2185" s="42"/>
      <c r="BC2185" s="431"/>
      <c r="BG2185" s="315"/>
      <c r="BH2185" s="42"/>
    </row>
    <row r="2186" spans="51:60" x14ac:dyDescent="0.2">
      <c r="AY2186" s="315"/>
      <c r="AZ2186" s="326"/>
      <c r="BA2186" s="175"/>
      <c r="BB2186" s="42"/>
      <c r="BC2186" s="431"/>
      <c r="BG2186" s="315"/>
      <c r="BH2186" s="42"/>
    </row>
    <row r="2187" spans="51:60" x14ac:dyDescent="0.2">
      <c r="AY2187" s="315"/>
      <c r="AZ2187" s="326"/>
      <c r="BA2187" s="175"/>
      <c r="BB2187" s="42"/>
      <c r="BC2187" s="431"/>
      <c r="BG2187" s="315"/>
      <c r="BH2187" s="42"/>
    </row>
    <row r="2188" spans="51:60" x14ac:dyDescent="0.2">
      <c r="AY2188" s="315"/>
      <c r="AZ2188" s="326"/>
      <c r="BA2188" s="175"/>
      <c r="BB2188" s="42"/>
      <c r="BC2188" s="431"/>
      <c r="BG2188" s="315"/>
      <c r="BH2188" s="42"/>
    </row>
    <row r="2189" spans="51:60" x14ac:dyDescent="0.2">
      <c r="AY2189" s="315"/>
      <c r="AZ2189" s="326"/>
      <c r="BA2189" s="175"/>
      <c r="BB2189" s="42"/>
      <c r="BC2189" s="431"/>
      <c r="BG2189" s="315"/>
      <c r="BH2189" s="42"/>
    </row>
    <row r="2190" spans="51:60" x14ac:dyDescent="0.2">
      <c r="AY2190" s="315"/>
      <c r="AZ2190" s="326"/>
      <c r="BA2190" s="175"/>
      <c r="BB2190" s="42"/>
      <c r="BC2190" s="431"/>
      <c r="BG2190" s="315"/>
      <c r="BH2190" s="42"/>
    </row>
    <row r="2191" spans="51:60" x14ac:dyDescent="0.2">
      <c r="AY2191" s="315"/>
      <c r="AZ2191" s="326"/>
      <c r="BA2191" s="175"/>
      <c r="BB2191" s="42"/>
      <c r="BC2191" s="431"/>
      <c r="BG2191" s="315"/>
      <c r="BH2191" s="42"/>
    </row>
    <row r="2192" spans="51:60" x14ac:dyDescent="0.2">
      <c r="AY2192" s="315"/>
      <c r="AZ2192" s="326"/>
      <c r="BA2192" s="175"/>
      <c r="BB2192" s="42"/>
      <c r="BC2192" s="431"/>
      <c r="BG2192" s="315"/>
      <c r="BH2192" s="42"/>
    </row>
    <row r="2193" spans="51:60" x14ac:dyDescent="0.2">
      <c r="AY2193" s="315"/>
      <c r="AZ2193" s="326"/>
      <c r="BA2193" s="175"/>
      <c r="BB2193" s="42"/>
      <c r="BC2193" s="431"/>
      <c r="BG2193" s="315"/>
      <c r="BH2193" s="42"/>
    </row>
    <row r="2194" spans="51:60" x14ac:dyDescent="0.2">
      <c r="AY2194" s="315"/>
      <c r="AZ2194" s="326"/>
      <c r="BA2194" s="175"/>
      <c r="BB2194" s="42"/>
      <c r="BC2194" s="431"/>
      <c r="BG2194" s="315"/>
      <c r="BH2194" s="42"/>
    </row>
    <row r="2195" spans="51:60" x14ac:dyDescent="0.2">
      <c r="AY2195" s="315"/>
      <c r="AZ2195" s="326"/>
      <c r="BA2195" s="175"/>
      <c r="BB2195" s="42"/>
      <c r="BC2195" s="431"/>
      <c r="BG2195" s="315"/>
      <c r="BH2195" s="42"/>
    </row>
    <row r="2196" spans="51:60" x14ac:dyDescent="0.2">
      <c r="AY2196" s="315"/>
      <c r="AZ2196" s="326"/>
      <c r="BA2196" s="175"/>
      <c r="BB2196" s="42"/>
      <c r="BC2196" s="431"/>
      <c r="BG2196" s="315"/>
      <c r="BH2196" s="42"/>
    </row>
    <row r="2197" spans="51:60" x14ac:dyDescent="0.2">
      <c r="AY2197" s="315"/>
      <c r="AZ2197" s="326"/>
      <c r="BA2197" s="175"/>
      <c r="BB2197" s="42"/>
      <c r="BC2197" s="431"/>
      <c r="BG2197" s="315"/>
      <c r="BH2197" s="42"/>
    </row>
    <row r="2198" spans="51:60" x14ac:dyDescent="0.2">
      <c r="AY2198" s="315"/>
      <c r="AZ2198" s="326"/>
      <c r="BA2198" s="175"/>
      <c r="BB2198" s="42"/>
      <c r="BC2198" s="431"/>
      <c r="BG2198" s="315"/>
      <c r="BH2198" s="42"/>
    </row>
    <row r="2199" spans="51:60" x14ac:dyDescent="0.2">
      <c r="AY2199" s="315"/>
      <c r="AZ2199" s="326"/>
      <c r="BA2199" s="175"/>
      <c r="BB2199" s="42"/>
      <c r="BC2199" s="431"/>
      <c r="BG2199" s="315"/>
      <c r="BH2199" s="42"/>
    </row>
    <row r="2200" spans="51:60" x14ac:dyDescent="0.2">
      <c r="AY2200" s="315"/>
      <c r="AZ2200" s="326"/>
      <c r="BA2200" s="175"/>
      <c r="BB2200" s="42"/>
      <c r="BC2200" s="431"/>
      <c r="BG2200" s="315"/>
      <c r="BH2200" s="42"/>
    </row>
    <row r="2201" spans="51:60" x14ac:dyDescent="0.2">
      <c r="AY2201" s="315"/>
      <c r="AZ2201" s="326"/>
      <c r="BA2201" s="175"/>
      <c r="BB2201" s="42"/>
      <c r="BC2201" s="431"/>
      <c r="BG2201" s="315"/>
      <c r="BH2201" s="42"/>
    </row>
    <row r="2202" spans="51:60" x14ac:dyDescent="0.2">
      <c r="AY2202" s="315"/>
      <c r="AZ2202" s="326"/>
      <c r="BA2202" s="175"/>
      <c r="BB2202" s="42"/>
      <c r="BC2202" s="431"/>
      <c r="BG2202" s="315"/>
      <c r="BH2202" s="42"/>
    </row>
    <row r="2203" spans="51:60" x14ac:dyDescent="0.2">
      <c r="AY2203" s="315"/>
      <c r="AZ2203" s="326"/>
      <c r="BA2203" s="175"/>
      <c r="BB2203" s="42"/>
      <c r="BC2203" s="431"/>
      <c r="BG2203" s="315"/>
      <c r="BH2203" s="42"/>
    </row>
    <row r="2204" spans="51:60" x14ac:dyDescent="0.2">
      <c r="AY2204" s="315"/>
      <c r="AZ2204" s="326"/>
      <c r="BA2204" s="175"/>
      <c r="BB2204" s="42"/>
      <c r="BC2204" s="431"/>
      <c r="BG2204" s="315"/>
      <c r="BH2204" s="42"/>
    </row>
    <row r="2205" spans="51:60" x14ac:dyDescent="0.2">
      <c r="AY2205" s="315"/>
      <c r="AZ2205" s="326"/>
      <c r="BA2205" s="175"/>
      <c r="BB2205" s="42"/>
      <c r="BC2205" s="431"/>
      <c r="BG2205" s="315"/>
      <c r="BH2205" s="42"/>
    </row>
    <row r="2206" spans="51:60" x14ac:dyDescent="0.2">
      <c r="AY2206" s="315"/>
      <c r="AZ2206" s="326"/>
      <c r="BA2206" s="175"/>
      <c r="BB2206" s="42"/>
      <c r="BC2206" s="431"/>
      <c r="BG2206" s="315"/>
      <c r="BH2206" s="42"/>
    </row>
    <row r="2207" spans="51:60" x14ac:dyDescent="0.2">
      <c r="AY2207" s="315"/>
      <c r="AZ2207" s="326"/>
      <c r="BA2207" s="175"/>
      <c r="BB2207" s="42"/>
      <c r="BC2207" s="431"/>
      <c r="BG2207" s="315"/>
      <c r="BH2207" s="42"/>
    </row>
    <row r="2208" spans="51:60" x14ac:dyDescent="0.2">
      <c r="AY2208" s="315"/>
      <c r="AZ2208" s="326"/>
      <c r="BA2208" s="175"/>
      <c r="BB2208" s="42"/>
      <c r="BC2208" s="431"/>
      <c r="BG2208" s="315"/>
      <c r="BH2208" s="42"/>
    </row>
    <row r="2209" spans="51:60" x14ac:dyDescent="0.2">
      <c r="AY2209" s="315"/>
      <c r="AZ2209" s="326"/>
      <c r="BA2209" s="175"/>
      <c r="BB2209" s="42"/>
      <c r="BC2209" s="431"/>
      <c r="BG2209" s="315"/>
      <c r="BH2209" s="42"/>
    </row>
    <row r="2210" spans="51:60" x14ac:dyDescent="0.2">
      <c r="AY2210" s="315"/>
      <c r="AZ2210" s="326"/>
      <c r="BA2210" s="175"/>
      <c r="BB2210" s="42"/>
      <c r="BC2210" s="431"/>
      <c r="BG2210" s="315"/>
      <c r="BH2210" s="42"/>
    </row>
    <row r="2211" spans="51:60" x14ac:dyDescent="0.2">
      <c r="AY2211" s="315"/>
      <c r="AZ2211" s="326"/>
      <c r="BA2211" s="175"/>
      <c r="BB2211" s="42"/>
      <c r="BC2211" s="431"/>
      <c r="BG2211" s="315"/>
      <c r="BH2211" s="42"/>
    </row>
    <row r="2212" spans="51:60" x14ac:dyDescent="0.2">
      <c r="AY2212" s="315"/>
      <c r="AZ2212" s="326"/>
      <c r="BA2212" s="175"/>
      <c r="BB2212" s="42"/>
      <c r="BC2212" s="431"/>
      <c r="BG2212" s="315"/>
      <c r="BH2212" s="42"/>
    </row>
    <row r="2213" spans="51:60" x14ac:dyDescent="0.2">
      <c r="AY2213" s="315"/>
      <c r="AZ2213" s="326"/>
      <c r="BA2213" s="175"/>
      <c r="BB2213" s="42"/>
      <c r="BC2213" s="431"/>
      <c r="BG2213" s="315"/>
      <c r="BH2213" s="42"/>
    </row>
    <row r="2214" spans="51:60" x14ac:dyDescent="0.2">
      <c r="AY2214" s="315"/>
      <c r="AZ2214" s="326"/>
      <c r="BA2214" s="175"/>
      <c r="BB2214" s="42"/>
      <c r="BC2214" s="431"/>
      <c r="BG2214" s="315"/>
      <c r="BH2214" s="42"/>
    </row>
    <row r="2215" spans="51:60" x14ac:dyDescent="0.2">
      <c r="AY2215" s="315"/>
      <c r="AZ2215" s="326"/>
      <c r="BA2215" s="175"/>
      <c r="BB2215" s="42"/>
      <c r="BC2215" s="431"/>
      <c r="BG2215" s="315"/>
      <c r="BH2215" s="42"/>
    </row>
    <row r="2216" spans="51:60" x14ac:dyDescent="0.2">
      <c r="AY2216" s="315"/>
      <c r="AZ2216" s="326"/>
      <c r="BA2216" s="175"/>
      <c r="BB2216" s="42"/>
      <c r="BC2216" s="431"/>
      <c r="BG2216" s="315"/>
      <c r="BH2216" s="42"/>
    </row>
    <row r="2217" spans="51:60" x14ac:dyDescent="0.2">
      <c r="AY2217" s="315"/>
      <c r="AZ2217" s="326"/>
      <c r="BA2217" s="175"/>
      <c r="BB2217" s="42"/>
      <c r="BC2217" s="431"/>
      <c r="BG2217" s="315"/>
      <c r="BH2217" s="42"/>
    </row>
    <row r="2218" spans="51:60" x14ac:dyDescent="0.2">
      <c r="AY2218" s="315"/>
      <c r="AZ2218" s="326"/>
      <c r="BA2218" s="175"/>
      <c r="BB2218" s="42"/>
      <c r="BC2218" s="431"/>
      <c r="BG2218" s="315"/>
      <c r="BH2218" s="42"/>
    </row>
    <row r="2219" spans="51:60" x14ac:dyDescent="0.2">
      <c r="AY2219" s="315"/>
      <c r="AZ2219" s="326"/>
      <c r="BA2219" s="175"/>
      <c r="BB2219" s="42"/>
      <c r="BC2219" s="431"/>
      <c r="BG2219" s="315"/>
      <c r="BH2219" s="42"/>
    </row>
    <row r="2220" spans="51:60" x14ac:dyDescent="0.2">
      <c r="AY2220" s="315"/>
      <c r="AZ2220" s="326"/>
      <c r="BA2220" s="175"/>
      <c r="BB2220" s="42"/>
      <c r="BC2220" s="431"/>
      <c r="BG2220" s="315"/>
      <c r="BH2220" s="42"/>
    </row>
    <row r="2221" spans="51:60" x14ac:dyDescent="0.2">
      <c r="AY2221" s="315"/>
      <c r="AZ2221" s="326"/>
      <c r="BA2221" s="175"/>
      <c r="BB2221" s="42"/>
      <c r="BC2221" s="431"/>
      <c r="BG2221" s="315"/>
      <c r="BH2221" s="42"/>
    </row>
    <row r="2222" spans="51:60" x14ac:dyDescent="0.2">
      <c r="AY2222" s="315"/>
      <c r="AZ2222" s="326"/>
      <c r="BA2222" s="175"/>
      <c r="BB2222" s="42"/>
      <c r="BC2222" s="431"/>
      <c r="BG2222" s="315"/>
      <c r="BH2222" s="42"/>
    </row>
    <row r="2223" spans="51:60" x14ac:dyDescent="0.2">
      <c r="AY2223" s="315"/>
      <c r="AZ2223" s="326"/>
      <c r="BA2223" s="175"/>
      <c r="BB2223" s="42"/>
      <c r="BC2223" s="431"/>
      <c r="BG2223" s="315"/>
      <c r="BH2223" s="42"/>
    </row>
    <row r="2224" spans="51:60" x14ac:dyDescent="0.2">
      <c r="AY2224" s="315"/>
      <c r="AZ2224" s="326"/>
      <c r="BA2224" s="175"/>
      <c r="BB2224" s="42"/>
      <c r="BC2224" s="431"/>
      <c r="BG2224" s="315"/>
      <c r="BH2224" s="42"/>
    </row>
    <row r="2225" spans="51:60" x14ac:dyDescent="0.2">
      <c r="AY2225" s="315"/>
      <c r="AZ2225" s="326"/>
      <c r="BA2225" s="175"/>
      <c r="BB2225" s="42"/>
      <c r="BC2225" s="431"/>
      <c r="BG2225" s="315"/>
      <c r="BH2225" s="42"/>
    </row>
    <row r="2226" spans="51:60" x14ac:dyDescent="0.2">
      <c r="AY2226" s="315"/>
      <c r="AZ2226" s="326"/>
      <c r="BA2226" s="175"/>
      <c r="BB2226" s="42"/>
      <c r="BC2226" s="431"/>
      <c r="BG2226" s="315"/>
      <c r="BH2226" s="42"/>
    </row>
    <row r="2227" spans="51:60" x14ac:dyDescent="0.2">
      <c r="AY2227" s="315"/>
      <c r="AZ2227" s="326"/>
      <c r="BA2227" s="175"/>
      <c r="BB2227" s="42"/>
      <c r="BC2227" s="431"/>
      <c r="BG2227" s="315"/>
      <c r="BH2227" s="42"/>
    </row>
    <row r="2228" spans="51:60" x14ac:dyDescent="0.2">
      <c r="AY2228" s="315"/>
      <c r="AZ2228" s="326"/>
      <c r="BA2228" s="175"/>
      <c r="BB2228" s="42"/>
      <c r="BC2228" s="431"/>
      <c r="BG2228" s="315"/>
      <c r="BH2228" s="42"/>
    </row>
    <row r="2229" spans="51:60" x14ac:dyDescent="0.2">
      <c r="AY2229" s="315"/>
      <c r="AZ2229" s="326"/>
      <c r="BA2229" s="175"/>
      <c r="BB2229" s="42"/>
      <c r="BC2229" s="431"/>
      <c r="BG2229" s="315"/>
      <c r="BH2229" s="42"/>
    </row>
    <row r="2230" spans="51:60" x14ac:dyDescent="0.2">
      <c r="AY2230" s="315"/>
      <c r="AZ2230" s="326"/>
      <c r="BA2230" s="175"/>
      <c r="BB2230" s="42"/>
      <c r="BC2230" s="431"/>
      <c r="BG2230" s="315"/>
      <c r="BH2230" s="42"/>
    </row>
    <row r="2231" spans="51:60" x14ac:dyDescent="0.2">
      <c r="AY2231" s="315"/>
      <c r="AZ2231" s="326"/>
      <c r="BA2231" s="175"/>
      <c r="BB2231" s="42"/>
      <c r="BC2231" s="431"/>
      <c r="BG2231" s="315"/>
      <c r="BH2231" s="42"/>
    </row>
    <row r="2232" spans="51:60" x14ac:dyDescent="0.2">
      <c r="AY2232" s="315"/>
      <c r="AZ2232" s="326"/>
      <c r="BA2232" s="175"/>
      <c r="BB2232" s="42"/>
      <c r="BC2232" s="431"/>
      <c r="BG2232" s="315"/>
      <c r="BH2232" s="42"/>
    </row>
    <row r="2233" spans="51:60" x14ac:dyDescent="0.2">
      <c r="AY2233" s="315"/>
      <c r="AZ2233" s="326"/>
      <c r="BA2233" s="175"/>
      <c r="BB2233" s="42"/>
      <c r="BC2233" s="431"/>
      <c r="BG2233" s="315"/>
      <c r="BH2233" s="42"/>
    </row>
    <row r="2234" spans="51:60" x14ac:dyDescent="0.2">
      <c r="AY2234" s="315"/>
      <c r="AZ2234" s="326"/>
      <c r="BA2234" s="175"/>
      <c r="BB2234" s="42"/>
      <c r="BC2234" s="431"/>
      <c r="BG2234" s="315"/>
      <c r="BH2234" s="42"/>
    </row>
    <row r="2235" spans="51:60" x14ac:dyDescent="0.2">
      <c r="AY2235" s="315"/>
      <c r="AZ2235" s="326"/>
      <c r="BA2235" s="175"/>
      <c r="BB2235" s="42"/>
      <c r="BC2235" s="431"/>
      <c r="BG2235" s="315"/>
      <c r="BH2235" s="42"/>
    </row>
    <row r="2236" spans="51:60" x14ac:dyDescent="0.2">
      <c r="AY2236" s="315"/>
      <c r="AZ2236" s="326"/>
      <c r="BA2236" s="175"/>
      <c r="BB2236" s="42"/>
      <c r="BC2236" s="431"/>
      <c r="BG2236" s="315"/>
      <c r="BH2236" s="42"/>
    </row>
    <row r="2237" spans="51:60" x14ac:dyDescent="0.2">
      <c r="AY2237" s="315"/>
      <c r="AZ2237" s="326"/>
      <c r="BA2237" s="175"/>
      <c r="BB2237" s="42"/>
      <c r="BC2237" s="431"/>
      <c r="BG2237" s="315"/>
      <c r="BH2237" s="42"/>
    </row>
    <row r="2238" spans="51:60" x14ac:dyDescent="0.2">
      <c r="AY2238" s="315"/>
      <c r="AZ2238" s="326"/>
      <c r="BA2238" s="175"/>
      <c r="BB2238" s="42"/>
      <c r="BC2238" s="431"/>
      <c r="BG2238" s="315"/>
      <c r="BH2238" s="42"/>
    </row>
    <row r="2239" spans="51:60" x14ac:dyDescent="0.2">
      <c r="AY2239" s="315"/>
      <c r="AZ2239" s="326"/>
      <c r="BA2239" s="175"/>
      <c r="BB2239" s="42"/>
      <c r="BC2239" s="431"/>
      <c r="BG2239" s="315"/>
      <c r="BH2239" s="42"/>
    </row>
    <row r="2240" spans="51:60" x14ac:dyDescent="0.2">
      <c r="AY2240" s="315"/>
      <c r="AZ2240" s="326"/>
      <c r="BA2240" s="175"/>
      <c r="BB2240" s="42"/>
      <c r="BC2240" s="431"/>
      <c r="BG2240" s="315"/>
      <c r="BH2240" s="42"/>
    </row>
    <row r="2241" spans="51:60" x14ac:dyDescent="0.2">
      <c r="AY2241" s="315"/>
      <c r="AZ2241" s="326"/>
      <c r="BA2241" s="175"/>
      <c r="BB2241" s="42"/>
      <c r="BC2241" s="431"/>
      <c r="BG2241" s="315"/>
      <c r="BH2241" s="42"/>
    </row>
    <row r="2242" spans="51:60" x14ac:dyDescent="0.2">
      <c r="AY2242" s="315"/>
      <c r="AZ2242" s="326"/>
      <c r="BA2242" s="175"/>
      <c r="BB2242" s="42"/>
      <c r="BC2242" s="431"/>
      <c r="BG2242" s="315"/>
      <c r="BH2242" s="42"/>
    </row>
    <row r="2243" spans="51:60" x14ac:dyDescent="0.2">
      <c r="AY2243" s="315"/>
      <c r="AZ2243" s="326"/>
      <c r="BA2243" s="175"/>
      <c r="BB2243" s="42"/>
      <c r="BC2243" s="431"/>
      <c r="BG2243" s="315"/>
      <c r="BH2243" s="42"/>
    </row>
    <row r="2244" spans="51:60" x14ac:dyDescent="0.2">
      <c r="AY2244" s="315"/>
      <c r="AZ2244" s="326"/>
      <c r="BA2244" s="175"/>
      <c r="BB2244" s="42"/>
      <c r="BC2244" s="431"/>
      <c r="BG2244" s="315"/>
      <c r="BH2244" s="42"/>
    </row>
    <row r="2245" spans="51:60" x14ac:dyDescent="0.2">
      <c r="AY2245" s="315"/>
      <c r="AZ2245" s="326"/>
      <c r="BA2245" s="175"/>
      <c r="BB2245" s="42"/>
      <c r="BC2245" s="431"/>
      <c r="BG2245" s="315"/>
      <c r="BH2245" s="42"/>
    </row>
    <row r="2246" spans="51:60" x14ac:dyDescent="0.2">
      <c r="AY2246" s="315"/>
      <c r="AZ2246" s="326"/>
      <c r="BA2246" s="175"/>
      <c r="BB2246" s="42"/>
      <c r="BC2246" s="431"/>
      <c r="BG2246" s="315"/>
      <c r="BH2246" s="42"/>
    </row>
    <row r="2247" spans="51:60" x14ac:dyDescent="0.2">
      <c r="AY2247" s="315"/>
      <c r="AZ2247" s="326"/>
      <c r="BA2247" s="175"/>
      <c r="BB2247" s="42"/>
      <c r="BC2247" s="431"/>
      <c r="BG2247" s="315"/>
      <c r="BH2247" s="42"/>
    </row>
    <row r="2248" spans="51:60" x14ac:dyDescent="0.2">
      <c r="AY2248" s="315"/>
      <c r="AZ2248" s="326"/>
      <c r="BA2248" s="175"/>
      <c r="BB2248" s="42"/>
      <c r="BC2248" s="431"/>
      <c r="BG2248" s="315"/>
      <c r="BH2248" s="42"/>
    </row>
    <row r="2249" spans="51:60" x14ac:dyDescent="0.2">
      <c r="AY2249" s="315"/>
      <c r="AZ2249" s="326"/>
      <c r="BA2249" s="175"/>
      <c r="BB2249" s="42"/>
      <c r="BC2249" s="431"/>
      <c r="BG2249" s="315"/>
      <c r="BH2249" s="42"/>
    </row>
    <row r="2250" spans="51:60" x14ac:dyDescent="0.2">
      <c r="AY2250" s="315"/>
      <c r="AZ2250" s="326"/>
      <c r="BA2250" s="175"/>
      <c r="BB2250" s="42"/>
      <c r="BC2250" s="431"/>
      <c r="BG2250" s="315"/>
      <c r="BH2250" s="42"/>
    </row>
    <row r="2251" spans="51:60" x14ac:dyDescent="0.2">
      <c r="AY2251" s="315"/>
      <c r="AZ2251" s="326"/>
      <c r="BA2251" s="175"/>
      <c r="BB2251" s="42"/>
      <c r="BC2251" s="431"/>
      <c r="BG2251" s="315"/>
      <c r="BH2251" s="42"/>
    </row>
    <row r="2252" spans="51:60" x14ac:dyDescent="0.2">
      <c r="AY2252" s="315"/>
      <c r="AZ2252" s="326"/>
      <c r="BA2252" s="175"/>
      <c r="BB2252" s="42"/>
      <c r="BC2252" s="431"/>
      <c r="BG2252" s="315"/>
      <c r="BH2252" s="42"/>
    </row>
    <row r="2253" spans="51:60" x14ac:dyDescent="0.2">
      <c r="AY2253" s="315"/>
      <c r="AZ2253" s="326"/>
      <c r="BA2253" s="175"/>
      <c r="BB2253" s="42"/>
      <c r="BC2253" s="431"/>
      <c r="BG2253" s="315"/>
      <c r="BH2253" s="42"/>
    </row>
    <row r="2254" spans="51:60" x14ac:dyDescent="0.2">
      <c r="AY2254" s="315"/>
      <c r="AZ2254" s="326"/>
      <c r="BA2254" s="175"/>
      <c r="BB2254" s="42"/>
      <c r="BC2254" s="431"/>
      <c r="BG2254" s="315"/>
      <c r="BH2254" s="42"/>
    </row>
    <row r="2255" spans="51:60" x14ac:dyDescent="0.2">
      <c r="AY2255" s="315"/>
      <c r="AZ2255" s="326"/>
      <c r="BA2255" s="175"/>
      <c r="BB2255" s="42"/>
      <c r="BC2255" s="431"/>
      <c r="BG2255" s="315"/>
      <c r="BH2255" s="42"/>
    </row>
    <row r="2256" spans="51:60" x14ac:dyDescent="0.2">
      <c r="AY2256" s="315"/>
      <c r="AZ2256" s="326"/>
      <c r="BA2256" s="175"/>
      <c r="BB2256" s="42"/>
      <c r="BC2256" s="431"/>
      <c r="BG2256" s="315"/>
      <c r="BH2256" s="42"/>
    </row>
    <row r="2257" spans="51:60" x14ac:dyDescent="0.2">
      <c r="AY2257" s="315"/>
      <c r="AZ2257" s="326"/>
      <c r="BA2257" s="175"/>
      <c r="BB2257" s="42"/>
      <c r="BC2257" s="431"/>
      <c r="BG2257" s="315"/>
      <c r="BH2257" s="42"/>
    </row>
    <row r="2258" spans="51:60" x14ac:dyDescent="0.2">
      <c r="AY2258" s="315"/>
      <c r="AZ2258" s="326"/>
      <c r="BA2258" s="175"/>
      <c r="BB2258" s="42"/>
      <c r="BC2258" s="431"/>
      <c r="BG2258" s="315"/>
      <c r="BH2258" s="42"/>
    </row>
    <row r="2259" spans="51:60" x14ac:dyDescent="0.2">
      <c r="AY2259" s="315"/>
      <c r="AZ2259" s="326"/>
      <c r="BA2259" s="175"/>
      <c r="BB2259" s="42"/>
      <c r="BC2259" s="431"/>
      <c r="BG2259" s="315"/>
      <c r="BH2259" s="42"/>
    </row>
    <row r="2260" spans="51:60" x14ac:dyDescent="0.2">
      <c r="AY2260" s="315"/>
      <c r="AZ2260" s="326"/>
      <c r="BA2260" s="175"/>
      <c r="BB2260" s="42"/>
      <c r="BC2260" s="431"/>
      <c r="BG2260" s="315"/>
      <c r="BH2260" s="42"/>
    </row>
    <row r="2261" spans="51:60" x14ac:dyDescent="0.2">
      <c r="AY2261" s="315"/>
      <c r="AZ2261" s="326"/>
      <c r="BA2261" s="175"/>
      <c r="BB2261" s="42"/>
      <c r="BC2261" s="431"/>
      <c r="BG2261" s="315"/>
      <c r="BH2261" s="42"/>
    </row>
    <row r="2262" spans="51:60" x14ac:dyDescent="0.2">
      <c r="AY2262" s="315"/>
      <c r="AZ2262" s="326"/>
      <c r="BA2262" s="175"/>
      <c r="BB2262" s="42"/>
      <c r="BC2262" s="431"/>
      <c r="BG2262" s="315"/>
      <c r="BH2262" s="42"/>
    </row>
    <row r="2263" spans="51:60" x14ac:dyDescent="0.2">
      <c r="AY2263" s="315"/>
      <c r="AZ2263" s="326"/>
      <c r="BA2263" s="175"/>
      <c r="BB2263" s="42"/>
      <c r="BC2263" s="431"/>
      <c r="BG2263" s="315"/>
      <c r="BH2263" s="42"/>
    </row>
    <row r="2264" spans="51:60" x14ac:dyDescent="0.2">
      <c r="AY2264" s="315"/>
      <c r="AZ2264" s="326"/>
      <c r="BA2264" s="175"/>
      <c r="BB2264" s="42"/>
      <c r="BC2264" s="431"/>
      <c r="BG2264" s="315"/>
      <c r="BH2264" s="42"/>
    </row>
    <row r="2265" spans="51:60" x14ac:dyDescent="0.2">
      <c r="AY2265" s="315"/>
      <c r="AZ2265" s="326"/>
      <c r="BA2265" s="175"/>
      <c r="BB2265" s="42"/>
      <c r="BC2265" s="431"/>
      <c r="BG2265" s="315"/>
      <c r="BH2265" s="42"/>
    </row>
    <row r="2266" spans="51:60" x14ac:dyDescent="0.2">
      <c r="AY2266" s="315"/>
      <c r="AZ2266" s="326"/>
      <c r="BA2266" s="175"/>
      <c r="BB2266" s="42"/>
      <c r="BC2266" s="431"/>
      <c r="BG2266" s="315"/>
      <c r="BH2266" s="42"/>
    </row>
    <row r="2267" spans="51:60" x14ac:dyDescent="0.2">
      <c r="AY2267" s="315"/>
      <c r="AZ2267" s="326"/>
      <c r="BA2267" s="175"/>
      <c r="BB2267" s="42"/>
      <c r="BC2267" s="431"/>
      <c r="BG2267" s="315"/>
      <c r="BH2267" s="42"/>
    </row>
    <row r="2268" spans="51:60" x14ac:dyDescent="0.2">
      <c r="AY2268" s="315"/>
      <c r="AZ2268" s="326"/>
      <c r="BA2268" s="175"/>
      <c r="BB2268" s="42"/>
      <c r="BC2268" s="431"/>
      <c r="BG2268" s="315"/>
      <c r="BH2268" s="42"/>
    </row>
    <row r="2269" spans="51:60" x14ac:dyDescent="0.2">
      <c r="AY2269" s="315"/>
      <c r="AZ2269" s="326"/>
      <c r="BA2269" s="175"/>
      <c r="BB2269" s="42"/>
      <c r="BC2269" s="431"/>
      <c r="BG2269" s="315"/>
      <c r="BH2269" s="42"/>
    </row>
    <row r="2270" spans="51:60" x14ac:dyDescent="0.2">
      <c r="AY2270" s="315"/>
      <c r="AZ2270" s="326"/>
      <c r="BA2270" s="175"/>
      <c r="BB2270" s="42"/>
      <c r="BC2270" s="431"/>
      <c r="BG2270" s="315"/>
      <c r="BH2270" s="42"/>
    </row>
    <row r="2271" spans="51:60" x14ac:dyDescent="0.2">
      <c r="AY2271" s="315"/>
      <c r="AZ2271" s="326"/>
      <c r="BA2271" s="175"/>
      <c r="BB2271" s="42"/>
      <c r="BC2271" s="431"/>
      <c r="BG2271" s="315"/>
      <c r="BH2271" s="42"/>
    </row>
    <row r="2272" spans="51:60" x14ac:dyDescent="0.2">
      <c r="AY2272" s="315"/>
      <c r="AZ2272" s="326"/>
      <c r="BA2272" s="175"/>
      <c r="BB2272" s="42"/>
      <c r="BC2272" s="431"/>
      <c r="BG2272" s="315"/>
      <c r="BH2272" s="42"/>
    </row>
    <row r="2273" spans="51:60" x14ac:dyDescent="0.2">
      <c r="AY2273" s="315"/>
      <c r="AZ2273" s="326"/>
      <c r="BA2273" s="175"/>
      <c r="BB2273" s="42"/>
      <c r="BC2273" s="431"/>
      <c r="BG2273" s="315"/>
      <c r="BH2273" s="42"/>
    </row>
    <row r="2274" spans="51:60" x14ac:dyDescent="0.2">
      <c r="AY2274" s="315"/>
      <c r="AZ2274" s="326"/>
      <c r="BA2274" s="175"/>
      <c r="BB2274" s="42"/>
      <c r="BC2274" s="431"/>
      <c r="BG2274" s="315"/>
      <c r="BH2274" s="42"/>
    </row>
    <row r="2275" spans="51:60" x14ac:dyDescent="0.2">
      <c r="AY2275" s="315"/>
      <c r="AZ2275" s="326"/>
      <c r="BA2275" s="175"/>
      <c r="BB2275" s="42"/>
      <c r="BC2275" s="431"/>
      <c r="BG2275" s="315"/>
      <c r="BH2275" s="42"/>
    </row>
    <row r="2276" spans="51:60" x14ac:dyDescent="0.2">
      <c r="AY2276" s="315"/>
      <c r="AZ2276" s="326"/>
      <c r="BA2276" s="175"/>
      <c r="BB2276" s="42"/>
      <c r="BC2276" s="431"/>
      <c r="BG2276" s="315"/>
      <c r="BH2276" s="42"/>
    </row>
    <row r="2277" spans="51:60" x14ac:dyDescent="0.2">
      <c r="AY2277" s="315"/>
      <c r="AZ2277" s="326"/>
      <c r="BA2277" s="175"/>
      <c r="BB2277" s="42"/>
      <c r="BC2277" s="431"/>
      <c r="BG2277" s="315"/>
      <c r="BH2277" s="42"/>
    </row>
    <row r="2278" spans="51:60" x14ac:dyDescent="0.2">
      <c r="AY2278" s="315"/>
      <c r="AZ2278" s="326"/>
      <c r="BA2278" s="175"/>
      <c r="BB2278" s="42"/>
      <c r="BC2278" s="431"/>
      <c r="BG2278" s="315"/>
      <c r="BH2278" s="42"/>
    </row>
    <row r="2279" spans="51:60" x14ac:dyDescent="0.2">
      <c r="AY2279" s="315"/>
      <c r="AZ2279" s="326"/>
      <c r="BA2279" s="175"/>
      <c r="BB2279" s="42"/>
      <c r="BC2279" s="431"/>
      <c r="BG2279" s="315"/>
      <c r="BH2279" s="42"/>
    </row>
    <row r="2280" spans="51:60" x14ac:dyDescent="0.2">
      <c r="AY2280" s="315"/>
      <c r="AZ2280" s="326"/>
      <c r="BA2280" s="175"/>
      <c r="BB2280" s="42"/>
      <c r="BC2280" s="431"/>
      <c r="BG2280" s="315"/>
      <c r="BH2280" s="42"/>
    </row>
    <row r="2281" spans="51:60" x14ac:dyDescent="0.2">
      <c r="AY2281" s="315"/>
      <c r="AZ2281" s="326"/>
      <c r="BA2281" s="175"/>
      <c r="BB2281" s="42"/>
      <c r="BC2281" s="431"/>
      <c r="BG2281" s="315"/>
      <c r="BH2281" s="42"/>
    </row>
    <row r="2282" spans="51:60" x14ac:dyDescent="0.2">
      <c r="AY2282" s="315"/>
      <c r="AZ2282" s="326"/>
      <c r="BA2282" s="175"/>
      <c r="BB2282" s="42"/>
      <c r="BC2282" s="431"/>
      <c r="BG2282" s="315"/>
      <c r="BH2282" s="42"/>
    </row>
    <row r="2283" spans="51:60" x14ac:dyDescent="0.2">
      <c r="AY2283" s="315"/>
      <c r="AZ2283" s="326"/>
      <c r="BA2283" s="175"/>
      <c r="BB2283" s="42"/>
      <c r="BC2283" s="431"/>
      <c r="BG2283" s="315"/>
      <c r="BH2283" s="42"/>
    </row>
    <row r="2284" spans="51:60" x14ac:dyDescent="0.2">
      <c r="AY2284" s="315"/>
      <c r="AZ2284" s="326"/>
      <c r="BA2284" s="175"/>
      <c r="BB2284" s="42"/>
      <c r="BC2284" s="431"/>
      <c r="BG2284" s="315"/>
      <c r="BH2284" s="42"/>
    </row>
    <row r="2285" spans="51:60" x14ac:dyDescent="0.2">
      <c r="AY2285" s="315"/>
      <c r="AZ2285" s="326"/>
      <c r="BA2285" s="175"/>
      <c r="BB2285" s="42"/>
      <c r="BC2285" s="431"/>
      <c r="BG2285" s="315"/>
      <c r="BH2285" s="42"/>
    </row>
    <row r="2286" spans="51:60" x14ac:dyDescent="0.2">
      <c r="AY2286" s="315"/>
      <c r="AZ2286" s="326"/>
      <c r="BA2286" s="175"/>
      <c r="BB2286" s="42"/>
      <c r="BC2286" s="431"/>
      <c r="BG2286" s="315"/>
      <c r="BH2286" s="42"/>
    </row>
    <row r="2287" spans="51:60" x14ac:dyDescent="0.2">
      <c r="AY2287" s="315"/>
      <c r="AZ2287" s="326"/>
      <c r="BA2287" s="175"/>
      <c r="BB2287" s="42"/>
      <c r="BC2287" s="431"/>
      <c r="BG2287" s="315"/>
      <c r="BH2287" s="42"/>
    </row>
    <row r="2288" spans="51:60" x14ac:dyDescent="0.2">
      <c r="AY2288" s="315"/>
      <c r="AZ2288" s="326"/>
      <c r="BA2288" s="175"/>
      <c r="BB2288" s="42"/>
      <c r="BC2288" s="431"/>
      <c r="BG2288" s="315"/>
      <c r="BH2288" s="42"/>
    </row>
    <row r="2289" spans="51:60" x14ac:dyDescent="0.2">
      <c r="AY2289" s="315"/>
      <c r="AZ2289" s="326"/>
      <c r="BA2289" s="175"/>
      <c r="BB2289" s="42"/>
      <c r="BC2289" s="431"/>
      <c r="BG2289" s="315"/>
      <c r="BH2289" s="42"/>
    </row>
    <row r="2290" spans="51:60" x14ac:dyDescent="0.2">
      <c r="AY2290" s="315"/>
      <c r="AZ2290" s="326"/>
      <c r="BA2290" s="175"/>
      <c r="BB2290" s="42"/>
      <c r="BC2290" s="431"/>
      <c r="BG2290" s="315"/>
      <c r="BH2290" s="42"/>
    </row>
    <row r="2291" spans="51:60" x14ac:dyDescent="0.2">
      <c r="AY2291" s="315"/>
      <c r="AZ2291" s="326"/>
      <c r="BA2291" s="175"/>
      <c r="BB2291" s="42"/>
      <c r="BC2291" s="431"/>
      <c r="BG2291" s="315"/>
      <c r="BH2291" s="42"/>
    </row>
    <row r="2292" spans="51:60" x14ac:dyDescent="0.2">
      <c r="AY2292" s="315"/>
      <c r="AZ2292" s="326"/>
      <c r="BA2292" s="175"/>
      <c r="BB2292" s="42"/>
      <c r="BC2292" s="431"/>
      <c r="BG2292" s="315"/>
      <c r="BH2292" s="42"/>
    </row>
    <row r="2293" spans="51:60" x14ac:dyDescent="0.2">
      <c r="AY2293" s="315"/>
      <c r="AZ2293" s="326"/>
      <c r="BA2293" s="175"/>
      <c r="BB2293" s="42"/>
      <c r="BC2293" s="431"/>
      <c r="BG2293" s="315"/>
      <c r="BH2293" s="42"/>
    </row>
    <row r="2294" spans="51:60" x14ac:dyDescent="0.2">
      <c r="AY2294" s="315"/>
      <c r="AZ2294" s="326"/>
      <c r="BA2294" s="175"/>
      <c r="BB2294" s="42"/>
      <c r="BC2294" s="431"/>
      <c r="BG2294" s="315"/>
      <c r="BH2294" s="42"/>
    </row>
    <row r="2295" spans="51:60" x14ac:dyDescent="0.2">
      <c r="AY2295" s="315"/>
      <c r="AZ2295" s="326"/>
      <c r="BA2295" s="175"/>
      <c r="BB2295" s="42"/>
      <c r="BC2295" s="431"/>
      <c r="BG2295" s="315"/>
      <c r="BH2295" s="42"/>
    </row>
    <row r="2296" spans="51:60" x14ac:dyDescent="0.2">
      <c r="AY2296" s="315"/>
      <c r="AZ2296" s="326"/>
      <c r="BA2296" s="175"/>
      <c r="BB2296" s="42"/>
      <c r="BC2296" s="431"/>
      <c r="BG2296" s="315"/>
      <c r="BH2296" s="42"/>
    </row>
    <row r="2297" spans="51:60" x14ac:dyDescent="0.2">
      <c r="AY2297" s="315"/>
      <c r="AZ2297" s="326"/>
      <c r="BA2297" s="175"/>
      <c r="BB2297" s="42"/>
      <c r="BC2297" s="431"/>
      <c r="BG2297" s="315"/>
      <c r="BH2297" s="42"/>
    </row>
    <row r="2298" spans="51:60" x14ac:dyDescent="0.2">
      <c r="AY2298" s="315"/>
      <c r="AZ2298" s="326"/>
      <c r="BA2298" s="175"/>
      <c r="BB2298" s="42"/>
      <c r="BC2298" s="431"/>
      <c r="BG2298" s="315"/>
      <c r="BH2298" s="42"/>
    </row>
    <row r="2299" spans="51:60" x14ac:dyDescent="0.2">
      <c r="AY2299" s="315"/>
      <c r="AZ2299" s="326"/>
      <c r="BA2299" s="175"/>
      <c r="BB2299" s="42"/>
      <c r="BC2299" s="431"/>
      <c r="BG2299" s="315"/>
      <c r="BH2299" s="42"/>
    </row>
    <row r="2300" spans="51:60" x14ac:dyDescent="0.2">
      <c r="AY2300" s="315"/>
      <c r="AZ2300" s="326"/>
      <c r="BA2300" s="175"/>
      <c r="BB2300" s="42"/>
      <c r="BC2300" s="431"/>
      <c r="BG2300" s="315"/>
      <c r="BH2300" s="42"/>
    </row>
    <row r="2301" spans="51:60" x14ac:dyDescent="0.2">
      <c r="AY2301" s="315"/>
      <c r="AZ2301" s="326"/>
      <c r="BA2301" s="175"/>
      <c r="BB2301" s="42"/>
      <c r="BC2301" s="431"/>
      <c r="BG2301" s="315"/>
      <c r="BH2301" s="42"/>
    </row>
    <row r="2302" spans="51:60" x14ac:dyDescent="0.2">
      <c r="AY2302" s="315"/>
      <c r="AZ2302" s="326"/>
      <c r="BA2302" s="175"/>
      <c r="BB2302" s="42"/>
      <c r="BC2302" s="431"/>
      <c r="BG2302" s="315"/>
      <c r="BH2302" s="42"/>
    </row>
    <row r="2303" spans="51:60" x14ac:dyDescent="0.2">
      <c r="AY2303" s="315"/>
      <c r="AZ2303" s="326"/>
      <c r="BA2303" s="175"/>
      <c r="BB2303" s="42"/>
      <c r="BC2303" s="431"/>
      <c r="BG2303" s="315"/>
      <c r="BH2303" s="42"/>
    </row>
    <row r="2304" spans="51:60" x14ac:dyDescent="0.2">
      <c r="AY2304" s="315"/>
      <c r="AZ2304" s="326"/>
      <c r="BA2304" s="175"/>
      <c r="BB2304" s="42"/>
      <c r="BC2304" s="431"/>
      <c r="BG2304" s="315"/>
      <c r="BH2304" s="42"/>
    </row>
    <row r="2305" spans="51:60" x14ac:dyDescent="0.2">
      <c r="AY2305" s="315"/>
      <c r="AZ2305" s="326"/>
      <c r="BA2305" s="175"/>
      <c r="BB2305" s="42"/>
      <c r="BC2305" s="431"/>
      <c r="BG2305" s="315"/>
      <c r="BH2305" s="42"/>
    </row>
    <row r="2306" spans="51:60" x14ac:dyDescent="0.2">
      <c r="AY2306" s="315"/>
      <c r="AZ2306" s="326"/>
      <c r="BA2306" s="175"/>
      <c r="BB2306" s="42"/>
      <c r="BC2306" s="431"/>
      <c r="BG2306" s="315"/>
      <c r="BH2306" s="42"/>
    </row>
    <row r="2307" spans="51:60" x14ac:dyDescent="0.2">
      <c r="AY2307" s="315"/>
      <c r="AZ2307" s="326"/>
      <c r="BA2307" s="175"/>
      <c r="BB2307" s="42"/>
      <c r="BC2307" s="431"/>
      <c r="BG2307" s="315"/>
      <c r="BH2307" s="42"/>
    </row>
    <row r="2308" spans="51:60" x14ac:dyDescent="0.2">
      <c r="AY2308" s="315"/>
      <c r="AZ2308" s="326"/>
      <c r="BA2308" s="175"/>
      <c r="BB2308" s="42"/>
      <c r="BC2308" s="431"/>
      <c r="BG2308" s="315"/>
      <c r="BH2308" s="42"/>
    </row>
    <row r="2309" spans="51:60" x14ac:dyDescent="0.2">
      <c r="AY2309" s="315"/>
      <c r="AZ2309" s="326"/>
      <c r="BA2309" s="175"/>
      <c r="BB2309" s="42"/>
      <c r="BC2309" s="431"/>
      <c r="BG2309" s="315"/>
      <c r="BH2309" s="42"/>
    </row>
    <row r="2310" spans="51:60" x14ac:dyDescent="0.2">
      <c r="AY2310" s="315"/>
      <c r="AZ2310" s="326"/>
      <c r="BA2310" s="175"/>
      <c r="BB2310" s="42"/>
      <c r="BC2310" s="431"/>
      <c r="BG2310" s="315"/>
      <c r="BH2310" s="42"/>
    </row>
    <row r="2311" spans="51:60" x14ac:dyDescent="0.2">
      <c r="AY2311" s="315"/>
      <c r="AZ2311" s="326"/>
      <c r="BA2311" s="175"/>
      <c r="BB2311" s="42"/>
      <c r="BC2311" s="431"/>
      <c r="BG2311" s="315"/>
      <c r="BH2311" s="42"/>
    </row>
    <row r="2312" spans="51:60" x14ac:dyDescent="0.2">
      <c r="AY2312" s="315"/>
      <c r="AZ2312" s="326"/>
      <c r="BA2312" s="175"/>
      <c r="BB2312" s="42"/>
      <c r="BC2312" s="431"/>
      <c r="BG2312" s="315"/>
      <c r="BH2312" s="42"/>
    </row>
    <row r="2313" spans="51:60" x14ac:dyDescent="0.2">
      <c r="AY2313" s="315"/>
      <c r="AZ2313" s="326"/>
      <c r="BA2313" s="175"/>
      <c r="BB2313" s="42"/>
      <c r="BC2313" s="431"/>
      <c r="BG2313" s="315"/>
      <c r="BH2313" s="42"/>
    </row>
    <row r="2314" spans="51:60" x14ac:dyDescent="0.2">
      <c r="AY2314" s="315"/>
      <c r="AZ2314" s="326"/>
      <c r="BA2314" s="175"/>
      <c r="BB2314" s="42"/>
      <c r="BC2314" s="431"/>
      <c r="BG2314" s="315"/>
      <c r="BH2314" s="42"/>
    </row>
    <row r="2315" spans="51:60" x14ac:dyDescent="0.2">
      <c r="AY2315" s="315"/>
      <c r="AZ2315" s="326"/>
      <c r="BA2315" s="175"/>
      <c r="BB2315" s="42"/>
      <c r="BC2315" s="431"/>
      <c r="BG2315" s="315"/>
      <c r="BH2315" s="42"/>
    </row>
    <row r="2316" spans="51:60" x14ac:dyDescent="0.2">
      <c r="AY2316" s="315"/>
      <c r="AZ2316" s="326"/>
      <c r="BA2316" s="175"/>
      <c r="BB2316" s="42"/>
      <c r="BC2316" s="431"/>
      <c r="BG2316" s="315"/>
      <c r="BH2316" s="42"/>
    </row>
    <row r="2317" spans="51:60" x14ac:dyDescent="0.2">
      <c r="AY2317" s="315"/>
      <c r="AZ2317" s="326"/>
      <c r="BA2317" s="175"/>
      <c r="BB2317" s="42"/>
      <c r="BC2317" s="431"/>
      <c r="BG2317" s="315"/>
      <c r="BH2317" s="42"/>
    </row>
    <row r="2318" spans="51:60" x14ac:dyDescent="0.2">
      <c r="AY2318" s="315"/>
      <c r="AZ2318" s="326"/>
      <c r="BA2318" s="175"/>
      <c r="BB2318" s="42"/>
      <c r="BC2318" s="431"/>
      <c r="BG2318" s="315"/>
      <c r="BH2318" s="42"/>
    </row>
    <row r="2319" spans="51:60" x14ac:dyDescent="0.2">
      <c r="AY2319" s="315"/>
      <c r="AZ2319" s="326"/>
      <c r="BA2319" s="175"/>
      <c r="BB2319" s="42"/>
      <c r="BC2319" s="431"/>
      <c r="BG2319" s="315"/>
      <c r="BH2319" s="42"/>
    </row>
    <row r="2320" spans="51:60" x14ac:dyDescent="0.2">
      <c r="AY2320" s="315"/>
      <c r="AZ2320" s="326"/>
      <c r="BA2320" s="175"/>
      <c r="BB2320" s="42"/>
      <c r="BC2320" s="431"/>
      <c r="BG2320" s="315"/>
      <c r="BH2320" s="42"/>
    </row>
    <row r="2321" spans="51:60" x14ac:dyDescent="0.2">
      <c r="AY2321" s="315"/>
      <c r="AZ2321" s="326"/>
      <c r="BA2321" s="175"/>
      <c r="BB2321" s="42"/>
      <c r="BC2321" s="431"/>
      <c r="BG2321" s="315"/>
      <c r="BH2321" s="42"/>
    </row>
    <row r="2322" spans="51:60" x14ac:dyDescent="0.2">
      <c r="AY2322" s="315"/>
      <c r="AZ2322" s="326"/>
      <c r="BA2322" s="175"/>
      <c r="BB2322" s="42"/>
      <c r="BC2322" s="431"/>
      <c r="BG2322" s="315"/>
      <c r="BH2322" s="42"/>
    </row>
    <row r="2323" spans="51:60" x14ac:dyDescent="0.2">
      <c r="AY2323" s="315"/>
      <c r="AZ2323" s="326"/>
      <c r="BA2323" s="175"/>
      <c r="BB2323" s="42"/>
      <c r="BC2323" s="431"/>
      <c r="BG2323" s="315"/>
      <c r="BH2323" s="42"/>
    </row>
    <row r="2324" spans="51:60" x14ac:dyDescent="0.2">
      <c r="AY2324" s="315"/>
      <c r="AZ2324" s="326"/>
      <c r="BA2324" s="175"/>
      <c r="BB2324" s="42"/>
      <c r="BC2324" s="431"/>
      <c r="BG2324" s="315"/>
      <c r="BH2324" s="42"/>
    </row>
    <row r="2325" spans="51:60" x14ac:dyDescent="0.2">
      <c r="AY2325" s="315"/>
      <c r="AZ2325" s="326"/>
      <c r="BA2325" s="175"/>
      <c r="BB2325" s="42"/>
      <c r="BC2325" s="431"/>
      <c r="BG2325" s="315"/>
      <c r="BH2325" s="42"/>
    </row>
    <row r="2326" spans="51:60" x14ac:dyDescent="0.2">
      <c r="AY2326" s="315"/>
      <c r="AZ2326" s="326"/>
      <c r="BA2326" s="175"/>
      <c r="BB2326" s="42"/>
      <c r="BC2326" s="431"/>
      <c r="BG2326" s="315"/>
      <c r="BH2326" s="42"/>
    </row>
    <row r="2327" spans="51:60" x14ac:dyDescent="0.2">
      <c r="AY2327" s="315"/>
      <c r="AZ2327" s="326"/>
      <c r="BA2327" s="175"/>
      <c r="BB2327" s="42"/>
      <c r="BC2327" s="431"/>
      <c r="BG2327" s="315"/>
      <c r="BH2327" s="42"/>
    </row>
    <row r="2328" spans="51:60" x14ac:dyDescent="0.2">
      <c r="AY2328" s="315"/>
      <c r="AZ2328" s="326"/>
      <c r="BA2328" s="175"/>
      <c r="BB2328" s="42"/>
      <c r="BC2328" s="431"/>
      <c r="BG2328" s="315"/>
      <c r="BH2328" s="42"/>
    </row>
    <row r="2329" spans="51:60" x14ac:dyDescent="0.2">
      <c r="AY2329" s="315"/>
      <c r="AZ2329" s="326"/>
      <c r="BA2329" s="175"/>
      <c r="BB2329" s="42"/>
      <c r="BC2329" s="431"/>
      <c r="BG2329" s="315"/>
      <c r="BH2329" s="42"/>
    </row>
    <row r="2330" spans="51:60" x14ac:dyDescent="0.2">
      <c r="AY2330" s="315"/>
      <c r="AZ2330" s="326"/>
      <c r="BA2330" s="175"/>
      <c r="BB2330" s="42"/>
      <c r="BC2330" s="431"/>
      <c r="BG2330" s="315"/>
      <c r="BH2330" s="42"/>
    </row>
    <row r="2331" spans="51:60" x14ac:dyDescent="0.2">
      <c r="AY2331" s="315"/>
      <c r="AZ2331" s="326"/>
      <c r="BA2331" s="175"/>
      <c r="BB2331" s="42"/>
      <c r="BC2331" s="431"/>
      <c r="BG2331" s="315"/>
      <c r="BH2331" s="42"/>
    </row>
    <row r="2332" spans="51:60" x14ac:dyDescent="0.2">
      <c r="AY2332" s="315"/>
      <c r="AZ2332" s="326"/>
      <c r="BA2332" s="175"/>
      <c r="BB2332" s="42"/>
      <c r="BC2332" s="431"/>
      <c r="BG2332" s="315"/>
      <c r="BH2332" s="42"/>
    </row>
    <row r="2333" spans="51:60" x14ac:dyDescent="0.2">
      <c r="AY2333" s="315"/>
      <c r="AZ2333" s="326"/>
      <c r="BA2333" s="175"/>
      <c r="BB2333" s="42"/>
      <c r="BC2333" s="431"/>
      <c r="BG2333" s="315"/>
      <c r="BH2333" s="42"/>
    </row>
    <row r="2334" spans="51:60" x14ac:dyDescent="0.2">
      <c r="AY2334" s="315"/>
      <c r="AZ2334" s="326"/>
      <c r="BA2334" s="175"/>
      <c r="BB2334" s="42"/>
      <c r="BC2334" s="431"/>
      <c r="BG2334" s="315"/>
      <c r="BH2334" s="42"/>
    </row>
    <row r="2335" spans="51:60" x14ac:dyDescent="0.2">
      <c r="AY2335" s="315"/>
      <c r="AZ2335" s="326"/>
      <c r="BA2335" s="175"/>
      <c r="BB2335" s="42"/>
      <c r="BC2335" s="431"/>
      <c r="BG2335" s="315"/>
      <c r="BH2335" s="42"/>
    </row>
    <row r="2336" spans="51:60" x14ac:dyDescent="0.2">
      <c r="AY2336" s="315"/>
      <c r="AZ2336" s="326"/>
      <c r="BA2336" s="175"/>
      <c r="BB2336" s="42"/>
      <c r="BC2336" s="431"/>
      <c r="BG2336" s="315"/>
      <c r="BH2336" s="42"/>
    </row>
    <row r="2337" spans="51:60" x14ac:dyDescent="0.2">
      <c r="AY2337" s="315"/>
      <c r="AZ2337" s="326"/>
      <c r="BA2337" s="175"/>
      <c r="BB2337" s="42"/>
      <c r="BC2337" s="431"/>
      <c r="BG2337" s="315"/>
      <c r="BH2337" s="42"/>
    </row>
    <row r="2338" spans="51:60" x14ac:dyDescent="0.2">
      <c r="AY2338" s="315"/>
      <c r="AZ2338" s="326"/>
      <c r="BA2338" s="175"/>
      <c r="BB2338" s="42"/>
      <c r="BC2338" s="431"/>
      <c r="BG2338" s="315"/>
      <c r="BH2338" s="42"/>
    </row>
    <row r="2339" spans="51:60" x14ac:dyDescent="0.2">
      <c r="AY2339" s="315"/>
      <c r="AZ2339" s="326"/>
      <c r="BA2339" s="175"/>
      <c r="BB2339" s="42"/>
      <c r="BC2339" s="431"/>
      <c r="BG2339" s="315"/>
      <c r="BH2339" s="42"/>
    </row>
    <row r="2340" spans="51:60" x14ac:dyDescent="0.2">
      <c r="AY2340" s="315"/>
      <c r="AZ2340" s="326"/>
      <c r="BA2340" s="175"/>
      <c r="BB2340" s="42"/>
      <c r="BC2340" s="431"/>
      <c r="BG2340" s="315"/>
      <c r="BH2340" s="42"/>
    </row>
    <row r="2341" spans="51:60" x14ac:dyDescent="0.2">
      <c r="AY2341" s="315"/>
      <c r="AZ2341" s="326"/>
      <c r="BA2341" s="175"/>
      <c r="BB2341" s="42"/>
      <c r="BC2341" s="431"/>
      <c r="BG2341" s="315"/>
      <c r="BH2341" s="42"/>
    </row>
    <row r="2342" spans="51:60" x14ac:dyDescent="0.2">
      <c r="AY2342" s="315"/>
      <c r="AZ2342" s="326"/>
      <c r="BA2342" s="175"/>
      <c r="BB2342" s="42"/>
      <c r="BC2342" s="431"/>
      <c r="BG2342" s="315"/>
      <c r="BH2342" s="42"/>
    </row>
    <row r="2343" spans="51:60" x14ac:dyDescent="0.2">
      <c r="AY2343" s="315"/>
      <c r="AZ2343" s="326"/>
      <c r="BA2343" s="175"/>
      <c r="BB2343" s="42"/>
      <c r="BC2343" s="431"/>
      <c r="BG2343" s="315"/>
      <c r="BH2343" s="42"/>
    </row>
    <row r="2344" spans="51:60" x14ac:dyDescent="0.2">
      <c r="AY2344" s="315"/>
      <c r="AZ2344" s="326"/>
      <c r="BA2344" s="175"/>
      <c r="BB2344" s="42"/>
      <c r="BC2344" s="431"/>
      <c r="BG2344" s="315"/>
      <c r="BH2344" s="42"/>
    </row>
    <row r="2345" spans="51:60" x14ac:dyDescent="0.2">
      <c r="AY2345" s="315"/>
      <c r="AZ2345" s="326"/>
      <c r="BA2345" s="175"/>
      <c r="BB2345" s="42"/>
      <c r="BC2345" s="431"/>
      <c r="BG2345" s="315"/>
      <c r="BH2345" s="42"/>
    </row>
    <row r="2346" spans="51:60" x14ac:dyDescent="0.2">
      <c r="AY2346" s="315"/>
      <c r="AZ2346" s="326"/>
      <c r="BA2346" s="175"/>
      <c r="BB2346" s="42"/>
      <c r="BC2346" s="431"/>
      <c r="BG2346" s="315"/>
      <c r="BH2346" s="42"/>
    </row>
    <row r="2347" spans="51:60" x14ac:dyDescent="0.2">
      <c r="AY2347" s="315"/>
      <c r="AZ2347" s="326"/>
      <c r="BA2347" s="175"/>
      <c r="BB2347" s="42"/>
      <c r="BC2347" s="431"/>
      <c r="BG2347" s="315"/>
      <c r="BH2347" s="42"/>
    </row>
    <row r="2348" spans="51:60" x14ac:dyDescent="0.2">
      <c r="AY2348" s="315"/>
      <c r="AZ2348" s="326"/>
      <c r="BA2348" s="175"/>
      <c r="BB2348" s="42"/>
      <c r="BC2348" s="431"/>
      <c r="BG2348" s="315"/>
      <c r="BH2348" s="42"/>
    </row>
    <row r="2349" spans="51:60" x14ac:dyDescent="0.2">
      <c r="AY2349" s="315"/>
      <c r="AZ2349" s="326"/>
      <c r="BA2349" s="175"/>
      <c r="BB2349" s="42"/>
      <c r="BC2349" s="431"/>
      <c r="BG2349" s="315"/>
      <c r="BH2349" s="42"/>
    </row>
    <row r="2350" spans="51:60" x14ac:dyDescent="0.2">
      <c r="AY2350" s="315"/>
      <c r="AZ2350" s="326"/>
      <c r="BA2350" s="175"/>
      <c r="BB2350" s="42"/>
      <c r="BC2350" s="431"/>
      <c r="BG2350" s="315"/>
      <c r="BH2350" s="42"/>
    </row>
    <row r="2351" spans="51:60" x14ac:dyDescent="0.2">
      <c r="AY2351" s="315"/>
      <c r="AZ2351" s="326"/>
      <c r="BA2351" s="175"/>
      <c r="BB2351" s="42"/>
      <c r="BC2351" s="431"/>
      <c r="BG2351" s="315"/>
      <c r="BH2351" s="42"/>
    </row>
    <row r="2352" spans="51:60" x14ac:dyDescent="0.2">
      <c r="AY2352" s="315"/>
      <c r="AZ2352" s="326"/>
      <c r="BA2352" s="175"/>
      <c r="BB2352" s="42"/>
      <c r="BC2352" s="431"/>
      <c r="BG2352" s="315"/>
      <c r="BH2352" s="42"/>
    </row>
    <row r="2353" spans="51:60" x14ac:dyDescent="0.2">
      <c r="AY2353" s="315"/>
      <c r="AZ2353" s="326"/>
      <c r="BA2353" s="175"/>
      <c r="BB2353" s="42"/>
      <c r="BC2353" s="431"/>
      <c r="BG2353" s="315"/>
      <c r="BH2353" s="42"/>
    </row>
    <row r="2354" spans="51:60" x14ac:dyDescent="0.2">
      <c r="AY2354" s="315"/>
      <c r="AZ2354" s="326"/>
      <c r="BA2354" s="175"/>
      <c r="BB2354" s="42"/>
      <c r="BC2354" s="431"/>
      <c r="BG2354" s="315"/>
      <c r="BH2354" s="42"/>
    </row>
    <row r="2355" spans="51:60" x14ac:dyDescent="0.2">
      <c r="AY2355" s="315"/>
      <c r="AZ2355" s="326"/>
      <c r="BA2355" s="175"/>
      <c r="BB2355" s="42"/>
      <c r="BC2355" s="431"/>
      <c r="BG2355" s="315"/>
      <c r="BH2355" s="42"/>
    </row>
    <row r="2356" spans="51:60" x14ac:dyDescent="0.2">
      <c r="AY2356" s="315"/>
      <c r="AZ2356" s="326"/>
      <c r="BA2356" s="175"/>
      <c r="BB2356" s="42"/>
      <c r="BC2356" s="431"/>
      <c r="BG2356" s="315"/>
      <c r="BH2356" s="42"/>
    </row>
    <row r="2357" spans="51:60" x14ac:dyDescent="0.2">
      <c r="AY2357" s="315"/>
      <c r="AZ2357" s="326"/>
      <c r="BA2357" s="175"/>
      <c r="BB2357" s="42"/>
      <c r="BC2357" s="431"/>
      <c r="BG2357" s="315"/>
      <c r="BH2357" s="42"/>
    </row>
    <row r="2358" spans="51:60" x14ac:dyDescent="0.2">
      <c r="AY2358" s="315"/>
      <c r="AZ2358" s="326"/>
      <c r="BA2358" s="175"/>
      <c r="BB2358" s="42"/>
      <c r="BC2358" s="431"/>
      <c r="BG2358" s="315"/>
      <c r="BH2358" s="42"/>
    </row>
    <row r="2359" spans="51:60" x14ac:dyDescent="0.2">
      <c r="AY2359" s="315"/>
      <c r="AZ2359" s="326"/>
      <c r="BA2359" s="175"/>
      <c r="BB2359" s="42"/>
      <c r="BC2359" s="431"/>
      <c r="BG2359" s="315"/>
      <c r="BH2359" s="42"/>
    </row>
    <row r="2360" spans="51:60" x14ac:dyDescent="0.2">
      <c r="AY2360" s="315"/>
      <c r="AZ2360" s="326"/>
      <c r="BA2360" s="175"/>
      <c r="BB2360" s="42"/>
      <c r="BC2360" s="431"/>
      <c r="BG2360" s="315"/>
      <c r="BH2360" s="42"/>
    </row>
    <row r="2361" spans="51:60" x14ac:dyDescent="0.2">
      <c r="AY2361" s="315"/>
      <c r="AZ2361" s="326"/>
      <c r="BA2361" s="175"/>
      <c r="BB2361" s="42"/>
      <c r="BC2361" s="431"/>
      <c r="BG2361" s="315"/>
      <c r="BH2361" s="42"/>
    </row>
    <row r="2362" spans="51:60" x14ac:dyDescent="0.2">
      <c r="AY2362" s="315"/>
      <c r="AZ2362" s="326"/>
      <c r="BA2362" s="175"/>
      <c r="BB2362" s="42"/>
      <c r="BC2362" s="431"/>
      <c r="BG2362" s="315"/>
      <c r="BH2362" s="42"/>
    </row>
    <row r="2363" spans="51:60" x14ac:dyDescent="0.2">
      <c r="AY2363" s="315"/>
      <c r="AZ2363" s="326"/>
      <c r="BA2363" s="175"/>
      <c r="BB2363" s="42"/>
      <c r="BC2363" s="431"/>
      <c r="BG2363" s="315"/>
      <c r="BH2363" s="42"/>
    </row>
    <row r="2364" spans="51:60" x14ac:dyDescent="0.2">
      <c r="AY2364" s="315"/>
      <c r="AZ2364" s="326"/>
      <c r="BA2364" s="175"/>
      <c r="BB2364" s="42"/>
      <c r="BC2364" s="431"/>
      <c r="BG2364" s="315"/>
      <c r="BH2364" s="42"/>
    </row>
    <row r="2365" spans="51:60" x14ac:dyDescent="0.2">
      <c r="AY2365" s="315"/>
      <c r="AZ2365" s="326"/>
      <c r="BA2365" s="175"/>
      <c r="BB2365" s="42"/>
      <c r="BC2365" s="431"/>
      <c r="BG2365" s="315"/>
      <c r="BH2365" s="42"/>
    </row>
    <row r="2366" spans="51:60" x14ac:dyDescent="0.2">
      <c r="AY2366" s="315"/>
      <c r="AZ2366" s="326"/>
      <c r="BA2366" s="175"/>
      <c r="BB2366" s="42"/>
      <c r="BC2366" s="431"/>
      <c r="BG2366" s="315"/>
      <c r="BH2366" s="42"/>
    </row>
    <row r="2367" spans="51:60" x14ac:dyDescent="0.2">
      <c r="AY2367" s="315"/>
      <c r="AZ2367" s="326"/>
      <c r="BA2367" s="175"/>
      <c r="BB2367" s="42"/>
      <c r="BC2367" s="431"/>
      <c r="BG2367" s="315"/>
      <c r="BH2367" s="42"/>
    </row>
    <row r="2368" spans="51:60" x14ac:dyDescent="0.2">
      <c r="AY2368" s="315"/>
      <c r="AZ2368" s="326"/>
      <c r="BA2368" s="175"/>
      <c r="BB2368" s="42"/>
      <c r="BC2368" s="431"/>
      <c r="BG2368" s="315"/>
      <c r="BH2368" s="42"/>
    </row>
    <row r="2369" spans="51:60" x14ac:dyDescent="0.2">
      <c r="AY2369" s="315"/>
      <c r="AZ2369" s="326"/>
      <c r="BA2369" s="175"/>
      <c r="BB2369" s="42"/>
      <c r="BC2369" s="431"/>
      <c r="BG2369" s="315"/>
      <c r="BH2369" s="42"/>
    </row>
    <row r="2370" spans="51:60" x14ac:dyDescent="0.2">
      <c r="AY2370" s="315"/>
      <c r="AZ2370" s="326"/>
      <c r="BA2370" s="175"/>
      <c r="BB2370" s="42"/>
      <c r="BC2370" s="431"/>
      <c r="BG2370" s="315"/>
      <c r="BH2370" s="42"/>
    </row>
    <row r="2371" spans="51:60" x14ac:dyDescent="0.2">
      <c r="AY2371" s="315"/>
      <c r="AZ2371" s="326"/>
      <c r="BA2371" s="175"/>
      <c r="BB2371" s="42"/>
      <c r="BC2371" s="431"/>
      <c r="BG2371" s="315"/>
      <c r="BH2371" s="42"/>
    </row>
    <row r="2372" spans="51:60" x14ac:dyDescent="0.2">
      <c r="AY2372" s="315"/>
      <c r="AZ2372" s="326"/>
      <c r="BA2372" s="175"/>
      <c r="BB2372" s="42"/>
      <c r="BC2372" s="431"/>
      <c r="BG2372" s="315"/>
      <c r="BH2372" s="42"/>
    </row>
    <row r="2373" spans="51:60" x14ac:dyDescent="0.2">
      <c r="AY2373" s="315"/>
      <c r="AZ2373" s="326"/>
      <c r="BA2373" s="175"/>
      <c r="BB2373" s="42"/>
      <c r="BC2373" s="431"/>
      <c r="BG2373" s="315"/>
      <c r="BH2373" s="42"/>
    </row>
    <row r="2374" spans="51:60" x14ac:dyDescent="0.2">
      <c r="AY2374" s="315"/>
      <c r="AZ2374" s="326"/>
      <c r="BA2374" s="175"/>
      <c r="BB2374" s="42"/>
      <c r="BC2374" s="431"/>
      <c r="BG2374" s="315"/>
      <c r="BH2374" s="42"/>
    </row>
    <row r="2375" spans="51:60" x14ac:dyDescent="0.2">
      <c r="AY2375" s="315"/>
      <c r="AZ2375" s="326"/>
      <c r="BA2375" s="175"/>
      <c r="BB2375" s="42"/>
      <c r="BC2375" s="431"/>
      <c r="BG2375" s="315"/>
      <c r="BH2375" s="42"/>
    </row>
    <row r="2376" spans="51:60" x14ac:dyDescent="0.2">
      <c r="AY2376" s="315"/>
      <c r="AZ2376" s="326"/>
      <c r="BA2376" s="175"/>
      <c r="BB2376" s="42"/>
      <c r="BC2376" s="431"/>
      <c r="BG2376" s="315"/>
      <c r="BH2376" s="42"/>
    </row>
    <row r="2377" spans="51:60" x14ac:dyDescent="0.2">
      <c r="AY2377" s="315"/>
      <c r="AZ2377" s="326"/>
      <c r="BA2377" s="175"/>
      <c r="BB2377" s="42"/>
      <c r="BC2377" s="431"/>
      <c r="BG2377" s="315"/>
      <c r="BH2377" s="42"/>
    </row>
    <row r="2378" spans="51:60" x14ac:dyDescent="0.2">
      <c r="AY2378" s="315"/>
      <c r="AZ2378" s="326"/>
      <c r="BA2378" s="175"/>
      <c r="BB2378" s="42"/>
      <c r="BC2378" s="431"/>
      <c r="BG2378" s="315"/>
      <c r="BH2378" s="42"/>
    </row>
    <row r="2379" spans="51:60" x14ac:dyDescent="0.2">
      <c r="AY2379" s="315"/>
      <c r="AZ2379" s="326"/>
      <c r="BA2379" s="175"/>
      <c r="BB2379" s="42"/>
      <c r="BC2379" s="431"/>
      <c r="BG2379" s="315"/>
      <c r="BH2379" s="42"/>
    </row>
    <row r="2380" spans="51:60" x14ac:dyDescent="0.2">
      <c r="AY2380" s="315"/>
      <c r="AZ2380" s="326"/>
      <c r="BA2380" s="175"/>
      <c r="BB2380" s="42"/>
      <c r="BC2380" s="431"/>
      <c r="BG2380" s="315"/>
      <c r="BH2380" s="42"/>
    </row>
    <row r="2381" spans="51:60" x14ac:dyDescent="0.2">
      <c r="AY2381" s="315"/>
      <c r="AZ2381" s="326"/>
      <c r="BA2381" s="175"/>
      <c r="BB2381" s="42"/>
      <c r="BC2381" s="431"/>
      <c r="BG2381" s="315"/>
      <c r="BH2381" s="42"/>
    </row>
    <row r="2382" spans="51:60" x14ac:dyDescent="0.2">
      <c r="AY2382" s="315"/>
      <c r="AZ2382" s="326"/>
      <c r="BA2382" s="175"/>
      <c r="BB2382" s="42"/>
      <c r="BC2382" s="431"/>
      <c r="BG2382" s="315"/>
      <c r="BH2382" s="42"/>
    </row>
    <row r="2383" spans="51:60" x14ac:dyDescent="0.2">
      <c r="AY2383" s="315"/>
      <c r="AZ2383" s="326"/>
      <c r="BA2383" s="175"/>
      <c r="BB2383" s="42"/>
      <c r="BC2383" s="431"/>
      <c r="BG2383" s="315"/>
      <c r="BH2383" s="42"/>
    </row>
    <row r="2384" spans="51:60" x14ac:dyDescent="0.2">
      <c r="AY2384" s="315"/>
      <c r="AZ2384" s="326"/>
      <c r="BA2384" s="175"/>
      <c r="BB2384" s="42"/>
      <c r="BC2384" s="431"/>
      <c r="BG2384" s="315"/>
      <c r="BH2384" s="42"/>
    </row>
    <row r="2385" spans="51:60" x14ac:dyDescent="0.2">
      <c r="AY2385" s="315"/>
      <c r="AZ2385" s="326"/>
      <c r="BA2385" s="175"/>
      <c r="BB2385" s="42"/>
      <c r="BC2385" s="431"/>
      <c r="BG2385" s="315"/>
      <c r="BH2385" s="42"/>
    </row>
    <row r="2386" spans="51:60" x14ac:dyDescent="0.2">
      <c r="AY2386" s="315"/>
      <c r="AZ2386" s="326"/>
      <c r="BA2386" s="175"/>
      <c r="BB2386" s="42"/>
      <c r="BC2386" s="431"/>
      <c r="BG2386" s="315"/>
      <c r="BH2386" s="42"/>
    </row>
    <row r="2387" spans="51:60" x14ac:dyDescent="0.2">
      <c r="AY2387" s="315"/>
      <c r="AZ2387" s="326"/>
      <c r="BA2387" s="175"/>
      <c r="BB2387" s="42"/>
      <c r="BC2387" s="431"/>
      <c r="BG2387" s="315"/>
      <c r="BH2387" s="42"/>
    </row>
    <row r="2388" spans="51:60" x14ac:dyDescent="0.2">
      <c r="AY2388" s="315"/>
      <c r="AZ2388" s="326"/>
      <c r="BA2388" s="175"/>
      <c r="BB2388" s="42"/>
      <c r="BC2388" s="431"/>
      <c r="BG2388" s="315"/>
      <c r="BH2388" s="42"/>
    </row>
    <row r="2389" spans="51:60" x14ac:dyDescent="0.2">
      <c r="AY2389" s="315"/>
      <c r="AZ2389" s="326"/>
      <c r="BA2389" s="175"/>
      <c r="BB2389" s="42"/>
      <c r="BC2389" s="431"/>
      <c r="BG2389" s="315"/>
      <c r="BH2389" s="42"/>
    </row>
    <row r="2390" spans="51:60" x14ac:dyDescent="0.2">
      <c r="AY2390" s="315"/>
      <c r="AZ2390" s="326"/>
      <c r="BA2390" s="175"/>
      <c r="BB2390" s="42"/>
      <c r="BC2390" s="431"/>
      <c r="BG2390" s="315"/>
      <c r="BH2390" s="42"/>
    </row>
    <row r="2391" spans="51:60" x14ac:dyDescent="0.2">
      <c r="AY2391" s="315"/>
      <c r="AZ2391" s="326"/>
      <c r="BA2391" s="175"/>
      <c r="BB2391" s="42"/>
      <c r="BC2391" s="431"/>
      <c r="BG2391" s="315"/>
      <c r="BH2391" s="42"/>
    </row>
    <row r="2392" spans="51:60" x14ac:dyDescent="0.2">
      <c r="AY2392" s="315"/>
      <c r="AZ2392" s="326"/>
      <c r="BA2392" s="175"/>
      <c r="BB2392" s="42"/>
      <c r="BC2392" s="431"/>
      <c r="BG2392" s="315"/>
      <c r="BH2392" s="42"/>
    </row>
    <row r="2393" spans="51:60" x14ac:dyDescent="0.2">
      <c r="AY2393" s="315"/>
      <c r="AZ2393" s="326"/>
      <c r="BA2393" s="175"/>
      <c r="BB2393" s="42"/>
      <c r="BC2393" s="431"/>
      <c r="BG2393" s="315"/>
      <c r="BH2393" s="42"/>
    </row>
    <row r="2394" spans="51:60" x14ac:dyDescent="0.2">
      <c r="AY2394" s="315"/>
      <c r="AZ2394" s="326"/>
      <c r="BA2394" s="175"/>
      <c r="BB2394" s="42"/>
      <c r="BC2394" s="431"/>
      <c r="BG2394" s="315"/>
      <c r="BH2394" s="42"/>
    </row>
    <row r="2395" spans="51:60" x14ac:dyDescent="0.2">
      <c r="AY2395" s="315"/>
      <c r="AZ2395" s="326"/>
      <c r="BA2395" s="175"/>
      <c r="BB2395" s="42"/>
      <c r="BC2395" s="431"/>
      <c r="BG2395" s="315"/>
      <c r="BH2395" s="42"/>
    </row>
    <row r="2396" spans="51:60" x14ac:dyDescent="0.2">
      <c r="AY2396" s="315"/>
      <c r="AZ2396" s="326"/>
      <c r="BA2396" s="175"/>
      <c r="BB2396" s="42"/>
      <c r="BC2396" s="431"/>
      <c r="BG2396" s="315"/>
      <c r="BH2396" s="42"/>
    </row>
    <row r="2397" spans="51:60" x14ac:dyDescent="0.2">
      <c r="AY2397" s="315"/>
      <c r="AZ2397" s="326"/>
      <c r="BA2397" s="175"/>
      <c r="BB2397" s="42"/>
      <c r="BC2397" s="431"/>
      <c r="BG2397" s="315"/>
      <c r="BH2397" s="42"/>
    </row>
    <row r="2398" spans="51:60" x14ac:dyDescent="0.2">
      <c r="AY2398" s="315"/>
      <c r="AZ2398" s="326"/>
      <c r="BA2398" s="175"/>
      <c r="BB2398" s="42"/>
      <c r="BC2398" s="431"/>
      <c r="BG2398" s="315"/>
      <c r="BH2398" s="42"/>
    </row>
    <row r="2399" spans="51:60" x14ac:dyDescent="0.2">
      <c r="AY2399" s="315"/>
      <c r="AZ2399" s="326"/>
      <c r="BA2399" s="175"/>
      <c r="BB2399" s="42"/>
      <c r="BC2399" s="431"/>
      <c r="BG2399" s="315"/>
      <c r="BH2399" s="42"/>
    </row>
    <row r="2400" spans="51:60" x14ac:dyDescent="0.2">
      <c r="AY2400" s="315"/>
      <c r="AZ2400" s="326"/>
      <c r="BA2400" s="175"/>
      <c r="BB2400" s="42"/>
      <c r="BC2400" s="431"/>
      <c r="BG2400" s="315"/>
      <c r="BH2400" s="42"/>
    </row>
    <row r="2401" spans="51:60" x14ac:dyDescent="0.2">
      <c r="AY2401" s="315"/>
      <c r="AZ2401" s="326"/>
      <c r="BA2401" s="175"/>
      <c r="BB2401" s="42"/>
      <c r="BC2401" s="431"/>
      <c r="BG2401" s="315"/>
      <c r="BH2401" s="42"/>
    </row>
    <row r="2402" spans="51:60" x14ac:dyDescent="0.2">
      <c r="AY2402" s="315"/>
      <c r="AZ2402" s="326"/>
      <c r="BA2402" s="175"/>
      <c r="BB2402" s="42"/>
      <c r="BC2402" s="431"/>
      <c r="BG2402" s="315"/>
      <c r="BH2402" s="42"/>
    </row>
    <row r="2403" spans="51:60" x14ac:dyDescent="0.2">
      <c r="AY2403" s="315"/>
      <c r="AZ2403" s="326"/>
      <c r="BA2403" s="175"/>
      <c r="BB2403" s="42"/>
      <c r="BC2403" s="431"/>
      <c r="BG2403" s="315"/>
      <c r="BH2403" s="42"/>
    </row>
    <row r="2404" spans="51:60" x14ac:dyDescent="0.2">
      <c r="AY2404" s="315"/>
      <c r="AZ2404" s="326"/>
      <c r="BA2404" s="175"/>
      <c r="BB2404" s="42"/>
      <c r="BC2404" s="431"/>
      <c r="BG2404" s="315"/>
      <c r="BH2404" s="42"/>
    </row>
    <row r="2405" spans="51:60" x14ac:dyDescent="0.2">
      <c r="AY2405" s="315"/>
      <c r="AZ2405" s="326"/>
      <c r="BA2405" s="175"/>
      <c r="BB2405" s="42"/>
      <c r="BC2405" s="431"/>
      <c r="BG2405" s="315"/>
      <c r="BH2405" s="42"/>
    </row>
    <row r="2406" spans="51:60" x14ac:dyDescent="0.2">
      <c r="AY2406" s="315"/>
      <c r="AZ2406" s="326"/>
      <c r="BA2406" s="175"/>
      <c r="BB2406" s="42"/>
      <c r="BC2406" s="431"/>
      <c r="BG2406" s="315"/>
      <c r="BH2406" s="42"/>
    </row>
    <row r="2407" spans="51:60" x14ac:dyDescent="0.2">
      <c r="AY2407" s="315"/>
      <c r="AZ2407" s="326"/>
      <c r="BA2407" s="175"/>
      <c r="BB2407" s="42"/>
      <c r="BC2407" s="431"/>
      <c r="BG2407" s="315"/>
      <c r="BH2407" s="42"/>
    </row>
    <row r="2408" spans="51:60" x14ac:dyDescent="0.2">
      <c r="AY2408" s="315"/>
      <c r="AZ2408" s="326"/>
      <c r="BA2408" s="175"/>
      <c r="BB2408" s="42"/>
      <c r="BC2408" s="431"/>
      <c r="BG2408" s="315"/>
      <c r="BH2408" s="42"/>
    </row>
    <row r="2409" spans="51:60" x14ac:dyDescent="0.2">
      <c r="AY2409" s="315"/>
      <c r="AZ2409" s="326"/>
      <c r="BA2409" s="175"/>
      <c r="BB2409" s="42"/>
      <c r="BC2409" s="431"/>
      <c r="BG2409" s="315"/>
      <c r="BH2409" s="42"/>
    </row>
    <row r="2410" spans="51:60" x14ac:dyDescent="0.2">
      <c r="AY2410" s="315"/>
      <c r="AZ2410" s="326"/>
      <c r="BA2410" s="175"/>
      <c r="BB2410" s="42"/>
      <c r="BC2410" s="431"/>
      <c r="BG2410" s="315"/>
      <c r="BH2410" s="42"/>
    </row>
    <row r="2411" spans="51:60" x14ac:dyDescent="0.2">
      <c r="AY2411" s="315"/>
      <c r="AZ2411" s="326"/>
      <c r="BA2411" s="175"/>
      <c r="BB2411" s="42"/>
      <c r="BC2411" s="431"/>
      <c r="BG2411" s="315"/>
      <c r="BH2411" s="42"/>
    </row>
    <row r="2412" spans="51:60" x14ac:dyDescent="0.2">
      <c r="AY2412" s="315"/>
      <c r="AZ2412" s="326"/>
      <c r="BA2412" s="175"/>
      <c r="BB2412" s="42"/>
      <c r="BC2412" s="431"/>
      <c r="BG2412" s="315"/>
      <c r="BH2412" s="42"/>
    </row>
    <row r="2413" spans="51:60" x14ac:dyDescent="0.2">
      <c r="AY2413" s="315"/>
      <c r="AZ2413" s="326"/>
      <c r="BA2413" s="175"/>
      <c r="BB2413" s="42"/>
      <c r="BC2413" s="431"/>
      <c r="BG2413" s="315"/>
      <c r="BH2413" s="42"/>
    </row>
    <row r="2414" spans="51:60" x14ac:dyDescent="0.2">
      <c r="AY2414" s="315"/>
      <c r="AZ2414" s="326"/>
      <c r="BA2414" s="175"/>
      <c r="BB2414" s="42"/>
      <c r="BC2414" s="431"/>
      <c r="BG2414" s="315"/>
      <c r="BH2414" s="42"/>
    </row>
    <row r="2415" spans="51:60" x14ac:dyDescent="0.2">
      <c r="AY2415" s="315"/>
      <c r="AZ2415" s="326"/>
      <c r="BA2415" s="175"/>
      <c r="BB2415" s="42"/>
      <c r="BC2415" s="431"/>
      <c r="BG2415" s="315"/>
      <c r="BH2415" s="42"/>
    </row>
    <row r="2416" spans="51:60" x14ac:dyDescent="0.2">
      <c r="AY2416" s="315"/>
      <c r="AZ2416" s="326"/>
      <c r="BA2416" s="175"/>
      <c r="BB2416" s="42"/>
      <c r="BC2416" s="431"/>
      <c r="BG2416" s="315"/>
      <c r="BH2416" s="42"/>
    </row>
    <row r="2417" spans="51:60" x14ac:dyDescent="0.2">
      <c r="AY2417" s="315"/>
      <c r="AZ2417" s="326"/>
      <c r="BA2417" s="175"/>
      <c r="BB2417" s="42"/>
      <c r="BC2417" s="431"/>
      <c r="BG2417" s="315"/>
      <c r="BH2417" s="42"/>
    </row>
    <row r="2418" spans="51:60" x14ac:dyDescent="0.2">
      <c r="AY2418" s="315"/>
      <c r="AZ2418" s="326"/>
      <c r="BA2418" s="175"/>
      <c r="BB2418" s="42"/>
      <c r="BC2418" s="431"/>
      <c r="BG2418" s="315"/>
      <c r="BH2418" s="42"/>
    </row>
    <row r="2419" spans="51:60" x14ac:dyDescent="0.2">
      <c r="AY2419" s="315"/>
      <c r="AZ2419" s="326"/>
      <c r="BA2419" s="175"/>
      <c r="BB2419" s="42"/>
      <c r="BC2419" s="431"/>
      <c r="BG2419" s="315"/>
      <c r="BH2419" s="42"/>
    </row>
    <row r="2420" spans="51:60" x14ac:dyDescent="0.2">
      <c r="AY2420" s="315"/>
      <c r="AZ2420" s="326"/>
      <c r="BA2420" s="175"/>
      <c r="BB2420" s="42"/>
      <c r="BC2420" s="431"/>
      <c r="BG2420" s="315"/>
      <c r="BH2420" s="42"/>
    </row>
    <row r="2421" spans="51:60" x14ac:dyDescent="0.2">
      <c r="AY2421" s="315"/>
      <c r="AZ2421" s="326"/>
      <c r="BA2421" s="175"/>
      <c r="BB2421" s="42"/>
      <c r="BC2421" s="431"/>
      <c r="BG2421" s="315"/>
      <c r="BH2421" s="42"/>
    </row>
    <row r="2422" spans="51:60" x14ac:dyDescent="0.2">
      <c r="AY2422" s="315"/>
      <c r="AZ2422" s="326"/>
      <c r="BA2422" s="175"/>
      <c r="BB2422" s="42"/>
      <c r="BC2422" s="431"/>
      <c r="BG2422" s="315"/>
      <c r="BH2422" s="42"/>
    </row>
    <row r="2423" spans="51:60" x14ac:dyDescent="0.2">
      <c r="AY2423" s="315"/>
      <c r="AZ2423" s="326"/>
      <c r="BA2423" s="175"/>
      <c r="BB2423" s="42"/>
      <c r="BC2423" s="431"/>
      <c r="BG2423" s="315"/>
      <c r="BH2423" s="42"/>
    </row>
    <row r="2424" spans="51:60" x14ac:dyDescent="0.2">
      <c r="AY2424" s="315"/>
      <c r="AZ2424" s="326"/>
      <c r="BA2424" s="175"/>
      <c r="BB2424" s="42"/>
      <c r="BC2424" s="431"/>
      <c r="BG2424" s="315"/>
      <c r="BH2424" s="42"/>
    </row>
    <row r="2425" spans="51:60" x14ac:dyDescent="0.2">
      <c r="AY2425" s="315"/>
      <c r="AZ2425" s="326"/>
      <c r="BA2425" s="175"/>
      <c r="BB2425" s="42"/>
      <c r="BC2425" s="431"/>
      <c r="BG2425" s="315"/>
      <c r="BH2425" s="42"/>
    </row>
    <row r="2426" spans="51:60" x14ac:dyDescent="0.2">
      <c r="AY2426" s="315"/>
      <c r="AZ2426" s="326"/>
      <c r="BA2426" s="175"/>
      <c r="BB2426" s="42"/>
      <c r="BC2426" s="431"/>
      <c r="BG2426" s="315"/>
      <c r="BH2426" s="42"/>
    </row>
    <row r="2427" spans="51:60" x14ac:dyDescent="0.2">
      <c r="AY2427" s="315"/>
      <c r="AZ2427" s="326"/>
      <c r="BA2427" s="175"/>
      <c r="BB2427" s="42"/>
      <c r="BC2427" s="431"/>
      <c r="BG2427" s="315"/>
      <c r="BH2427" s="42"/>
    </row>
    <row r="2428" spans="51:60" x14ac:dyDescent="0.2">
      <c r="AY2428" s="315"/>
      <c r="AZ2428" s="326"/>
      <c r="BA2428" s="175"/>
      <c r="BB2428" s="42"/>
      <c r="BC2428" s="431"/>
      <c r="BG2428" s="315"/>
      <c r="BH2428" s="42"/>
    </row>
    <row r="2429" spans="51:60" x14ac:dyDescent="0.2">
      <c r="AY2429" s="315"/>
      <c r="AZ2429" s="326"/>
      <c r="BA2429" s="175"/>
      <c r="BB2429" s="42"/>
      <c r="BC2429" s="431"/>
      <c r="BG2429" s="315"/>
      <c r="BH2429" s="42"/>
    </row>
    <row r="2430" spans="51:60" x14ac:dyDescent="0.2">
      <c r="AY2430" s="315"/>
      <c r="AZ2430" s="326"/>
      <c r="BA2430" s="175"/>
      <c r="BB2430" s="42"/>
      <c r="BC2430" s="431"/>
      <c r="BG2430" s="315"/>
      <c r="BH2430" s="42"/>
    </row>
    <row r="2431" spans="51:60" x14ac:dyDescent="0.2">
      <c r="AY2431" s="315"/>
      <c r="AZ2431" s="326"/>
      <c r="BA2431" s="175"/>
      <c r="BB2431" s="42"/>
      <c r="BC2431" s="431"/>
      <c r="BG2431" s="315"/>
      <c r="BH2431" s="42"/>
    </row>
    <row r="2432" spans="51:60" x14ac:dyDescent="0.2">
      <c r="AY2432" s="315"/>
      <c r="AZ2432" s="326"/>
      <c r="BA2432" s="175"/>
      <c r="BB2432" s="42"/>
      <c r="BC2432" s="431"/>
      <c r="BG2432" s="315"/>
      <c r="BH2432" s="42"/>
    </row>
    <row r="2433" spans="51:60" x14ac:dyDescent="0.2">
      <c r="AY2433" s="315"/>
      <c r="AZ2433" s="326"/>
      <c r="BA2433" s="175"/>
      <c r="BB2433" s="42"/>
      <c r="BC2433" s="431"/>
      <c r="BG2433" s="315"/>
      <c r="BH2433" s="42"/>
    </row>
    <row r="2434" spans="51:60" x14ac:dyDescent="0.2">
      <c r="AY2434" s="315"/>
      <c r="AZ2434" s="326"/>
      <c r="BA2434" s="175"/>
      <c r="BB2434" s="42"/>
      <c r="BC2434" s="431"/>
      <c r="BG2434" s="315"/>
      <c r="BH2434" s="42"/>
    </row>
    <row r="2435" spans="51:60" x14ac:dyDescent="0.2">
      <c r="AY2435" s="315"/>
      <c r="AZ2435" s="326"/>
      <c r="BA2435" s="175"/>
      <c r="BB2435" s="42"/>
      <c r="BC2435" s="431"/>
      <c r="BG2435" s="315"/>
      <c r="BH2435" s="42"/>
    </row>
    <row r="2436" spans="51:60" x14ac:dyDescent="0.2">
      <c r="AY2436" s="315"/>
      <c r="AZ2436" s="326"/>
      <c r="BA2436" s="175"/>
      <c r="BB2436" s="42"/>
      <c r="BC2436" s="431"/>
      <c r="BG2436" s="315"/>
      <c r="BH2436" s="42"/>
    </row>
    <row r="2437" spans="51:60" x14ac:dyDescent="0.2">
      <c r="AY2437" s="315"/>
      <c r="AZ2437" s="326"/>
      <c r="BA2437" s="175"/>
      <c r="BB2437" s="42"/>
      <c r="BC2437" s="431"/>
      <c r="BG2437" s="315"/>
      <c r="BH2437" s="42"/>
    </row>
    <row r="2438" spans="51:60" x14ac:dyDescent="0.2">
      <c r="AY2438" s="315"/>
      <c r="AZ2438" s="326"/>
      <c r="BA2438" s="175"/>
      <c r="BB2438" s="42"/>
      <c r="BC2438" s="431"/>
      <c r="BG2438" s="315"/>
      <c r="BH2438" s="42"/>
    </row>
    <row r="2439" spans="51:60" x14ac:dyDescent="0.2">
      <c r="AY2439" s="315"/>
      <c r="AZ2439" s="326"/>
      <c r="BA2439" s="175"/>
      <c r="BB2439" s="42"/>
      <c r="BC2439" s="431"/>
      <c r="BG2439" s="315"/>
      <c r="BH2439" s="42"/>
    </row>
    <row r="2440" spans="51:60" x14ac:dyDescent="0.2">
      <c r="AY2440" s="315"/>
      <c r="AZ2440" s="326"/>
      <c r="BA2440" s="175"/>
      <c r="BB2440" s="42"/>
      <c r="BC2440" s="431"/>
      <c r="BG2440" s="315"/>
      <c r="BH2440" s="42"/>
    </row>
    <row r="2441" spans="51:60" x14ac:dyDescent="0.2">
      <c r="AY2441" s="315"/>
      <c r="AZ2441" s="326"/>
      <c r="BA2441" s="175"/>
      <c r="BB2441" s="42"/>
      <c r="BC2441" s="431"/>
      <c r="BG2441" s="315"/>
      <c r="BH2441" s="42"/>
    </row>
    <row r="2442" spans="51:60" x14ac:dyDescent="0.2">
      <c r="AY2442" s="315"/>
      <c r="AZ2442" s="326"/>
      <c r="BA2442" s="175"/>
      <c r="BB2442" s="42"/>
      <c r="BC2442" s="431"/>
      <c r="BG2442" s="315"/>
      <c r="BH2442" s="42"/>
    </row>
    <row r="2443" spans="51:60" x14ac:dyDescent="0.2">
      <c r="AY2443" s="315"/>
      <c r="AZ2443" s="326"/>
      <c r="BA2443" s="175"/>
      <c r="BB2443" s="42"/>
      <c r="BC2443" s="431"/>
      <c r="BG2443" s="315"/>
      <c r="BH2443" s="42"/>
    </row>
    <row r="2444" spans="51:60" x14ac:dyDescent="0.2">
      <c r="AY2444" s="315"/>
      <c r="AZ2444" s="326"/>
      <c r="BA2444" s="175"/>
      <c r="BB2444" s="42"/>
      <c r="BC2444" s="431"/>
      <c r="BG2444" s="315"/>
      <c r="BH2444" s="42"/>
    </row>
    <row r="2445" spans="51:60" x14ac:dyDescent="0.2">
      <c r="AY2445" s="315"/>
      <c r="AZ2445" s="326"/>
      <c r="BA2445" s="175"/>
      <c r="BB2445" s="42"/>
      <c r="BC2445" s="431"/>
      <c r="BG2445" s="315"/>
      <c r="BH2445" s="42"/>
    </row>
    <row r="2446" spans="51:60" x14ac:dyDescent="0.2">
      <c r="AY2446" s="315"/>
      <c r="AZ2446" s="326"/>
      <c r="BA2446" s="175"/>
      <c r="BB2446" s="42"/>
      <c r="BC2446" s="431"/>
      <c r="BG2446" s="315"/>
      <c r="BH2446" s="42"/>
    </row>
    <row r="2447" spans="51:60" x14ac:dyDescent="0.2">
      <c r="AY2447" s="315"/>
      <c r="AZ2447" s="326"/>
      <c r="BA2447" s="175"/>
      <c r="BB2447" s="42"/>
      <c r="BC2447" s="431"/>
      <c r="BG2447" s="315"/>
      <c r="BH2447" s="42"/>
    </row>
    <row r="2448" spans="51:60" x14ac:dyDescent="0.2">
      <c r="AY2448" s="315"/>
      <c r="AZ2448" s="326"/>
      <c r="BA2448" s="175"/>
      <c r="BB2448" s="42"/>
      <c r="BC2448" s="431"/>
      <c r="BG2448" s="315"/>
      <c r="BH2448" s="42"/>
    </row>
    <row r="2449" spans="51:60" x14ac:dyDescent="0.2">
      <c r="AY2449" s="315"/>
      <c r="AZ2449" s="326"/>
      <c r="BA2449" s="175"/>
      <c r="BB2449" s="42"/>
      <c r="BC2449" s="431"/>
      <c r="BG2449" s="315"/>
      <c r="BH2449" s="42"/>
    </row>
    <row r="2450" spans="51:60" x14ac:dyDescent="0.2">
      <c r="AY2450" s="315"/>
      <c r="AZ2450" s="326"/>
      <c r="BA2450" s="175"/>
      <c r="BB2450" s="42"/>
      <c r="BC2450" s="431"/>
      <c r="BG2450" s="315"/>
      <c r="BH2450" s="42"/>
    </row>
    <row r="2451" spans="51:60" x14ac:dyDescent="0.2">
      <c r="AY2451" s="315"/>
      <c r="AZ2451" s="326"/>
      <c r="BA2451" s="175"/>
      <c r="BB2451" s="42"/>
      <c r="BC2451" s="431"/>
      <c r="BG2451" s="315"/>
      <c r="BH2451" s="42"/>
    </row>
    <row r="2452" spans="51:60" x14ac:dyDescent="0.2">
      <c r="AY2452" s="315"/>
      <c r="AZ2452" s="326"/>
      <c r="BA2452" s="175"/>
      <c r="BB2452" s="42"/>
      <c r="BC2452" s="431"/>
      <c r="BG2452" s="315"/>
      <c r="BH2452" s="42"/>
    </row>
    <row r="2453" spans="51:60" x14ac:dyDescent="0.2">
      <c r="AY2453" s="315"/>
      <c r="AZ2453" s="326"/>
      <c r="BA2453" s="175"/>
      <c r="BB2453" s="42"/>
      <c r="BC2453" s="431"/>
      <c r="BG2453" s="315"/>
      <c r="BH2453" s="42"/>
    </row>
    <row r="2454" spans="51:60" x14ac:dyDescent="0.2">
      <c r="AY2454" s="315"/>
      <c r="AZ2454" s="326"/>
      <c r="BA2454" s="175"/>
      <c r="BB2454" s="42"/>
      <c r="BC2454" s="431"/>
      <c r="BG2454" s="315"/>
      <c r="BH2454" s="42"/>
    </row>
    <row r="2455" spans="51:60" x14ac:dyDescent="0.2">
      <c r="AY2455" s="315"/>
      <c r="AZ2455" s="326"/>
      <c r="BA2455" s="175"/>
      <c r="BB2455" s="42"/>
      <c r="BC2455" s="431"/>
      <c r="BG2455" s="315"/>
      <c r="BH2455" s="42"/>
    </row>
    <row r="2456" spans="51:60" x14ac:dyDescent="0.2">
      <c r="AY2456" s="315"/>
      <c r="AZ2456" s="326"/>
      <c r="BA2456" s="175"/>
      <c r="BB2456" s="42"/>
      <c r="BC2456" s="431"/>
      <c r="BG2456" s="315"/>
      <c r="BH2456" s="42"/>
    </row>
    <row r="2457" spans="51:60" x14ac:dyDescent="0.2">
      <c r="AY2457" s="315"/>
      <c r="AZ2457" s="326"/>
      <c r="BA2457" s="175"/>
      <c r="BB2457" s="42"/>
      <c r="BC2457" s="431"/>
      <c r="BG2457" s="315"/>
      <c r="BH2457" s="42"/>
    </row>
    <row r="2458" spans="51:60" x14ac:dyDescent="0.2">
      <c r="AY2458" s="315"/>
      <c r="AZ2458" s="326"/>
      <c r="BA2458" s="175"/>
      <c r="BB2458" s="42"/>
      <c r="BC2458" s="431"/>
      <c r="BG2458" s="315"/>
      <c r="BH2458" s="42"/>
    </row>
    <row r="2459" spans="51:60" x14ac:dyDescent="0.2">
      <c r="AY2459" s="315"/>
      <c r="AZ2459" s="326"/>
      <c r="BA2459" s="175"/>
      <c r="BB2459" s="42"/>
      <c r="BC2459" s="431"/>
      <c r="BG2459" s="315"/>
      <c r="BH2459" s="42"/>
    </row>
    <row r="2460" spans="51:60" x14ac:dyDescent="0.2">
      <c r="AY2460" s="315"/>
      <c r="AZ2460" s="326"/>
      <c r="BA2460" s="175"/>
      <c r="BB2460" s="42"/>
      <c r="BC2460" s="431"/>
      <c r="BG2460" s="315"/>
      <c r="BH2460" s="42"/>
    </row>
    <row r="2461" spans="51:60" x14ac:dyDescent="0.2">
      <c r="AY2461" s="315"/>
      <c r="AZ2461" s="326"/>
      <c r="BA2461" s="175"/>
      <c r="BB2461" s="42"/>
      <c r="BC2461" s="431"/>
      <c r="BG2461" s="315"/>
      <c r="BH2461" s="42"/>
    </row>
    <row r="2462" spans="51:60" x14ac:dyDescent="0.2">
      <c r="AY2462" s="315"/>
      <c r="AZ2462" s="326"/>
      <c r="BA2462" s="175"/>
      <c r="BB2462" s="42"/>
      <c r="BC2462" s="431"/>
      <c r="BG2462" s="315"/>
      <c r="BH2462" s="42"/>
    </row>
    <row r="2463" spans="51:60" x14ac:dyDescent="0.2">
      <c r="AY2463" s="315"/>
      <c r="AZ2463" s="326"/>
      <c r="BA2463" s="175"/>
      <c r="BB2463" s="42"/>
      <c r="BC2463" s="431"/>
      <c r="BG2463" s="315"/>
      <c r="BH2463" s="42"/>
    </row>
    <row r="2464" spans="51:60" x14ac:dyDescent="0.2">
      <c r="AY2464" s="315"/>
      <c r="AZ2464" s="326"/>
      <c r="BA2464" s="175"/>
      <c r="BB2464" s="42"/>
      <c r="BC2464" s="431"/>
      <c r="BG2464" s="315"/>
      <c r="BH2464" s="42"/>
    </row>
    <row r="2465" spans="51:60" x14ac:dyDescent="0.2">
      <c r="AY2465" s="315"/>
      <c r="AZ2465" s="326"/>
      <c r="BA2465" s="175"/>
      <c r="BB2465" s="42"/>
      <c r="BC2465" s="431"/>
      <c r="BG2465" s="315"/>
      <c r="BH2465" s="42"/>
    </row>
    <row r="2466" spans="51:60" x14ac:dyDescent="0.2">
      <c r="AY2466" s="315"/>
      <c r="AZ2466" s="326"/>
      <c r="BA2466" s="175"/>
      <c r="BB2466" s="42"/>
      <c r="BC2466" s="431"/>
      <c r="BG2466" s="315"/>
      <c r="BH2466" s="42"/>
    </row>
    <row r="2467" spans="51:60" x14ac:dyDescent="0.2">
      <c r="AY2467" s="315"/>
      <c r="AZ2467" s="326"/>
      <c r="BA2467" s="175"/>
      <c r="BB2467" s="42"/>
      <c r="BC2467" s="431"/>
      <c r="BG2467" s="315"/>
      <c r="BH2467" s="42"/>
    </row>
    <row r="2468" spans="51:60" x14ac:dyDescent="0.2">
      <c r="AY2468" s="315"/>
      <c r="AZ2468" s="326"/>
      <c r="BA2468" s="175"/>
      <c r="BB2468" s="42"/>
      <c r="BC2468" s="431"/>
      <c r="BG2468" s="315"/>
      <c r="BH2468" s="42"/>
    </row>
    <row r="2469" spans="51:60" x14ac:dyDescent="0.2">
      <c r="AY2469" s="315"/>
      <c r="AZ2469" s="326"/>
      <c r="BA2469" s="175"/>
      <c r="BB2469" s="42"/>
      <c r="BC2469" s="431"/>
      <c r="BG2469" s="315"/>
      <c r="BH2469" s="42"/>
    </row>
    <row r="2470" spans="51:60" x14ac:dyDescent="0.2">
      <c r="AY2470" s="315"/>
      <c r="AZ2470" s="326"/>
      <c r="BA2470" s="175"/>
      <c r="BB2470" s="42"/>
      <c r="BC2470" s="431"/>
      <c r="BG2470" s="315"/>
      <c r="BH2470" s="42"/>
    </row>
    <row r="2471" spans="51:60" x14ac:dyDescent="0.2">
      <c r="AY2471" s="315"/>
      <c r="AZ2471" s="326"/>
      <c r="BA2471" s="175"/>
      <c r="BB2471" s="42"/>
      <c r="BC2471" s="431"/>
      <c r="BG2471" s="315"/>
      <c r="BH2471" s="42"/>
    </row>
    <row r="2472" spans="51:60" x14ac:dyDescent="0.2">
      <c r="AY2472" s="315"/>
      <c r="AZ2472" s="326"/>
      <c r="BA2472" s="175"/>
      <c r="BB2472" s="42"/>
      <c r="BC2472" s="431"/>
      <c r="BG2472" s="315"/>
      <c r="BH2472" s="42"/>
    </row>
    <row r="2473" spans="51:60" x14ac:dyDescent="0.2">
      <c r="AY2473" s="315"/>
      <c r="AZ2473" s="326"/>
      <c r="BA2473" s="175"/>
      <c r="BB2473" s="42"/>
      <c r="BC2473" s="431"/>
      <c r="BG2473" s="315"/>
      <c r="BH2473" s="42"/>
    </row>
    <row r="2474" spans="51:60" x14ac:dyDescent="0.2">
      <c r="AY2474" s="315"/>
      <c r="AZ2474" s="326"/>
      <c r="BA2474" s="175"/>
      <c r="BB2474" s="42"/>
      <c r="BC2474" s="431"/>
      <c r="BG2474" s="315"/>
      <c r="BH2474" s="42"/>
    </row>
    <row r="2475" spans="51:60" x14ac:dyDescent="0.2">
      <c r="AY2475" s="315"/>
      <c r="AZ2475" s="326"/>
      <c r="BA2475" s="175"/>
      <c r="BB2475" s="42"/>
      <c r="BC2475" s="431"/>
      <c r="BG2475" s="315"/>
      <c r="BH2475" s="42"/>
    </row>
    <row r="2476" spans="51:60" x14ac:dyDescent="0.2">
      <c r="AY2476" s="315"/>
      <c r="AZ2476" s="326"/>
      <c r="BA2476" s="175"/>
      <c r="BB2476" s="42"/>
      <c r="BC2476" s="431"/>
      <c r="BG2476" s="315"/>
      <c r="BH2476" s="42"/>
    </row>
    <row r="2477" spans="51:60" x14ac:dyDescent="0.2">
      <c r="AY2477" s="315"/>
      <c r="AZ2477" s="326"/>
      <c r="BA2477" s="175"/>
      <c r="BB2477" s="42"/>
      <c r="BC2477" s="431"/>
      <c r="BG2477" s="315"/>
      <c r="BH2477" s="42"/>
    </row>
    <row r="2478" spans="51:60" x14ac:dyDescent="0.2">
      <c r="AY2478" s="315"/>
      <c r="AZ2478" s="326"/>
      <c r="BA2478" s="175"/>
      <c r="BB2478" s="42"/>
      <c r="BC2478" s="431"/>
      <c r="BG2478" s="315"/>
      <c r="BH2478" s="42"/>
    </row>
    <row r="2479" spans="51:60" x14ac:dyDescent="0.2">
      <c r="AY2479" s="315"/>
      <c r="AZ2479" s="326"/>
      <c r="BA2479" s="175"/>
      <c r="BB2479" s="42"/>
      <c r="BC2479" s="431"/>
      <c r="BG2479" s="315"/>
      <c r="BH2479" s="42"/>
    </row>
    <row r="2480" spans="51:60" x14ac:dyDescent="0.2">
      <c r="AY2480" s="315"/>
      <c r="AZ2480" s="326"/>
      <c r="BA2480" s="175"/>
      <c r="BB2480" s="42"/>
      <c r="BC2480" s="431"/>
      <c r="BG2480" s="315"/>
      <c r="BH2480" s="42"/>
    </row>
    <row r="2481" spans="51:60" x14ac:dyDescent="0.2">
      <c r="AY2481" s="315"/>
      <c r="AZ2481" s="326"/>
      <c r="BA2481" s="175"/>
      <c r="BB2481" s="42"/>
      <c r="BC2481" s="431"/>
      <c r="BG2481" s="315"/>
      <c r="BH2481" s="42"/>
    </row>
    <row r="2482" spans="51:60" x14ac:dyDescent="0.2">
      <c r="AY2482" s="315"/>
      <c r="AZ2482" s="326"/>
      <c r="BA2482" s="175"/>
      <c r="BB2482" s="42"/>
      <c r="BC2482" s="431"/>
      <c r="BG2482" s="315"/>
      <c r="BH2482" s="42"/>
    </row>
    <row r="2483" spans="51:60" x14ac:dyDescent="0.2">
      <c r="AY2483" s="315"/>
      <c r="AZ2483" s="326"/>
      <c r="BA2483" s="175"/>
      <c r="BB2483" s="42"/>
      <c r="BC2483" s="431"/>
      <c r="BG2483" s="315"/>
      <c r="BH2483" s="42"/>
    </row>
    <row r="2484" spans="51:60" x14ac:dyDescent="0.2">
      <c r="AY2484" s="315"/>
      <c r="AZ2484" s="326"/>
      <c r="BA2484" s="175"/>
      <c r="BB2484" s="42"/>
      <c r="BC2484" s="431"/>
      <c r="BG2484" s="315"/>
      <c r="BH2484" s="42"/>
    </row>
    <row r="2485" spans="51:60" x14ac:dyDescent="0.2">
      <c r="AY2485" s="315"/>
      <c r="AZ2485" s="326"/>
      <c r="BA2485" s="175"/>
      <c r="BB2485" s="42"/>
      <c r="BC2485" s="431"/>
      <c r="BG2485" s="315"/>
      <c r="BH2485" s="42"/>
    </row>
    <row r="2486" spans="51:60" x14ac:dyDescent="0.2">
      <c r="AY2486" s="315"/>
      <c r="AZ2486" s="326"/>
      <c r="BA2486" s="175"/>
      <c r="BB2486" s="42"/>
      <c r="BC2486" s="431"/>
      <c r="BG2486" s="315"/>
      <c r="BH2486" s="42"/>
    </row>
    <row r="2487" spans="51:60" x14ac:dyDescent="0.2">
      <c r="AY2487" s="315"/>
      <c r="AZ2487" s="326"/>
      <c r="BA2487" s="175"/>
      <c r="BB2487" s="42"/>
      <c r="BC2487" s="431"/>
      <c r="BG2487" s="315"/>
      <c r="BH2487" s="42"/>
    </row>
    <row r="2488" spans="51:60" x14ac:dyDescent="0.2">
      <c r="AY2488" s="315"/>
      <c r="AZ2488" s="326"/>
      <c r="BA2488" s="175"/>
      <c r="BB2488" s="42"/>
      <c r="BC2488" s="431"/>
      <c r="BG2488" s="315"/>
      <c r="BH2488" s="42"/>
    </row>
    <row r="2489" spans="51:60" x14ac:dyDescent="0.2">
      <c r="AY2489" s="315"/>
      <c r="AZ2489" s="326"/>
      <c r="BA2489" s="175"/>
      <c r="BB2489" s="42"/>
      <c r="BC2489" s="431"/>
      <c r="BG2489" s="315"/>
      <c r="BH2489" s="42"/>
    </row>
    <row r="2490" spans="51:60" x14ac:dyDescent="0.2">
      <c r="AY2490" s="315"/>
      <c r="AZ2490" s="326"/>
      <c r="BA2490" s="175"/>
      <c r="BB2490" s="42"/>
      <c r="BC2490" s="431"/>
      <c r="BG2490" s="315"/>
      <c r="BH2490" s="42"/>
    </row>
    <row r="2491" spans="51:60" x14ac:dyDescent="0.2">
      <c r="AY2491" s="315"/>
      <c r="AZ2491" s="326"/>
      <c r="BA2491" s="175"/>
      <c r="BB2491" s="42"/>
      <c r="BC2491" s="431"/>
      <c r="BG2491" s="315"/>
      <c r="BH2491" s="42"/>
    </row>
    <row r="2492" spans="51:60" x14ac:dyDescent="0.2">
      <c r="AY2492" s="315"/>
      <c r="AZ2492" s="326"/>
      <c r="BA2492" s="175"/>
      <c r="BB2492" s="42"/>
      <c r="BC2492" s="431"/>
      <c r="BG2492" s="315"/>
      <c r="BH2492" s="42"/>
    </row>
    <row r="2493" spans="51:60" x14ac:dyDescent="0.2">
      <c r="AY2493" s="315"/>
      <c r="AZ2493" s="326"/>
      <c r="BA2493" s="175"/>
      <c r="BB2493" s="42"/>
      <c r="BC2493" s="431"/>
      <c r="BG2493" s="315"/>
      <c r="BH2493" s="42"/>
    </row>
    <row r="2494" spans="51:60" x14ac:dyDescent="0.2">
      <c r="AY2494" s="315"/>
      <c r="AZ2494" s="326"/>
      <c r="BA2494" s="175"/>
      <c r="BB2494" s="42"/>
      <c r="BC2494" s="431"/>
      <c r="BG2494" s="315"/>
      <c r="BH2494" s="42"/>
    </row>
    <row r="2495" spans="51:60" x14ac:dyDescent="0.2">
      <c r="AY2495" s="315"/>
      <c r="AZ2495" s="326"/>
      <c r="BA2495" s="175"/>
      <c r="BB2495" s="42"/>
      <c r="BC2495" s="431"/>
      <c r="BG2495" s="315"/>
      <c r="BH2495" s="42"/>
    </row>
    <row r="2496" spans="51:60" x14ac:dyDescent="0.2">
      <c r="AY2496" s="315"/>
      <c r="AZ2496" s="326"/>
      <c r="BA2496" s="175"/>
      <c r="BB2496" s="42"/>
      <c r="BC2496" s="431"/>
      <c r="BG2496" s="315"/>
      <c r="BH2496" s="42"/>
    </row>
    <row r="2497" spans="51:60" x14ac:dyDescent="0.2">
      <c r="AY2497" s="315"/>
      <c r="AZ2497" s="326"/>
      <c r="BA2497" s="175"/>
      <c r="BB2497" s="42"/>
      <c r="BC2497" s="431"/>
      <c r="BG2497" s="315"/>
      <c r="BH2497" s="42"/>
    </row>
    <row r="2498" spans="51:60" x14ac:dyDescent="0.2">
      <c r="AY2498" s="315"/>
      <c r="AZ2498" s="326"/>
      <c r="BA2498" s="175"/>
      <c r="BB2498" s="42"/>
      <c r="BC2498" s="431"/>
      <c r="BG2498" s="315"/>
      <c r="BH2498" s="42"/>
    </row>
    <row r="2499" spans="51:60" x14ac:dyDescent="0.2">
      <c r="AY2499" s="315"/>
      <c r="AZ2499" s="326"/>
      <c r="BA2499" s="175"/>
      <c r="BB2499" s="42"/>
      <c r="BC2499" s="431"/>
      <c r="BG2499" s="315"/>
      <c r="BH2499" s="42"/>
    </row>
    <row r="2500" spans="51:60" x14ac:dyDescent="0.2">
      <c r="AY2500" s="315"/>
      <c r="AZ2500" s="326"/>
      <c r="BA2500" s="175"/>
      <c r="BB2500" s="42"/>
      <c r="BC2500" s="431"/>
      <c r="BG2500" s="315"/>
      <c r="BH2500" s="42"/>
    </row>
    <row r="2501" spans="51:60" x14ac:dyDescent="0.2">
      <c r="AY2501" s="315"/>
      <c r="AZ2501" s="326"/>
      <c r="BA2501" s="175"/>
      <c r="BB2501" s="42"/>
      <c r="BC2501" s="431"/>
      <c r="BG2501" s="315"/>
      <c r="BH2501" s="42"/>
    </row>
    <row r="2502" spans="51:60" x14ac:dyDescent="0.2">
      <c r="AY2502" s="315"/>
      <c r="AZ2502" s="326"/>
      <c r="BA2502" s="175"/>
      <c r="BB2502" s="42"/>
      <c r="BC2502" s="431"/>
      <c r="BG2502" s="315"/>
      <c r="BH2502" s="42"/>
    </row>
    <row r="2503" spans="51:60" x14ac:dyDescent="0.2">
      <c r="AY2503" s="315"/>
      <c r="AZ2503" s="326"/>
      <c r="BA2503" s="175"/>
      <c r="BB2503" s="42"/>
      <c r="BC2503" s="431"/>
      <c r="BG2503" s="315"/>
      <c r="BH2503" s="42"/>
    </row>
    <row r="2504" spans="51:60" x14ac:dyDescent="0.2">
      <c r="AY2504" s="315"/>
      <c r="AZ2504" s="326"/>
      <c r="BA2504" s="175"/>
      <c r="BB2504" s="42"/>
      <c r="BC2504" s="431"/>
      <c r="BG2504" s="315"/>
      <c r="BH2504" s="42"/>
    </row>
    <row r="2505" spans="51:60" x14ac:dyDescent="0.2">
      <c r="AY2505" s="315"/>
      <c r="AZ2505" s="326"/>
      <c r="BA2505" s="175"/>
      <c r="BB2505" s="42"/>
      <c r="BC2505" s="431"/>
      <c r="BG2505" s="315"/>
      <c r="BH2505" s="42"/>
    </row>
    <row r="2506" spans="51:60" x14ac:dyDescent="0.2">
      <c r="AY2506" s="315"/>
      <c r="AZ2506" s="326"/>
      <c r="BA2506" s="175"/>
      <c r="BB2506" s="42"/>
      <c r="BC2506" s="431"/>
      <c r="BG2506" s="315"/>
      <c r="BH2506" s="42"/>
    </row>
    <row r="2507" spans="51:60" x14ac:dyDescent="0.2">
      <c r="AY2507" s="315"/>
      <c r="AZ2507" s="326"/>
      <c r="BA2507" s="175"/>
      <c r="BB2507" s="42"/>
      <c r="BC2507" s="431"/>
      <c r="BG2507" s="315"/>
      <c r="BH2507" s="42"/>
    </row>
    <row r="2508" spans="51:60" x14ac:dyDescent="0.2">
      <c r="AY2508" s="315"/>
      <c r="AZ2508" s="326"/>
      <c r="BA2508" s="175"/>
      <c r="BB2508" s="42"/>
      <c r="BC2508" s="431"/>
      <c r="BG2508" s="315"/>
      <c r="BH2508" s="42"/>
    </row>
    <row r="2509" spans="51:60" x14ac:dyDescent="0.2">
      <c r="AY2509" s="315"/>
      <c r="AZ2509" s="326"/>
      <c r="BA2509" s="175"/>
      <c r="BB2509" s="42"/>
      <c r="BC2509" s="431"/>
      <c r="BG2509" s="315"/>
      <c r="BH2509" s="42"/>
    </row>
    <row r="2510" spans="51:60" x14ac:dyDescent="0.2">
      <c r="AY2510" s="315"/>
      <c r="AZ2510" s="326"/>
      <c r="BA2510" s="175"/>
      <c r="BB2510" s="42"/>
      <c r="BC2510" s="431"/>
      <c r="BG2510" s="315"/>
      <c r="BH2510" s="42"/>
    </row>
    <row r="2511" spans="51:60" x14ac:dyDescent="0.2">
      <c r="AY2511" s="315"/>
      <c r="AZ2511" s="326"/>
      <c r="BA2511" s="175"/>
      <c r="BB2511" s="42"/>
      <c r="BC2511" s="431"/>
      <c r="BG2511" s="315"/>
      <c r="BH2511" s="42"/>
    </row>
    <row r="2512" spans="51:60" x14ac:dyDescent="0.2">
      <c r="AY2512" s="315"/>
      <c r="AZ2512" s="326"/>
      <c r="BA2512" s="175"/>
      <c r="BB2512" s="42"/>
      <c r="BC2512" s="431"/>
      <c r="BG2512" s="315"/>
      <c r="BH2512" s="42"/>
    </row>
    <row r="2513" spans="51:60" x14ac:dyDescent="0.2">
      <c r="AY2513" s="315"/>
      <c r="AZ2513" s="326"/>
      <c r="BA2513" s="175"/>
      <c r="BB2513" s="42"/>
      <c r="BC2513" s="431"/>
      <c r="BG2513" s="315"/>
      <c r="BH2513" s="42"/>
    </row>
    <row r="2514" spans="51:60" x14ac:dyDescent="0.2">
      <c r="AY2514" s="315"/>
      <c r="AZ2514" s="326"/>
      <c r="BA2514" s="175"/>
      <c r="BB2514" s="42"/>
      <c r="BC2514" s="431"/>
      <c r="BG2514" s="315"/>
      <c r="BH2514" s="42"/>
    </row>
    <row r="2515" spans="51:60" x14ac:dyDescent="0.2">
      <c r="AY2515" s="315"/>
      <c r="AZ2515" s="326"/>
      <c r="BA2515" s="175"/>
      <c r="BB2515" s="42"/>
      <c r="BC2515" s="431"/>
      <c r="BG2515" s="315"/>
      <c r="BH2515" s="42"/>
    </row>
    <row r="2516" spans="51:60" x14ac:dyDescent="0.2">
      <c r="AY2516" s="315"/>
      <c r="AZ2516" s="326"/>
      <c r="BA2516" s="175"/>
      <c r="BB2516" s="42"/>
      <c r="BC2516" s="431"/>
      <c r="BG2516" s="315"/>
      <c r="BH2516" s="42"/>
    </row>
    <row r="2517" spans="51:60" x14ac:dyDescent="0.2">
      <c r="AY2517" s="315"/>
      <c r="AZ2517" s="326"/>
      <c r="BA2517" s="175"/>
      <c r="BB2517" s="42"/>
      <c r="BC2517" s="431"/>
      <c r="BG2517" s="315"/>
      <c r="BH2517" s="42"/>
    </row>
    <row r="2518" spans="51:60" x14ac:dyDescent="0.2">
      <c r="AY2518" s="315"/>
      <c r="AZ2518" s="326"/>
      <c r="BA2518" s="175"/>
      <c r="BB2518" s="42"/>
      <c r="BC2518" s="431"/>
      <c r="BG2518" s="315"/>
      <c r="BH2518" s="42"/>
    </row>
    <row r="2519" spans="51:60" x14ac:dyDescent="0.2">
      <c r="AY2519" s="315"/>
      <c r="AZ2519" s="326"/>
      <c r="BA2519" s="175"/>
      <c r="BB2519" s="42"/>
      <c r="BC2519" s="431"/>
      <c r="BG2519" s="315"/>
      <c r="BH2519" s="42"/>
    </row>
    <row r="2520" spans="51:60" x14ac:dyDescent="0.2">
      <c r="AY2520" s="315"/>
      <c r="AZ2520" s="326"/>
      <c r="BA2520" s="175"/>
      <c r="BB2520" s="42"/>
      <c r="BC2520" s="431"/>
      <c r="BG2520" s="315"/>
      <c r="BH2520" s="42"/>
    </row>
    <row r="2521" spans="51:60" x14ac:dyDescent="0.2">
      <c r="AY2521" s="315"/>
      <c r="AZ2521" s="326"/>
      <c r="BA2521" s="175"/>
      <c r="BB2521" s="42"/>
      <c r="BC2521" s="431"/>
      <c r="BG2521" s="315"/>
      <c r="BH2521" s="42"/>
    </row>
    <row r="2522" spans="51:60" x14ac:dyDescent="0.2">
      <c r="AY2522" s="315"/>
      <c r="AZ2522" s="326"/>
      <c r="BA2522" s="175"/>
      <c r="BB2522" s="42"/>
      <c r="BC2522" s="431"/>
      <c r="BG2522" s="315"/>
      <c r="BH2522" s="42"/>
    </row>
    <row r="2523" spans="51:60" x14ac:dyDescent="0.2">
      <c r="AY2523" s="315"/>
      <c r="AZ2523" s="326"/>
      <c r="BA2523" s="175"/>
      <c r="BB2523" s="42"/>
      <c r="BC2523" s="431"/>
      <c r="BG2523" s="315"/>
      <c r="BH2523" s="42"/>
    </row>
    <row r="2524" spans="51:60" x14ac:dyDescent="0.2">
      <c r="AY2524" s="315"/>
      <c r="AZ2524" s="326"/>
      <c r="BA2524" s="175"/>
      <c r="BB2524" s="42"/>
      <c r="BC2524" s="431"/>
      <c r="BG2524" s="315"/>
      <c r="BH2524" s="42"/>
    </row>
    <row r="2525" spans="51:60" x14ac:dyDescent="0.2">
      <c r="AY2525" s="315"/>
      <c r="AZ2525" s="326"/>
      <c r="BA2525" s="175"/>
      <c r="BB2525" s="42"/>
      <c r="BC2525" s="431"/>
      <c r="BG2525" s="315"/>
      <c r="BH2525" s="42"/>
    </row>
    <row r="2526" spans="51:60" x14ac:dyDescent="0.2">
      <c r="AY2526" s="315"/>
      <c r="AZ2526" s="326"/>
      <c r="BA2526" s="175"/>
      <c r="BB2526" s="42"/>
      <c r="BC2526" s="431"/>
      <c r="BG2526" s="315"/>
      <c r="BH2526" s="42"/>
    </row>
    <row r="2527" spans="51:60" x14ac:dyDescent="0.2">
      <c r="AY2527" s="315"/>
      <c r="AZ2527" s="326"/>
      <c r="BA2527" s="175"/>
      <c r="BB2527" s="42"/>
      <c r="BC2527" s="431"/>
      <c r="BG2527" s="315"/>
      <c r="BH2527" s="42"/>
    </row>
    <row r="2528" spans="51:60" x14ac:dyDescent="0.2">
      <c r="AY2528" s="315"/>
      <c r="AZ2528" s="326"/>
      <c r="BA2528" s="175"/>
      <c r="BB2528" s="42"/>
      <c r="BC2528" s="431"/>
      <c r="BG2528" s="315"/>
      <c r="BH2528" s="42"/>
    </row>
    <row r="2529" spans="51:60" x14ac:dyDescent="0.2">
      <c r="AY2529" s="315"/>
      <c r="AZ2529" s="326"/>
      <c r="BA2529" s="175"/>
      <c r="BB2529" s="42"/>
      <c r="BC2529" s="431"/>
      <c r="BG2529" s="315"/>
      <c r="BH2529" s="42"/>
    </row>
    <row r="2530" spans="51:60" x14ac:dyDescent="0.2">
      <c r="AY2530" s="315"/>
      <c r="AZ2530" s="326"/>
      <c r="BA2530" s="175"/>
      <c r="BB2530" s="42"/>
      <c r="BC2530" s="431"/>
      <c r="BG2530" s="315"/>
      <c r="BH2530" s="42"/>
    </row>
    <row r="2531" spans="51:60" x14ac:dyDescent="0.2">
      <c r="AY2531" s="315"/>
      <c r="AZ2531" s="326"/>
      <c r="BA2531" s="175"/>
      <c r="BB2531" s="42"/>
      <c r="BC2531" s="431"/>
      <c r="BG2531" s="315"/>
      <c r="BH2531" s="42"/>
    </row>
    <row r="2532" spans="51:60" x14ac:dyDescent="0.2">
      <c r="AY2532" s="315"/>
      <c r="AZ2532" s="326"/>
      <c r="BA2532" s="175"/>
      <c r="BB2532" s="42"/>
      <c r="BC2532" s="431"/>
      <c r="BG2532" s="315"/>
      <c r="BH2532" s="42"/>
    </row>
    <row r="2533" spans="51:60" x14ac:dyDescent="0.2">
      <c r="AY2533" s="315"/>
      <c r="AZ2533" s="326"/>
      <c r="BA2533" s="175"/>
      <c r="BB2533" s="42"/>
      <c r="BC2533" s="431"/>
      <c r="BG2533" s="315"/>
      <c r="BH2533" s="42"/>
    </row>
    <row r="2534" spans="51:60" x14ac:dyDescent="0.2">
      <c r="AY2534" s="315"/>
      <c r="AZ2534" s="326"/>
      <c r="BA2534" s="175"/>
      <c r="BB2534" s="42"/>
      <c r="BC2534" s="431"/>
      <c r="BG2534" s="315"/>
      <c r="BH2534" s="42"/>
    </row>
    <row r="2535" spans="51:60" x14ac:dyDescent="0.2">
      <c r="AY2535" s="315"/>
      <c r="AZ2535" s="326"/>
      <c r="BA2535" s="175"/>
      <c r="BB2535" s="42"/>
      <c r="BC2535" s="431"/>
      <c r="BG2535" s="315"/>
      <c r="BH2535" s="42"/>
    </row>
    <row r="2536" spans="51:60" x14ac:dyDescent="0.2">
      <c r="AY2536" s="315"/>
      <c r="AZ2536" s="326"/>
      <c r="BA2536" s="175"/>
      <c r="BB2536" s="42"/>
      <c r="BC2536" s="431"/>
      <c r="BG2536" s="315"/>
      <c r="BH2536" s="42"/>
    </row>
    <row r="2537" spans="51:60" x14ac:dyDescent="0.2">
      <c r="AY2537" s="315"/>
      <c r="AZ2537" s="326"/>
      <c r="BA2537" s="175"/>
      <c r="BB2537" s="42"/>
      <c r="BC2537" s="431"/>
      <c r="BG2537" s="315"/>
      <c r="BH2537" s="42"/>
    </row>
    <row r="2538" spans="51:60" x14ac:dyDescent="0.2">
      <c r="AY2538" s="315"/>
      <c r="AZ2538" s="326"/>
      <c r="BA2538" s="175"/>
      <c r="BB2538" s="42"/>
      <c r="BC2538" s="431"/>
      <c r="BG2538" s="315"/>
      <c r="BH2538" s="42"/>
    </row>
    <row r="2539" spans="51:60" x14ac:dyDescent="0.2">
      <c r="AY2539" s="315"/>
      <c r="AZ2539" s="326"/>
      <c r="BA2539" s="175"/>
      <c r="BB2539" s="42"/>
      <c r="BC2539" s="431"/>
      <c r="BG2539" s="315"/>
      <c r="BH2539" s="42"/>
    </row>
    <row r="2540" spans="51:60" x14ac:dyDescent="0.2">
      <c r="AY2540" s="315"/>
      <c r="AZ2540" s="326"/>
      <c r="BA2540" s="175"/>
      <c r="BB2540" s="42"/>
      <c r="BC2540" s="431"/>
      <c r="BG2540" s="315"/>
      <c r="BH2540" s="42"/>
    </row>
    <row r="2541" spans="51:60" x14ac:dyDescent="0.2">
      <c r="AY2541" s="315"/>
      <c r="AZ2541" s="326"/>
      <c r="BA2541" s="175"/>
      <c r="BB2541" s="42"/>
      <c r="BC2541" s="431"/>
      <c r="BG2541" s="315"/>
      <c r="BH2541" s="42"/>
    </row>
    <row r="2542" spans="51:60" x14ac:dyDescent="0.2">
      <c r="AY2542" s="315"/>
      <c r="AZ2542" s="326"/>
      <c r="BA2542" s="175"/>
      <c r="BB2542" s="42"/>
      <c r="BC2542" s="431"/>
      <c r="BG2542" s="315"/>
      <c r="BH2542" s="42"/>
    </row>
    <row r="2543" spans="51:60" x14ac:dyDescent="0.2">
      <c r="AY2543" s="315"/>
      <c r="AZ2543" s="326"/>
      <c r="BA2543" s="175"/>
      <c r="BB2543" s="42"/>
      <c r="BC2543" s="431"/>
      <c r="BG2543" s="315"/>
      <c r="BH2543" s="42"/>
    </row>
    <row r="2544" spans="51:60" x14ac:dyDescent="0.2">
      <c r="AY2544" s="315"/>
      <c r="AZ2544" s="326"/>
      <c r="BA2544" s="175"/>
      <c r="BB2544" s="42"/>
      <c r="BC2544" s="431"/>
      <c r="BG2544" s="315"/>
      <c r="BH2544" s="42"/>
    </row>
    <row r="2545" spans="51:60" x14ac:dyDescent="0.2">
      <c r="AY2545" s="315"/>
      <c r="AZ2545" s="326"/>
      <c r="BA2545" s="175"/>
      <c r="BB2545" s="42"/>
      <c r="BC2545" s="431"/>
      <c r="BG2545" s="315"/>
      <c r="BH2545" s="42"/>
    </row>
    <row r="2546" spans="51:60" x14ac:dyDescent="0.2">
      <c r="AY2546" s="315"/>
      <c r="AZ2546" s="326"/>
      <c r="BA2546" s="175"/>
      <c r="BB2546" s="42"/>
      <c r="BC2546" s="431"/>
      <c r="BG2546" s="315"/>
      <c r="BH2546" s="42"/>
    </row>
    <row r="2547" spans="51:60" x14ac:dyDescent="0.2">
      <c r="AY2547" s="315"/>
      <c r="AZ2547" s="326"/>
      <c r="BA2547" s="175"/>
      <c r="BB2547" s="42"/>
      <c r="BC2547" s="431"/>
      <c r="BG2547" s="315"/>
      <c r="BH2547" s="42"/>
    </row>
    <row r="2548" spans="51:60" x14ac:dyDescent="0.2">
      <c r="AY2548" s="315"/>
      <c r="AZ2548" s="326"/>
      <c r="BA2548" s="175"/>
      <c r="BB2548" s="42"/>
      <c r="BC2548" s="431"/>
      <c r="BG2548" s="315"/>
      <c r="BH2548" s="42"/>
    </row>
    <row r="2549" spans="51:60" x14ac:dyDescent="0.2">
      <c r="AY2549" s="315"/>
      <c r="AZ2549" s="326"/>
      <c r="BA2549" s="175"/>
      <c r="BB2549" s="42"/>
      <c r="BC2549" s="431"/>
      <c r="BG2549" s="315"/>
      <c r="BH2549" s="42"/>
    </row>
    <row r="2550" spans="51:60" x14ac:dyDescent="0.2">
      <c r="AY2550" s="315"/>
      <c r="AZ2550" s="326"/>
      <c r="BA2550" s="175"/>
      <c r="BB2550" s="42"/>
      <c r="BC2550" s="431"/>
      <c r="BG2550" s="315"/>
      <c r="BH2550" s="42"/>
    </row>
    <row r="2551" spans="51:60" x14ac:dyDescent="0.2">
      <c r="AY2551" s="315"/>
      <c r="AZ2551" s="326"/>
      <c r="BA2551" s="175"/>
      <c r="BB2551" s="42"/>
      <c r="BC2551" s="431"/>
      <c r="BG2551" s="315"/>
      <c r="BH2551" s="42"/>
    </row>
    <row r="2552" spans="51:60" x14ac:dyDescent="0.2">
      <c r="AY2552" s="315"/>
      <c r="AZ2552" s="326"/>
      <c r="BA2552" s="175"/>
      <c r="BB2552" s="42"/>
      <c r="BC2552" s="431"/>
      <c r="BG2552" s="315"/>
      <c r="BH2552" s="42"/>
    </row>
    <row r="2553" spans="51:60" x14ac:dyDescent="0.2">
      <c r="AY2553" s="315"/>
      <c r="AZ2553" s="326"/>
      <c r="BA2553" s="175"/>
      <c r="BB2553" s="42"/>
      <c r="BC2553" s="431"/>
      <c r="BG2553" s="315"/>
      <c r="BH2553" s="42"/>
    </row>
    <row r="2554" spans="51:60" x14ac:dyDescent="0.2">
      <c r="AY2554" s="315"/>
      <c r="AZ2554" s="326"/>
      <c r="BA2554" s="175"/>
      <c r="BB2554" s="42"/>
      <c r="BC2554" s="431"/>
      <c r="BG2554" s="315"/>
      <c r="BH2554" s="42"/>
    </row>
    <row r="2555" spans="51:60" x14ac:dyDescent="0.2">
      <c r="AY2555" s="315"/>
      <c r="AZ2555" s="326"/>
      <c r="BA2555" s="175"/>
      <c r="BB2555" s="42"/>
      <c r="BC2555" s="431"/>
      <c r="BG2555" s="315"/>
      <c r="BH2555" s="42"/>
    </row>
    <row r="2556" spans="51:60" x14ac:dyDescent="0.2">
      <c r="AY2556" s="315"/>
      <c r="AZ2556" s="326"/>
      <c r="BA2556" s="175"/>
      <c r="BB2556" s="42"/>
      <c r="BC2556" s="431"/>
      <c r="BG2556" s="315"/>
      <c r="BH2556" s="42"/>
    </row>
    <row r="2557" spans="51:60" x14ac:dyDescent="0.2">
      <c r="AY2557" s="315"/>
      <c r="AZ2557" s="326"/>
      <c r="BA2557" s="175"/>
      <c r="BB2557" s="42"/>
      <c r="BC2557" s="431"/>
      <c r="BG2557" s="315"/>
      <c r="BH2557" s="42"/>
    </row>
    <row r="2558" spans="51:60" x14ac:dyDescent="0.2">
      <c r="AY2558" s="315"/>
      <c r="AZ2558" s="326"/>
      <c r="BA2558" s="175"/>
      <c r="BB2558" s="42"/>
      <c r="BC2558" s="431"/>
      <c r="BG2558" s="315"/>
      <c r="BH2558" s="42"/>
    </row>
    <row r="2559" spans="51:60" x14ac:dyDescent="0.2">
      <c r="AY2559" s="315"/>
      <c r="AZ2559" s="326"/>
      <c r="BA2559" s="175"/>
      <c r="BB2559" s="42"/>
      <c r="BC2559" s="431"/>
      <c r="BG2559" s="315"/>
      <c r="BH2559" s="42"/>
    </row>
    <row r="2560" spans="51:60" x14ac:dyDescent="0.2">
      <c r="AY2560" s="315"/>
      <c r="AZ2560" s="326"/>
      <c r="BA2560" s="175"/>
      <c r="BB2560" s="42"/>
      <c r="BC2560" s="431"/>
      <c r="BG2560" s="315"/>
      <c r="BH2560" s="42"/>
    </row>
    <row r="2561" spans="51:60" x14ac:dyDescent="0.2">
      <c r="AY2561" s="315"/>
      <c r="AZ2561" s="326"/>
      <c r="BA2561" s="175"/>
      <c r="BB2561" s="42"/>
      <c r="BC2561" s="431"/>
      <c r="BG2561" s="315"/>
      <c r="BH2561" s="42"/>
    </row>
    <row r="2562" spans="51:60" x14ac:dyDescent="0.2">
      <c r="AY2562" s="315"/>
      <c r="AZ2562" s="326"/>
      <c r="BA2562" s="175"/>
      <c r="BB2562" s="42"/>
      <c r="BC2562" s="431"/>
      <c r="BG2562" s="315"/>
      <c r="BH2562" s="42"/>
    </row>
    <row r="2563" spans="51:60" x14ac:dyDescent="0.2">
      <c r="AY2563" s="315"/>
      <c r="AZ2563" s="326"/>
      <c r="BA2563" s="175"/>
      <c r="BB2563" s="42"/>
      <c r="BC2563" s="431"/>
      <c r="BG2563" s="315"/>
      <c r="BH2563" s="42"/>
    </row>
    <row r="2564" spans="51:60" x14ac:dyDescent="0.2">
      <c r="AY2564" s="315"/>
      <c r="AZ2564" s="326"/>
      <c r="BA2564" s="175"/>
      <c r="BB2564" s="42"/>
      <c r="BC2564" s="431"/>
      <c r="BG2564" s="315"/>
      <c r="BH2564" s="42"/>
    </row>
    <row r="2565" spans="51:60" x14ac:dyDescent="0.2">
      <c r="AY2565" s="315"/>
      <c r="AZ2565" s="326"/>
      <c r="BA2565" s="175"/>
      <c r="BB2565" s="42"/>
      <c r="BC2565" s="431"/>
      <c r="BG2565" s="315"/>
      <c r="BH2565" s="42"/>
    </row>
    <row r="2566" spans="51:60" x14ac:dyDescent="0.2">
      <c r="AY2566" s="315"/>
      <c r="AZ2566" s="326"/>
      <c r="BA2566" s="175"/>
      <c r="BB2566" s="42"/>
      <c r="BC2566" s="431"/>
      <c r="BG2566" s="315"/>
      <c r="BH2566" s="42"/>
    </row>
    <row r="2567" spans="51:60" x14ac:dyDescent="0.2">
      <c r="AY2567" s="315"/>
      <c r="AZ2567" s="326"/>
      <c r="BA2567" s="175"/>
      <c r="BB2567" s="42"/>
      <c r="BC2567" s="431"/>
      <c r="BG2567" s="315"/>
      <c r="BH2567" s="42"/>
    </row>
    <row r="2568" spans="51:60" x14ac:dyDescent="0.2">
      <c r="AY2568" s="315"/>
      <c r="AZ2568" s="326"/>
      <c r="BA2568" s="175"/>
      <c r="BB2568" s="42"/>
      <c r="BC2568" s="431"/>
      <c r="BG2568" s="315"/>
      <c r="BH2568" s="42"/>
    </row>
    <row r="2569" spans="51:60" x14ac:dyDescent="0.2">
      <c r="AY2569" s="315"/>
      <c r="AZ2569" s="326"/>
      <c r="BA2569" s="175"/>
      <c r="BB2569" s="42"/>
      <c r="BC2569" s="431"/>
      <c r="BG2569" s="315"/>
      <c r="BH2569" s="42"/>
    </row>
    <row r="2570" spans="51:60" x14ac:dyDescent="0.2">
      <c r="AY2570" s="315"/>
      <c r="AZ2570" s="326"/>
      <c r="BA2570" s="175"/>
      <c r="BB2570" s="42"/>
      <c r="BC2570" s="431"/>
      <c r="BG2570" s="315"/>
      <c r="BH2570" s="42"/>
    </row>
    <row r="2571" spans="51:60" x14ac:dyDescent="0.2">
      <c r="AY2571" s="315"/>
      <c r="AZ2571" s="326"/>
      <c r="BA2571" s="175"/>
      <c r="BB2571" s="42"/>
      <c r="BC2571" s="431"/>
      <c r="BG2571" s="315"/>
      <c r="BH2571" s="42"/>
    </row>
    <row r="2572" spans="51:60" x14ac:dyDescent="0.2">
      <c r="AY2572" s="315"/>
      <c r="AZ2572" s="326"/>
      <c r="BA2572" s="175"/>
      <c r="BB2572" s="42"/>
      <c r="BC2572" s="431"/>
      <c r="BG2572" s="315"/>
      <c r="BH2572" s="42"/>
    </row>
    <row r="2573" spans="51:60" x14ac:dyDescent="0.2">
      <c r="AY2573" s="315"/>
      <c r="AZ2573" s="326"/>
      <c r="BA2573" s="175"/>
      <c r="BB2573" s="42"/>
      <c r="BC2573" s="431"/>
      <c r="BG2573" s="315"/>
      <c r="BH2573" s="42"/>
    </row>
    <row r="2574" spans="51:60" x14ac:dyDescent="0.2">
      <c r="AY2574" s="315"/>
      <c r="AZ2574" s="326"/>
      <c r="BA2574" s="175"/>
      <c r="BB2574" s="42"/>
      <c r="BC2574" s="431"/>
      <c r="BG2574" s="315"/>
      <c r="BH2574" s="42"/>
    </row>
    <row r="2575" spans="51:60" x14ac:dyDescent="0.2">
      <c r="AY2575" s="315"/>
      <c r="AZ2575" s="326"/>
      <c r="BA2575" s="175"/>
      <c r="BB2575" s="42"/>
      <c r="BC2575" s="431"/>
      <c r="BG2575" s="315"/>
      <c r="BH2575" s="42"/>
    </row>
    <row r="2576" spans="51:60" x14ac:dyDescent="0.2">
      <c r="AY2576" s="315"/>
      <c r="AZ2576" s="326"/>
      <c r="BA2576" s="175"/>
      <c r="BB2576" s="42"/>
      <c r="BC2576" s="431"/>
      <c r="BG2576" s="315"/>
      <c r="BH2576" s="42"/>
    </row>
    <row r="2577" spans="51:60" x14ac:dyDescent="0.2">
      <c r="AY2577" s="315"/>
      <c r="AZ2577" s="326"/>
      <c r="BA2577" s="175"/>
      <c r="BB2577" s="42"/>
      <c r="BC2577" s="431"/>
      <c r="BG2577" s="315"/>
      <c r="BH2577" s="42"/>
    </row>
    <row r="2578" spans="51:60" x14ac:dyDescent="0.2">
      <c r="AY2578" s="315"/>
      <c r="AZ2578" s="326"/>
      <c r="BA2578" s="175"/>
      <c r="BB2578" s="42"/>
      <c r="BC2578" s="431"/>
      <c r="BG2578" s="315"/>
      <c r="BH2578" s="42"/>
    </row>
    <row r="2579" spans="51:60" x14ac:dyDescent="0.2">
      <c r="AY2579" s="315"/>
      <c r="AZ2579" s="326"/>
      <c r="BA2579" s="175"/>
      <c r="BB2579" s="42"/>
      <c r="BC2579" s="431"/>
      <c r="BG2579" s="315"/>
      <c r="BH2579" s="42"/>
    </row>
    <row r="2580" spans="51:60" x14ac:dyDescent="0.2">
      <c r="AY2580" s="315"/>
      <c r="AZ2580" s="326"/>
      <c r="BA2580" s="175"/>
      <c r="BB2580" s="42"/>
      <c r="BC2580" s="431"/>
      <c r="BG2580" s="315"/>
      <c r="BH2580" s="42"/>
    </row>
    <row r="2581" spans="51:60" x14ac:dyDescent="0.2">
      <c r="AY2581" s="315"/>
      <c r="AZ2581" s="326"/>
      <c r="BA2581" s="175"/>
      <c r="BB2581" s="42"/>
      <c r="BC2581" s="431"/>
      <c r="BG2581" s="315"/>
      <c r="BH2581" s="42"/>
    </row>
    <row r="2582" spans="51:60" x14ac:dyDescent="0.2">
      <c r="AY2582" s="315"/>
      <c r="AZ2582" s="326"/>
      <c r="BA2582" s="175"/>
      <c r="BB2582" s="42"/>
      <c r="BC2582" s="431"/>
      <c r="BG2582" s="315"/>
      <c r="BH2582" s="42"/>
    </row>
    <row r="2583" spans="51:60" x14ac:dyDescent="0.2">
      <c r="AY2583" s="315"/>
      <c r="AZ2583" s="326"/>
      <c r="BA2583" s="175"/>
      <c r="BB2583" s="42"/>
      <c r="BC2583" s="431"/>
      <c r="BG2583" s="315"/>
      <c r="BH2583" s="42"/>
    </row>
    <row r="2584" spans="51:60" x14ac:dyDescent="0.2">
      <c r="AY2584" s="315"/>
      <c r="AZ2584" s="326"/>
      <c r="BA2584" s="175"/>
      <c r="BB2584" s="42"/>
      <c r="BC2584" s="431"/>
      <c r="BG2584" s="315"/>
      <c r="BH2584" s="42"/>
    </row>
    <row r="2585" spans="51:60" x14ac:dyDescent="0.2">
      <c r="AY2585" s="315"/>
      <c r="AZ2585" s="326"/>
      <c r="BA2585" s="175"/>
      <c r="BB2585" s="42"/>
      <c r="BC2585" s="431"/>
      <c r="BG2585" s="315"/>
      <c r="BH2585" s="42"/>
    </row>
    <row r="2586" spans="51:60" x14ac:dyDescent="0.2">
      <c r="AY2586" s="315"/>
      <c r="AZ2586" s="326"/>
      <c r="BA2586" s="175"/>
      <c r="BB2586" s="42"/>
      <c r="BC2586" s="431"/>
      <c r="BG2586" s="315"/>
      <c r="BH2586" s="42"/>
    </row>
    <row r="2587" spans="51:60" x14ac:dyDescent="0.2">
      <c r="AY2587" s="315"/>
      <c r="AZ2587" s="326"/>
      <c r="BA2587" s="175"/>
      <c r="BB2587" s="42"/>
      <c r="BC2587" s="431"/>
      <c r="BG2587" s="315"/>
      <c r="BH2587" s="42"/>
    </row>
    <row r="2588" spans="51:60" x14ac:dyDescent="0.2">
      <c r="AY2588" s="315"/>
      <c r="AZ2588" s="326"/>
      <c r="BA2588" s="175"/>
      <c r="BB2588" s="42"/>
      <c r="BC2588" s="431"/>
      <c r="BG2588" s="315"/>
      <c r="BH2588" s="42"/>
    </row>
    <row r="2589" spans="51:60" x14ac:dyDescent="0.2">
      <c r="AY2589" s="315"/>
      <c r="AZ2589" s="326"/>
      <c r="BA2589" s="175"/>
      <c r="BB2589" s="42"/>
      <c r="BC2589" s="431"/>
      <c r="BG2589" s="315"/>
      <c r="BH2589" s="42"/>
    </row>
    <row r="2590" spans="51:60" x14ac:dyDescent="0.2">
      <c r="AY2590" s="315"/>
      <c r="AZ2590" s="326"/>
      <c r="BA2590" s="175"/>
      <c r="BB2590" s="42"/>
      <c r="BC2590" s="431"/>
      <c r="BG2590" s="315"/>
      <c r="BH2590" s="42"/>
    </row>
    <row r="2591" spans="51:60" x14ac:dyDescent="0.2">
      <c r="AY2591" s="315"/>
      <c r="AZ2591" s="326"/>
      <c r="BA2591" s="175"/>
      <c r="BB2591" s="42"/>
      <c r="BC2591" s="431"/>
      <c r="BG2591" s="315"/>
      <c r="BH2591" s="42"/>
    </row>
    <row r="2592" spans="51:60" x14ac:dyDescent="0.2">
      <c r="AY2592" s="315"/>
      <c r="AZ2592" s="326"/>
      <c r="BA2592" s="175"/>
      <c r="BB2592" s="42"/>
      <c r="BC2592" s="431"/>
      <c r="BG2592" s="315"/>
      <c r="BH2592" s="42"/>
    </row>
    <row r="2593" spans="51:60" x14ac:dyDescent="0.2">
      <c r="AY2593" s="315"/>
      <c r="AZ2593" s="326"/>
      <c r="BA2593" s="175"/>
      <c r="BB2593" s="42"/>
      <c r="BC2593" s="431"/>
      <c r="BG2593" s="315"/>
      <c r="BH2593" s="42"/>
    </row>
    <row r="2594" spans="51:60" x14ac:dyDescent="0.2">
      <c r="AY2594" s="315"/>
      <c r="AZ2594" s="326"/>
      <c r="BA2594" s="175"/>
      <c r="BB2594" s="42"/>
      <c r="BC2594" s="431"/>
      <c r="BG2594" s="315"/>
      <c r="BH2594" s="42"/>
    </row>
    <row r="2595" spans="51:60" x14ac:dyDescent="0.2">
      <c r="AY2595" s="315"/>
      <c r="AZ2595" s="326"/>
      <c r="BA2595" s="175"/>
      <c r="BB2595" s="42"/>
      <c r="BC2595" s="431"/>
      <c r="BG2595" s="315"/>
      <c r="BH2595" s="42"/>
    </row>
    <row r="2596" spans="51:60" x14ac:dyDescent="0.2">
      <c r="AY2596" s="315"/>
      <c r="AZ2596" s="326"/>
      <c r="BA2596" s="175"/>
      <c r="BB2596" s="42"/>
      <c r="BC2596" s="431"/>
      <c r="BG2596" s="315"/>
      <c r="BH2596" s="42"/>
    </row>
    <row r="2597" spans="51:60" x14ac:dyDescent="0.2">
      <c r="AY2597" s="315"/>
      <c r="AZ2597" s="326"/>
      <c r="BA2597" s="175"/>
      <c r="BB2597" s="42"/>
      <c r="BC2597" s="431"/>
      <c r="BG2597" s="315"/>
      <c r="BH2597" s="42"/>
    </row>
    <row r="2598" spans="51:60" x14ac:dyDescent="0.2">
      <c r="AY2598" s="315"/>
      <c r="AZ2598" s="326"/>
      <c r="BA2598" s="175"/>
      <c r="BB2598" s="42"/>
      <c r="BC2598" s="431"/>
      <c r="BG2598" s="315"/>
      <c r="BH2598" s="42"/>
    </row>
    <row r="2599" spans="51:60" x14ac:dyDescent="0.2">
      <c r="AY2599" s="315"/>
      <c r="AZ2599" s="326"/>
      <c r="BA2599" s="175"/>
      <c r="BB2599" s="42"/>
      <c r="BC2599" s="431"/>
      <c r="BG2599" s="315"/>
      <c r="BH2599" s="42"/>
    </row>
    <row r="2600" spans="51:60" x14ac:dyDescent="0.2">
      <c r="AY2600" s="315"/>
      <c r="AZ2600" s="326"/>
      <c r="BA2600" s="175"/>
      <c r="BB2600" s="42"/>
      <c r="BC2600" s="431"/>
      <c r="BG2600" s="315"/>
      <c r="BH2600" s="42"/>
    </row>
    <row r="2601" spans="51:60" x14ac:dyDescent="0.2">
      <c r="AY2601" s="315"/>
      <c r="AZ2601" s="326"/>
      <c r="BA2601" s="175"/>
      <c r="BB2601" s="42"/>
      <c r="BC2601" s="431"/>
      <c r="BG2601" s="315"/>
      <c r="BH2601" s="42"/>
    </row>
    <row r="2602" spans="51:60" x14ac:dyDescent="0.2">
      <c r="AY2602" s="315"/>
      <c r="AZ2602" s="326"/>
      <c r="BA2602" s="175"/>
      <c r="BB2602" s="42"/>
      <c r="BC2602" s="431"/>
      <c r="BG2602" s="315"/>
      <c r="BH2602" s="42"/>
    </row>
    <row r="2603" spans="51:60" x14ac:dyDescent="0.2">
      <c r="AY2603" s="315"/>
      <c r="AZ2603" s="326"/>
      <c r="BA2603" s="175"/>
      <c r="BB2603" s="42"/>
      <c r="BC2603" s="431"/>
      <c r="BG2603" s="315"/>
      <c r="BH2603" s="42"/>
    </row>
    <row r="2604" spans="51:60" x14ac:dyDescent="0.2">
      <c r="AY2604" s="315"/>
      <c r="AZ2604" s="326"/>
      <c r="BA2604" s="175"/>
      <c r="BB2604" s="42"/>
      <c r="BC2604" s="431"/>
      <c r="BG2604" s="315"/>
      <c r="BH2604" s="42"/>
    </row>
    <row r="2605" spans="51:60" x14ac:dyDescent="0.2">
      <c r="AY2605" s="315"/>
      <c r="AZ2605" s="326"/>
      <c r="BA2605" s="175"/>
      <c r="BB2605" s="42"/>
      <c r="BC2605" s="431"/>
      <c r="BG2605" s="315"/>
      <c r="BH2605" s="42"/>
    </row>
    <row r="2606" spans="51:60" x14ac:dyDescent="0.2">
      <c r="AY2606" s="315"/>
      <c r="AZ2606" s="326"/>
      <c r="BA2606" s="175"/>
      <c r="BB2606" s="42"/>
      <c r="BC2606" s="431"/>
      <c r="BG2606" s="315"/>
      <c r="BH2606" s="42"/>
    </row>
    <row r="2607" spans="51:60" x14ac:dyDescent="0.2">
      <c r="AY2607" s="315"/>
      <c r="AZ2607" s="326"/>
      <c r="BA2607" s="175"/>
      <c r="BB2607" s="42"/>
      <c r="BC2607" s="431"/>
      <c r="BG2607" s="315"/>
      <c r="BH2607" s="42"/>
    </row>
    <row r="2608" spans="51:60" x14ac:dyDescent="0.2">
      <c r="AY2608" s="315"/>
      <c r="AZ2608" s="326"/>
      <c r="BA2608" s="175"/>
      <c r="BB2608" s="42"/>
      <c r="BC2608" s="431"/>
      <c r="BG2608" s="315"/>
      <c r="BH2608" s="42"/>
    </row>
    <row r="2609" spans="51:60" x14ac:dyDescent="0.2">
      <c r="AY2609" s="315"/>
      <c r="AZ2609" s="326"/>
      <c r="BA2609" s="175"/>
      <c r="BB2609" s="42"/>
      <c r="BC2609" s="431"/>
      <c r="BG2609" s="315"/>
      <c r="BH2609" s="42"/>
    </row>
    <row r="2610" spans="51:60" x14ac:dyDescent="0.2">
      <c r="AY2610" s="315"/>
      <c r="AZ2610" s="326"/>
      <c r="BA2610" s="175"/>
      <c r="BB2610" s="42"/>
      <c r="BC2610" s="431"/>
      <c r="BG2610" s="315"/>
      <c r="BH2610" s="42"/>
    </row>
    <row r="2611" spans="51:60" x14ac:dyDescent="0.2">
      <c r="AY2611" s="315"/>
      <c r="AZ2611" s="326"/>
      <c r="BA2611" s="175"/>
      <c r="BB2611" s="42"/>
      <c r="BC2611" s="431"/>
      <c r="BG2611" s="315"/>
      <c r="BH2611" s="42"/>
    </row>
    <row r="2612" spans="51:60" x14ac:dyDescent="0.2">
      <c r="AY2612" s="315"/>
      <c r="AZ2612" s="326"/>
      <c r="BA2612" s="175"/>
      <c r="BB2612" s="42"/>
      <c r="BC2612" s="431"/>
      <c r="BG2612" s="315"/>
      <c r="BH2612" s="42"/>
    </row>
    <row r="2613" spans="51:60" x14ac:dyDescent="0.2">
      <c r="AY2613" s="315"/>
      <c r="AZ2613" s="326"/>
      <c r="BA2613" s="175"/>
      <c r="BB2613" s="42"/>
      <c r="BC2613" s="431"/>
      <c r="BG2613" s="315"/>
      <c r="BH2613" s="42"/>
    </row>
    <row r="2614" spans="51:60" x14ac:dyDescent="0.2">
      <c r="AY2614" s="315"/>
      <c r="AZ2614" s="326"/>
      <c r="BA2614" s="175"/>
      <c r="BB2614" s="42"/>
      <c r="BC2614" s="431"/>
      <c r="BG2614" s="315"/>
      <c r="BH2614" s="42"/>
    </row>
    <row r="2615" spans="51:60" x14ac:dyDescent="0.2">
      <c r="AY2615" s="315"/>
      <c r="AZ2615" s="326"/>
      <c r="BA2615" s="175"/>
      <c r="BB2615" s="42"/>
      <c r="BC2615" s="431"/>
      <c r="BG2615" s="315"/>
      <c r="BH2615" s="42"/>
    </row>
    <row r="2616" spans="51:60" x14ac:dyDescent="0.2">
      <c r="AY2616" s="315"/>
      <c r="AZ2616" s="326"/>
      <c r="BA2616" s="175"/>
      <c r="BB2616" s="42"/>
      <c r="BC2616" s="431"/>
      <c r="BG2616" s="315"/>
      <c r="BH2616" s="42"/>
    </row>
    <row r="2617" spans="51:60" x14ac:dyDescent="0.2">
      <c r="AY2617" s="315"/>
      <c r="AZ2617" s="326"/>
      <c r="BA2617" s="175"/>
      <c r="BB2617" s="42"/>
      <c r="BC2617" s="431"/>
      <c r="BG2617" s="315"/>
      <c r="BH2617" s="42"/>
    </row>
    <row r="2618" spans="51:60" x14ac:dyDescent="0.2">
      <c r="AY2618" s="315"/>
      <c r="AZ2618" s="326"/>
      <c r="BA2618" s="175"/>
      <c r="BB2618" s="42"/>
      <c r="BC2618" s="431"/>
      <c r="BG2618" s="315"/>
      <c r="BH2618" s="42"/>
    </row>
    <row r="2619" spans="51:60" x14ac:dyDescent="0.2">
      <c r="AY2619" s="315"/>
      <c r="AZ2619" s="326"/>
      <c r="BA2619" s="175"/>
      <c r="BB2619" s="42"/>
      <c r="BC2619" s="431"/>
      <c r="BG2619" s="315"/>
      <c r="BH2619" s="42"/>
    </row>
    <row r="2620" spans="51:60" x14ac:dyDescent="0.2">
      <c r="AY2620" s="315"/>
      <c r="AZ2620" s="326"/>
      <c r="BA2620" s="175"/>
      <c r="BB2620" s="42"/>
      <c r="BC2620" s="431"/>
      <c r="BG2620" s="315"/>
      <c r="BH2620" s="42"/>
    </row>
    <row r="2621" spans="51:60" x14ac:dyDescent="0.2">
      <c r="AY2621" s="315"/>
      <c r="AZ2621" s="326"/>
      <c r="BA2621" s="175"/>
      <c r="BB2621" s="42"/>
      <c r="BC2621" s="431"/>
      <c r="BG2621" s="315"/>
      <c r="BH2621" s="42"/>
    </row>
    <row r="2622" spans="51:60" x14ac:dyDescent="0.2">
      <c r="AY2622" s="315"/>
      <c r="AZ2622" s="326"/>
      <c r="BA2622" s="175"/>
      <c r="BB2622" s="42"/>
      <c r="BC2622" s="431"/>
      <c r="BG2622" s="315"/>
      <c r="BH2622" s="42"/>
    </row>
    <row r="2623" spans="51:60" x14ac:dyDescent="0.2">
      <c r="AY2623" s="315"/>
      <c r="AZ2623" s="326"/>
      <c r="BA2623" s="175"/>
      <c r="BB2623" s="42"/>
      <c r="BC2623" s="431"/>
      <c r="BG2623" s="315"/>
      <c r="BH2623" s="42"/>
    </row>
    <row r="2624" spans="51:60" x14ac:dyDescent="0.2">
      <c r="AY2624" s="315"/>
      <c r="AZ2624" s="326"/>
      <c r="BA2624" s="175"/>
      <c r="BB2624" s="42"/>
      <c r="BC2624" s="431"/>
      <c r="BG2624" s="315"/>
      <c r="BH2624" s="42"/>
    </row>
    <row r="2625" spans="51:60" x14ac:dyDescent="0.2">
      <c r="AY2625" s="315"/>
      <c r="AZ2625" s="326"/>
      <c r="BA2625" s="175"/>
      <c r="BB2625" s="42"/>
      <c r="BC2625" s="431"/>
      <c r="BG2625" s="315"/>
      <c r="BH2625" s="42"/>
    </row>
    <row r="2626" spans="51:60" x14ac:dyDescent="0.2">
      <c r="AY2626" s="315"/>
      <c r="AZ2626" s="326"/>
      <c r="BA2626" s="175"/>
      <c r="BB2626" s="42"/>
      <c r="BC2626" s="431"/>
      <c r="BG2626" s="315"/>
      <c r="BH2626" s="42"/>
    </row>
    <row r="2627" spans="51:60" x14ac:dyDescent="0.2">
      <c r="AY2627" s="315"/>
      <c r="AZ2627" s="326"/>
      <c r="BA2627" s="175"/>
      <c r="BB2627" s="42"/>
      <c r="BC2627" s="431"/>
      <c r="BG2627" s="315"/>
      <c r="BH2627" s="42"/>
    </row>
    <row r="2628" spans="51:60" x14ac:dyDescent="0.2">
      <c r="AY2628" s="315"/>
      <c r="AZ2628" s="326"/>
      <c r="BA2628" s="175"/>
      <c r="BB2628" s="42"/>
      <c r="BC2628" s="431"/>
      <c r="BG2628" s="315"/>
      <c r="BH2628" s="42"/>
    </row>
    <row r="2629" spans="51:60" x14ac:dyDescent="0.2">
      <c r="AY2629" s="315"/>
      <c r="AZ2629" s="326"/>
      <c r="BA2629" s="175"/>
      <c r="BB2629" s="42"/>
      <c r="BC2629" s="431"/>
      <c r="BG2629" s="315"/>
      <c r="BH2629" s="42"/>
    </row>
    <row r="2630" spans="51:60" x14ac:dyDescent="0.2">
      <c r="AY2630" s="315"/>
      <c r="AZ2630" s="326"/>
      <c r="BA2630" s="175"/>
      <c r="BB2630" s="42"/>
      <c r="BC2630" s="431"/>
      <c r="BG2630" s="315"/>
      <c r="BH2630" s="42"/>
    </row>
    <row r="2631" spans="51:60" x14ac:dyDescent="0.2">
      <c r="AY2631" s="315"/>
      <c r="AZ2631" s="326"/>
      <c r="BA2631" s="175"/>
      <c r="BB2631" s="42"/>
      <c r="BC2631" s="431"/>
      <c r="BG2631" s="315"/>
      <c r="BH2631" s="42"/>
    </row>
    <row r="2632" spans="51:60" x14ac:dyDescent="0.2">
      <c r="AY2632" s="315"/>
      <c r="AZ2632" s="326"/>
      <c r="BA2632" s="175"/>
      <c r="BB2632" s="42"/>
      <c r="BC2632" s="431"/>
      <c r="BG2632" s="315"/>
      <c r="BH2632" s="42"/>
    </row>
    <row r="2633" spans="51:60" x14ac:dyDescent="0.2">
      <c r="AY2633" s="315"/>
      <c r="AZ2633" s="326"/>
      <c r="BA2633" s="175"/>
      <c r="BB2633" s="42"/>
      <c r="BC2633" s="431"/>
      <c r="BG2633" s="315"/>
      <c r="BH2633" s="42"/>
    </row>
    <row r="2634" spans="51:60" x14ac:dyDescent="0.2">
      <c r="AY2634" s="315"/>
      <c r="AZ2634" s="326"/>
      <c r="BA2634" s="175"/>
      <c r="BB2634" s="42"/>
      <c r="BC2634" s="431"/>
      <c r="BG2634" s="315"/>
      <c r="BH2634" s="42"/>
    </row>
    <row r="2635" spans="51:60" x14ac:dyDescent="0.2">
      <c r="AY2635" s="315"/>
      <c r="AZ2635" s="326"/>
      <c r="BA2635" s="175"/>
      <c r="BB2635" s="42"/>
      <c r="BC2635" s="431"/>
      <c r="BG2635" s="315"/>
      <c r="BH2635" s="42"/>
    </row>
    <row r="2636" spans="51:60" x14ac:dyDescent="0.2">
      <c r="AY2636" s="315"/>
      <c r="AZ2636" s="326"/>
      <c r="BA2636" s="175"/>
      <c r="BB2636" s="42"/>
      <c r="BC2636" s="431"/>
      <c r="BG2636" s="315"/>
      <c r="BH2636" s="42"/>
    </row>
    <row r="2637" spans="51:60" x14ac:dyDescent="0.2">
      <c r="AY2637" s="315"/>
      <c r="AZ2637" s="326"/>
      <c r="BA2637" s="175"/>
      <c r="BB2637" s="42"/>
      <c r="BC2637" s="431"/>
      <c r="BG2637" s="315"/>
      <c r="BH2637" s="42"/>
    </row>
    <row r="2638" spans="51:60" x14ac:dyDescent="0.2">
      <c r="AY2638" s="315"/>
      <c r="AZ2638" s="326"/>
      <c r="BA2638" s="175"/>
      <c r="BB2638" s="42"/>
      <c r="BC2638" s="431"/>
      <c r="BG2638" s="315"/>
      <c r="BH2638" s="42"/>
    </row>
    <row r="2639" spans="51:60" x14ac:dyDescent="0.2">
      <c r="AY2639" s="315"/>
      <c r="AZ2639" s="326"/>
      <c r="BA2639" s="175"/>
      <c r="BB2639" s="42"/>
      <c r="BC2639" s="431"/>
      <c r="BG2639" s="315"/>
      <c r="BH2639" s="42"/>
    </row>
    <row r="2640" spans="51:60" x14ac:dyDescent="0.2">
      <c r="AY2640" s="315"/>
      <c r="AZ2640" s="326"/>
      <c r="BA2640" s="175"/>
      <c r="BB2640" s="42"/>
      <c r="BC2640" s="431"/>
      <c r="BG2640" s="315"/>
      <c r="BH2640" s="42"/>
    </row>
    <row r="2641" spans="51:60" x14ac:dyDescent="0.2">
      <c r="AY2641" s="315"/>
      <c r="AZ2641" s="326"/>
      <c r="BA2641" s="175"/>
      <c r="BB2641" s="42"/>
      <c r="BC2641" s="431"/>
      <c r="BG2641" s="315"/>
      <c r="BH2641" s="42"/>
    </row>
    <row r="2642" spans="51:60" x14ac:dyDescent="0.2">
      <c r="AY2642" s="315"/>
      <c r="AZ2642" s="326"/>
      <c r="BA2642" s="175"/>
      <c r="BB2642" s="42"/>
      <c r="BC2642" s="431"/>
      <c r="BG2642" s="315"/>
      <c r="BH2642" s="42"/>
    </row>
    <row r="2643" spans="51:60" x14ac:dyDescent="0.2">
      <c r="AY2643" s="315"/>
      <c r="AZ2643" s="326"/>
      <c r="BA2643" s="175"/>
      <c r="BB2643" s="42"/>
      <c r="BC2643" s="431"/>
      <c r="BG2643" s="315"/>
      <c r="BH2643" s="42"/>
    </row>
    <row r="2644" spans="51:60" x14ac:dyDescent="0.2">
      <c r="AY2644" s="315"/>
      <c r="AZ2644" s="326"/>
      <c r="BA2644" s="175"/>
      <c r="BB2644" s="42"/>
      <c r="BC2644" s="431"/>
      <c r="BG2644" s="315"/>
      <c r="BH2644" s="42"/>
    </row>
    <row r="2645" spans="51:60" x14ac:dyDescent="0.2">
      <c r="AY2645" s="315"/>
      <c r="AZ2645" s="326"/>
      <c r="BA2645" s="175"/>
      <c r="BB2645" s="42"/>
      <c r="BC2645" s="431"/>
      <c r="BG2645" s="315"/>
      <c r="BH2645" s="42"/>
    </row>
    <row r="2646" spans="51:60" x14ac:dyDescent="0.2">
      <c r="AY2646" s="315"/>
      <c r="AZ2646" s="326"/>
      <c r="BA2646" s="175"/>
      <c r="BB2646" s="42"/>
      <c r="BC2646" s="431"/>
      <c r="BG2646" s="315"/>
      <c r="BH2646" s="42"/>
    </row>
    <row r="2647" spans="51:60" x14ac:dyDescent="0.2">
      <c r="AY2647" s="315"/>
      <c r="AZ2647" s="326"/>
      <c r="BA2647" s="175"/>
      <c r="BB2647" s="42"/>
      <c r="BC2647" s="431"/>
      <c r="BG2647" s="315"/>
      <c r="BH2647" s="42"/>
    </row>
    <row r="2648" spans="51:60" x14ac:dyDescent="0.2">
      <c r="AY2648" s="315"/>
      <c r="AZ2648" s="326"/>
      <c r="BA2648" s="175"/>
      <c r="BB2648" s="42"/>
      <c r="BC2648" s="431"/>
      <c r="BG2648" s="315"/>
      <c r="BH2648" s="42"/>
    </row>
    <row r="2649" spans="51:60" x14ac:dyDescent="0.2">
      <c r="AY2649" s="315"/>
      <c r="AZ2649" s="326"/>
      <c r="BA2649" s="175"/>
      <c r="BB2649" s="42"/>
      <c r="BC2649" s="431"/>
      <c r="BG2649" s="315"/>
      <c r="BH2649" s="42"/>
    </row>
    <row r="2650" spans="51:60" x14ac:dyDescent="0.2">
      <c r="AY2650" s="315"/>
      <c r="AZ2650" s="326"/>
      <c r="BA2650" s="175"/>
      <c r="BB2650" s="42"/>
      <c r="BC2650" s="431"/>
      <c r="BG2650" s="315"/>
      <c r="BH2650" s="42"/>
    </row>
    <row r="2651" spans="51:60" x14ac:dyDescent="0.2">
      <c r="AY2651" s="315"/>
      <c r="AZ2651" s="326"/>
      <c r="BA2651" s="175"/>
      <c r="BB2651" s="42"/>
      <c r="BC2651" s="431"/>
      <c r="BG2651" s="315"/>
      <c r="BH2651" s="42"/>
    </row>
    <row r="2652" spans="51:60" x14ac:dyDescent="0.2">
      <c r="AY2652" s="315"/>
      <c r="AZ2652" s="326"/>
      <c r="BA2652" s="175"/>
      <c r="BB2652" s="42"/>
      <c r="BC2652" s="431"/>
      <c r="BG2652" s="315"/>
      <c r="BH2652" s="42"/>
    </row>
    <row r="2653" spans="51:60" x14ac:dyDescent="0.2">
      <c r="AY2653" s="315"/>
      <c r="AZ2653" s="326"/>
      <c r="BA2653" s="175"/>
      <c r="BB2653" s="42"/>
      <c r="BC2653" s="431"/>
      <c r="BG2653" s="315"/>
      <c r="BH2653" s="42"/>
    </row>
    <row r="2654" spans="51:60" x14ac:dyDescent="0.2">
      <c r="AY2654" s="315"/>
      <c r="AZ2654" s="326"/>
      <c r="BA2654" s="175"/>
      <c r="BB2654" s="42"/>
      <c r="BC2654" s="431"/>
      <c r="BG2654" s="315"/>
      <c r="BH2654" s="42"/>
    </row>
    <row r="2655" spans="51:60" x14ac:dyDescent="0.2">
      <c r="AY2655" s="315"/>
      <c r="AZ2655" s="326"/>
      <c r="BA2655" s="175"/>
      <c r="BB2655" s="42"/>
      <c r="BC2655" s="431"/>
      <c r="BG2655" s="315"/>
      <c r="BH2655" s="42"/>
    </row>
    <row r="2656" spans="51:60" x14ac:dyDescent="0.2">
      <c r="AY2656" s="315"/>
      <c r="AZ2656" s="326"/>
      <c r="BA2656" s="175"/>
      <c r="BB2656" s="42"/>
      <c r="BC2656" s="431"/>
      <c r="BG2656" s="315"/>
      <c r="BH2656" s="42"/>
    </row>
    <row r="2657" spans="51:60" x14ac:dyDescent="0.2">
      <c r="AY2657" s="315"/>
      <c r="AZ2657" s="326"/>
      <c r="BA2657" s="175"/>
      <c r="BB2657" s="42"/>
      <c r="BC2657" s="431"/>
      <c r="BG2657" s="315"/>
      <c r="BH2657" s="42"/>
    </row>
    <row r="2658" spans="51:60" x14ac:dyDescent="0.2">
      <c r="AY2658" s="315"/>
      <c r="AZ2658" s="326"/>
      <c r="BA2658" s="175"/>
      <c r="BB2658" s="42"/>
      <c r="BC2658" s="431"/>
      <c r="BG2658" s="315"/>
      <c r="BH2658" s="42"/>
    </row>
    <row r="2659" spans="51:60" x14ac:dyDescent="0.2">
      <c r="AY2659" s="315"/>
      <c r="AZ2659" s="326"/>
      <c r="BA2659" s="175"/>
      <c r="BB2659" s="42"/>
      <c r="BC2659" s="431"/>
      <c r="BG2659" s="315"/>
      <c r="BH2659" s="42"/>
    </row>
    <row r="2660" spans="51:60" x14ac:dyDescent="0.2">
      <c r="AY2660" s="315"/>
      <c r="AZ2660" s="326"/>
      <c r="BA2660" s="175"/>
      <c r="BB2660" s="42"/>
      <c r="BC2660" s="431"/>
      <c r="BG2660" s="315"/>
      <c r="BH2660" s="42"/>
    </row>
    <row r="2661" spans="51:60" x14ac:dyDescent="0.2">
      <c r="AY2661" s="315"/>
      <c r="AZ2661" s="326"/>
      <c r="BA2661" s="175"/>
      <c r="BB2661" s="42"/>
      <c r="BC2661" s="431"/>
      <c r="BG2661" s="315"/>
      <c r="BH2661" s="42"/>
    </row>
    <row r="2662" spans="51:60" x14ac:dyDescent="0.2">
      <c r="AY2662" s="315"/>
      <c r="AZ2662" s="326"/>
      <c r="BA2662" s="175"/>
      <c r="BB2662" s="42"/>
      <c r="BC2662" s="431"/>
      <c r="BG2662" s="315"/>
      <c r="BH2662" s="42"/>
    </row>
    <row r="2663" spans="51:60" x14ac:dyDescent="0.2">
      <c r="AY2663" s="315"/>
      <c r="AZ2663" s="326"/>
      <c r="BA2663" s="175"/>
      <c r="BB2663" s="42"/>
      <c r="BC2663" s="431"/>
      <c r="BG2663" s="315"/>
      <c r="BH2663" s="42"/>
    </row>
    <row r="2664" spans="51:60" x14ac:dyDescent="0.2">
      <c r="AY2664" s="315"/>
      <c r="AZ2664" s="326"/>
      <c r="BA2664" s="175"/>
      <c r="BB2664" s="42"/>
      <c r="BC2664" s="431"/>
      <c r="BG2664" s="315"/>
      <c r="BH2664" s="42"/>
    </row>
    <row r="2665" spans="51:60" x14ac:dyDescent="0.2">
      <c r="AY2665" s="315"/>
      <c r="AZ2665" s="326"/>
      <c r="BA2665" s="175"/>
      <c r="BB2665" s="42"/>
      <c r="BC2665" s="431"/>
      <c r="BG2665" s="315"/>
      <c r="BH2665" s="42"/>
    </row>
    <row r="2666" spans="51:60" x14ac:dyDescent="0.2">
      <c r="AY2666" s="315"/>
      <c r="AZ2666" s="326"/>
      <c r="BA2666" s="175"/>
      <c r="BB2666" s="42"/>
      <c r="BC2666" s="431"/>
      <c r="BG2666" s="315"/>
      <c r="BH2666" s="42"/>
    </row>
    <row r="2667" spans="51:60" x14ac:dyDescent="0.2">
      <c r="AY2667" s="315"/>
      <c r="AZ2667" s="326"/>
      <c r="BA2667" s="175"/>
      <c r="BB2667" s="42"/>
      <c r="BC2667" s="431"/>
      <c r="BG2667" s="315"/>
      <c r="BH2667" s="42"/>
    </row>
    <row r="2668" spans="51:60" x14ac:dyDescent="0.2">
      <c r="AY2668" s="315"/>
      <c r="AZ2668" s="326"/>
      <c r="BA2668" s="175"/>
      <c r="BB2668" s="42"/>
      <c r="BC2668" s="431"/>
      <c r="BG2668" s="315"/>
      <c r="BH2668" s="42"/>
    </row>
    <row r="2669" spans="51:60" x14ac:dyDescent="0.2">
      <c r="AY2669" s="315"/>
      <c r="AZ2669" s="326"/>
      <c r="BA2669" s="175"/>
      <c r="BB2669" s="42"/>
      <c r="BC2669" s="431"/>
      <c r="BG2669" s="315"/>
      <c r="BH2669" s="42"/>
    </row>
    <row r="2670" spans="51:60" x14ac:dyDescent="0.2">
      <c r="AY2670" s="315"/>
      <c r="AZ2670" s="326"/>
      <c r="BA2670" s="175"/>
      <c r="BB2670" s="42"/>
      <c r="BC2670" s="431"/>
      <c r="BG2670" s="315"/>
      <c r="BH2670" s="42"/>
    </row>
    <row r="2671" spans="51:60" x14ac:dyDescent="0.2">
      <c r="AY2671" s="315"/>
      <c r="AZ2671" s="326"/>
      <c r="BA2671" s="175"/>
      <c r="BB2671" s="42"/>
      <c r="BC2671" s="431"/>
      <c r="BG2671" s="315"/>
      <c r="BH2671" s="42"/>
    </row>
    <row r="2672" spans="51:60" x14ac:dyDescent="0.2">
      <c r="AY2672" s="315"/>
      <c r="AZ2672" s="326"/>
      <c r="BA2672" s="175"/>
      <c r="BB2672" s="42"/>
      <c r="BC2672" s="431"/>
      <c r="BG2672" s="315"/>
      <c r="BH2672" s="42"/>
    </row>
    <row r="2673" spans="51:60" x14ac:dyDescent="0.2">
      <c r="AY2673" s="315"/>
      <c r="AZ2673" s="326"/>
      <c r="BA2673" s="175"/>
      <c r="BB2673" s="42"/>
      <c r="BC2673" s="431"/>
      <c r="BG2673" s="315"/>
      <c r="BH2673" s="42"/>
    </row>
    <row r="2674" spans="51:60" x14ac:dyDescent="0.2">
      <c r="AY2674" s="315"/>
      <c r="AZ2674" s="326"/>
      <c r="BA2674" s="175"/>
      <c r="BB2674" s="42"/>
      <c r="BC2674" s="431"/>
      <c r="BG2674" s="315"/>
      <c r="BH2674" s="42"/>
    </row>
    <row r="2675" spans="51:60" x14ac:dyDescent="0.2">
      <c r="AY2675" s="315"/>
      <c r="AZ2675" s="326"/>
      <c r="BA2675" s="175"/>
      <c r="BB2675" s="42"/>
      <c r="BC2675" s="431"/>
      <c r="BG2675" s="315"/>
      <c r="BH2675" s="42"/>
    </row>
    <row r="2676" spans="51:60" x14ac:dyDescent="0.2">
      <c r="AY2676" s="315"/>
      <c r="AZ2676" s="326"/>
      <c r="BA2676" s="175"/>
      <c r="BB2676" s="42"/>
      <c r="BC2676" s="431"/>
      <c r="BG2676" s="315"/>
      <c r="BH2676" s="42"/>
    </row>
    <row r="2677" spans="51:60" x14ac:dyDescent="0.2">
      <c r="AY2677" s="315"/>
      <c r="AZ2677" s="326"/>
      <c r="BA2677" s="175"/>
      <c r="BB2677" s="42"/>
      <c r="BC2677" s="431"/>
      <c r="BG2677" s="315"/>
      <c r="BH2677" s="42"/>
    </row>
    <row r="2678" spans="51:60" x14ac:dyDescent="0.2">
      <c r="AY2678" s="315"/>
      <c r="AZ2678" s="326"/>
      <c r="BA2678" s="175"/>
      <c r="BB2678" s="42"/>
      <c r="BC2678" s="431"/>
      <c r="BG2678" s="315"/>
      <c r="BH2678" s="42"/>
    </row>
    <row r="2679" spans="51:60" x14ac:dyDescent="0.2">
      <c r="AY2679" s="315"/>
      <c r="AZ2679" s="326"/>
      <c r="BA2679" s="175"/>
      <c r="BB2679" s="42"/>
      <c r="BC2679" s="431"/>
      <c r="BG2679" s="315"/>
      <c r="BH2679" s="42"/>
    </row>
    <row r="2680" spans="51:60" x14ac:dyDescent="0.2">
      <c r="AY2680" s="315"/>
      <c r="AZ2680" s="326"/>
      <c r="BA2680" s="175"/>
      <c r="BB2680" s="42"/>
      <c r="BC2680" s="431"/>
      <c r="BG2680" s="315"/>
      <c r="BH2680" s="42"/>
    </row>
    <row r="2681" spans="51:60" x14ac:dyDescent="0.2">
      <c r="AY2681" s="315"/>
      <c r="AZ2681" s="326"/>
      <c r="BA2681" s="175"/>
      <c r="BB2681" s="42"/>
      <c r="BC2681" s="431"/>
      <c r="BG2681" s="315"/>
      <c r="BH2681" s="42"/>
    </row>
    <row r="2682" spans="51:60" x14ac:dyDescent="0.2">
      <c r="AY2682" s="315"/>
      <c r="AZ2682" s="326"/>
      <c r="BA2682" s="175"/>
      <c r="BB2682" s="42"/>
      <c r="BC2682" s="431"/>
      <c r="BG2682" s="315"/>
      <c r="BH2682" s="42"/>
    </row>
    <row r="2683" spans="51:60" x14ac:dyDescent="0.2">
      <c r="AY2683" s="315"/>
      <c r="AZ2683" s="326"/>
      <c r="BA2683" s="175"/>
      <c r="BB2683" s="42"/>
      <c r="BC2683" s="431"/>
      <c r="BG2683" s="315"/>
      <c r="BH2683" s="42"/>
    </row>
    <row r="2684" spans="51:60" x14ac:dyDescent="0.2">
      <c r="AY2684" s="315"/>
      <c r="AZ2684" s="326"/>
      <c r="BA2684" s="175"/>
      <c r="BB2684" s="42"/>
      <c r="BC2684" s="431"/>
      <c r="BG2684" s="315"/>
      <c r="BH2684" s="42"/>
    </row>
    <row r="2685" spans="51:60" x14ac:dyDescent="0.2">
      <c r="AY2685" s="315"/>
      <c r="AZ2685" s="326"/>
      <c r="BA2685" s="175"/>
      <c r="BB2685" s="42"/>
      <c r="BC2685" s="431"/>
      <c r="BG2685" s="315"/>
      <c r="BH2685" s="42"/>
    </row>
    <row r="2686" spans="51:60" x14ac:dyDescent="0.2">
      <c r="AY2686" s="315"/>
      <c r="AZ2686" s="326"/>
      <c r="BA2686" s="175"/>
      <c r="BB2686" s="42"/>
      <c r="BC2686" s="431"/>
      <c r="BG2686" s="315"/>
      <c r="BH2686" s="42"/>
    </row>
    <row r="2687" spans="51:60" x14ac:dyDescent="0.2">
      <c r="AY2687" s="315"/>
      <c r="AZ2687" s="326"/>
      <c r="BA2687" s="175"/>
      <c r="BB2687" s="42"/>
      <c r="BC2687" s="431"/>
      <c r="BG2687" s="315"/>
      <c r="BH2687" s="42"/>
    </row>
    <row r="2688" spans="51:60" x14ac:dyDescent="0.2">
      <c r="AY2688" s="315"/>
      <c r="AZ2688" s="326"/>
      <c r="BA2688" s="175"/>
      <c r="BB2688" s="42"/>
      <c r="BC2688" s="431"/>
      <c r="BG2688" s="315"/>
      <c r="BH2688" s="42"/>
    </row>
    <row r="2689" spans="51:60" x14ac:dyDescent="0.2">
      <c r="AY2689" s="315"/>
      <c r="AZ2689" s="326"/>
      <c r="BA2689" s="175"/>
      <c r="BB2689" s="42"/>
      <c r="BC2689" s="431"/>
      <c r="BG2689" s="315"/>
      <c r="BH2689" s="42"/>
    </row>
    <row r="2690" spans="51:60" x14ac:dyDescent="0.2">
      <c r="AY2690" s="315"/>
      <c r="AZ2690" s="326"/>
      <c r="BA2690" s="175"/>
      <c r="BB2690" s="42"/>
      <c r="BC2690" s="431"/>
      <c r="BG2690" s="315"/>
      <c r="BH2690" s="42"/>
    </row>
    <row r="2691" spans="51:60" x14ac:dyDescent="0.2">
      <c r="AY2691" s="315"/>
      <c r="AZ2691" s="326"/>
      <c r="BA2691" s="175"/>
      <c r="BB2691" s="42"/>
      <c r="BC2691" s="431"/>
      <c r="BG2691" s="315"/>
      <c r="BH2691" s="42"/>
    </row>
    <row r="2692" spans="51:60" x14ac:dyDescent="0.2">
      <c r="AY2692" s="315"/>
      <c r="AZ2692" s="326"/>
      <c r="BA2692" s="175"/>
      <c r="BB2692" s="42"/>
      <c r="BC2692" s="431"/>
      <c r="BG2692" s="315"/>
      <c r="BH2692" s="42"/>
    </row>
    <row r="2693" spans="51:60" x14ac:dyDescent="0.2">
      <c r="AY2693" s="315"/>
      <c r="AZ2693" s="326"/>
      <c r="BA2693" s="175"/>
      <c r="BB2693" s="42"/>
      <c r="BC2693" s="431"/>
      <c r="BG2693" s="315"/>
      <c r="BH2693" s="42"/>
    </row>
    <row r="2694" spans="51:60" x14ac:dyDescent="0.2">
      <c r="AY2694" s="315"/>
      <c r="AZ2694" s="326"/>
      <c r="BA2694" s="175"/>
      <c r="BB2694" s="42"/>
      <c r="BC2694" s="431"/>
      <c r="BG2694" s="315"/>
      <c r="BH2694" s="42"/>
    </row>
    <row r="2695" spans="51:60" x14ac:dyDescent="0.2">
      <c r="AY2695" s="315"/>
      <c r="AZ2695" s="326"/>
      <c r="BA2695" s="175"/>
      <c r="BB2695" s="42"/>
      <c r="BC2695" s="431"/>
      <c r="BG2695" s="315"/>
      <c r="BH2695" s="42"/>
    </row>
    <row r="2696" spans="51:60" x14ac:dyDescent="0.2">
      <c r="AY2696" s="315"/>
      <c r="AZ2696" s="326"/>
      <c r="BA2696" s="175"/>
      <c r="BB2696" s="42"/>
      <c r="BC2696" s="431"/>
      <c r="BG2696" s="315"/>
      <c r="BH2696" s="42"/>
    </row>
    <row r="2697" spans="51:60" x14ac:dyDescent="0.2">
      <c r="AY2697" s="315"/>
      <c r="AZ2697" s="326"/>
      <c r="BA2697" s="175"/>
      <c r="BB2697" s="42"/>
      <c r="BC2697" s="431"/>
      <c r="BG2697" s="315"/>
      <c r="BH2697" s="42"/>
    </row>
    <row r="2698" spans="51:60" x14ac:dyDescent="0.2">
      <c r="AY2698" s="315"/>
      <c r="AZ2698" s="326"/>
      <c r="BA2698" s="175"/>
      <c r="BB2698" s="42"/>
      <c r="BC2698" s="431"/>
      <c r="BG2698" s="315"/>
      <c r="BH2698" s="42"/>
    </row>
    <row r="2699" spans="51:60" x14ac:dyDescent="0.2">
      <c r="AY2699" s="315"/>
      <c r="AZ2699" s="326"/>
      <c r="BA2699" s="175"/>
      <c r="BB2699" s="42"/>
      <c r="BC2699" s="431"/>
      <c r="BG2699" s="315"/>
      <c r="BH2699" s="42"/>
    </row>
    <row r="2700" spans="51:60" x14ac:dyDescent="0.2">
      <c r="AY2700" s="315"/>
      <c r="AZ2700" s="326"/>
      <c r="BA2700" s="175"/>
      <c r="BB2700" s="42"/>
      <c r="BC2700" s="431"/>
      <c r="BG2700" s="315"/>
      <c r="BH2700" s="42"/>
    </row>
    <row r="2701" spans="51:60" x14ac:dyDescent="0.2">
      <c r="AY2701" s="315"/>
      <c r="AZ2701" s="326"/>
      <c r="BA2701" s="175"/>
      <c r="BB2701" s="42"/>
      <c r="BC2701" s="431"/>
      <c r="BG2701" s="315"/>
      <c r="BH2701" s="42"/>
    </row>
    <row r="2702" spans="51:60" x14ac:dyDescent="0.2">
      <c r="AY2702" s="315"/>
      <c r="AZ2702" s="326"/>
      <c r="BA2702" s="175"/>
      <c r="BB2702" s="42"/>
      <c r="BC2702" s="431"/>
      <c r="BG2702" s="315"/>
      <c r="BH2702" s="42"/>
    </row>
    <row r="2703" spans="51:60" x14ac:dyDescent="0.2">
      <c r="AY2703" s="315"/>
      <c r="AZ2703" s="326"/>
      <c r="BA2703" s="175"/>
      <c r="BB2703" s="42"/>
      <c r="BC2703" s="431"/>
      <c r="BG2703" s="315"/>
      <c r="BH2703" s="42"/>
    </row>
    <row r="2704" spans="51:60" x14ac:dyDescent="0.2">
      <c r="AY2704" s="315"/>
      <c r="AZ2704" s="326"/>
      <c r="BA2704" s="175"/>
      <c r="BB2704" s="42"/>
      <c r="BC2704" s="431"/>
      <c r="BG2704" s="315"/>
      <c r="BH2704" s="42"/>
    </row>
    <row r="2705" spans="51:60" x14ac:dyDescent="0.2">
      <c r="AY2705" s="315"/>
      <c r="AZ2705" s="326"/>
      <c r="BA2705" s="175"/>
      <c r="BB2705" s="42"/>
      <c r="BC2705" s="431"/>
      <c r="BG2705" s="315"/>
      <c r="BH2705" s="42"/>
    </row>
    <row r="2706" spans="51:60" x14ac:dyDescent="0.2">
      <c r="AY2706" s="315"/>
      <c r="AZ2706" s="326"/>
      <c r="BA2706" s="175"/>
      <c r="BB2706" s="42"/>
      <c r="BC2706" s="431"/>
      <c r="BG2706" s="315"/>
      <c r="BH2706" s="42"/>
    </row>
    <row r="2707" spans="51:60" x14ac:dyDescent="0.2">
      <c r="AY2707" s="315"/>
      <c r="AZ2707" s="326"/>
      <c r="BA2707" s="175"/>
      <c r="BB2707" s="42"/>
      <c r="BC2707" s="431"/>
      <c r="BG2707" s="315"/>
      <c r="BH2707" s="42"/>
    </row>
    <row r="2708" spans="51:60" x14ac:dyDescent="0.2">
      <c r="AY2708" s="315"/>
      <c r="AZ2708" s="326"/>
      <c r="BA2708" s="175"/>
      <c r="BB2708" s="42"/>
      <c r="BC2708" s="431"/>
      <c r="BG2708" s="315"/>
      <c r="BH2708" s="42"/>
    </row>
    <row r="2709" spans="51:60" x14ac:dyDescent="0.2">
      <c r="AY2709" s="315"/>
      <c r="AZ2709" s="326"/>
      <c r="BA2709" s="175"/>
      <c r="BB2709" s="42"/>
      <c r="BC2709" s="431"/>
      <c r="BG2709" s="315"/>
      <c r="BH2709" s="42"/>
    </row>
    <row r="2710" spans="51:60" x14ac:dyDescent="0.2">
      <c r="AY2710" s="315"/>
      <c r="AZ2710" s="326"/>
      <c r="BA2710" s="175"/>
      <c r="BB2710" s="42"/>
      <c r="BC2710" s="431"/>
      <c r="BG2710" s="315"/>
      <c r="BH2710" s="42"/>
    </row>
    <row r="2711" spans="51:60" x14ac:dyDescent="0.2">
      <c r="AY2711" s="315"/>
      <c r="AZ2711" s="326"/>
      <c r="BA2711" s="175"/>
      <c r="BB2711" s="42"/>
      <c r="BC2711" s="431"/>
      <c r="BG2711" s="315"/>
      <c r="BH2711" s="42"/>
    </row>
    <row r="2712" spans="51:60" x14ac:dyDescent="0.2">
      <c r="AY2712" s="315"/>
      <c r="AZ2712" s="326"/>
      <c r="BA2712" s="175"/>
      <c r="BB2712" s="42"/>
      <c r="BC2712" s="431"/>
      <c r="BG2712" s="315"/>
      <c r="BH2712" s="42"/>
    </row>
    <row r="2713" spans="51:60" x14ac:dyDescent="0.2">
      <c r="AY2713" s="315"/>
      <c r="AZ2713" s="326"/>
      <c r="BA2713" s="175"/>
      <c r="BB2713" s="42"/>
      <c r="BC2713" s="431"/>
      <c r="BG2713" s="315"/>
      <c r="BH2713" s="42"/>
    </row>
    <row r="2714" spans="51:60" x14ac:dyDescent="0.2">
      <c r="AY2714" s="315"/>
      <c r="AZ2714" s="326"/>
      <c r="BA2714" s="175"/>
      <c r="BB2714" s="42"/>
      <c r="BC2714" s="431"/>
      <c r="BG2714" s="315"/>
      <c r="BH2714" s="42"/>
    </row>
    <row r="2715" spans="51:60" x14ac:dyDescent="0.2">
      <c r="AY2715" s="315"/>
      <c r="AZ2715" s="326"/>
      <c r="BA2715" s="175"/>
      <c r="BB2715" s="42"/>
      <c r="BC2715" s="431"/>
      <c r="BG2715" s="315"/>
      <c r="BH2715" s="42"/>
    </row>
    <row r="2716" spans="51:60" x14ac:dyDescent="0.2">
      <c r="AY2716" s="315"/>
      <c r="AZ2716" s="326"/>
      <c r="BA2716" s="175"/>
      <c r="BB2716" s="42"/>
      <c r="BC2716" s="431"/>
      <c r="BG2716" s="315"/>
      <c r="BH2716" s="42"/>
    </row>
    <row r="2717" spans="51:60" x14ac:dyDescent="0.2">
      <c r="AY2717" s="315"/>
      <c r="AZ2717" s="326"/>
      <c r="BA2717" s="175"/>
      <c r="BB2717" s="42"/>
      <c r="BC2717" s="431"/>
      <c r="BG2717" s="315"/>
      <c r="BH2717" s="42"/>
    </row>
    <row r="2718" spans="51:60" x14ac:dyDescent="0.2">
      <c r="AY2718" s="315"/>
      <c r="AZ2718" s="326"/>
      <c r="BA2718" s="175"/>
      <c r="BB2718" s="42"/>
      <c r="BC2718" s="431"/>
      <c r="BG2718" s="315"/>
      <c r="BH2718" s="42"/>
    </row>
    <row r="2719" spans="51:60" x14ac:dyDescent="0.2">
      <c r="AY2719" s="315"/>
      <c r="AZ2719" s="326"/>
      <c r="BA2719" s="175"/>
      <c r="BB2719" s="42"/>
      <c r="BC2719" s="431"/>
      <c r="BG2719" s="315"/>
      <c r="BH2719" s="42"/>
    </row>
    <row r="2720" spans="51:60" x14ac:dyDescent="0.2">
      <c r="AY2720" s="315"/>
      <c r="AZ2720" s="326"/>
      <c r="BA2720" s="175"/>
      <c r="BB2720" s="42"/>
      <c r="BC2720" s="431"/>
      <c r="BG2720" s="315"/>
      <c r="BH2720" s="42"/>
    </row>
    <row r="2721" spans="51:60" x14ac:dyDescent="0.2">
      <c r="AY2721" s="315"/>
      <c r="AZ2721" s="326"/>
      <c r="BA2721" s="175"/>
      <c r="BB2721" s="42"/>
      <c r="BC2721" s="431"/>
      <c r="BG2721" s="315"/>
      <c r="BH2721" s="42"/>
    </row>
    <row r="2722" spans="51:60" x14ac:dyDescent="0.2">
      <c r="AY2722" s="315"/>
      <c r="AZ2722" s="326"/>
      <c r="BA2722" s="175"/>
      <c r="BB2722" s="42"/>
      <c r="BC2722" s="431"/>
      <c r="BG2722" s="315"/>
      <c r="BH2722" s="42"/>
    </row>
    <row r="2723" spans="51:60" x14ac:dyDescent="0.2">
      <c r="AY2723" s="315"/>
      <c r="AZ2723" s="326"/>
      <c r="BA2723" s="175"/>
      <c r="BB2723" s="42"/>
      <c r="BC2723" s="431"/>
      <c r="BG2723" s="315"/>
      <c r="BH2723" s="42"/>
    </row>
    <row r="2724" spans="51:60" x14ac:dyDescent="0.2">
      <c r="AY2724" s="315"/>
      <c r="AZ2724" s="326"/>
      <c r="BA2724" s="175"/>
      <c r="BB2724" s="42"/>
      <c r="BC2724" s="431"/>
      <c r="BG2724" s="315"/>
      <c r="BH2724" s="42"/>
    </row>
    <row r="2725" spans="51:60" x14ac:dyDescent="0.2">
      <c r="AY2725" s="315"/>
      <c r="AZ2725" s="326"/>
      <c r="BA2725" s="175"/>
      <c r="BB2725" s="42"/>
      <c r="BC2725" s="431"/>
      <c r="BG2725" s="315"/>
      <c r="BH2725" s="42"/>
    </row>
    <row r="2726" spans="51:60" x14ac:dyDescent="0.2">
      <c r="AY2726" s="315"/>
      <c r="AZ2726" s="326"/>
      <c r="BA2726" s="175"/>
      <c r="BB2726" s="42"/>
      <c r="BC2726" s="431"/>
      <c r="BG2726" s="315"/>
      <c r="BH2726" s="42"/>
    </row>
    <row r="2727" spans="51:60" x14ac:dyDescent="0.2">
      <c r="AY2727" s="315"/>
      <c r="AZ2727" s="326"/>
      <c r="BA2727" s="175"/>
      <c r="BB2727" s="42"/>
      <c r="BC2727" s="431"/>
      <c r="BG2727" s="315"/>
      <c r="BH2727" s="42"/>
    </row>
    <row r="2728" spans="51:60" x14ac:dyDescent="0.2">
      <c r="AY2728" s="315"/>
      <c r="AZ2728" s="326"/>
      <c r="BA2728" s="175"/>
      <c r="BB2728" s="42"/>
      <c r="BC2728" s="431"/>
      <c r="BG2728" s="315"/>
      <c r="BH2728" s="42"/>
    </row>
    <row r="2729" spans="51:60" x14ac:dyDescent="0.2">
      <c r="AY2729" s="315"/>
      <c r="AZ2729" s="326"/>
      <c r="BA2729" s="175"/>
      <c r="BB2729" s="42"/>
      <c r="BC2729" s="431"/>
      <c r="BG2729" s="315"/>
      <c r="BH2729" s="42"/>
    </row>
    <row r="2730" spans="51:60" x14ac:dyDescent="0.2">
      <c r="AY2730" s="315"/>
      <c r="AZ2730" s="326"/>
      <c r="BA2730" s="175"/>
      <c r="BB2730" s="42"/>
      <c r="BC2730" s="431"/>
      <c r="BG2730" s="315"/>
      <c r="BH2730" s="42"/>
    </row>
    <row r="2731" spans="51:60" x14ac:dyDescent="0.2">
      <c r="AY2731" s="315"/>
      <c r="AZ2731" s="326"/>
      <c r="BA2731" s="175"/>
      <c r="BB2731" s="42"/>
      <c r="BC2731" s="431"/>
      <c r="BG2731" s="315"/>
      <c r="BH2731" s="42"/>
    </row>
    <row r="2732" spans="51:60" x14ac:dyDescent="0.2">
      <c r="AY2732" s="315"/>
      <c r="AZ2732" s="326"/>
      <c r="BA2732" s="175"/>
      <c r="BB2732" s="42"/>
      <c r="BC2732" s="431"/>
      <c r="BG2732" s="315"/>
      <c r="BH2732" s="42"/>
    </row>
    <row r="2733" spans="51:60" x14ac:dyDescent="0.2">
      <c r="AY2733" s="315"/>
      <c r="AZ2733" s="326"/>
      <c r="BA2733" s="175"/>
      <c r="BB2733" s="42"/>
      <c r="BC2733" s="431"/>
      <c r="BG2733" s="315"/>
      <c r="BH2733" s="42"/>
    </row>
    <row r="2734" spans="51:60" x14ac:dyDescent="0.2">
      <c r="AY2734" s="315"/>
      <c r="AZ2734" s="326"/>
      <c r="BA2734" s="175"/>
      <c r="BB2734" s="42"/>
      <c r="BC2734" s="431"/>
      <c r="BG2734" s="315"/>
      <c r="BH2734" s="42"/>
    </row>
    <row r="2735" spans="51:60" x14ac:dyDescent="0.2">
      <c r="AY2735" s="315"/>
      <c r="AZ2735" s="326"/>
      <c r="BA2735" s="175"/>
      <c r="BB2735" s="42"/>
      <c r="BC2735" s="431"/>
      <c r="BG2735" s="315"/>
      <c r="BH2735" s="42"/>
    </row>
    <row r="2736" spans="51:60" x14ac:dyDescent="0.2">
      <c r="AY2736" s="315"/>
      <c r="AZ2736" s="326"/>
      <c r="BA2736" s="175"/>
      <c r="BB2736" s="42"/>
      <c r="BC2736" s="431"/>
      <c r="BG2736" s="315"/>
      <c r="BH2736" s="42"/>
    </row>
    <row r="2737" spans="51:60" x14ac:dyDescent="0.2">
      <c r="AY2737" s="315"/>
      <c r="AZ2737" s="326"/>
      <c r="BA2737" s="175"/>
      <c r="BB2737" s="42"/>
      <c r="BC2737" s="431"/>
      <c r="BG2737" s="315"/>
      <c r="BH2737" s="42"/>
    </row>
    <row r="2738" spans="51:60" x14ac:dyDescent="0.2">
      <c r="AY2738" s="315"/>
      <c r="AZ2738" s="326"/>
      <c r="BA2738" s="175"/>
      <c r="BB2738" s="42"/>
      <c r="BC2738" s="431"/>
      <c r="BG2738" s="315"/>
      <c r="BH2738" s="42"/>
    </row>
    <row r="2739" spans="51:60" x14ac:dyDescent="0.2">
      <c r="AY2739" s="315"/>
      <c r="AZ2739" s="326"/>
      <c r="BA2739" s="175"/>
      <c r="BB2739" s="42"/>
      <c r="BC2739" s="431"/>
      <c r="BG2739" s="315"/>
      <c r="BH2739" s="42"/>
    </row>
    <row r="2740" spans="51:60" x14ac:dyDescent="0.2">
      <c r="AY2740" s="315"/>
      <c r="AZ2740" s="326"/>
      <c r="BA2740" s="175"/>
      <c r="BB2740" s="42"/>
      <c r="BC2740" s="431"/>
      <c r="BG2740" s="315"/>
      <c r="BH2740" s="42"/>
    </row>
    <row r="2741" spans="51:60" x14ac:dyDescent="0.2">
      <c r="AY2741" s="315"/>
      <c r="AZ2741" s="326"/>
      <c r="BA2741" s="175"/>
      <c r="BB2741" s="42"/>
      <c r="BC2741" s="431"/>
      <c r="BG2741" s="315"/>
      <c r="BH2741" s="42"/>
    </row>
    <row r="2742" spans="51:60" x14ac:dyDescent="0.2">
      <c r="AY2742" s="315"/>
      <c r="AZ2742" s="326"/>
      <c r="BA2742" s="175"/>
      <c r="BB2742" s="42"/>
      <c r="BC2742" s="431"/>
      <c r="BG2742" s="315"/>
      <c r="BH2742" s="42"/>
    </row>
    <row r="2743" spans="51:60" x14ac:dyDescent="0.2">
      <c r="AY2743" s="315"/>
      <c r="AZ2743" s="326"/>
      <c r="BA2743" s="175"/>
      <c r="BB2743" s="42"/>
      <c r="BC2743" s="431"/>
      <c r="BG2743" s="315"/>
      <c r="BH2743" s="42"/>
    </row>
    <row r="2744" spans="51:60" x14ac:dyDescent="0.2">
      <c r="AY2744" s="315"/>
      <c r="AZ2744" s="326"/>
      <c r="BA2744" s="175"/>
      <c r="BB2744" s="42"/>
      <c r="BC2744" s="431"/>
      <c r="BG2744" s="315"/>
      <c r="BH2744" s="42"/>
    </row>
    <row r="2745" spans="51:60" x14ac:dyDescent="0.2">
      <c r="AY2745" s="315"/>
      <c r="AZ2745" s="326"/>
      <c r="BA2745" s="175"/>
      <c r="BB2745" s="42"/>
      <c r="BC2745" s="431"/>
      <c r="BG2745" s="315"/>
      <c r="BH2745" s="42"/>
    </row>
    <row r="2746" spans="51:60" x14ac:dyDescent="0.2">
      <c r="AY2746" s="315"/>
      <c r="AZ2746" s="326"/>
      <c r="BA2746" s="175"/>
      <c r="BB2746" s="42"/>
      <c r="BC2746" s="431"/>
      <c r="BG2746" s="315"/>
      <c r="BH2746" s="42"/>
    </row>
    <row r="2747" spans="51:60" x14ac:dyDescent="0.2">
      <c r="AY2747" s="315"/>
      <c r="AZ2747" s="326"/>
      <c r="BA2747" s="175"/>
      <c r="BB2747" s="42"/>
      <c r="BC2747" s="431"/>
      <c r="BG2747" s="315"/>
      <c r="BH2747" s="42"/>
    </row>
    <row r="2748" spans="51:60" x14ac:dyDescent="0.2">
      <c r="AY2748" s="315"/>
      <c r="AZ2748" s="326"/>
      <c r="BA2748" s="175"/>
      <c r="BB2748" s="42"/>
      <c r="BC2748" s="431"/>
      <c r="BG2748" s="315"/>
      <c r="BH2748" s="42"/>
    </row>
    <row r="2749" spans="51:60" x14ac:dyDescent="0.2">
      <c r="AY2749" s="315"/>
      <c r="AZ2749" s="326"/>
      <c r="BA2749" s="175"/>
      <c r="BB2749" s="42"/>
      <c r="BC2749" s="431"/>
      <c r="BG2749" s="315"/>
      <c r="BH2749" s="42"/>
    </row>
    <row r="2750" spans="51:60" x14ac:dyDescent="0.2">
      <c r="AY2750" s="315"/>
      <c r="AZ2750" s="326"/>
      <c r="BA2750" s="175"/>
      <c r="BB2750" s="42"/>
      <c r="BC2750" s="431"/>
      <c r="BG2750" s="315"/>
      <c r="BH2750" s="42"/>
    </row>
    <row r="2751" spans="51:60" x14ac:dyDescent="0.2">
      <c r="AY2751" s="315"/>
      <c r="AZ2751" s="326"/>
      <c r="BA2751" s="175"/>
      <c r="BB2751" s="42"/>
      <c r="BC2751" s="431"/>
      <c r="BG2751" s="315"/>
      <c r="BH2751" s="42"/>
    </row>
    <row r="2752" spans="51:60" x14ac:dyDescent="0.2">
      <c r="AY2752" s="315"/>
      <c r="AZ2752" s="326"/>
      <c r="BA2752" s="175"/>
      <c r="BB2752" s="42"/>
      <c r="BC2752" s="431"/>
      <c r="BG2752" s="315"/>
      <c r="BH2752" s="42"/>
    </row>
    <row r="2753" spans="51:60" x14ac:dyDescent="0.2">
      <c r="AY2753" s="315"/>
      <c r="AZ2753" s="326"/>
      <c r="BA2753" s="175"/>
      <c r="BB2753" s="42"/>
      <c r="BC2753" s="431"/>
      <c r="BG2753" s="315"/>
      <c r="BH2753" s="42"/>
    </row>
    <row r="2754" spans="51:60" x14ac:dyDescent="0.2">
      <c r="AY2754" s="315"/>
      <c r="AZ2754" s="326"/>
      <c r="BA2754" s="175"/>
      <c r="BB2754" s="42"/>
      <c r="BC2754" s="431"/>
      <c r="BG2754" s="315"/>
      <c r="BH2754" s="42"/>
    </row>
    <row r="2755" spans="51:60" x14ac:dyDescent="0.2">
      <c r="AY2755" s="315"/>
      <c r="AZ2755" s="326"/>
      <c r="BA2755" s="175"/>
      <c r="BB2755" s="42"/>
      <c r="BC2755" s="431"/>
      <c r="BG2755" s="315"/>
      <c r="BH2755" s="42"/>
    </row>
    <row r="2756" spans="51:60" x14ac:dyDescent="0.2">
      <c r="AY2756" s="315"/>
      <c r="AZ2756" s="326"/>
      <c r="BA2756" s="175"/>
      <c r="BB2756" s="42"/>
      <c r="BC2756" s="431"/>
      <c r="BG2756" s="315"/>
      <c r="BH2756" s="42"/>
    </row>
    <row r="2757" spans="51:60" x14ac:dyDescent="0.2">
      <c r="AY2757" s="315"/>
      <c r="AZ2757" s="326"/>
      <c r="BA2757" s="175"/>
      <c r="BB2757" s="42"/>
      <c r="BC2757" s="431"/>
      <c r="BG2757" s="315"/>
      <c r="BH2757" s="42"/>
    </row>
    <row r="2758" spans="51:60" x14ac:dyDescent="0.2">
      <c r="AY2758" s="315"/>
      <c r="AZ2758" s="326"/>
      <c r="BA2758" s="175"/>
      <c r="BB2758" s="42"/>
      <c r="BC2758" s="431"/>
      <c r="BG2758" s="315"/>
      <c r="BH2758" s="42"/>
    </row>
    <row r="2759" spans="51:60" x14ac:dyDescent="0.2">
      <c r="AY2759" s="315"/>
      <c r="AZ2759" s="326"/>
      <c r="BA2759" s="175"/>
      <c r="BB2759" s="42"/>
      <c r="BC2759" s="431"/>
      <c r="BG2759" s="315"/>
      <c r="BH2759" s="42"/>
    </row>
    <row r="2760" spans="51:60" x14ac:dyDescent="0.2">
      <c r="AY2760" s="315"/>
      <c r="AZ2760" s="326"/>
      <c r="BA2760" s="175"/>
      <c r="BB2760" s="42"/>
      <c r="BC2760" s="431"/>
      <c r="BG2760" s="315"/>
      <c r="BH2760" s="42"/>
    </row>
    <row r="2761" spans="51:60" x14ac:dyDescent="0.2">
      <c r="AY2761" s="315"/>
      <c r="AZ2761" s="326"/>
      <c r="BA2761" s="175"/>
      <c r="BB2761" s="42"/>
      <c r="BC2761" s="431"/>
      <c r="BG2761" s="315"/>
      <c r="BH2761" s="42"/>
    </row>
    <row r="2762" spans="51:60" x14ac:dyDescent="0.2">
      <c r="AY2762" s="315"/>
      <c r="AZ2762" s="326"/>
      <c r="BA2762" s="175"/>
      <c r="BB2762" s="42"/>
      <c r="BC2762" s="431"/>
      <c r="BG2762" s="315"/>
      <c r="BH2762" s="42"/>
    </row>
    <row r="2763" spans="51:60" x14ac:dyDescent="0.2">
      <c r="AY2763" s="315"/>
      <c r="AZ2763" s="326"/>
      <c r="BA2763" s="175"/>
      <c r="BB2763" s="42"/>
      <c r="BC2763" s="431"/>
      <c r="BG2763" s="315"/>
      <c r="BH2763" s="42"/>
    </row>
    <row r="2764" spans="51:60" x14ac:dyDescent="0.2">
      <c r="AY2764" s="315"/>
      <c r="AZ2764" s="326"/>
      <c r="BA2764" s="175"/>
      <c r="BB2764" s="42"/>
      <c r="BC2764" s="431"/>
      <c r="BG2764" s="315"/>
      <c r="BH2764" s="42"/>
    </row>
    <row r="2765" spans="51:60" x14ac:dyDescent="0.2">
      <c r="AY2765" s="315"/>
      <c r="AZ2765" s="326"/>
      <c r="BA2765" s="175"/>
      <c r="BB2765" s="42"/>
      <c r="BC2765" s="431"/>
      <c r="BG2765" s="315"/>
      <c r="BH2765" s="42"/>
    </row>
    <row r="2766" spans="51:60" x14ac:dyDescent="0.2">
      <c r="AY2766" s="315"/>
      <c r="AZ2766" s="326"/>
      <c r="BA2766" s="175"/>
      <c r="BB2766" s="42"/>
      <c r="BC2766" s="431"/>
      <c r="BG2766" s="315"/>
      <c r="BH2766" s="42"/>
    </row>
    <row r="2767" spans="51:60" x14ac:dyDescent="0.2">
      <c r="AY2767" s="315"/>
      <c r="AZ2767" s="326"/>
      <c r="BA2767" s="175"/>
      <c r="BB2767" s="42"/>
      <c r="BC2767" s="431"/>
      <c r="BG2767" s="315"/>
      <c r="BH2767" s="42"/>
    </row>
    <row r="2768" spans="51:60" x14ac:dyDescent="0.2">
      <c r="AY2768" s="315"/>
      <c r="AZ2768" s="326"/>
      <c r="BA2768" s="175"/>
      <c r="BB2768" s="42"/>
      <c r="BC2768" s="431"/>
      <c r="BG2768" s="315"/>
      <c r="BH2768" s="42"/>
    </row>
    <row r="2769" spans="51:60" x14ac:dyDescent="0.2">
      <c r="AY2769" s="315"/>
      <c r="AZ2769" s="326"/>
      <c r="BA2769" s="175"/>
      <c r="BB2769" s="42"/>
      <c r="BC2769" s="431"/>
      <c r="BG2769" s="315"/>
      <c r="BH2769" s="42"/>
    </row>
    <row r="2770" spans="51:60" x14ac:dyDescent="0.2">
      <c r="AY2770" s="315"/>
      <c r="AZ2770" s="326"/>
      <c r="BA2770" s="175"/>
      <c r="BB2770" s="42"/>
      <c r="BC2770" s="431"/>
      <c r="BG2770" s="315"/>
      <c r="BH2770" s="42"/>
    </row>
    <row r="2771" spans="51:60" x14ac:dyDescent="0.2">
      <c r="AY2771" s="315"/>
      <c r="AZ2771" s="326"/>
      <c r="BA2771" s="175"/>
      <c r="BB2771" s="42"/>
      <c r="BC2771" s="431"/>
      <c r="BG2771" s="315"/>
      <c r="BH2771" s="42"/>
    </row>
    <row r="2772" spans="51:60" x14ac:dyDescent="0.2">
      <c r="AY2772" s="315"/>
      <c r="AZ2772" s="326"/>
      <c r="BA2772" s="175"/>
      <c r="BB2772" s="42"/>
      <c r="BC2772" s="431"/>
      <c r="BG2772" s="315"/>
      <c r="BH2772" s="42"/>
    </row>
    <row r="2773" spans="51:60" x14ac:dyDescent="0.2">
      <c r="AY2773" s="315"/>
      <c r="AZ2773" s="326"/>
      <c r="BA2773" s="175"/>
      <c r="BB2773" s="42"/>
      <c r="BC2773" s="431"/>
      <c r="BG2773" s="315"/>
      <c r="BH2773" s="42"/>
    </row>
    <row r="2774" spans="51:60" x14ac:dyDescent="0.2">
      <c r="AY2774" s="315"/>
      <c r="AZ2774" s="326"/>
      <c r="BA2774" s="175"/>
      <c r="BB2774" s="42"/>
      <c r="BC2774" s="431"/>
      <c r="BG2774" s="315"/>
      <c r="BH2774" s="42"/>
    </row>
    <row r="2775" spans="51:60" x14ac:dyDescent="0.2">
      <c r="AY2775" s="315"/>
      <c r="AZ2775" s="326"/>
      <c r="BA2775" s="175"/>
      <c r="BB2775" s="42"/>
      <c r="BC2775" s="431"/>
      <c r="BG2775" s="315"/>
      <c r="BH2775" s="42"/>
    </row>
    <row r="2776" spans="51:60" x14ac:dyDescent="0.2">
      <c r="AY2776" s="315"/>
      <c r="AZ2776" s="326"/>
      <c r="BA2776" s="175"/>
      <c r="BB2776" s="42"/>
      <c r="BC2776" s="431"/>
      <c r="BG2776" s="315"/>
      <c r="BH2776" s="42"/>
    </row>
    <row r="2777" spans="51:60" x14ac:dyDescent="0.2">
      <c r="AY2777" s="315"/>
      <c r="AZ2777" s="326"/>
      <c r="BA2777" s="175"/>
      <c r="BB2777" s="42"/>
      <c r="BC2777" s="431"/>
      <c r="BG2777" s="315"/>
      <c r="BH2777" s="42"/>
    </row>
    <row r="2778" spans="51:60" x14ac:dyDescent="0.2">
      <c r="AY2778" s="315"/>
      <c r="AZ2778" s="326"/>
      <c r="BA2778" s="175"/>
      <c r="BB2778" s="42"/>
      <c r="BC2778" s="431"/>
      <c r="BG2778" s="315"/>
      <c r="BH2778" s="42"/>
    </row>
    <row r="2779" spans="51:60" x14ac:dyDescent="0.2">
      <c r="AY2779" s="315"/>
      <c r="AZ2779" s="326"/>
      <c r="BA2779" s="175"/>
      <c r="BB2779" s="42"/>
      <c r="BC2779" s="431"/>
      <c r="BG2779" s="315"/>
      <c r="BH2779" s="42"/>
    </row>
    <row r="2780" spans="51:60" x14ac:dyDescent="0.2">
      <c r="AY2780" s="315"/>
      <c r="AZ2780" s="326"/>
      <c r="BA2780" s="175"/>
      <c r="BB2780" s="42"/>
      <c r="BC2780" s="431"/>
      <c r="BG2780" s="315"/>
      <c r="BH2780" s="42"/>
    </row>
    <row r="2781" spans="51:60" x14ac:dyDescent="0.2">
      <c r="AY2781" s="315"/>
      <c r="AZ2781" s="326"/>
      <c r="BA2781" s="175"/>
      <c r="BB2781" s="42"/>
      <c r="BC2781" s="431"/>
      <c r="BG2781" s="315"/>
      <c r="BH2781" s="42"/>
    </row>
    <row r="2782" spans="51:60" x14ac:dyDescent="0.2">
      <c r="AY2782" s="315"/>
      <c r="AZ2782" s="326"/>
      <c r="BA2782" s="175"/>
      <c r="BB2782" s="42"/>
      <c r="BC2782" s="431"/>
      <c r="BG2782" s="315"/>
      <c r="BH2782" s="42"/>
    </row>
    <row r="2783" spans="51:60" x14ac:dyDescent="0.2">
      <c r="AY2783" s="315"/>
      <c r="AZ2783" s="326"/>
      <c r="BA2783" s="175"/>
      <c r="BB2783" s="42"/>
      <c r="BC2783" s="431"/>
      <c r="BG2783" s="315"/>
      <c r="BH2783" s="42"/>
    </row>
    <row r="2784" spans="51:60" x14ac:dyDescent="0.2">
      <c r="AY2784" s="315"/>
      <c r="AZ2784" s="326"/>
      <c r="BA2784" s="175"/>
      <c r="BB2784" s="42"/>
      <c r="BC2784" s="431"/>
      <c r="BG2784" s="315"/>
      <c r="BH2784" s="42"/>
    </row>
    <row r="2785" spans="51:60" x14ac:dyDescent="0.2">
      <c r="AY2785" s="315"/>
      <c r="AZ2785" s="326"/>
      <c r="BA2785" s="175"/>
      <c r="BB2785" s="42"/>
      <c r="BC2785" s="431"/>
      <c r="BG2785" s="315"/>
      <c r="BH2785" s="42"/>
    </row>
    <row r="2786" spans="51:60" x14ac:dyDescent="0.2">
      <c r="AY2786" s="315"/>
      <c r="AZ2786" s="326"/>
      <c r="BA2786" s="175"/>
      <c r="BB2786" s="42"/>
      <c r="BC2786" s="431"/>
      <c r="BG2786" s="315"/>
      <c r="BH2786" s="42"/>
    </row>
    <row r="2787" spans="51:60" x14ac:dyDescent="0.2">
      <c r="AY2787" s="315"/>
      <c r="AZ2787" s="326"/>
      <c r="BA2787" s="175"/>
      <c r="BB2787" s="42"/>
      <c r="BC2787" s="431"/>
      <c r="BG2787" s="315"/>
      <c r="BH2787" s="42"/>
    </row>
    <row r="2788" spans="51:60" x14ac:dyDescent="0.2">
      <c r="AY2788" s="315"/>
      <c r="AZ2788" s="326"/>
      <c r="BA2788" s="175"/>
      <c r="BB2788" s="42"/>
      <c r="BC2788" s="431"/>
      <c r="BG2788" s="315"/>
      <c r="BH2788" s="42"/>
    </row>
    <row r="2789" spans="51:60" x14ac:dyDescent="0.2">
      <c r="AY2789" s="315"/>
      <c r="AZ2789" s="326"/>
      <c r="BA2789" s="175"/>
      <c r="BB2789" s="42"/>
      <c r="BC2789" s="431"/>
      <c r="BG2789" s="315"/>
      <c r="BH2789" s="42"/>
    </row>
    <row r="2790" spans="51:60" x14ac:dyDescent="0.2">
      <c r="AY2790" s="315"/>
      <c r="AZ2790" s="326"/>
      <c r="BA2790" s="175"/>
      <c r="BB2790" s="42"/>
      <c r="BC2790" s="431"/>
      <c r="BG2790" s="315"/>
      <c r="BH2790" s="42"/>
    </row>
    <row r="2791" spans="51:60" x14ac:dyDescent="0.2">
      <c r="AY2791" s="315"/>
      <c r="AZ2791" s="326"/>
      <c r="BA2791" s="175"/>
      <c r="BB2791" s="42"/>
      <c r="BC2791" s="431"/>
      <c r="BG2791" s="315"/>
      <c r="BH2791" s="42"/>
    </row>
    <row r="2792" spans="51:60" x14ac:dyDescent="0.2">
      <c r="AY2792" s="315"/>
      <c r="AZ2792" s="326"/>
      <c r="BA2792" s="175"/>
      <c r="BB2792" s="42"/>
      <c r="BC2792" s="431"/>
      <c r="BG2792" s="315"/>
      <c r="BH2792" s="42"/>
    </row>
    <row r="2793" spans="51:60" x14ac:dyDescent="0.2">
      <c r="AY2793" s="315"/>
      <c r="AZ2793" s="326"/>
      <c r="BA2793" s="175"/>
      <c r="BB2793" s="42"/>
      <c r="BC2793" s="431"/>
      <c r="BG2793" s="315"/>
      <c r="BH2793" s="42"/>
    </row>
    <row r="2794" spans="51:60" x14ac:dyDescent="0.2">
      <c r="AY2794" s="315"/>
      <c r="AZ2794" s="326"/>
      <c r="BA2794" s="175"/>
      <c r="BB2794" s="42"/>
      <c r="BC2794" s="431"/>
      <c r="BG2794" s="315"/>
      <c r="BH2794" s="42"/>
    </row>
    <row r="2795" spans="51:60" x14ac:dyDescent="0.2">
      <c r="AY2795" s="315"/>
      <c r="AZ2795" s="326"/>
      <c r="BA2795" s="175"/>
      <c r="BB2795" s="42"/>
      <c r="BC2795" s="431"/>
      <c r="BG2795" s="315"/>
      <c r="BH2795" s="42"/>
    </row>
    <row r="2796" spans="51:60" x14ac:dyDescent="0.2">
      <c r="AY2796" s="315"/>
      <c r="AZ2796" s="326"/>
      <c r="BA2796" s="175"/>
      <c r="BB2796" s="42"/>
      <c r="BC2796" s="431"/>
      <c r="BG2796" s="315"/>
      <c r="BH2796" s="42"/>
    </row>
    <row r="2797" spans="51:60" x14ac:dyDescent="0.2">
      <c r="AY2797" s="315"/>
      <c r="AZ2797" s="326"/>
      <c r="BA2797" s="175"/>
      <c r="BB2797" s="42"/>
      <c r="BC2797" s="431"/>
      <c r="BG2797" s="315"/>
      <c r="BH2797" s="42"/>
    </row>
    <row r="2798" spans="51:60" x14ac:dyDescent="0.2">
      <c r="AY2798" s="315"/>
      <c r="AZ2798" s="326"/>
      <c r="BA2798" s="175"/>
      <c r="BB2798" s="42"/>
      <c r="BC2798" s="431"/>
      <c r="BG2798" s="315"/>
      <c r="BH2798" s="42"/>
    </row>
    <row r="2799" spans="51:60" x14ac:dyDescent="0.2">
      <c r="AY2799" s="315"/>
      <c r="AZ2799" s="326"/>
      <c r="BA2799" s="175"/>
      <c r="BB2799" s="42"/>
      <c r="BC2799" s="431"/>
      <c r="BG2799" s="315"/>
      <c r="BH2799" s="42"/>
    </row>
    <row r="2800" spans="51:60" x14ac:dyDescent="0.2">
      <c r="AY2800" s="315"/>
      <c r="AZ2800" s="326"/>
      <c r="BA2800" s="175"/>
      <c r="BB2800" s="42"/>
      <c r="BC2800" s="431"/>
      <c r="BG2800" s="315"/>
      <c r="BH2800" s="42"/>
    </row>
    <row r="2801" spans="51:60" x14ac:dyDescent="0.2">
      <c r="AY2801" s="315"/>
      <c r="AZ2801" s="326"/>
      <c r="BA2801" s="175"/>
      <c r="BB2801" s="42"/>
      <c r="BC2801" s="431"/>
      <c r="BG2801" s="315"/>
      <c r="BH2801" s="42"/>
    </row>
    <row r="2802" spans="51:60" x14ac:dyDescent="0.2">
      <c r="AY2802" s="315"/>
      <c r="AZ2802" s="326"/>
      <c r="BA2802" s="175"/>
      <c r="BB2802" s="42"/>
      <c r="BC2802" s="431"/>
      <c r="BG2802" s="315"/>
      <c r="BH2802" s="42"/>
    </row>
    <row r="2803" spans="51:60" x14ac:dyDescent="0.2">
      <c r="AY2803" s="315"/>
      <c r="AZ2803" s="326"/>
      <c r="BA2803" s="175"/>
      <c r="BB2803" s="42"/>
      <c r="BC2803" s="431"/>
      <c r="BG2803" s="315"/>
      <c r="BH2803" s="42"/>
    </row>
    <row r="2804" spans="51:60" x14ac:dyDescent="0.2">
      <c r="AY2804" s="315"/>
      <c r="AZ2804" s="326"/>
      <c r="BA2804" s="175"/>
      <c r="BB2804" s="42"/>
      <c r="BC2804" s="431"/>
      <c r="BG2804" s="315"/>
      <c r="BH2804" s="42"/>
    </row>
    <row r="2805" spans="51:60" x14ac:dyDescent="0.2">
      <c r="AY2805" s="315"/>
      <c r="AZ2805" s="326"/>
      <c r="BA2805" s="175"/>
      <c r="BB2805" s="42"/>
      <c r="BC2805" s="431"/>
      <c r="BG2805" s="315"/>
      <c r="BH2805" s="42"/>
    </row>
    <row r="2806" spans="51:60" x14ac:dyDescent="0.2">
      <c r="AY2806" s="315"/>
      <c r="AZ2806" s="326"/>
      <c r="BA2806" s="175"/>
      <c r="BB2806" s="42"/>
      <c r="BC2806" s="431"/>
      <c r="BG2806" s="315"/>
      <c r="BH2806" s="42"/>
    </row>
    <row r="2807" spans="51:60" x14ac:dyDescent="0.2">
      <c r="AY2807" s="315"/>
      <c r="AZ2807" s="326"/>
      <c r="BA2807" s="175"/>
      <c r="BB2807" s="42"/>
      <c r="BC2807" s="431"/>
      <c r="BG2807" s="315"/>
      <c r="BH2807" s="42"/>
    </row>
    <row r="2808" spans="51:60" x14ac:dyDescent="0.2">
      <c r="AY2808" s="315"/>
      <c r="AZ2808" s="326"/>
      <c r="BA2808" s="175"/>
      <c r="BB2808" s="42"/>
      <c r="BC2808" s="431"/>
      <c r="BG2808" s="315"/>
      <c r="BH2808" s="42"/>
    </row>
    <row r="2809" spans="51:60" x14ac:dyDescent="0.2">
      <c r="AY2809" s="315"/>
      <c r="AZ2809" s="326"/>
      <c r="BA2809" s="175"/>
      <c r="BB2809" s="42"/>
      <c r="BC2809" s="431"/>
      <c r="BG2809" s="315"/>
      <c r="BH2809" s="42"/>
    </row>
    <row r="2810" spans="51:60" x14ac:dyDescent="0.2">
      <c r="AY2810" s="315"/>
      <c r="AZ2810" s="326"/>
      <c r="BA2810" s="175"/>
      <c r="BB2810" s="42"/>
      <c r="BC2810" s="431"/>
      <c r="BG2810" s="315"/>
      <c r="BH2810" s="42"/>
    </row>
    <row r="2811" spans="51:60" x14ac:dyDescent="0.2">
      <c r="AY2811" s="315"/>
      <c r="AZ2811" s="326"/>
      <c r="BA2811" s="175"/>
      <c r="BB2811" s="42"/>
      <c r="BC2811" s="431"/>
      <c r="BG2811" s="315"/>
      <c r="BH2811" s="42"/>
    </row>
    <row r="2812" spans="51:60" x14ac:dyDescent="0.2">
      <c r="AY2812" s="315"/>
      <c r="AZ2812" s="326"/>
      <c r="BA2812" s="175"/>
      <c r="BB2812" s="42"/>
      <c r="BC2812" s="431"/>
      <c r="BG2812" s="315"/>
      <c r="BH2812" s="42"/>
    </row>
    <row r="2813" spans="51:60" x14ac:dyDescent="0.2">
      <c r="AY2813" s="315"/>
      <c r="AZ2813" s="326"/>
      <c r="BA2813" s="175"/>
      <c r="BB2813" s="42"/>
      <c r="BC2813" s="431"/>
      <c r="BG2813" s="315"/>
      <c r="BH2813" s="42"/>
    </row>
    <row r="2814" spans="51:60" x14ac:dyDescent="0.2">
      <c r="AY2814" s="315"/>
      <c r="AZ2814" s="326"/>
      <c r="BA2814" s="175"/>
      <c r="BB2814" s="42"/>
      <c r="BC2814" s="431"/>
      <c r="BG2814" s="315"/>
      <c r="BH2814" s="42"/>
    </row>
    <row r="2815" spans="51:60" x14ac:dyDescent="0.2">
      <c r="AY2815" s="315"/>
      <c r="AZ2815" s="326"/>
      <c r="BA2815" s="175"/>
      <c r="BB2815" s="42"/>
      <c r="BC2815" s="431"/>
      <c r="BG2815" s="315"/>
      <c r="BH2815" s="42"/>
    </row>
    <row r="2816" spans="51:60" x14ac:dyDescent="0.2">
      <c r="AY2816" s="315"/>
      <c r="AZ2816" s="326"/>
      <c r="BA2816" s="175"/>
      <c r="BB2816" s="42"/>
      <c r="BC2816" s="431"/>
      <c r="BG2816" s="315"/>
      <c r="BH2816" s="42"/>
    </row>
    <row r="2817" spans="51:60" x14ac:dyDescent="0.2">
      <c r="AY2817" s="315"/>
      <c r="AZ2817" s="326"/>
      <c r="BA2817" s="175"/>
      <c r="BB2817" s="42"/>
      <c r="BC2817" s="431"/>
      <c r="BG2817" s="315"/>
      <c r="BH2817" s="42"/>
    </row>
    <row r="2818" spans="51:60" x14ac:dyDescent="0.2">
      <c r="AY2818" s="315"/>
      <c r="AZ2818" s="326"/>
      <c r="BA2818" s="175"/>
      <c r="BB2818" s="42"/>
      <c r="BC2818" s="431"/>
      <c r="BG2818" s="315"/>
      <c r="BH2818" s="42"/>
    </row>
    <row r="2819" spans="51:60" x14ac:dyDescent="0.2">
      <c r="AY2819" s="315"/>
      <c r="AZ2819" s="326"/>
      <c r="BA2819" s="175"/>
      <c r="BB2819" s="42"/>
      <c r="BC2819" s="431"/>
      <c r="BG2819" s="315"/>
      <c r="BH2819" s="42"/>
    </row>
    <row r="2820" spans="51:60" x14ac:dyDescent="0.2">
      <c r="AY2820" s="315"/>
      <c r="AZ2820" s="326"/>
      <c r="BA2820" s="175"/>
      <c r="BB2820" s="42"/>
      <c r="BC2820" s="431"/>
      <c r="BG2820" s="315"/>
      <c r="BH2820" s="42"/>
    </row>
    <row r="2821" spans="51:60" x14ac:dyDescent="0.2">
      <c r="AY2821" s="315"/>
      <c r="AZ2821" s="326"/>
      <c r="BA2821" s="175"/>
      <c r="BB2821" s="42"/>
      <c r="BC2821" s="431"/>
      <c r="BG2821" s="315"/>
      <c r="BH2821" s="42"/>
    </row>
    <row r="2822" spans="51:60" x14ac:dyDescent="0.2">
      <c r="AY2822" s="315"/>
      <c r="AZ2822" s="326"/>
      <c r="BA2822" s="175"/>
      <c r="BB2822" s="42"/>
      <c r="BC2822" s="431"/>
      <c r="BG2822" s="315"/>
      <c r="BH2822" s="42"/>
    </row>
    <row r="2823" spans="51:60" x14ac:dyDescent="0.2">
      <c r="AY2823" s="315"/>
      <c r="AZ2823" s="326"/>
      <c r="BA2823" s="175"/>
      <c r="BB2823" s="42"/>
      <c r="BC2823" s="431"/>
      <c r="BG2823" s="315"/>
      <c r="BH2823" s="42"/>
    </row>
    <row r="2824" spans="51:60" x14ac:dyDescent="0.2">
      <c r="AY2824" s="315"/>
      <c r="AZ2824" s="326"/>
      <c r="BA2824" s="175"/>
      <c r="BB2824" s="42"/>
      <c r="BC2824" s="431"/>
      <c r="BG2824" s="315"/>
      <c r="BH2824" s="42"/>
    </row>
    <row r="2825" spans="51:60" x14ac:dyDescent="0.2">
      <c r="AY2825" s="315"/>
      <c r="AZ2825" s="326"/>
      <c r="BA2825" s="175"/>
      <c r="BB2825" s="42"/>
      <c r="BC2825" s="431"/>
      <c r="BG2825" s="315"/>
      <c r="BH2825" s="42"/>
    </row>
    <row r="2826" spans="51:60" x14ac:dyDescent="0.2">
      <c r="AY2826" s="315"/>
      <c r="AZ2826" s="326"/>
      <c r="BA2826" s="175"/>
      <c r="BB2826" s="42"/>
      <c r="BC2826" s="431"/>
      <c r="BG2826" s="315"/>
      <c r="BH2826" s="42"/>
    </row>
    <row r="2827" spans="51:60" x14ac:dyDescent="0.2">
      <c r="AY2827" s="315"/>
      <c r="AZ2827" s="326"/>
      <c r="BA2827" s="175"/>
      <c r="BB2827" s="42"/>
      <c r="BC2827" s="431"/>
      <c r="BG2827" s="315"/>
      <c r="BH2827" s="42"/>
    </row>
    <row r="2828" spans="51:60" x14ac:dyDescent="0.2">
      <c r="AY2828" s="315"/>
      <c r="AZ2828" s="326"/>
      <c r="BA2828" s="175"/>
      <c r="BB2828" s="42"/>
      <c r="BC2828" s="431"/>
      <c r="BG2828" s="315"/>
      <c r="BH2828" s="42"/>
    </row>
    <row r="2829" spans="51:60" x14ac:dyDescent="0.2">
      <c r="AY2829" s="315"/>
      <c r="AZ2829" s="326"/>
      <c r="BA2829" s="175"/>
      <c r="BB2829" s="42"/>
      <c r="BC2829" s="431"/>
      <c r="BG2829" s="315"/>
      <c r="BH2829" s="42"/>
    </row>
    <row r="2830" spans="51:60" x14ac:dyDescent="0.2">
      <c r="AY2830" s="315"/>
      <c r="AZ2830" s="326"/>
      <c r="BA2830" s="175"/>
      <c r="BB2830" s="42"/>
      <c r="BC2830" s="431"/>
      <c r="BG2830" s="315"/>
      <c r="BH2830" s="42"/>
    </row>
    <row r="2831" spans="51:60" x14ac:dyDescent="0.2">
      <c r="AY2831" s="315"/>
      <c r="AZ2831" s="326"/>
      <c r="BA2831" s="175"/>
      <c r="BB2831" s="42"/>
      <c r="BC2831" s="431"/>
      <c r="BG2831" s="315"/>
      <c r="BH2831" s="42"/>
    </row>
    <row r="2832" spans="51:60" x14ac:dyDescent="0.2">
      <c r="AY2832" s="315"/>
      <c r="AZ2832" s="326"/>
      <c r="BA2832" s="175"/>
      <c r="BB2832" s="42"/>
      <c r="BC2832" s="431"/>
      <c r="BG2832" s="315"/>
      <c r="BH2832" s="42"/>
    </row>
    <row r="2833" spans="51:60" x14ac:dyDescent="0.2">
      <c r="AY2833" s="315"/>
      <c r="AZ2833" s="326"/>
      <c r="BA2833" s="175"/>
      <c r="BB2833" s="42"/>
      <c r="BC2833" s="431"/>
      <c r="BG2833" s="315"/>
      <c r="BH2833" s="42"/>
    </row>
    <row r="2834" spans="51:60" x14ac:dyDescent="0.2">
      <c r="AY2834" s="315"/>
      <c r="AZ2834" s="326"/>
      <c r="BA2834" s="175"/>
      <c r="BB2834" s="42"/>
      <c r="BC2834" s="431"/>
      <c r="BG2834" s="315"/>
      <c r="BH2834" s="42"/>
    </row>
    <row r="2835" spans="51:60" x14ac:dyDescent="0.2">
      <c r="AY2835" s="315"/>
      <c r="AZ2835" s="326"/>
      <c r="BA2835" s="175"/>
      <c r="BB2835" s="42"/>
      <c r="BC2835" s="431"/>
      <c r="BG2835" s="315"/>
      <c r="BH2835" s="42"/>
    </row>
    <row r="2836" spans="51:60" x14ac:dyDescent="0.2">
      <c r="AY2836" s="315"/>
      <c r="AZ2836" s="326"/>
      <c r="BA2836" s="175"/>
      <c r="BB2836" s="42"/>
      <c r="BC2836" s="431"/>
      <c r="BG2836" s="315"/>
      <c r="BH2836" s="42"/>
    </row>
    <row r="2837" spans="51:60" x14ac:dyDescent="0.2">
      <c r="AY2837" s="315"/>
      <c r="AZ2837" s="326"/>
      <c r="BA2837" s="175"/>
      <c r="BB2837" s="42"/>
      <c r="BC2837" s="431"/>
      <c r="BG2837" s="315"/>
      <c r="BH2837" s="42"/>
    </row>
    <row r="2838" spans="51:60" x14ac:dyDescent="0.2">
      <c r="AY2838" s="315"/>
      <c r="AZ2838" s="326"/>
      <c r="BA2838" s="175"/>
      <c r="BB2838" s="42"/>
      <c r="BC2838" s="431"/>
      <c r="BG2838" s="315"/>
      <c r="BH2838" s="42"/>
    </row>
    <row r="2839" spans="51:60" x14ac:dyDescent="0.2">
      <c r="AY2839" s="315"/>
      <c r="AZ2839" s="326"/>
      <c r="BA2839" s="175"/>
      <c r="BB2839" s="42"/>
      <c r="BC2839" s="431"/>
      <c r="BG2839" s="315"/>
      <c r="BH2839" s="42"/>
    </row>
    <row r="2840" spans="51:60" x14ac:dyDescent="0.2">
      <c r="AY2840" s="315"/>
      <c r="AZ2840" s="326"/>
      <c r="BA2840" s="175"/>
      <c r="BB2840" s="42"/>
      <c r="BC2840" s="431"/>
      <c r="BG2840" s="315"/>
      <c r="BH2840" s="42"/>
    </row>
    <row r="2841" spans="51:60" x14ac:dyDescent="0.2">
      <c r="AY2841" s="315"/>
      <c r="AZ2841" s="326"/>
      <c r="BA2841" s="175"/>
      <c r="BB2841" s="42"/>
      <c r="BC2841" s="431"/>
      <c r="BG2841" s="315"/>
      <c r="BH2841" s="42"/>
    </row>
    <row r="2842" spans="51:60" x14ac:dyDescent="0.2">
      <c r="AY2842" s="315"/>
      <c r="AZ2842" s="326"/>
      <c r="BA2842" s="175"/>
      <c r="BB2842" s="42"/>
      <c r="BC2842" s="431"/>
      <c r="BG2842" s="315"/>
      <c r="BH2842" s="42"/>
    </row>
    <row r="2843" spans="51:60" x14ac:dyDescent="0.2">
      <c r="AY2843" s="315"/>
      <c r="AZ2843" s="326"/>
      <c r="BA2843" s="175"/>
      <c r="BB2843" s="42"/>
      <c r="BC2843" s="431"/>
      <c r="BG2843" s="315"/>
      <c r="BH2843" s="42"/>
    </row>
    <row r="2844" spans="51:60" x14ac:dyDescent="0.2">
      <c r="AY2844" s="315"/>
      <c r="AZ2844" s="326"/>
      <c r="BA2844" s="175"/>
      <c r="BB2844" s="42"/>
      <c r="BC2844" s="431"/>
      <c r="BG2844" s="315"/>
      <c r="BH2844" s="42"/>
    </row>
    <row r="2845" spans="51:60" x14ac:dyDescent="0.2">
      <c r="AY2845" s="315"/>
      <c r="AZ2845" s="326"/>
      <c r="BA2845" s="175"/>
      <c r="BB2845" s="42"/>
      <c r="BC2845" s="431"/>
      <c r="BG2845" s="315"/>
      <c r="BH2845" s="42"/>
    </row>
    <row r="2846" spans="51:60" x14ac:dyDescent="0.2">
      <c r="AY2846" s="315"/>
      <c r="AZ2846" s="326"/>
      <c r="BA2846" s="175"/>
      <c r="BB2846" s="42"/>
      <c r="BC2846" s="431"/>
      <c r="BG2846" s="315"/>
      <c r="BH2846" s="42"/>
    </row>
    <row r="2847" spans="51:60" x14ac:dyDescent="0.2">
      <c r="AY2847" s="315"/>
      <c r="AZ2847" s="326"/>
      <c r="BA2847" s="175"/>
      <c r="BB2847" s="42"/>
      <c r="BC2847" s="431"/>
      <c r="BG2847" s="315"/>
      <c r="BH2847" s="42"/>
    </row>
    <row r="2848" spans="51:60" x14ac:dyDescent="0.2">
      <c r="AY2848" s="315"/>
      <c r="AZ2848" s="326"/>
      <c r="BA2848" s="175"/>
      <c r="BB2848" s="42"/>
      <c r="BC2848" s="431"/>
      <c r="BG2848" s="315"/>
      <c r="BH2848" s="42"/>
    </row>
    <row r="2849" spans="51:60" x14ac:dyDescent="0.2">
      <c r="AY2849" s="315"/>
      <c r="AZ2849" s="326"/>
      <c r="BA2849" s="175"/>
      <c r="BB2849" s="42"/>
      <c r="BC2849" s="431"/>
      <c r="BG2849" s="315"/>
      <c r="BH2849" s="42"/>
    </row>
    <row r="2850" spans="51:60" x14ac:dyDescent="0.2">
      <c r="AY2850" s="315"/>
      <c r="AZ2850" s="326"/>
      <c r="BA2850" s="175"/>
      <c r="BB2850" s="42"/>
      <c r="BC2850" s="431"/>
      <c r="BG2850" s="315"/>
      <c r="BH2850" s="42"/>
    </row>
    <row r="2851" spans="51:60" x14ac:dyDescent="0.2">
      <c r="AY2851" s="315"/>
      <c r="AZ2851" s="326"/>
      <c r="BA2851" s="175"/>
      <c r="BB2851" s="42"/>
      <c r="BC2851" s="431"/>
      <c r="BG2851" s="315"/>
      <c r="BH2851" s="42"/>
    </row>
    <row r="2852" spans="51:60" x14ac:dyDescent="0.2">
      <c r="AY2852" s="315"/>
      <c r="AZ2852" s="326"/>
      <c r="BA2852" s="175"/>
      <c r="BB2852" s="42"/>
      <c r="BC2852" s="431"/>
      <c r="BG2852" s="315"/>
      <c r="BH2852" s="42"/>
    </row>
    <row r="2853" spans="51:60" x14ac:dyDescent="0.2">
      <c r="AY2853" s="315"/>
      <c r="AZ2853" s="326"/>
      <c r="BA2853" s="175"/>
      <c r="BB2853" s="42"/>
      <c r="BC2853" s="431"/>
      <c r="BG2853" s="315"/>
      <c r="BH2853" s="42"/>
    </row>
    <row r="2854" spans="51:60" x14ac:dyDescent="0.2">
      <c r="AY2854" s="315"/>
      <c r="AZ2854" s="326"/>
      <c r="BA2854" s="175"/>
      <c r="BB2854" s="42"/>
      <c r="BC2854" s="431"/>
      <c r="BG2854" s="315"/>
      <c r="BH2854" s="42"/>
    </row>
    <row r="2855" spans="51:60" x14ac:dyDescent="0.2">
      <c r="AY2855" s="315"/>
      <c r="AZ2855" s="326"/>
      <c r="BA2855" s="175"/>
      <c r="BB2855" s="42"/>
      <c r="BC2855" s="431"/>
      <c r="BG2855" s="315"/>
      <c r="BH2855" s="42"/>
    </row>
    <row r="2856" spans="51:60" x14ac:dyDescent="0.2">
      <c r="AY2856" s="315"/>
      <c r="AZ2856" s="326"/>
      <c r="BA2856" s="175"/>
      <c r="BB2856" s="42"/>
      <c r="BC2856" s="431"/>
      <c r="BG2856" s="315"/>
      <c r="BH2856" s="42"/>
    </row>
    <row r="2857" spans="51:60" x14ac:dyDescent="0.2">
      <c r="AY2857" s="315"/>
      <c r="AZ2857" s="326"/>
      <c r="BA2857" s="175"/>
      <c r="BB2857" s="42"/>
      <c r="BC2857" s="431"/>
      <c r="BG2857" s="315"/>
      <c r="BH2857" s="42"/>
    </row>
    <row r="2858" spans="51:60" x14ac:dyDescent="0.2">
      <c r="AY2858" s="315"/>
      <c r="AZ2858" s="326"/>
      <c r="BA2858" s="175"/>
      <c r="BB2858" s="42"/>
      <c r="BC2858" s="431"/>
      <c r="BG2858" s="315"/>
      <c r="BH2858" s="42"/>
    </row>
    <row r="2859" spans="51:60" x14ac:dyDescent="0.2">
      <c r="AY2859" s="315"/>
      <c r="AZ2859" s="326"/>
      <c r="BA2859" s="175"/>
      <c r="BB2859" s="42"/>
      <c r="BC2859" s="431"/>
      <c r="BG2859" s="315"/>
      <c r="BH2859" s="42"/>
    </row>
    <row r="2860" spans="51:60" x14ac:dyDescent="0.2">
      <c r="AY2860" s="315"/>
      <c r="AZ2860" s="326"/>
      <c r="BA2860" s="175"/>
      <c r="BB2860" s="42"/>
      <c r="BC2860" s="431"/>
      <c r="BG2860" s="315"/>
      <c r="BH2860" s="42"/>
    </row>
    <row r="2861" spans="51:60" x14ac:dyDescent="0.2">
      <c r="AY2861" s="315"/>
      <c r="AZ2861" s="326"/>
      <c r="BA2861" s="175"/>
      <c r="BB2861" s="42"/>
      <c r="BC2861" s="431"/>
      <c r="BG2861" s="315"/>
      <c r="BH2861" s="42"/>
    </row>
    <row r="2862" spans="51:60" x14ac:dyDescent="0.2">
      <c r="AY2862" s="315"/>
      <c r="AZ2862" s="326"/>
      <c r="BA2862" s="175"/>
      <c r="BB2862" s="42"/>
      <c r="BC2862" s="431"/>
      <c r="BG2862" s="315"/>
      <c r="BH2862" s="42"/>
    </row>
    <row r="2863" spans="51:60" x14ac:dyDescent="0.2">
      <c r="AY2863" s="315"/>
      <c r="AZ2863" s="326"/>
      <c r="BA2863" s="175"/>
      <c r="BB2863" s="42"/>
      <c r="BC2863" s="431"/>
      <c r="BG2863" s="315"/>
      <c r="BH2863" s="42"/>
    </row>
    <row r="2864" spans="51:60" x14ac:dyDescent="0.2">
      <c r="AY2864" s="315"/>
      <c r="AZ2864" s="326"/>
      <c r="BA2864" s="175"/>
      <c r="BB2864" s="42"/>
      <c r="BC2864" s="431"/>
      <c r="BG2864" s="315"/>
      <c r="BH2864" s="42"/>
    </row>
    <row r="2865" spans="51:60" x14ac:dyDescent="0.2">
      <c r="AY2865" s="315"/>
      <c r="AZ2865" s="326"/>
      <c r="BA2865" s="175"/>
      <c r="BB2865" s="42"/>
      <c r="BC2865" s="431"/>
      <c r="BG2865" s="315"/>
      <c r="BH2865" s="42"/>
    </row>
    <row r="2866" spans="51:60" x14ac:dyDescent="0.2">
      <c r="AY2866" s="315"/>
      <c r="AZ2866" s="326"/>
      <c r="BA2866" s="175"/>
      <c r="BB2866" s="42"/>
      <c r="BC2866" s="431"/>
      <c r="BG2866" s="315"/>
      <c r="BH2866" s="42"/>
    </row>
    <row r="2867" spans="51:60" x14ac:dyDescent="0.2">
      <c r="AY2867" s="315"/>
      <c r="AZ2867" s="326"/>
      <c r="BA2867" s="175"/>
      <c r="BB2867" s="42"/>
      <c r="BC2867" s="431"/>
      <c r="BG2867" s="315"/>
      <c r="BH2867" s="42"/>
    </row>
    <row r="2868" spans="51:60" x14ac:dyDescent="0.2">
      <c r="AY2868" s="315"/>
      <c r="AZ2868" s="326"/>
      <c r="BA2868" s="175"/>
      <c r="BB2868" s="42"/>
      <c r="BC2868" s="431"/>
      <c r="BG2868" s="315"/>
      <c r="BH2868" s="42"/>
    </row>
    <row r="2869" spans="51:60" x14ac:dyDescent="0.2">
      <c r="AY2869" s="315"/>
      <c r="AZ2869" s="326"/>
      <c r="BA2869" s="175"/>
      <c r="BB2869" s="42"/>
      <c r="BC2869" s="431"/>
      <c r="BG2869" s="315"/>
      <c r="BH2869" s="42"/>
    </row>
    <row r="2870" spans="51:60" x14ac:dyDescent="0.2">
      <c r="AY2870" s="315"/>
      <c r="AZ2870" s="326"/>
      <c r="BA2870" s="175"/>
      <c r="BB2870" s="42"/>
      <c r="BC2870" s="431"/>
      <c r="BG2870" s="315"/>
      <c r="BH2870" s="42"/>
    </row>
    <row r="2871" spans="51:60" x14ac:dyDescent="0.2">
      <c r="AY2871" s="315"/>
      <c r="AZ2871" s="326"/>
      <c r="BA2871" s="175"/>
      <c r="BB2871" s="42"/>
      <c r="BC2871" s="431"/>
      <c r="BG2871" s="315"/>
      <c r="BH2871" s="42"/>
    </row>
    <row r="2872" spans="51:60" x14ac:dyDescent="0.2">
      <c r="AY2872" s="315"/>
      <c r="AZ2872" s="326"/>
      <c r="BA2872" s="175"/>
      <c r="BB2872" s="42"/>
      <c r="BC2872" s="431"/>
      <c r="BG2872" s="315"/>
      <c r="BH2872" s="42"/>
    </row>
    <row r="2873" spans="51:60" x14ac:dyDescent="0.2">
      <c r="AY2873" s="315"/>
      <c r="AZ2873" s="326"/>
      <c r="BA2873" s="175"/>
      <c r="BB2873" s="42"/>
      <c r="BC2873" s="431"/>
      <c r="BG2873" s="315"/>
      <c r="BH2873" s="42"/>
    </row>
    <row r="2874" spans="51:60" x14ac:dyDescent="0.2">
      <c r="AY2874" s="315"/>
      <c r="AZ2874" s="326"/>
      <c r="BA2874" s="175"/>
      <c r="BB2874" s="42"/>
      <c r="BC2874" s="431"/>
      <c r="BG2874" s="315"/>
      <c r="BH2874" s="42"/>
    </row>
    <row r="2875" spans="51:60" x14ac:dyDescent="0.2">
      <c r="AY2875" s="315"/>
      <c r="AZ2875" s="326"/>
      <c r="BA2875" s="175"/>
      <c r="BB2875" s="42"/>
      <c r="BC2875" s="431"/>
      <c r="BG2875" s="315"/>
      <c r="BH2875" s="42"/>
    </row>
    <row r="2876" spans="51:60" x14ac:dyDescent="0.2">
      <c r="AY2876" s="315"/>
      <c r="AZ2876" s="326"/>
      <c r="BA2876" s="175"/>
      <c r="BB2876" s="42"/>
      <c r="BC2876" s="431"/>
      <c r="BG2876" s="315"/>
      <c r="BH2876" s="42"/>
    </row>
    <row r="2877" spans="51:60" x14ac:dyDescent="0.2">
      <c r="AY2877" s="315"/>
      <c r="AZ2877" s="326"/>
      <c r="BA2877" s="175"/>
      <c r="BB2877" s="42"/>
      <c r="BC2877" s="431"/>
      <c r="BG2877" s="315"/>
      <c r="BH2877" s="42"/>
    </row>
    <row r="2878" spans="51:60" x14ac:dyDescent="0.2">
      <c r="AY2878" s="315"/>
      <c r="AZ2878" s="326"/>
      <c r="BA2878" s="175"/>
      <c r="BB2878" s="42"/>
      <c r="BC2878" s="431"/>
      <c r="BG2878" s="315"/>
      <c r="BH2878" s="42"/>
    </row>
    <row r="2879" spans="51:60" x14ac:dyDescent="0.2">
      <c r="AY2879" s="315"/>
      <c r="AZ2879" s="326"/>
      <c r="BA2879" s="175"/>
      <c r="BB2879" s="42"/>
      <c r="BC2879" s="431"/>
      <c r="BG2879" s="315"/>
      <c r="BH2879" s="42"/>
    </row>
    <row r="2880" spans="51:60" x14ac:dyDescent="0.2">
      <c r="AY2880" s="315"/>
      <c r="AZ2880" s="326"/>
      <c r="BA2880" s="175"/>
      <c r="BB2880" s="42"/>
      <c r="BC2880" s="431"/>
      <c r="BG2880" s="315"/>
      <c r="BH2880" s="42"/>
    </row>
    <row r="2881" spans="51:60" x14ac:dyDescent="0.2">
      <c r="AY2881" s="315"/>
      <c r="AZ2881" s="326"/>
      <c r="BA2881" s="175"/>
      <c r="BB2881" s="42"/>
      <c r="BC2881" s="431"/>
      <c r="BG2881" s="315"/>
      <c r="BH2881" s="42"/>
    </row>
    <row r="2882" spans="51:60" x14ac:dyDescent="0.2">
      <c r="AY2882" s="315"/>
      <c r="AZ2882" s="326"/>
      <c r="BA2882" s="175"/>
      <c r="BB2882" s="42"/>
      <c r="BC2882" s="431"/>
      <c r="BG2882" s="315"/>
      <c r="BH2882" s="42"/>
    </row>
    <row r="2883" spans="51:60" x14ac:dyDescent="0.2">
      <c r="AY2883" s="315"/>
      <c r="AZ2883" s="326"/>
      <c r="BA2883" s="175"/>
      <c r="BB2883" s="42"/>
      <c r="BC2883" s="431"/>
      <c r="BG2883" s="315"/>
      <c r="BH2883" s="42"/>
    </row>
    <row r="2884" spans="51:60" x14ac:dyDescent="0.2">
      <c r="AY2884" s="315"/>
      <c r="AZ2884" s="326"/>
      <c r="BA2884" s="175"/>
      <c r="BB2884" s="42"/>
      <c r="BC2884" s="431"/>
      <c r="BG2884" s="315"/>
      <c r="BH2884" s="42"/>
    </row>
    <row r="2885" spans="51:60" x14ac:dyDescent="0.2">
      <c r="AY2885" s="315"/>
      <c r="AZ2885" s="326"/>
      <c r="BA2885" s="175"/>
      <c r="BB2885" s="42"/>
      <c r="BC2885" s="431"/>
      <c r="BG2885" s="315"/>
      <c r="BH2885" s="42"/>
    </row>
    <row r="2886" spans="51:60" x14ac:dyDescent="0.2">
      <c r="AY2886" s="315"/>
      <c r="AZ2886" s="326"/>
      <c r="BA2886" s="175"/>
      <c r="BB2886" s="42"/>
      <c r="BC2886" s="431"/>
      <c r="BG2886" s="315"/>
      <c r="BH2886" s="42"/>
    </row>
    <row r="2887" spans="51:60" x14ac:dyDescent="0.2">
      <c r="AY2887" s="315"/>
      <c r="AZ2887" s="326"/>
      <c r="BA2887" s="175"/>
      <c r="BB2887" s="42"/>
      <c r="BC2887" s="431"/>
      <c r="BG2887" s="315"/>
      <c r="BH2887" s="42"/>
    </row>
    <row r="2888" spans="51:60" x14ac:dyDescent="0.2">
      <c r="AY2888" s="315"/>
      <c r="AZ2888" s="326"/>
      <c r="BA2888" s="175"/>
      <c r="BB2888" s="42"/>
      <c r="BC2888" s="431"/>
      <c r="BG2888" s="315"/>
      <c r="BH2888" s="42"/>
    </row>
    <row r="2889" spans="51:60" x14ac:dyDescent="0.2">
      <c r="AY2889" s="315"/>
      <c r="AZ2889" s="326"/>
      <c r="BA2889" s="175"/>
      <c r="BB2889" s="42"/>
      <c r="BC2889" s="431"/>
      <c r="BG2889" s="315"/>
      <c r="BH2889" s="42"/>
    </row>
    <row r="2890" spans="51:60" x14ac:dyDescent="0.2">
      <c r="AY2890" s="315"/>
      <c r="AZ2890" s="326"/>
      <c r="BA2890" s="175"/>
      <c r="BB2890" s="42"/>
      <c r="BC2890" s="431"/>
      <c r="BG2890" s="315"/>
      <c r="BH2890" s="42"/>
    </row>
    <row r="2891" spans="51:60" x14ac:dyDescent="0.2">
      <c r="AY2891" s="315"/>
      <c r="AZ2891" s="326"/>
      <c r="BA2891" s="175"/>
      <c r="BB2891" s="42"/>
      <c r="BC2891" s="431"/>
      <c r="BG2891" s="315"/>
      <c r="BH2891" s="42"/>
    </row>
    <row r="2892" spans="51:60" x14ac:dyDescent="0.2">
      <c r="AY2892" s="315"/>
      <c r="AZ2892" s="326"/>
      <c r="BA2892" s="175"/>
      <c r="BB2892" s="42"/>
      <c r="BC2892" s="431"/>
      <c r="BG2892" s="315"/>
      <c r="BH2892" s="42"/>
    </row>
    <row r="2893" spans="51:60" x14ac:dyDescent="0.2">
      <c r="AY2893" s="315"/>
      <c r="AZ2893" s="326"/>
      <c r="BA2893" s="175"/>
      <c r="BB2893" s="42"/>
      <c r="BC2893" s="431"/>
      <c r="BG2893" s="315"/>
      <c r="BH2893" s="42"/>
    </row>
    <row r="2894" spans="51:60" x14ac:dyDescent="0.2">
      <c r="AY2894" s="315"/>
      <c r="AZ2894" s="326"/>
      <c r="BA2894" s="175"/>
      <c r="BB2894" s="42"/>
      <c r="BC2894" s="431"/>
      <c r="BG2894" s="315"/>
      <c r="BH2894" s="42"/>
    </row>
    <row r="2895" spans="51:60" x14ac:dyDescent="0.2">
      <c r="AY2895" s="315"/>
      <c r="AZ2895" s="326"/>
      <c r="BA2895" s="175"/>
      <c r="BB2895" s="42"/>
      <c r="BC2895" s="431"/>
      <c r="BG2895" s="315"/>
      <c r="BH2895" s="42"/>
    </row>
    <row r="2896" spans="51:60" x14ac:dyDescent="0.2">
      <c r="AY2896" s="315"/>
      <c r="AZ2896" s="326"/>
      <c r="BA2896" s="175"/>
      <c r="BB2896" s="42"/>
      <c r="BC2896" s="431"/>
      <c r="BG2896" s="315"/>
      <c r="BH2896" s="42"/>
    </row>
    <row r="2897" spans="51:60" x14ac:dyDescent="0.2">
      <c r="AY2897" s="315"/>
      <c r="AZ2897" s="326"/>
      <c r="BA2897" s="175"/>
      <c r="BB2897" s="42"/>
      <c r="BC2897" s="431"/>
      <c r="BG2897" s="315"/>
      <c r="BH2897" s="42"/>
    </row>
    <row r="2898" spans="51:60" x14ac:dyDescent="0.2">
      <c r="AY2898" s="315"/>
      <c r="AZ2898" s="326"/>
      <c r="BA2898" s="175"/>
      <c r="BB2898" s="42"/>
      <c r="BC2898" s="431"/>
      <c r="BG2898" s="315"/>
      <c r="BH2898" s="42"/>
    </row>
    <row r="2899" spans="51:60" x14ac:dyDescent="0.2">
      <c r="AY2899" s="315"/>
      <c r="AZ2899" s="326"/>
      <c r="BA2899" s="175"/>
      <c r="BB2899" s="42"/>
      <c r="BC2899" s="431"/>
      <c r="BG2899" s="315"/>
      <c r="BH2899" s="42"/>
    </row>
    <row r="2900" spans="51:60" x14ac:dyDescent="0.2">
      <c r="AY2900" s="315"/>
      <c r="AZ2900" s="326"/>
      <c r="BA2900" s="175"/>
      <c r="BB2900" s="42"/>
      <c r="BC2900" s="431"/>
      <c r="BG2900" s="315"/>
      <c r="BH2900" s="42"/>
    </row>
    <row r="2901" spans="51:60" x14ac:dyDescent="0.2">
      <c r="AY2901" s="315"/>
      <c r="AZ2901" s="326"/>
      <c r="BA2901" s="175"/>
      <c r="BB2901" s="42"/>
      <c r="BC2901" s="431"/>
      <c r="BG2901" s="315"/>
      <c r="BH2901" s="42"/>
    </row>
    <row r="2902" spans="51:60" x14ac:dyDescent="0.2">
      <c r="AY2902" s="315"/>
      <c r="AZ2902" s="326"/>
      <c r="BA2902" s="175"/>
      <c r="BB2902" s="42"/>
      <c r="BC2902" s="431"/>
      <c r="BG2902" s="315"/>
      <c r="BH2902" s="42"/>
    </row>
    <row r="2903" spans="51:60" x14ac:dyDescent="0.2">
      <c r="AY2903" s="315"/>
      <c r="AZ2903" s="326"/>
      <c r="BA2903" s="175"/>
      <c r="BB2903" s="42"/>
      <c r="BC2903" s="431"/>
      <c r="BG2903" s="315"/>
      <c r="BH2903" s="42"/>
    </row>
    <row r="2904" spans="51:60" x14ac:dyDescent="0.2">
      <c r="AY2904" s="315"/>
      <c r="AZ2904" s="326"/>
      <c r="BA2904" s="175"/>
      <c r="BB2904" s="42"/>
      <c r="BC2904" s="431"/>
      <c r="BG2904" s="315"/>
      <c r="BH2904" s="42"/>
    </row>
    <row r="2905" spans="51:60" x14ac:dyDescent="0.2">
      <c r="AY2905" s="315"/>
      <c r="AZ2905" s="326"/>
      <c r="BA2905" s="175"/>
      <c r="BB2905" s="42"/>
      <c r="BC2905" s="431"/>
      <c r="BG2905" s="315"/>
      <c r="BH2905" s="42"/>
    </row>
    <row r="2906" spans="51:60" x14ac:dyDescent="0.2">
      <c r="AY2906" s="315"/>
      <c r="AZ2906" s="326"/>
      <c r="BA2906" s="175"/>
      <c r="BB2906" s="42"/>
      <c r="BC2906" s="431"/>
      <c r="BG2906" s="315"/>
      <c r="BH2906" s="42"/>
    </row>
    <row r="2907" spans="51:60" x14ac:dyDescent="0.2">
      <c r="AY2907" s="315"/>
      <c r="AZ2907" s="326"/>
      <c r="BA2907" s="175"/>
      <c r="BB2907" s="42"/>
      <c r="BC2907" s="431"/>
      <c r="BG2907" s="315"/>
      <c r="BH2907" s="42"/>
    </row>
    <row r="2908" spans="51:60" x14ac:dyDescent="0.2">
      <c r="AY2908" s="315"/>
      <c r="AZ2908" s="326"/>
      <c r="BA2908" s="175"/>
      <c r="BB2908" s="42"/>
      <c r="BC2908" s="431"/>
      <c r="BG2908" s="315"/>
      <c r="BH2908" s="42"/>
    </row>
    <row r="2909" spans="51:60" x14ac:dyDescent="0.2">
      <c r="AY2909" s="315"/>
      <c r="AZ2909" s="326"/>
      <c r="BA2909" s="175"/>
      <c r="BB2909" s="42"/>
      <c r="BC2909" s="431"/>
      <c r="BG2909" s="315"/>
      <c r="BH2909" s="42"/>
    </row>
    <row r="2910" spans="51:60" x14ac:dyDescent="0.2">
      <c r="AY2910" s="315"/>
      <c r="AZ2910" s="326"/>
      <c r="BA2910" s="175"/>
      <c r="BB2910" s="42"/>
      <c r="BC2910" s="431"/>
      <c r="BG2910" s="315"/>
      <c r="BH2910" s="42"/>
    </row>
    <row r="2911" spans="51:60" x14ac:dyDescent="0.2">
      <c r="AY2911" s="315"/>
      <c r="AZ2911" s="326"/>
      <c r="BA2911" s="175"/>
      <c r="BB2911" s="42"/>
      <c r="BC2911" s="431"/>
      <c r="BG2911" s="315"/>
      <c r="BH2911" s="42"/>
    </row>
    <row r="2912" spans="51:60" x14ac:dyDescent="0.2">
      <c r="AY2912" s="315"/>
      <c r="AZ2912" s="326"/>
      <c r="BA2912" s="175"/>
      <c r="BB2912" s="42"/>
      <c r="BC2912" s="431"/>
      <c r="BG2912" s="315"/>
      <c r="BH2912" s="42"/>
    </row>
    <row r="2913" spans="51:60" x14ac:dyDescent="0.2">
      <c r="AY2913" s="315"/>
      <c r="AZ2913" s="326"/>
      <c r="BA2913" s="175"/>
      <c r="BB2913" s="42"/>
      <c r="BC2913" s="431"/>
      <c r="BG2913" s="315"/>
      <c r="BH2913" s="42"/>
    </row>
    <row r="2914" spans="51:60" x14ac:dyDescent="0.2">
      <c r="AY2914" s="315"/>
      <c r="AZ2914" s="326"/>
      <c r="BA2914" s="175"/>
      <c r="BB2914" s="42"/>
      <c r="BC2914" s="431"/>
      <c r="BG2914" s="315"/>
      <c r="BH2914" s="42"/>
    </row>
    <row r="2915" spans="51:60" x14ac:dyDescent="0.2">
      <c r="AY2915" s="315"/>
      <c r="AZ2915" s="326"/>
      <c r="BA2915" s="175"/>
      <c r="BB2915" s="42"/>
      <c r="BC2915" s="431"/>
      <c r="BG2915" s="315"/>
      <c r="BH2915" s="42"/>
    </row>
    <row r="2916" spans="51:60" x14ac:dyDescent="0.2">
      <c r="AY2916" s="315"/>
      <c r="AZ2916" s="326"/>
      <c r="BA2916" s="175"/>
      <c r="BB2916" s="42"/>
      <c r="BC2916" s="431"/>
      <c r="BG2916" s="315"/>
      <c r="BH2916" s="42"/>
    </row>
    <row r="2917" spans="51:60" x14ac:dyDescent="0.2">
      <c r="AY2917" s="315"/>
      <c r="AZ2917" s="326"/>
      <c r="BA2917" s="175"/>
      <c r="BB2917" s="42"/>
      <c r="BC2917" s="431"/>
      <c r="BG2917" s="315"/>
      <c r="BH2917" s="42"/>
    </row>
    <row r="2918" spans="51:60" x14ac:dyDescent="0.2">
      <c r="AY2918" s="315"/>
      <c r="AZ2918" s="326"/>
      <c r="BA2918" s="175"/>
      <c r="BB2918" s="42"/>
      <c r="BC2918" s="431"/>
      <c r="BG2918" s="315"/>
      <c r="BH2918" s="42"/>
    </row>
    <row r="2919" spans="51:60" x14ac:dyDescent="0.2">
      <c r="AY2919" s="315"/>
      <c r="AZ2919" s="326"/>
      <c r="BA2919" s="175"/>
      <c r="BB2919" s="42"/>
      <c r="BC2919" s="431"/>
      <c r="BG2919" s="315"/>
      <c r="BH2919" s="42"/>
    </row>
    <row r="2920" spans="51:60" x14ac:dyDescent="0.2">
      <c r="AY2920" s="315"/>
      <c r="AZ2920" s="326"/>
      <c r="BA2920" s="175"/>
      <c r="BB2920" s="42"/>
      <c r="BC2920" s="431"/>
      <c r="BG2920" s="315"/>
      <c r="BH2920" s="42"/>
    </row>
    <row r="2921" spans="51:60" x14ac:dyDescent="0.2">
      <c r="AY2921" s="315"/>
      <c r="AZ2921" s="326"/>
      <c r="BA2921" s="175"/>
      <c r="BB2921" s="42"/>
      <c r="BC2921" s="431"/>
      <c r="BG2921" s="315"/>
      <c r="BH2921" s="42"/>
    </row>
    <row r="2922" spans="51:60" x14ac:dyDescent="0.2">
      <c r="AY2922" s="315"/>
      <c r="AZ2922" s="326"/>
      <c r="BA2922" s="175"/>
      <c r="BB2922" s="42"/>
      <c r="BC2922" s="431"/>
      <c r="BG2922" s="315"/>
      <c r="BH2922" s="42"/>
    </row>
    <row r="2923" spans="51:60" x14ac:dyDescent="0.2">
      <c r="AY2923" s="315"/>
      <c r="AZ2923" s="326"/>
      <c r="BA2923" s="175"/>
      <c r="BB2923" s="42"/>
      <c r="BC2923" s="431"/>
      <c r="BG2923" s="315"/>
      <c r="BH2923" s="42"/>
    </row>
    <row r="2924" spans="51:60" x14ac:dyDescent="0.2">
      <c r="AY2924" s="315"/>
      <c r="AZ2924" s="326"/>
      <c r="BA2924" s="175"/>
      <c r="BB2924" s="42"/>
      <c r="BC2924" s="431"/>
      <c r="BG2924" s="315"/>
      <c r="BH2924" s="42"/>
    </row>
    <row r="2925" spans="51:60" x14ac:dyDescent="0.2">
      <c r="AY2925" s="315"/>
      <c r="AZ2925" s="326"/>
      <c r="BA2925" s="175"/>
      <c r="BB2925" s="42"/>
      <c r="BC2925" s="431"/>
      <c r="BG2925" s="315"/>
      <c r="BH2925" s="42"/>
    </row>
    <row r="2926" spans="51:60" x14ac:dyDescent="0.2">
      <c r="AY2926" s="315"/>
      <c r="AZ2926" s="326"/>
      <c r="BA2926" s="175"/>
      <c r="BB2926" s="42"/>
      <c r="BC2926" s="431"/>
      <c r="BG2926" s="315"/>
      <c r="BH2926" s="42"/>
    </row>
    <row r="2927" spans="51:60" x14ac:dyDescent="0.2">
      <c r="AY2927" s="315"/>
      <c r="AZ2927" s="326"/>
      <c r="BA2927" s="175"/>
      <c r="BB2927" s="42"/>
      <c r="BC2927" s="431"/>
      <c r="BG2927" s="315"/>
      <c r="BH2927" s="42"/>
    </row>
    <row r="2928" spans="51:60" x14ac:dyDescent="0.2">
      <c r="AY2928" s="315"/>
      <c r="AZ2928" s="326"/>
      <c r="BA2928" s="175"/>
      <c r="BB2928" s="42"/>
      <c r="BC2928" s="431"/>
      <c r="BG2928" s="315"/>
      <c r="BH2928" s="42"/>
    </row>
    <row r="2929" spans="51:60" x14ac:dyDescent="0.2">
      <c r="AY2929" s="315"/>
      <c r="AZ2929" s="326"/>
      <c r="BA2929" s="175"/>
      <c r="BB2929" s="42"/>
      <c r="BC2929" s="431"/>
      <c r="BG2929" s="315"/>
      <c r="BH2929" s="42"/>
    </row>
    <row r="2930" spans="51:60" x14ac:dyDescent="0.2">
      <c r="AY2930" s="315"/>
      <c r="AZ2930" s="326"/>
      <c r="BA2930" s="175"/>
      <c r="BB2930" s="42"/>
      <c r="BC2930" s="431"/>
      <c r="BG2930" s="315"/>
      <c r="BH2930" s="42"/>
    </row>
    <row r="2931" spans="51:60" x14ac:dyDescent="0.2">
      <c r="AY2931" s="315"/>
      <c r="AZ2931" s="326"/>
      <c r="BA2931" s="175"/>
      <c r="BB2931" s="42"/>
      <c r="BC2931" s="431"/>
      <c r="BG2931" s="315"/>
      <c r="BH2931" s="42"/>
    </row>
    <row r="2932" spans="51:60" x14ac:dyDescent="0.2">
      <c r="AY2932" s="315"/>
      <c r="AZ2932" s="326"/>
      <c r="BA2932" s="175"/>
      <c r="BB2932" s="42"/>
      <c r="BC2932" s="431"/>
      <c r="BG2932" s="315"/>
      <c r="BH2932" s="42"/>
    </row>
    <row r="2933" spans="51:60" x14ac:dyDescent="0.2">
      <c r="AY2933" s="315"/>
      <c r="AZ2933" s="326"/>
      <c r="BA2933" s="175"/>
      <c r="BB2933" s="42"/>
      <c r="BC2933" s="431"/>
      <c r="BG2933" s="315"/>
      <c r="BH2933" s="42"/>
    </row>
    <row r="2934" spans="51:60" x14ac:dyDescent="0.2">
      <c r="AY2934" s="315"/>
      <c r="AZ2934" s="326"/>
      <c r="BA2934" s="175"/>
      <c r="BB2934" s="42"/>
      <c r="BC2934" s="431"/>
      <c r="BG2934" s="315"/>
      <c r="BH2934" s="42"/>
    </row>
    <row r="2935" spans="51:60" x14ac:dyDescent="0.2">
      <c r="AY2935" s="315"/>
      <c r="AZ2935" s="326"/>
      <c r="BA2935" s="175"/>
      <c r="BB2935" s="42"/>
      <c r="BC2935" s="431"/>
      <c r="BG2935" s="315"/>
      <c r="BH2935" s="42"/>
    </row>
    <row r="2936" spans="51:60" x14ac:dyDescent="0.2">
      <c r="AY2936" s="315"/>
      <c r="AZ2936" s="326"/>
      <c r="BA2936" s="175"/>
      <c r="BB2936" s="42"/>
      <c r="BC2936" s="431"/>
      <c r="BG2936" s="315"/>
      <c r="BH2936" s="42"/>
    </row>
    <row r="2937" spans="51:60" x14ac:dyDescent="0.2">
      <c r="AY2937" s="315"/>
      <c r="AZ2937" s="326"/>
      <c r="BA2937" s="175"/>
      <c r="BB2937" s="42"/>
      <c r="BC2937" s="431"/>
      <c r="BG2937" s="315"/>
      <c r="BH2937" s="42"/>
    </row>
    <row r="2938" spans="51:60" x14ac:dyDescent="0.2">
      <c r="AY2938" s="315"/>
      <c r="AZ2938" s="326"/>
      <c r="BA2938" s="175"/>
      <c r="BB2938" s="42"/>
      <c r="BC2938" s="431"/>
      <c r="BG2938" s="315"/>
      <c r="BH2938" s="42"/>
    </row>
    <row r="2939" spans="51:60" x14ac:dyDescent="0.2">
      <c r="AY2939" s="315"/>
      <c r="AZ2939" s="326"/>
      <c r="BA2939" s="175"/>
      <c r="BB2939" s="42"/>
      <c r="BC2939" s="431"/>
      <c r="BG2939" s="315"/>
      <c r="BH2939" s="42"/>
    </row>
    <row r="2940" spans="51:60" x14ac:dyDescent="0.2">
      <c r="AY2940" s="315"/>
      <c r="AZ2940" s="326"/>
      <c r="BA2940" s="175"/>
      <c r="BB2940" s="42"/>
      <c r="BC2940" s="431"/>
      <c r="BG2940" s="315"/>
      <c r="BH2940" s="42"/>
    </row>
    <row r="2941" spans="51:60" x14ac:dyDescent="0.2">
      <c r="AY2941" s="315"/>
      <c r="AZ2941" s="326"/>
      <c r="BA2941" s="175"/>
      <c r="BB2941" s="42"/>
      <c r="BC2941" s="431"/>
      <c r="BG2941" s="315"/>
      <c r="BH2941" s="42"/>
    </row>
    <row r="2942" spans="51:60" x14ac:dyDescent="0.2">
      <c r="AY2942" s="315"/>
      <c r="AZ2942" s="326"/>
      <c r="BA2942" s="175"/>
      <c r="BB2942" s="42"/>
      <c r="BC2942" s="431"/>
      <c r="BG2942" s="315"/>
      <c r="BH2942" s="42"/>
    </row>
    <row r="2943" spans="51:60" x14ac:dyDescent="0.2">
      <c r="AY2943" s="315"/>
      <c r="AZ2943" s="326"/>
      <c r="BA2943" s="175"/>
      <c r="BB2943" s="42"/>
      <c r="BC2943" s="431"/>
      <c r="BG2943" s="315"/>
      <c r="BH2943" s="42"/>
    </row>
    <row r="2944" spans="51:60" x14ac:dyDescent="0.2">
      <c r="AY2944" s="315"/>
      <c r="AZ2944" s="326"/>
      <c r="BA2944" s="175"/>
      <c r="BB2944" s="42"/>
      <c r="BC2944" s="431"/>
      <c r="BG2944" s="315"/>
      <c r="BH2944" s="42"/>
    </row>
    <row r="2945" spans="51:60" x14ac:dyDescent="0.2">
      <c r="AY2945" s="315"/>
      <c r="AZ2945" s="326"/>
      <c r="BA2945" s="175"/>
      <c r="BB2945" s="42"/>
      <c r="BC2945" s="431"/>
      <c r="BG2945" s="315"/>
      <c r="BH2945" s="42"/>
    </row>
    <row r="2946" spans="51:60" x14ac:dyDescent="0.2">
      <c r="AY2946" s="315"/>
      <c r="AZ2946" s="326"/>
      <c r="BA2946" s="175"/>
      <c r="BB2946" s="42"/>
      <c r="BC2946" s="431"/>
      <c r="BG2946" s="315"/>
      <c r="BH2946" s="42"/>
    </row>
    <row r="2947" spans="51:60" x14ac:dyDescent="0.2">
      <c r="AY2947" s="315"/>
      <c r="AZ2947" s="326"/>
      <c r="BA2947" s="175"/>
      <c r="BB2947" s="42"/>
      <c r="BC2947" s="431"/>
      <c r="BG2947" s="315"/>
      <c r="BH2947" s="42"/>
    </row>
    <row r="2948" spans="51:60" x14ac:dyDescent="0.2">
      <c r="AY2948" s="315"/>
      <c r="AZ2948" s="326"/>
      <c r="BA2948" s="175"/>
      <c r="BB2948" s="42"/>
      <c r="BC2948" s="431"/>
      <c r="BG2948" s="315"/>
      <c r="BH2948" s="42"/>
    </row>
    <row r="2949" spans="51:60" x14ac:dyDescent="0.2">
      <c r="AY2949" s="315"/>
      <c r="AZ2949" s="326"/>
      <c r="BA2949" s="175"/>
      <c r="BB2949" s="42"/>
      <c r="BC2949" s="431"/>
      <c r="BG2949" s="315"/>
      <c r="BH2949" s="42"/>
    </row>
    <row r="2950" spans="51:60" x14ac:dyDescent="0.2">
      <c r="AY2950" s="315"/>
      <c r="AZ2950" s="326"/>
      <c r="BA2950" s="175"/>
      <c r="BB2950" s="42"/>
      <c r="BC2950" s="431"/>
      <c r="BG2950" s="315"/>
      <c r="BH2950" s="42"/>
    </row>
    <row r="2951" spans="51:60" x14ac:dyDescent="0.2">
      <c r="AY2951" s="315"/>
      <c r="AZ2951" s="326"/>
      <c r="BA2951" s="175"/>
      <c r="BB2951" s="42"/>
      <c r="BC2951" s="431"/>
      <c r="BG2951" s="315"/>
      <c r="BH2951" s="42"/>
    </row>
    <row r="2952" spans="51:60" x14ac:dyDescent="0.2">
      <c r="AY2952" s="315"/>
      <c r="AZ2952" s="326"/>
      <c r="BA2952" s="175"/>
      <c r="BB2952" s="42"/>
      <c r="BC2952" s="431"/>
      <c r="BG2952" s="315"/>
      <c r="BH2952" s="42"/>
    </row>
    <row r="2953" spans="51:60" x14ac:dyDescent="0.2">
      <c r="AY2953" s="315"/>
      <c r="AZ2953" s="326"/>
      <c r="BA2953" s="175"/>
      <c r="BB2953" s="42"/>
      <c r="BC2953" s="431"/>
      <c r="BG2953" s="315"/>
      <c r="BH2953" s="42"/>
    </row>
    <row r="2954" spans="51:60" x14ac:dyDescent="0.2">
      <c r="AY2954" s="315"/>
      <c r="AZ2954" s="326"/>
      <c r="BA2954" s="175"/>
      <c r="BB2954" s="42"/>
      <c r="BC2954" s="431"/>
      <c r="BG2954" s="315"/>
      <c r="BH2954" s="42"/>
    </row>
    <row r="2955" spans="51:60" x14ac:dyDescent="0.2">
      <c r="AY2955" s="315"/>
      <c r="AZ2955" s="326"/>
      <c r="BA2955" s="175"/>
      <c r="BB2955" s="42"/>
      <c r="BC2955" s="431"/>
      <c r="BG2955" s="315"/>
      <c r="BH2955" s="42"/>
    </row>
    <row r="2956" spans="51:60" x14ac:dyDescent="0.2">
      <c r="AY2956" s="315"/>
      <c r="AZ2956" s="326"/>
      <c r="BA2956" s="175"/>
      <c r="BB2956" s="42"/>
      <c r="BC2956" s="431"/>
      <c r="BG2956" s="315"/>
      <c r="BH2956" s="42"/>
    </row>
    <row r="2957" spans="51:60" x14ac:dyDescent="0.2">
      <c r="AY2957" s="315"/>
      <c r="AZ2957" s="326"/>
      <c r="BA2957" s="175"/>
      <c r="BB2957" s="42"/>
      <c r="BC2957" s="431"/>
      <c r="BG2957" s="315"/>
      <c r="BH2957" s="42"/>
    </row>
    <row r="2958" spans="51:60" x14ac:dyDescent="0.2">
      <c r="AY2958" s="315"/>
      <c r="AZ2958" s="326"/>
      <c r="BA2958" s="175"/>
      <c r="BB2958" s="42"/>
      <c r="BC2958" s="431"/>
      <c r="BG2958" s="315"/>
      <c r="BH2958" s="42"/>
    </row>
    <row r="2959" spans="51:60" x14ac:dyDescent="0.2">
      <c r="AY2959" s="315"/>
      <c r="AZ2959" s="326"/>
      <c r="BA2959" s="175"/>
      <c r="BB2959" s="42"/>
      <c r="BC2959" s="431"/>
      <c r="BG2959" s="315"/>
      <c r="BH2959" s="42"/>
    </row>
    <row r="2960" spans="51:60" x14ac:dyDescent="0.2">
      <c r="AY2960" s="315"/>
      <c r="AZ2960" s="326"/>
      <c r="BA2960" s="175"/>
      <c r="BB2960" s="42"/>
      <c r="BC2960" s="431"/>
      <c r="BG2960" s="315"/>
      <c r="BH2960" s="42"/>
    </row>
    <row r="2961" spans="51:60" x14ac:dyDescent="0.2">
      <c r="AY2961" s="315"/>
      <c r="AZ2961" s="326"/>
      <c r="BA2961" s="175"/>
      <c r="BB2961" s="42"/>
      <c r="BC2961" s="431"/>
      <c r="BG2961" s="315"/>
      <c r="BH2961" s="42"/>
    </row>
    <row r="2962" spans="51:60" x14ac:dyDescent="0.2">
      <c r="AY2962" s="315"/>
      <c r="AZ2962" s="326"/>
      <c r="BA2962" s="175"/>
      <c r="BB2962" s="42"/>
      <c r="BC2962" s="431"/>
      <c r="BG2962" s="315"/>
      <c r="BH2962" s="42"/>
    </row>
    <row r="2963" spans="51:60" x14ac:dyDescent="0.2">
      <c r="AY2963" s="315"/>
      <c r="AZ2963" s="326"/>
      <c r="BA2963" s="175"/>
      <c r="BB2963" s="42"/>
      <c r="BC2963" s="431"/>
      <c r="BG2963" s="315"/>
      <c r="BH2963" s="42"/>
    </row>
    <row r="2964" spans="51:60" x14ac:dyDescent="0.2">
      <c r="AY2964" s="315"/>
      <c r="AZ2964" s="326"/>
      <c r="BA2964" s="175"/>
      <c r="BB2964" s="42"/>
      <c r="BC2964" s="431"/>
      <c r="BG2964" s="315"/>
      <c r="BH2964" s="42"/>
    </row>
    <row r="2965" spans="51:60" x14ac:dyDescent="0.2">
      <c r="AY2965" s="315"/>
      <c r="AZ2965" s="326"/>
      <c r="BA2965" s="175"/>
      <c r="BB2965" s="42"/>
      <c r="BC2965" s="431"/>
      <c r="BG2965" s="315"/>
      <c r="BH2965" s="42"/>
    </row>
    <row r="2966" spans="51:60" x14ac:dyDescent="0.2">
      <c r="AY2966" s="315"/>
      <c r="AZ2966" s="326"/>
      <c r="BA2966" s="175"/>
      <c r="BB2966" s="42"/>
      <c r="BC2966" s="431"/>
      <c r="BG2966" s="315"/>
      <c r="BH2966" s="42"/>
    </row>
    <row r="2967" spans="51:60" x14ac:dyDescent="0.2">
      <c r="AY2967" s="315"/>
      <c r="AZ2967" s="326"/>
      <c r="BA2967" s="175"/>
      <c r="BB2967" s="42"/>
      <c r="BC2967" s="431"/>
      <c r="BG2967" s="315"/>
      <c r="BH2967" s="42"/>
    </row>
    <row r="2968" spans="51:60" x14ac:dyDescent="0.2">
      <c r="AY2968" s="315"/>
      <c r="AZ2968" s="326"/>
      <c r="BA2968" s="175"/>
      <c r="BB2968" s="42"/>
      <c r="BC2968" s="431"/>
      <c r="BG2968" s="315"/>
      <c r="BH2968" s="42"/>
    </row>
    <row r="2969" spans="51:60" x14ac:dyDescent="0.2">
      <c r="AY2969" s="315"/>
      <c r="AZ2969" s="326"/>
      <c r="BA2969" s="175"/>
      <c r="BB2969" s="42"/>
      <c r="BC2969" s="431"/>
      <c r="BG2969" s="315"/>
      <c r="BH2969" s="42"/>
    </row>
    <row r="2970" spans="51:60" x14ac:dyDescent="0.2">
      <c r="AY2970" s="315"/>
      <c r="AZ2970" s="326"/>
      <c r="BA2970" s="175"/>
      <c r="BB2970" s="42"/>
      <c r="BC2970" s="431"/>
      <c r="BG2970" s="315"/>
      <c r="BH2970" s="42"/>
    </row>
    <row r="2971" spans="51:60" x14ac:dyDescent="0.2">
      <c r="AY2971" s="315"/>
      <c r="AZ2971" s="326"/>
      <c r="BA2971" s="175"/>
      <c r="BB2971" s="42"/>
      <c r="BC2971" s="431"/>
      <c r="BG2971" s="315"/>
      <c r="BH2971" s="42"/>
    </row>
    <row r="2972" spans="51:60" x14ac:dyDescent="0.2">
      <c r="AY2972" s="315"/>
      <c r="AZ2972" s="326"/>
      <c r="BA2972" s="175"/>
      <c r="BB2972" s="42"/>
      <c r="BC2972" s="431"/>
      <c r="BG2972" s="315"/>
      <c r="BH2972" s="42"/>
    </row>
    <row r="2973" spans="51:60" x14ac:dyDescent="0.2">
      <c r="AY2973" s="315"/>
      <c r="AZ2973" s="326"/>
      <c r="BA2973" s="175"/>
      <c r="BB2973" s="42"/>
      <c r="BC2973" s="431"/>
      <c r="BG2973" s="315"/>
      <c r="BH2973" s="42"/>
    </row>
    <row r="2974" spans="51:60" x14ac:dyDescent="0.2">
      <c r="AY2974" s="315"/>
      <c r="AZ2974" s="326"/>
      <c r="BA2974" s="175"/>
      <c r="BB2974" s="42"/>
      <c r="BC2974" s="431"/>
      <c r="BG2974" s="315"/>
      <c r="BH2974" s="42"/>
    </row>
    <row r="2975" spans="51:60" x14ac:dyDescent="0.2">
      <c r="AY2975" s="315"/>
      <c r="AZ2975" s="326"/>
      <c r="BA2975" s="175"/>
      <c r="BB2975" s="42"/>
      <c r="BC2975" s="431"/>
      <c r="BG2975" s="315"/>
      <c r="BH2975" s="42"/>
    </row>
    <row r="2976" spans="51:60" x14ac:dyDescent="0.2">
      <c r="AY2976" s="315"/>
      <c r="AZ2976" s="326"/>
      <c r="BA2976" s="175"/>
      <c r="BB2976" s="42"/>
      <c r="BC2976" s="431"/>
      <c r="BG2976" s="315"/>
      <c r="BH2976" s="42"/>
    </row>
    <row r="2977" spans="51:60" x14ac:dyDescent="0.2">
      <c r="AY2977" s="315"/>
      <c r="AZ2977" s="326"/>
      <c r="BA2977" s="175"/>
      <c r="BB2977" s="42"/>
      <c r="BC2977" s="431"/>
      <c r="BG2977" s="315"/>
      <c r="BH2977" s="42"/>
    </row>
    <row r="2978" spans="51:60" x14ac:dyDescent="0.2">
      <c r="AY2978" s="315"/>
      <c r="AZ2978" s="326"/>
      <c r="BA2978" s="175"/>
      <c r="BB2978" s="42"/>
      <c r="BC2978" s="431"/>
      <c r="BG2978" s="315"/>
      <c r="BH2978" s="42"/>
    </row>
    <row r="2979" spans="51:60" x14ac:dyDescent="0.2">
      <c r="AY2979" s="315"/>
      <c r="AZ2979" s="326"/>
      <c r="BA2979" s="175"/>
      <c r="BB2979" s="42"/>
      <c r="BC2979" s="431"/>
      <c r="BG2979" s="315"/>
      <c r="BH2979" s="42"/>
    </row>
    <row r="2980" spans="51:60" x14ac:dyDescent="0.2">
      <c r="AY2980" s="315"/>
      <c r="AZ2980" s="326"/>
      <c r="BA2980" s="175"/>
      <c r="BB2980" s="42"/>
      <c r="BC2980" s="431"/>
      <c r="BG2980" s="315"/>
      <c r="BH2980" s="42"/>
    </row>
    <row r="2981" spans="51:60" x14ac:dyDescent="0.2">
      <c r="AY2981" s="315"/>
      <c r="AZ2981" s="326"/>
      <c r="BA2981" s="175"/>
      <c r="BB2981" s="42"/>
      <c r="BC2981" s="431"/>
      <c r="BG2981" s="315"/>
      <c r="BH2981" s="42"/>
    </row>
    <row r="2982" spans="51:60" x14ac:dyDescent="0.2">
      <c r="AY2982" s="315"/>
      <c r="AZ2982" s="326"/>
      <c r="BA2982" s="175"/>
      <c r="BB2982" s="42"/>
      <c r="BC2982" s="431"/>
      <c r="BG2982" s="315"/>
      <c r="BH2982" s="42"/>
    </row>
    <row r="2983" spans="51:60" x14ac:dyDescent="0.2">
      <c r="AY2983" s="315"/>
      <c r="AZ2983" s="326"/>
      <c r="BA2983" s="175"/>
      <c r="BB2983" s="42"/>
      <c r="BC2983" s="431"/>
      <c r="BG2983" s="315"/>
      <c r="BH2983" s="42"/>
    </row>
    <row r="2984" spans="51:60" x14ac:dyDescent="0.2">
      <c r="AY2984" s="315"/>
      <c r="AZ2984" s="326"/>
      <c r="BA2984" s="175"/>
      <c r="BB2984" s="42"/>
      <c r="BC2984" s="431"/>
      <c r="BG2984" s="315"/>
      <c r="BH2984" s="42"/>
    </row>
    <row r="2985" spans="51:60" x14ac:dyDescent="0.2">
      <c r="AY2985" s="315"/>
      <c r="AZ2985" s="326"/>
      <c r="BA2985" s="175"/>
      <c r="BB2985" s="42"/>
      <c r="BC2985" s="431"/>
      <c r="BG2985" s="315"/>
      <c r="BH2985" s="42"/>
    </row>
    <row r="2986" spans="51:60" x14ac:dyDescent="0.2">
      <c r="AY2986" s="315"/>
      <c r="AZ2986" s="326"/>
      <c r="BA2986" s="175"/>
      <c r="BB2986" s="42"/>
      <c r="BC2986" s="431"/>
      <c r="BG2986" s="315"/>
      <c r="BH2986" s="42"/>
    </row>
    <row r="2987" spans="51:60" x14ac:dyDescent="0.2">
      <c r="AY2987" s="315"/>
      <c r="AZ2987" s="326"/>
      <c r="BA2987" s="175"/>
      <c r="BB2987" s="42"/>
      <c r="BC2987" s="431"/>
      <c r="BG2987" s="315"/>
      <c r="BH2987" s="42"/>
    </row>
    <row r="2988" spans="51:60" x14ac:dyDescent="0.2">
      <c r="AY2988" s="315"/>
      <c r="AZ2988" s="326"/>
      <c r="BA2988" s="175"/>
      <c r="BB2988" s="42"/>
      <c r="BC2988" s="431"/>
      <c r="BG2988" s="315"/>
      <c r="BH2988" s="42"/>
    </row>
    <row r="2989" spans="51:60" x14ac:dyDescent="0.2">
      <c r="AY2989" s="315"/>
      <c r="AZ2989" s="326"/>
      <c r="BA2989" s="175"/>
      <c r="BB2989" s="42"/>
      <c r="BC2989" s="431"/>
      <c r="BG2989" s="315"/>
      <c r="BH2989" s="42"/>
    </row>
    <row r="2990" spans="51:60" x14ac:dyDescent="0.2">
      <c r="AY2990" s="315"/>
      <c r="AZ2990" s="326"/>
      <c r="BA2990" s="175"/>
      <c r="BB2990" s="42"/>
      <c r="BC2990" s="431"/>
      <c r="BG2990" s="315"/>
      <c r="BH2990" s="42"/>
    </row>
    <row r="2991" spans="51:60" x14ac:dyDescent="0.2">
      <c r="AY2991" s="315"/>
      <c r="AZ2991" s="326"/>
      <c r="BA2991" s="175"/>
      <c r="BB2991" s="42"/>
      <c r="BC2991" s="431"/>
      <c r="BG2991" s="315"/>
      <c r="BH2991" s="42"/>
    </row>
    <row r="2992" spans="51:60" x14ac:dyDescent="0.2">
      <c r="AY2992" s="315"/>
      <c r="AZ2992" s="326"/>
      <c r="BA2992" s="175"/>
      <c r="BB2992" s="42"/>
      <c r="BC2992" s="431"/>
      <c r="BG2992" s="315"/>
      <c r="BH2992" s="42"/>
    </row>
    <row r="2993" spans="51:60" x14ac:dyDescent="0.2">
      <c r="AY2993" s="315"/>
      <c r="AZ2993" s="326"/>
      <c r="BA2993" s="175"/>
      <c r="BB2993" s="42"/>
      <c r="BC2993" s="431"/>
      <c r="BG2993" s="315"/>
      <c r="BH2993" s="42"/>
    </row>
    <row r="2994" spans="51:60" x14ac:dyDescent="0.2">
      <c r="AY2994" s="315"/>
      <c r="AZ2994" s="326"/>
      <c r="BA2994" s="175"/>
      <c r="BB2994" s="42"/>
      <c r="BC2994" s="431"/>
      <c r="BG2994" s="315"/>
      <c r="BH2994" s="42"/>
    </row>
    <row r="2995" spans="51:60" x14ac:dyDescent="0.2">
      <c r="AY2995" s="315"/>
      <c r="AZ2995" s="326"/>
      <c r="BA2995" s="175"/>
      <c r="BB2995" s="42"/>
      <c r="BC2995" s="431"/>
      <c r="BG2995" s="315"/>
      <c r="BH2995" s="42"/>
    </row>
    <row r="2996" spans="51:60" x14ac:dyDescent="0.2">
      <c r="AY2996" s="315"/>
      <c r="AZ2996" s="326"/>
      <c r="BA2996" s="175"/>
      <c r="BB2996" s="42"/>
      <c r="BC2996" s="431"/>
      <c r="BG2996" s="315"/>
      <c r="BH2996" s="42"/>
    </row>
    <row r="2997" spans="51:60" x14ac:dyDescent="0.2">
      <c r="AY2997" s="315"/>
      <c r="AZ2997" s="326"/>
      <c r="BA2997" s="175"/>
      <c r="BB2997" s="42"/>
      <c r="BC2997" s="431"/>
      <c r="BG2997" s="315"/>
      <c r="BH2997" s="42"/>
    </row>
    <row r="2998" spans="51:60" x14ac:dyDescent="0.2">
      <c r="AY2998" s="315"/>
      <c r="AZ2998" s="326"/>
      <c r="BA2998" s="175"/>
      <c r="BB2998" s="42"/>
      <c r="BC2998" s="431"/>
      <c r="BG2998" s="315"/>
      <c r="BH2998" s="42"/>
    </row>
    <row r="2999" spans="51:60" x14ac:dyDescent="0.2">
      <c r="AY2999" s="315"/>
      <c r="AZ2999" s="326"/>
      <c r="BA2999" s="175"/>
      <c r="BB2999" s="42"/>
      <c r="BC2999" s="431"/>
      <c r="BG2999" s="315"/>
      <c r="BH2999" s="42"/>
    </row>
    <row r="3000" spans="51:60" x14ac:dyDescent="0.2">
      <c r="AY3000" s="315"/>
      <c r="AZ3000" s="326"/>
      <c r="BA3000" s="175"/>
      <c r="BB3000" s="42"/>
      <c r="BC3000" s="431"/>
      <c r="BG3000" s="315"/>
      <c r="BH3000" s="42"/>
    </row>
    <row r="3001" spans="51:60" x14ac:dyDescent="0.2">
      <c r="AY3001" s="315"/>
      <c r="AZ3001" s="326"/>
      <c r="BA3001" s="175"/>
      <c r="BB3001" s="42"/>
      <c r="BC3001" s="431"/>
      <c r="BG3001" s="315"/>
      <c r="BH3001" s="42"/>
    </row>
    <row r="3002" spans="51:60" x14ac:dyDescent="0.2">
      <c r="AY3002" s="315"/>
      <c r="AZ3002" s="326"/>
      <c r="BA3002" s="175"/>
      <c r="BB3002" s="42"/>
      <c r="BC3002" s="431"/>
      <c r="BG3002" s="315"/>
      <c r="BH3002" s="42"/>
    </row>
    <row r="3003" spans="51:60" x14ac:dyDescent="0.2">
      <c r="AY3003" s="315"/>
      <c r="AZ3003" s="326"/>
      <c r="BA3003" s="175"/>
      <c r="BB3003" s="42"/>
      <c r="BC3003" s="431"/>
      <c r="BG3003" s="315"/>
      <c r="BH3003" s="42"/>
    </row>
    <row r="3004" spans="51:60" x14ac:dyDescent="0.2">
      <c r="AY3004" s="315"/>
      <c r="AZ3004" s="326"/>
      <c r="BA3004" s="175"/>
      <c r="BB3004" s="42"/>
      <c r="BC3004" s="431"/>
      <c r="BG3004" s="315"/>
      <c r="BH3004" s="42"/>
    </row>
    <row r="3005" spans="51:60" x14ac:dyDescent="0.2">
      <c r="AY3005" s="315"/>
      <c r="AZ3005" s="326"/>
      <c r="BA3005" s="175"/>
      <c r="BB3005" s="42"/>
      <c r="BC3005" s="431"/>
      <c r="BG3005" s="315"/>
      <c r="BH3005" s="42"/>
    </row>
    <row r="3006" spans="51:60" x14ac:dyDescent="0.2">
      <c r="AY3006" s="315"/>
      <c r="AZ3006" s="326"/>
      <c r="BA3006" s="175"/>
      <c r="BB3006" s="42"/>
      <c r="BC3006" s="431"/>
      <c r="BG3006" s="315"/>
      <c r="BH3006" s="42"/>
    </row>
    <row r="3007" spans="51:60" x14ac:dyDescent="0.2">
      <c r="AY3007" s="315"/>
      <c r="AZ3007" s="326"/>
      <c r="BA3007" s="175"/>
      <c r="BB3007" s="42"/>
      <c r="BC3007" s="431"/>
      <c r="BG3007" s="315"/>
      <c r="BH3007" s="42"/>
    </row>
    <row r="3008" spans="51:60" x14ac:dyDescent="0.2">
      <c r="AY3008" s="315"/>
      <c r="AZ3008" s="326"/>
      <c r="BA3008" s="175"/>
      <c r="BB3008" s="42"/>
      <c r="BC3008" s="431"/>
      <c r="BG3008" s="315"/>
      <c r="BH3008" s="42"/>
    </row>
    <row r="3009" spans="51:60" x14ac:dyDescent="0.2">
      <c r="AY3009" s="315"/>
      <c r="AZ3009" s="326"/>
      <c r="BA3009" s="175"/>
      <c r="BB3009" s="42"/>
      <c r="BC3009" s="431"/>
      <c r="BG3009" s="315"/>
      <c r="BH3009" s="42"/>
    </row>
    <row r="3010" spans="51:60" x14ac:dyDescent="0.2">
      <c r="AY3010" s="315"/>
      <c r="AZ3010" s="326"/>
      <c r="BA3010" s="175"/>
      <c r="BB3010" s="42"/>
      <c r="BC3010" s="431"/>
      <c r="BG3010" s="315"/>
      <c r="BH3010" s="42"/>
    </row>
    <row r="3011" spans="51:60" x14ac:dyDescent="0.2">
      <c r="AY3011" s="315"/>
      <c r="AZ3011" s="326"/>
      <c r="BA3011" s="175"/>
      <c r="BB3011" s="42"/>
      <c r="BC3011" s="431"/>
      <c r="BG3011" s="315"/>
      <c r="BH3011" s="42"/>
    </row>
    <row r="3012" spans="51:60" x14ac:dyDescent="0.2">
      <c r="AY3012" s="315"/>
      <c r="AZ3012" s="326"/>
      <c r="BA3012" s="175"/>
      <c r="BB3012" s="42"/>
      <c r="BC3012" s="431"/>
      <c r="BG3012" s="315"/>
      <c r="BH3012" s="42"/>
    </row>
    <row r="3013" spans="51:60" x14ac:dyDescent="0.2">
      <c r="AY3013" s="315"/>
      <c r="AZ3013" s="326"/>
      <c r="BA3013" s="175"/>
      <c r="BB3013" s="42"/>
      <c r="BC3013" s="431"/>
      <c r="BG3013" s="315"/>
      <c r="BH3013" s="42"/>
    </row>
    <row r="3014" spans="51:60" x14ac:dyDescent="0.2">
      <c r="AY3014" s="315"/>
      <c r="AZ3014" s="326"/>
      <c r="BA3014" s="175"/>
      <c r="BB3014" s="42"/>
      <c r="BC3014" s="431"/>
      <c r="BG3014" s="315"/>
      <c r="BH3014" s="42"/>
    </row>
    <row r="3015" spans="51:60" x14ac:dyDescent="0.2">
      <c r="AY3015" s="315"/>
      <c r="AZ3015" s="326"/>
      <c r="BA3015" s="175"/>
      <c r="BB3015" s="42"/>
      <c r="BC3015" s="431"/>
      <c r="BG3015" s="315"/>
      <c r="BH3015" s="42"/>
    </row>
    <row r="3016" spans="51:60" x14ac:dyDescent="0.2">
      <c r="AY3016" s="315"/>
      <c r="AZ3016" s="326"/>
      <c r="BA3016" s="175"/>
      <c r="BB3016" s="42"/>
      <c r="BC3016" s="431"/>
      <c r="BG3016" s="315"/>
      <c r="BH3016" s="42"/>
    </row>
    <row r="3017" spans="51:60" x14ac:dyDescent="0.2">
      <c r="AY3017" s="315"/>
      <c r="AZ3017" s="326"/>
      <c r="BA3017" s="175"/>
      <c r="BB3017" s="42"/>
      <c r="BC3017" s="431"/>
      <c r="BG3017" s="315"/>
      <c r="BH3017" s="42"/>
    </row>
    <row r="3018" spans="51:60" x14ac:dyDescent="0.2">
      <c r="AY3018" s="315"/>
      <c r="AZ3018" s="326"/>
      <c r="BA3018" s="175"/>
      <c r="BB3018" s="42"/>
      <c r="BC3018" s="431"/>
      <c r="BG3018" s="315"/>
      <c r="BH3018" s="42"/>
    </row>
    <row r="3019" spans="51:60" x14ac:dyDescent="0.2">
      <c r="AY3019" s="315"/>
      <c r="AZ3019" s="326"/>
      <c r="BA3019" s="175"/>
      <c r="BB3019" s="42"/>
      <c r="BC3019" s="431"/>
      <c r="BG3019" s="315"/>
      <c r="BH3019" s="42"/>
    </row>
    <row r="3020" spans="51:60" x14ac:dyDescent="0.2">
      <c r="AY3020" s="315"/>
      <c r="AZ3020" s="326"/>
      <c r="BA3020" s="175"/>
      <c r="BB3020" s="42"/>
      <c r="BC3020" s="431"/>
      <c r="BG3020" s="315"/>
      <c r="BH3020" s="42"/>
    </row>
    <row r="3021" spans="51:60" x14ac:dyDescent="0.2">
      <c r="AY3021" s="315"/>
      <c r="AZ3021" s="326"/>
      <c r="BA3021" s="175"/>
      <c r="BB3021" s="42"/>
      <c r="BC3021" s="431"/>
      <c r="BG3021" s="315"/>
      <c r="BH3021" s="42"/>
    </row>
    <row r="3022" spans="51:60" x14ac:dyDescent="0.2">
      <c r="AY3022" s="315"/>
      <c r="AZ3022" s="326"/>
      <c r="BA3022" s="175"/>
      <c r="BB3022" s="42"/>
      <c r="BC3022" s="431"/>
      <c r="BG3022" s="315"/>
      <c r="BH3022" s="42"/>
    </row>
    <row r="3023" spans="51:60" x14ac:dyDescent="0.2">
      <c r="AY3023" s="315"/>
      <c r="AZ3023" s="326"/>
      <c r="BA3023" s="175"/>
      <c r="BB3023" s="42"/>
      <c r="BC3023" s="431"/>
      <c r="BG3023" s="315"/>
      <c r="BH3023" s="42"/>
    </row>
    <row r="3024" spans="51:60" x14ac:dyDescent="0.2">
      <c r="AY3024" s="315"/>
      <c r="AZ3024" s="326"/>
      <c r="BA3024" s="175"/>
      <c r="BB3024" s="42"/>
      <c r="BC3024" s="431"/>
      <c r="BG3024" s="315"/>
      <c r="BH3024" s="42"/>
    </row>
    <row r="3025" spans="51:60" x14ac:dyDescent="0.2">
      <c r="AY3025" s="315"/>
      <c r="AZ3025" s="326"/>
      <c r="BA3025" s="175"/>
      <c r="BB3025" s="42"/>
      <c r="BC3025" s="431"/>
      <c r="BG3025" s="315"/>
      <c r="BH3025" s="42"/>
    </row>
    <row r="3026" spans="51:60" x14ac:dyDescent="0.2">
      <c r="AY3026" s="315"/>
      <c r="AZ3026" s="326"/>
      <c r="BA3026" s="175"/>
      <c r="BB3026" s="42"/>
      <c r="BC3026" s="431"/>
      <c r="BG3026" s="315"/>
      <c r="BH3026" s="42"/>
    </row>
    <row r="3027" spans="51:60" x14ac:dyDescent="0.2">
      <c r="AY3027" s="315"/>
      <c r="AZ3027" s="326"/>
      <c r="BA3027" s="175"/>
      <c r="BB3027" s="42"/>
      <c r="BC3027" s="431"/>
      <c r="BG3027" s="315"/>
      <c r="BH3027" s="42"/>
    </row>
    <row r="3028" spans="51:60" x14ac:dyDescent="0.2">
      <c r="AY3028" s="315"/>
      <c r="AZ3028" s="326"/>
      <c r="BA3028" s="175"/>
      <c r="BB3028" s="42"/>
      <c r="BC3028" s="431"/>
      <c r="BG3028" s="315"/>
      <c r="BH3028" s="42"/>
    </row>
    <row r="3029" spans="51:60" x14ac:dyDescent="0.2">
      <c r="AY3029" s="315"/>
      <c r="AZ3029" s="326"/>
      <c r="BA3029" s="175"/>
      <c r="BB3029" s="42"/>
      <c r="BC3029" s="431"/>
      <c r="BG3029" s="315"/>
      <c r="BH3029" s="42"/>
    </row>
    <row r="3030" spans="51:60" x14ac:dyDescent="0.2">
      <c r="AY3030" s="315"/>
      <c r="AZ3030" s="326"/>
      <c r="BA3030" s="175"/>
      <c r="BB3030" s="42"/>
      <c r="BC3030" s="431"/>
      <c r="BG3030" s="315"/>
      <c r="BH3030" s="42"/>
    </row>
    <row r="3031" spans="51:60" x14ac:dyDescent="0.2">
      <c r="AY3031" s="315"/>
      <c r="AZ3031" s="326"/>
      <c r="BA3031" s="175"/>
      <c r="BB3031" s="42"/>
      <c r="BC3031" s="431"/>
      <c r="BG3031" s="315"/>
      <c r="BH3031" s="42"/>
    </row>
    <row r="3032" spans="51:60" x14ac:dyDescent="0.2">
      <c r="AY3032" s="315"/>
      <c r="AZ3032" s="326"/>
      <c r="BA3032" s="175"/>
      <c r="BB3032" s="42"/>
      <c r="BC3032" s="431"/>
      <c r="BG3032" s="315"/>
      <c r="BH3032" s="42"/>
    </row>
    <row r="3033" spans="51:60" x14ac:dyDescent="0.2">
      <c r="AY3033" s="315"/>
      <c r="AZ3033" s="326"/>
      <c r="BA3033" s="175"/>
      <c r="BB3033" s="42"/>
      <c r="BC3033" s="431"/>
      <c r="BG3033" s="315"/>
      <c r="BH3033" s="42"/>
    </row>
    <row r="3034" spans="51:60" x14ac:dyDescent="0.2">
      <c r="AY3034" s="315"/>
      <c r="AZ3034" s="326"/>
      <c r="BA3034" s="175"/>
      <c r="BB3034" s="42"/>
      <c r="BC3034" s="431"/>
      <c r="BG3034" s="315"/>
      <c r="BH3034" s="42"/>
    </row>
    <row r="3035" spans="51:60" x14ac:dyDescent="0.2">
      <c r="AY3035" s="315"/>
      <c r="AZ3035" s="326"/>
      <c r="BA3035" s="175"/>
      <c r="BB3035" s="42"/>
      <c r="BC3035" s="431"/>
      <c r="BG3035" s="315"/>
      <c r="BH3035" s="42"/>
    </row>
    <row r="3036" spans="51:60" x14ac:dyDescent="0.2">
      <c r="AY3036" s="315"/>
      <c r="AZ3036" s="326"/>
      <c r="BA3036" s="175"/>
      <c r="BB3036" s="42"/>
      <c r="BC3036" s="431"/>
      <c r="BG3036" s="315"/>
      <c r="BH3036" s="42"/>
    </row>
    <row r="3037" spans="51:60" x14ac:dyDescent="0.2">
      <c r="AY3037" s="315"/>
      <c r="AZ3037" s="326"/>
      <c r="BA3037" s="175"/>
      <c r="BB3037" s="42"/>
      <c r="BC3037" s="431"/>
      <c r="BG3037" s="315"/>
      <c r="BH3037" s="42"/>
    </row>
    <row r="3038" spans="51:60" x14ac:dyDescent="0.2">
      <c r="AY3038" s="315"/>
      <c r="AZ3038" s="326"/>
      <c r="BA3038" s="175"/>
      <c r="BB3038" s="42"/>
      <c r="BC3038" s="431"/>
      <c r="BG3038" s="315"/>
      <c r="BH3038" s="42"/>
    </row>
    <row r="3039" spans="51:60" x14ac:dyDescent="0.2">
      <c r="AY3039" s="315"/>
      <c r="AZ3039" s="326"/>
      <c r="BA3039" s="175"/>
      <c r="BB3039" s="42"/>
      <c r="BC3039" s="431"/>
      <c r="BG3039" s="315"/>
      <c r="BH3039" s="42"/>
    </row>
    <row r="3040" spans="51:60" x14ac:dyDescent="0.2">
      <c r="AY3040" s="315"/>
      <c r="AZ3040" s="326"/>
      <c r="BA3040" s="175"/>
      <c r="BB3040" s="42"/>
      <c r="BC3040" s="431"/>
      <c r="BG3040" s="315"/>
      <c r="BH3040" s="42"/>
    </row>
    <row r="3041" spans="51:60" x14ac:dyDescent="0.2">
      <c r="AY3041" s="315"/>
      <c r="AZ3041" s="326"/>
      <c r="BA3041" s="175"/>
      <c r="BB3041" s="42"/>
      <c r="BC3041" s="431"/>
      <c r="BG3041" s="315"/>
      <c r="BH3041" s="42"/>
    </row>
    <row r="3042" spans="51:60" x14ac:dyDescent="0.2">
      <c r="AY3042" s="315"/>
      <c r="AZ3042" s="326"/>
      <c r="BA3042" s="175"/>
      <c r="BB3042" s="42"/>
      <c r="BC3042" s="431"/>
      <c r="BG3042" s="315"/>
      <c r="BH3042" s="42"/>
    </row>
    <row r="3043" spans="51:60" x14ac:dyDescent="0.2">
      <c r="AY3043" s="315"/>
      <c r="AZ3043" s="326"/>
      <c r="BA3043" s="175"/>
      <c r="BB3043" s="42"/>
      <c r="BC3043" s="431"/>
      <c r="BG3043" s="315"/>
      <c r="BH3043" s="42"/>
    </row>
    <row r="3044" spans="51:60" x14ac:dyDescent="0.2">
      <c r="AY3044" s="315"/>
      <c r="AZ3044" s="326"/>
      <c r="BA3044" s="175"/>
      <c r="BB3044" s="42"/>
      <c r="BC3044" s="431"/>
      <c r="BG3044" s="315"/>
      <c r="BH3044" s="42"/>
    </row>
    <row r="3045" spans="51:60" x14ac:dyDescent="0.2">
      <c r="AY3045" s="315"/>
      <c r="AZ3045" s="326"/>
      <c r="BA3045" s="175"/>
      <c r="BB3045" s="42"/>
      <c r="BC3045" s="431"/>
      <c r="BG3045" s="315"/>
      <c r="BH3045" s="42"/>
    </row>
    <row r="3046" spans="51:60" x14ac:dyDescent="0.2">
      <c r="AY3046" s="315"/>
      <c r="AZ3046" s="326"/>
      <c r="BA3046" s="175"/>
      <c r="BB3046" s="42"/>
      <c r="BC3046" s="431"/>
      <c r="BG3046" s="315"/>
      <c r="BH3046" s="42"/>
    </row>
    <row r="3047" spans="51:60" x14ac:dyDescent="0.2">
      <c r="AY3047" s="315"/>
      <c r="AZ3047" s="326"/>
      <c r="BA3047" s="175"/>
      <c r="BB3047" s="42"/>
      <c r="BC3047" s="431"/>
      <c r="BG3047" s="315"/>
      <c r="BH3047" s="42"/>
    </row>
    <row r="3048" spans="51:60" x14ac:dyDescent="0.2">
      <c r="AY3048" s="315"/>
      <c r="AZ3048" s="326"/>
      <c r="BA3048" s="175"/>
      <c r="BB3048" s="42"/>
      <c r="BC3048" s="431"/>
      <c r="BG3048" s="315"/>
      <c r="BH3048" s="42"/>
    </row>
    <row r="3049" spans="51:60" x14ac:dyDescent="0.2">
      <c r="AY3049" s="315"/>
      <c r="AZ3049" s="326"/>
      <c r="BA3049" s="175"/>
      <c r="BB3049" s="42"/>
      <c r="BC3049" s="431"/>
      <c r="BG3049" s="315"/>
      <c r="BH3049" s="42"/>
    </row>
    <row r="3050" spans="51:60" x14ac:dyDescent="0.2">
      <c r="AY3050" s="315"/>
      <c r="AZ3050" s="326"/>
      <c r="BA3050" s="175"/>
      <c r="BB3050" s="42"/>
      <c r="BC3050" s="431"/>
      <c r="BG3050" s="315"/>
      <c r="BH3050" s="42"/>
    </row>
    <row r="3051" spans="51:60" x14ac:dyDescent="0.2">
      <c r="AY3051" s="315"/>
      <c r="AZ3051" s="326"/>
      <c r="BA3051" s="175"/>
      <c r="BB3051" s="42"/>
      <c r="BC3051" s="431"/>
      <c r="BG3051" s="315"/>
      <c r="BH3051" s="42"/>
    </row>
    <row r="3052" spans="51:60" x14ac:dyDescent="0.2">
      <c r="AY3052" s="315"/>
      <c r="AZ3052" s="326"/>
      <c r="BA3052" s="175"/>
      <c r="BB3052" s="42"/>
      <c r="BC3052" s="431"/>
      <c r="BG3052" s="315"/>
      <c r="BH3052" s="42"/>
    </row>
    <row r="3053" spans="51:60" x14ac:dyDescent="0.2">
      <c r="AY3053" s="315"/>
      <c r="AZ3053" s="326"/>
      <c r="BA3053" s="175"/>
      <c r="BB3053" s="42"/>
      <c r="BC3053" s="431"/>
      <c r="BG3053" s="315"/>
      <c r="BH3053" s="42"/>
    </row>
    <row r="3054" spans="51:60" x14ac:dyDescent="0.2">
      <c r="AY3054" s="315"/>
      <c r="AZ3054" s="326"/>
      <c r="BA3054" s="175"/>
      <c r="BB3054" s="42"/>
      <c r="BC3054" s="431"/>
      <c r="BG3054" s="315"/>
      <c r="BH3054" s="42"/>
    </row>
    <row r="3055" spans="51:60" x14ac:dyDescent="0.2">
      <c r="AY3055" s="315"/>
      <c r="AZ3055" s="326"/>
      <c r="BA3055" s="175"/>
      <c r="BB3055" s="42"/>
      <c r="BC3055" s="431"/>
      <c r="BG3055" s="315"/>
      <c r="BH3055" s="42"/>
    </row>
    <row r="3056" spans="51:60" x14ac:dyDescent="0.2">
      <c r="AY3056" s="315"/>
      <c r="AZ3056" s="326"/>
      <c r="BA3056" s="175"/>
      <c r="BB3056" s="42"/>
      <c r="BC3056" s="431"/>
      <c r="BG3056" s="315"/>
      <c r="BH3056" s="42"/>
    </row>
    <row r="3057" spans="51:60" x14ac:dyDescent="0.2">
      <c r="AY3057" s="315"/>
      <c r="AZ3057" s="326"/>
      <c r="BA3057" s="175"/>
      <c r="BB3057" s="42"/>
      <c r="BC3057" s="431"/>
      <c r="BG3057" s="315"/>
      <c r="BH3057" s="42"/>
    </row>
    <row r="3058" spans="51:60" x14ac:dyDescent="0.2">
      <c r="AY3058" s="315"/>
      <c r="AZ3058" s="326"/>
      <c r="BA3058" s="175"/>
      <c r="BB3058" s="42"/>
      <c r="BC3058" s="431"/>
      <c r="BG3058" s="315"/>
      <c r="BH3058" s="42"/>
    </row>
    <row r="3059" spans="51:60" x14ac:dyDescent="0.2">
      <c r="AY3059" s="315"/>
      <c r="AZ3059" s="326"/>
      <c r="BA3059" s="175"/>
      <c r="BB3059" s="42"/>
      <c r="BC3059" s="431"/>
      <c r="BG3059" s="315"/>
      <c r="BH3059" s="42"/>
    </row>
    <row r="3060" spans="51:60" x14ac:dyDescent="0.2">
      <c r="AY3060" s="315"/>
      <c r="AZ3060" s="326"/>
      <c r="BA3060" s="175"/>
      <c r="BB3060" s="42"/>
      <c r="BC3060" s="431"/>
      <c r="BG3060" s="315"/>
      <c r="BH3060" s="42"/>
    </row>
    <row r="3061" spans="51:60" x14ac:dyDescent="0.2">
      <c r="AY3061" s="315"/>
      <c r="AZ3061" s="326"/>
      <c r="BA3061" s="175"/>
      <c r="BB3061" s="42"/>
      <c r="BC3061" s="431"/>
      <c r="BG3061" s="315"/>
      <c r="BH3061" s="42"/>
    </row>
    <row r="3062" spans="51:60" x14ac:dyDescent="0.2">
      <c r="AY3062" s="315"/>
      <c r="AZ3062" s="326"/>
      <c r="BA3062" s="175"/>
      <c r="BB3062" s="42"/>
      <c r="BC3062" s="431"/>
      <c r="BG3062" s="315"/>
      <c r="BH3062" s="42"/>
    </row>
    <row r="3063" spans="51:60" x14ac:dyDescent="0.2">
      <c r="AY3063" s="315"/>
      <c r="AZ3063" s="326"/>
      <c r="BA3063" s="175"/>
      <c r="BB3063" s="42"/>
      <c r="BC3063" s="431"/>
      <c r="BG3063" s="315"/>
      <c r="BH3063" s="42"/>
    </row>
    <row r="3064" spans="51:60" x14ac:dyDescent="0.2">
      <c r="AY3064" s="315"/>
      <c r="AZ3064" s="326"/>
      <c r="BA3064" s="175"/>
      <c r="BB3064" s="42"/>
      <c r="BC3064" s="431"/>
      <c r="BG3064" s="315"/>
      <c r="BH3064" s="42"/>
    </row>
    <row r="3065" spans="51:60" x14ac:dyDescent="0.2">
      <c r="AY3065" s="315"/>
      <c r="AZ3065" s="326"/>
      <c r="BA3065" s="175"/>
      <c r="BB3065" s="42"/>
      <c r="BC3065" s="431"/>
      <c r="BG3065" s="315"/>
      <c r="BH3065" s="42"/>
    </row>
    <row r="3066" spans="51:60" x14ac:dyDescent="0.2">
      <c r="AY3066" s="315"/>
      <c r="AZ3066" s="326"/>
      <c r="BA3066" s="175"/>
      <c r="BB3066" s="42"/>
      <c r="BC3066" s="431"/>
      <c r="BG3066" s="315"/>
      <c r="BH3066" s="42"/>
    </row>
    <row r="3067" spans="51:60" x14ac:dyDescent="0.2">
      <c r="AY3067" s="315"/>
      <c r="AZ3067" s="326"/>
      <c r="BA3067" s="175"/>
      <c r="BB3067" s="42"/>
      <c r="BC3067" s="431"/>
      <c r="BG3067" s="315"/>
      <c r="BH3067" s="42"/>
    </row>
    <row r="3068" spans="51:60" x14ac:dyDescent="0.2">
      <c r="AY3068" s="315"/>
      <c r="AZ3068" s="326"/>
      <c r="BA3068" s="175"/>
      <c r="BB3068" s="42"/>
      <c r="BC3068" s="431"/>
      <c r="BG3068" s="315"/>
      <c r="BH3068" s="42"/>
    </row>
    <row r="3069" spans="51:60" x14ac:dyDescent="0.2">
      <c r="AY3069" s="315"/>
      <c r="AZ3069" s="326"/>
      <c r="BA3069" s="175"/>
      <c r="BB3069" s="42"/>
      <c r="BC3069" s="431"/>
      <c r="BG3069" s="315"/>
      <c r="BH3069" s="42"/>
    </row>
    <row r="3070" spans="51:60" x14ac:dyDescent="0.2">
      <c r="AY3070" s="315"/>
      <c r="AZ3070" s="326"/>
      <c r="BA3070" s="175"/>
      <c r="BB3070" s="42"/>
      <c r="BC3070" s="431"/>
      <c r="BG3070" s="315"/>
      <c r="BH3070" s="42"/>
    </row>
    <row r="3071" spans="51:60" x14ac:dyDescent="0.2">
      <c r="AY3071" s="315"/>
      <c r="AZ3071" s="326"/>
      <c r="BA3071" s="175"/>
      <c r="BB3071" s="42"/>
      <c r="BC3071" s="431"/>
      <c r="BG3071" s="315"/>
      <c r="BH3071" s="42"/>
    </row>
    <row r="3072" spans="51:60" x14ac:dyDescent="0.2">
      <c r="AY3072" s="315"/>
      <c r="AZ3072" s="326"/>
      <c r="BA3072" s="175"/>
      <c r="BB3072" s="42"/>
      <c r="BC3072" s="431"/>
      <c r="BG3072" s="315"/>
      <c r="BH3072" s="42"/>
    </row>
    <row r="3073" spans="51:60" x14ac:dyDescent="0.2">
      <c r="AY3073" s="315"/>
      <c r="AZ3073" s="326"/>
      <c r="BA3073" s="175"/>
      <c r="BB3073" s="42"/>
      <c r="BC3073" s="431"/>
      <c r="BG3073" s="315"/>
      <c r="BH3073" s="42"/>
    </row>
    <row r="3074" spans="51:60" x14ac:dyDescent="0.2">
      <c r="AY3074" s="315"/>
      <c r="AZ3074" s="326"/>
      <c r="BA3074" s="175"/>
      <c r="BB3074" s="42"/>
      <c r="BC3074" s="431"/>
      <c r="BG3074" s="315"/>
      <c r="BH3074" s="42"/>
    </row>
    <row r="3075" spans="51:60" x14ac:dyDescent="0.2">
      <c r="AY3075" s="315"/>
      <c r="AZ3075" s="326"/>
      <c r="BA3075" s="175"/>
      <c r="BB3075" s="42"/>
      <c r="BC3075" s="431"/>
      <c r="BG3075" s="315"/>
      <c r="BH3075" s="42"/>
    </row>
    <row r="3076" spans="51:60" x14ac:dyDescent="0.2">
      <c r="AY3076" s="315"/>
      <c r="AZ3076" s="326"/>
      <c r="BA3076" s="175"/>
      <c r="BB3076" s="42"/>
      <c r="BC3076" s="431"/>
      <c r="BG3076" s="315"/>
      <c r="BH3076" s="42"/>
    </row>
    <row r="3077" spans="51:60" x14ac:dyDescent="0.2">
      <c r="AY3077" s="315"/>
      <c r="AZ3077" s="326"/>
      <c r="BA3077" s="175"/>
      <c r="BB3077" s="42"/>
      <c r="BC3077" s="431"/>
      <c r="BG3077" s="315"/>
      <c r="BH3077" s="42"/>
    </row>
    <row r="3078" spans="51:60" x14ac:dyDescent="0.2">
      <c r="AY3078" s="315"/>
      <c r="AZ3078" s="326"/>
      <c r="BA3078" s="175"/>
      <c r="BB3078" s="42"/>
      <c r="BC3078" s="431"/>
      <c r="BG3078" s="315"/>
      <c r="BH3078" s="42"/>
    </row>
    <row r="3079" spans="51:60" x14ac:dyDescent="0.2">
      <c r="AY3079" s="315"/>
      <c r="AZ3079" s="326"/>
      <c r="BA3079" s="175"/>
      <c r="BB3079" s="42"/>
      <c r="BC3079" s="431"/>
      <c r="BG3079" s="315"/>
      <c r="BH3079" s="42"/>
    </row>
    <row r="3080" spans="51:60" x14ac:dyDescent="0.2">
      <c r="AY3080" s="315"/>
      <c r="AZ3080" s="326"/>
      <c r="BA3080" s="175"/>
      <c r="BB3080" s="42"/>
      <c r="BC3080" s="431"/>
      <c r="BG3080" s="315"/>
      <c r="BH3080" s="42"/>
    </row>
    <row r="3081" spans="51:60" x14ac:dyDescent="0.2">
      <c r="AY3081" s="315"/>
      <c r="AZ3081" s="326"/>
      <c r="BA3081" s="175"/>
      <c r="BB3081" s="42"/>
      <c r="BC3081" s="431"/>
      <c r="BG3081" s="315"/>
      <c r="BH3081" s="42"/>
    </row>
    <row r="3082" spans="51:60" x14ac:dyDescent="0.2">
      <c r="AY3082" s="315"/>
      <c r="AZ3082" s="326"/>
      <c r="BA3082" s="175"/>
      <c r="BB3082" s="42"/>
      <c r="BC3082" s="431"/>
      <c r="BG3082" s="315"/>
      <c r="BH3082" s="42"/>
    </row>
    <row r="3083" spans="51:60" x14ac:dyDescent="0.2">
      <c r="AY3083" s="315"/>
      <c r="AZ3083" s="326"/>
      <c r="BA3083" s="175"/>
      <c r="BB3083" s="42"/>
      <c r="BC3083" s="431"/>
      <c r="BG3083" s="315"/>
      <c r="BH3083" s="42"/>
    </row>
    <row r="3084" spans="51:60" x14ac:dyDescent="0.2">
      <c r="AY3084" s="315"/>
      <c r="AZ3084" s="326"/>
      <c r="BA3084" s="175"/>
      <c r="BB3084" s="42"/>
      <c r="BC3084" s="431"/>
      <c r="BG3084" s="315"/>
      <c r="BH3084" s="42"/>
    </row>
    <row r="3085" spans="51:60" x14ac:dyDescent="0.2">
      <c r="AY3085" s="315"/>
      <c r="AZ3085" s="326"/>
      <c r="BA3085" s="175"/>
      <c r="BB3085" s="42"/>
      <c r="BC3085" s="431"/>
      <c r="BG3085" s="315"/>
      <c r="BH3085" s="42"/>
    </row>
    <row r="3086" spans="51:60" x14ac:dyDescent="0.2">
      <c r="AY3086" s="315"/>
      <c r="AZ3086" s="326"/>
      <c r="BA3086" s="175"/>
      <c r="BB3086" s="42"/>
      <c r="BC3086" s="431"/>
      <c r="BG3086" s="315"/>
      <c r="BH3086" s="42"/>
    </row>
    <row r="3087" spans="51:60" x14ac:dyDescent="0.2">
      <c r="AY3087" s="315"/>
      <c r="AZ3087" s="326"/>
      <c r="BA3087" s="175"/>
      <c r="BB3087" s="42"/>
      <c r="BC3087" s="431"/>
      <c r="BG3087" s="315"/>
      <c r="BH3087" s="42"/>
    </row>
    <row r="3088" spans="51:60" x14ac:dyDescent="0.2">
      <c r="AY3088" s="315"/>
      <c r="AZ3088" s="326"/>
      <c r="BA3088" s="175"/>
      <c r="BB3088" s="42"/>
      <c r="BC3088" s="431"/>
      <c r="BG3088" s="315"/>
      <c r="BH3088" s="42"/>
    </row>
    <row r="3089" spans="51:60" x14ac:dyDescent="0.2">
      <c r="AY3089" s="315"/>
      <c r="AZ3089" s="326"/>
      <c r="BA3089" s="175"/>
      <c r="BB3089" s="42"/>
      <c r="BC3089" s="431"/>
      <c r="BG3089" s="315"/>
      <c r="BH3089" s="42"/>
    </row>
    <row r="3090" spans="51:60" x14ac:dyDescent="0.2">
      <c r="AY3090" s="315"/>
      <c r="AZ3090" s="326"/>
      <c r="BA3090" s="175"/>
      <c r="BB3090" s="42"/>
      <c r="BC3090" s="431"/>
      <c r="BG3090" s="315"/>
      <c r="BH3090" s="42"/>
    </row>
    <row r="3091" spans="51:60" x14ac:dyDescent="0.2">
      <c r="AY3091" s="315"/>
      <c r="AZ3091" s="326"/>
      <c r="BA3091" s="175"/>
      <c r="BB3091" s="42"/>
      <c r="BC3091" s="431"/>
      <c r="BG3091" s="315"/>
      <c r="BH3091" s="42"/>
    </row>
    <row r="3092" spans="51:60" x14ac:dyDescent="0.2">
      <c r="AY3092" s="315"/>
      <c r="AZ3092" s="326"/>
      <c r="BA3092" s="175"/>
      <c r="BB3092" s="42"/>
      <c r="BC3092" s="431"/>
      <c r="BG3092" s="315"/>
      <c r="BH3092" s="42"/>
    </row>
    <row r="3093" spans="51:60" x14ac:dyDescent="0.2">
      <c r="AY3093" s="315"/>
      <c r="AZ3093" s="326"/>
      <c r="BA3093" s="175"/>
      <c r="BB3093" s="42"/>
      <c r="BC3093" s="431"/>
      <c r="BG3093" s="315"/>
      <c r="BH3093" s="42"/>
    </row>
    <row r="3094" spans="51:60" x14ac:dyDescent="0.2">
      <c r="AY3094" s="315"/>
      <c r="AZ3094" s="326"/>
      <c r="BA3094" s="175"/>
      <c r="BB3094" s="42"/>
      <c r="BC3094" s="431"/>
      <c r="BG3094" s="315"/>
      <c r="BH3094" s="42"/>
    </row>
    <row r="3095" spans="51:60" x14ac:dyDescent="0.2">
      <c r="AY3095" s="315"/>
      <c r="AZ3095" s="326"/>
      <c r="BA3095" s="175"/>
      <c r="BB3095" s="42"/>
      <c r="BC3095" s="431"/>
      <c r="BG3095" s="315"/>
      <c r="BH3095" s="42"/>
    </row>
    <row r="3096" spans="51:60" x14ac:dyDescent="0.2">
      <c r="AY3096" s="315"/>
      <c r="AZ3096" s="326"/>
      <c r="BA3096" s="175"/>
      <c r="BB3096" s="42"/>
      <c r="BC3096" s="431"/>
      <c r="BG3096" s="315"/>
      <c r="BH3096" s="42"/>
    </row>
    <row r="3097" spans="51:60" x14ac:dyDescent="0.2">
      <c r="AY3097" s="315"/>
      <c r="AZ3097" s="326"/>
      <c r="BA3097" s="175"/>
      <c r="BB3097" s="42"/>
      <c r="BC3097" s="431"/>
      <c r="BG3097" s="315"/>
      <c r="BH3097" s="42"/>
    </row>
    <row r="3098" spans="51:60" x14ac:dyDescent="0.2">
      <c r="AY3098" s="315"/>
      <c r="AZ3098" s="326"/>
      <c r="BA3098" s="175"/>
      <c r="BB3098" s="42"/>
      <c r="BC3098" s="431"/>
      <c r="BG3098" s="315"/>
      <c r="BH3098" s="42"/>
    </row>
    <row r="3099" spans="51:60" x14ac:dyDescent="0.2">
      <c r="AY3099" s="315"/>
      <c r="AZ3099" s="326"/>
      <c r="BA3099" s="175"/>
      <c r="BB3099" s="42"/>
      <c r="BC3099" s="431"/>
      <c r="BG3099" s="315"/>
      <c r="BH3099" s="42"/>
    </row>
    <row r="3100" spans="51:60" x14ac:dyDescent="0.2">
      <c r="AY3100" s="315"/>
      <c r="AZ3100" s="326"/>
      <c r="BA3100" s="175"/>
      <c r="BB3100" s="42"/>
      <c r="BC3100" s="431"/>
      <c r="BG3100" s="315"/>
      <c r="BH3100" s="42"/>
    </row>
    <row r="3101" spans="51:60" x14ac:dyDescent="0.2">
      <c r="AY3101" s="315"/>
      <c r="AZ3101" s="326"/>
      <c r="BA3101" s="175"/>
      <c r="BB3101" s="42"/>
      <c r="BC3101" s="431"/>
      <c r="BG3101" s="315"/>
      <c r="BH3101" s="42"/>
    </row>
    <row r="3102" spans="51:60" x14ac:dyDescent="0.2">
      <c r="AY3102" s="315"/>
      <c r="AZ3102" s="326"/>
      <c r="BA3102" s="175"/>
      <c r="BB3102" s="42"/>
      <c r="BC3102" s="431"/>
      <c r="BG3102" s="315"/>
      <c r="BH3102" s="42"/>
    </row>
    <row r="3103" spans="51:60" x14ac:dyDescent="0.2">
      <c r="AY3103" s="315"/>
      <c r="AZ3103" s="326"/>
      <c r="BA3103" s="175"/>
      <c r="BB3103" s="42"/>
      <c r="BC3103" s="431"/>
      <c r="BG3103" s="315"/>
      <c r="BH3103" s="42"/>
    </row>
    <row r="3104" spans="51:60" x14ac:dyDescent="0.2">
      <c r="AY3104" s="315"/>
      <c r="AZ3104" s="326"/>
      <c r="BA3104" s="175"/>
      <c r="BB3104" s="42"/>
      <c r="BC3104" s="431"/>
      <c r="BG3104" s="315"/>
      <c r="BH3104" s="42"/>
    </row>
    <row r="3105" spans="51:60" x14ac:dyDescent="0.2">
      <c r="AY3105" s="315"/>
      <c r="AZ3105" s="326"/>
      <c r="BA3105" s="175"/>
      <c r="BB3105" s="42"/>
      <c r="BC3105" s="431"/>
      <c r="BG3105" s="315"/>
      <c r="BH3105" s="42"/>
    </row>
    <row r="3106" spans="51:60" x14ac:dyDescent="0.2">
      <c r="AY3106" s="315"/>
      <c r="AZ3106" s="326"/>
      <c r="BA3106" s="175"/>
      <c r="BB3106" s="42"/>
      <c r="BC3106" s="431"/>
      <c r="BG3106" s="315"/>
      <c r="BH3106" s="42"/>
    </row>
    <row r="3107" spans="51:60" x14ac:dyDescent="0.2">
      <c r="AY3107" s="315"/>
      <c r="AZ3107" s="326"/>
      <c r="BA3107" s="175"/>
      <c r="BB3107" s="42"/>
      <c r="BC3107" s="431"/>
      <c r="BG3107" s="315"/>
      <c r="BH3107" s="42"/>
    </row>
    <row r="3108" spans="51:60" x14ac:dyDescent="0.2">
      <c r="AY3108" s="315"/>
      <c r="AZ3108" s="326"/>
      <c r="BA3108" s="175"/>
      <c r="BB3108" s="42"/>
      <c r="BC3108" s="431"/>
      <c r="BG3108" s="315"/>
      <c r="BH3108" s="42"/>
    </row>
    <row r="3109" spans="51:60" x14ac:dyDescent="0.2">
      <c r="AY3109" s="315"/>
      <c r="AZ3109" s="326"/>
      <c r="BA3109" s="175"/>
      <c r="BB3109" s="42"/>
      <c r="BC3109" s="431"/>
      <c r="BG3109" s="315"/>
      <c r="BH3109" s="42"/>
    </row>
    <row r="3110" spans="51:60" x14ac:dyDescent="0.2">
      <c r="AY3110" s="315"/>
      <c r="AZ3110" s="326"/>
      <c r="BA3110" s="175"/>
      <c r="BB3110" s="42"/>
      <c r="BC3110" s="431"/>
      <c r="BG3110" s="315"/>
      <c r="BH3110" s="42"/>
    </row>
    <row r="3111" spans="51:60" x14ac:dyDescent="0.2">
      <c r="AY3111" s="315"/>
      <c r="AZ3111" s="326"/>
      <c r="BA3111" s="175"/>
      <c r="BB3111" s="42"/>
      <c r="BC3111" s="431"/>
      <c r="BG3111" s="315"/>
      <c r="BH3111" s="42"/>
    </row>
    <row r="3112" spans="51:60" x14ac:dyDescent="0.2">
      <c r="AY3112" s="315"/>
      <c r="AZ3112" s="326"/>
      <c r="BA3112" s="175"/>
      <c r="BB3112" s="42"/>
      <c r="BC3112" s="431"/>
      <c r="BG3112" s="315"/>
      <c r="BH3112" s="42"/>
    </row>
    <row r="3113" spans="51:60" x14ac:dyDescent="0.2">
      <c r="AY3113" s="315"/>
      <c r="AZ3113" s="326"/>
      <c r="BA3113" s="175"/>
      <c r="BB3113" s="42"/>
      <c r="BC3113" s="431"/>
      <c r="BG3113" s="315"/>
      <c r="BH3113" s="42"/>
    </row>
    <row r="3114" spans="51:60" x14ac:dyDescent="0.2">
      <c r="AY3114" s="315"/>
      <c r="AZ3114" s="326"/>
      <c r="BA3114" s="175"/>
      <c r="BB3114" s="42"/>
      <c r="BC3114" s="431"/>
      <c r="BG3114" s="315"/>
      <c r="BH3114" s="42"/>
    </row>
    <row r="3115" spans="51:60" x14ac:dyDescent="0.2">
      <c r="AY3115" s="315"/>
      <c r="AZ3115" s="326"/>
      <c r="BA3115" s="175"/>
      <c r="BB3115" s="42"/>
      <c r="BC3115" s="431"/>
      <c r="BG3115" s="315"/>
      <c r="BH3115" s="42"/>
    </row>
    <row r="3116" spans="51:60" x14ac:dyDescent="0.2">
      <c r="AY3116" s="315"/>
      <c r="AZ3116" s="326"/>
      <c r="BA3116" s="175"/>
      <c r="BB3116" s="42"/>
      <c r="BC3116" s="431"/>
      <c r="BG3116" s="315"/>
      <c r="BH3116" s="42"/>
    </row>
    <row r="3117" spans="51:60" x14ac:dyDescent="0.2">
      <c r="AY3117" s="315"/>
      <c r="AZ3117" s="326"/>
      <c r="BA3117" s="175"/>
      <c r="BB3117" s="42"/>
      <c r="BC3117" s="431"/>
      <c r="BG3117" s="315"/>
      <c r="BH3117" s="42"/>
    </row>
    <row r="3118" spans="51:60" x14ac:dyDescent="0.2">
      <c r="AY3118" s="315"/>
      <c r="AZ3118" s="326"/>
      <c r="BA3118" s="175"/>
      <c r="BB3118" s="42"/>
      <c r="BC3118" s="431"/>
      <c r="BG3118" s="315"/>
      <c r="BH3118" s="42"/>
    </row>
    <row r="3119" spans="51:60" x14ac:dyDescent="0.2">
      <c r="AY3119" s="315"/>
      <c r="AZ3119" s="326"/>
      <c r="BA3119" s="175"/>
      <c r="BB3119" s="42"/>
      <c r="BC3119" s="431"/>
      <c r="BG3119" s="315"/>
      <c r="BH3119" s="42"/>
    </row>
    <row r="3120" spans="51:60" x14ac:dyDescent="0.2">
      <c r="AY3120" s="315"/>
      <c r="AZ3120" s="326"/>
      <c r="BA3120" s="175"/>
      <c r="BB3120" s="42"/>
      <c r="BC3120" s="431"/>
      <c r="BG3120" s="315"/>
      <c r="BH3120" s="42"/>
    </row>
    <row r="3121" spans="51:60" x14ac:dyDescent="0.2">
      <c r="AY3121" s="315"/>
      <c r="AZ3121" s="326"/>
      <c r="BA3121" s="175"/>
      <c r="BB3121" s="42"/>
      <c r="BC3121" s="431"/>
      <c r="BG3121" s="315"/>
      <c r="BH3121" s="42"/>
    </row>
    <row r="3122" spans="51:60" x14ac:dyDescent="0.2">
      <c r="AY3122" s="315"/>
      <c r="AZ3122" s="326"/>
      <c r="BA3122" s="175"/>
      <c r="BB3122" s="42"/>
      <c r="BC3122" s="431"/>
      <c r="BG3122" s="315"/>
      <c r="BH3122" s="42"/>
    </row>
    <row r="3123" spans="51:60" x14ac:dyDescent="0.2">
      <c r="AY3123" s="315"/>
      <c r="AZ3123" s="326"/>
      <c r="BA3123" s="175"/>
      <c r="BB3123" s="42"/>
      <c r="BC3123" s="431"/>
      <c r="BG3123" s="315"/>
      <c r="BH3123" s="42"/>
    </row>
    <row r="3124" spans="51:60" x14ac:dyDescent="0.2">
      <c r="AY3124" s="315"/>
      <c r="AZ3124" s="326"/>
      <c r="BA3124" s="175"/>
      <c r="BB3124" s="42"/>
      <c r="BC3124" s="431"/>
      <c r="BG3124" s="315"/>
      <c r="BH3124" s="42"/>
    </row>
    <row r="3125" spans="51:60" x14ac:dyDescent="0.2">
      <c r="AY3125" s="315"/>
      <c r="AZ3125" s="326"/>
      <c r="BA3125" s="175"/>
      <c r="BB3125" s="42"/>
      <c r="BC3125" s="431"/>
      <c r="BG3125" s="315"/>
      <c r="BH3125" s="42"/>
    </row>
    <row r="3126" spans="51:60" x14ac:dyDescent="0.2">
      <c r="AY3126" s="315"/>
      <c r="AZ3126" s="326"/>
      <c r="BA3126" s="175"/>
      <c r="BB3126" s="42"/>
      <c r="BC3126" s="431"/>
      <c r="BG3126" s="315"/>
      <c r="BH3126" s="42"/>
    </row>
    <row r="3127" spans="51:60" x14ac:dyDescent="0.2">
      <c r="AY3127" s="315"/>
      <c r="AZ3127" s="326"/>
      <c r="BA3127" s="175"/>
      <c r="BB3127" s="42"/>
      <c r="BC3127" s="431"/>
      <c r="BG3127" s="315"/>
      <c r="BH3127" s="42"/>
    </row>
    <row r="3128" spans="51:60" x14ac:dyDescent="0.2">
      <c r="AY3128" s="315"/>
      <c r="AZ3128" s="326"/>
      <c r="BA3128" s="175"/>
      <c r="BB3128" s="42"/>
      <c r="BC3128" s="431"/>
      <c r="BG3128" s="315"/>
      <c r="BH3128" s="42"/>
    </row>
    <row r="3129" spans="51:60" x14ac:dyDescent="0.2">
      <c r="AY3129" s="315"/>
      <c r="AZ3129" s="326"/>
      <c r="BA3129" s="175"/>
      <c r="BB3129" s="42"/>
      <c r="BC3129" s="431"/>
      <c r="BG3129" s="315"/>
      <c r="BH3129" s="42"/>
    </row>
    <row r="3130" spans="51:60" x14ac:dyDescent="0.2">
      <c r="AY3130" s="315"/>
      <c r="AZ3130" s="326"/>
      <c r="BA3130" s="175"/>
      <c r="BB3130" s="42"/>
      <c r="BC3130" s="431"/>
      <c r="BG3130" s="315"/>
      <c r="BH3130" s="42"/>
    </row>
    <row r="3131" spans="51:60" x14ac:dyDescent="0.2">
      <c r="AY3131" s="315"/>
      <c r="AZ3131" s="326"/>
      <c r="BA3131" s="175"/>
      <c r="BB3131" s="42"/>
      <c r="BC3131" s="431"/>
      <c r="BG3131" s="315"/>
      <c r="BH3131" s="42"/>
    </row>
    <row r="3132" spans="51:60" x14ac:dyDescent="0.2">
      <c r="AY3132" s="315"/>
      <c r="AZ3132" s="326"/>
      <c r="BA3132" s="175"/>
      <c r="BB3132" s="42"/>
      <c r="BC3132" s="431"/>
      <c r="BG3132" s="315"/>
      <c r="BH3132" s="42"/>
    </row>
    <row r="3133" spans="51:60" x14ac:dyDescent="0.2">
      <c r="AY3133" s="315"/>
      <c r="AZ3133" s="326"/>
      <c r="BA3133" s="175"/>
      <c r="BB3133" s="42"/>
      <c r="BC3133" s="431"/>
      <c r="BG3133" s="315"/>
      <c r="BH3133" s="42"/>
    </row>
    <row r="3134" spans="51:60" x14ac:dyDescent="0.2">
      <c r="AY3134" s="315"/>
      <c r="AZ3134" s="326"/>
      <c r="BA3134" s="175"/>
      <c r="BB3134" s="42"/>
      <c r="BC3134" s="431"/>
      <c r="BG3134" s="315"/>
      <c r="BH3134" s="42"/>
    </row>
    <row r="3135" spans="51:60" x14ac:dyDescent="0.2">
      <c r="AY3135" s="315"/>
      <c r="AZ3135" s="326"/>
      <c r="BA3135" s="175"/>
      <c r="BB3135" s="42"/>
      <c r="BC3135" s="431"/>
      <c r="BG3135" s="315"/>
      <c r="BH3135" s="42"/>
    </row>
    <row r="3136" spans="51:60" x14ac:dyDescent="0.2">
      <c r="AY3136" s="315"/>
      <c r="AZ3136" s="326"/>
      <c r="BA3136" s="175"/>
      <c r="BB3136" s="42"/>
      <c r="BC3136" s="431"/>
      <c r="BG3136" s="315"/>
      <c r="BH3136" s="42"/>
    </row>
    <row r="3137" spans="51:60" x14ac:dyDescent="0.2">
      <c r="AY3137" s="315"/>
      <c r="AZ3137" s="326"/>
      <c r="BA3137" s="175"/>
      <c r="BB3137" s="42"/>
      <c r="BC3137" s="431"/>
      <c r="BG3137" s="315"/>
      <c r="BH3137" s="42"/>
    </row>
    <row r="3138" spans="51:60" x14ac:dyDescent="0.2">
      <c r="AY3138" s="315"/>
      <c r="AZ3138" s="326"/>
      <c r="BA3138" s="175"/>
      <c r="BB3138" s="42"/>
      <c r="BC3138" s="431"/>
      <c r="BG3138" s="315"/>
      <c r="BH3138" s="42"/>
    </row>
    <row r="3139" spans="51:60" x14ac:dyDescent="0.2">
      <c r="AY3139" s="315"/>
      <c r="AZ3139" s="326"/>
      <c r="BA3139" s="175"/>
      <c r="BB3139" s="42"/>
      <c r="BC3139" s="431"/>
      <c r="BG3139" s="315"/>
      <c r="BH3139" s="42"/>
    </row>
    <row r="3140" spans="51:60" x14ac:dyDescent="0.2">
      <c r="AY3140" s="315"/>
      <c r="AZ3140" s="326"/>
      <c r="BA3140" s="175"/>
      <c r="BB3140" s="42"/>
      <c r="BC3140" s="431"/>
      <c r="BG3140" s="315"/>
      <c r="BH3140" s="42"/>
    </row>
    <row r="3141" spans="51:60" x14ac:dyDescent="0.2">
      <c r="AY3141" s="315"/>
      <c r="AZ3141" s="326"/>
      <c r="BA3141" s="175"/>
      <c r="BB3141" s="42"/>
      <c r="BC3141" s="431"/>
      <c r="BG3141" s="315"/>
      <c r="BH3141" s="42"/>
    </row>
    <row r="3142" spans="51:60" x14ac:dyDescent="0.2">
      <c r="AY3142" s="315"/>
      <c r="AZ3142" s="326"/>
      <c r="BA3142" s="175"/>
      <c r="BB3142" s="42"/>
      <c r="BC3142" s="431"/>
      <c r="BG3142" s="315"/>
      <c r="BH3142" s="42"/>
    </row>
    <row r="3143" spans="51:60" x14ac:dyDescent="0.2">
      <c r="AY3143" s="315"/>
      <c r="AZ3143" s="326"/>
      <c r="BA3143" s="175"/>
      <c r="BB3143" s="42"/>
      <c r="BC3143" s="431"/>
      <c r="BG3143" s="315"/>
      <c r="BH3143" s="42"/>
    </row>
    <row r="3144" spans="51:60" x14ac:dyDescent="0.2">
      <c r="AY3144" s="315"/>
      <c r="AZ3144" s="326"/>
      <c r="BA3144" s="175"/>
      <c r="BB3144" s="42"/>
      <c r="BC3144" s="431"/>
      <c r="BG3144" s="315"/>
      <c r="BH3144" s="42"/>
    </row>
    <row r="3145" spans="51:60" x14ac:dyDescent="0.2">
      <c r="AY3145" s="315"/>
      <c r="AZ3145" s="326"/>
      <c r="BA3145" s="175"/>
      <c r="BB3145" s="42"/>
      <c r="BC3145" s="431"/>
      <c r="BG3145" s="315"/>
      <c r="BH3145" s="42"/>
    </row>
    <row r="3146" spans="51:60" x14ac:dyDescent="0.2">
      <c r="AY3146" s="315"/>
      <c r="AZ3146" s="326"/>
      <c r="BA3146" s="175"/>
      <c r="BB3146" s="42"/>
      <c r="BC3146" s="431"/>
      <c r="BG3146" s="315"/>
      <c r="BH3146" s="42"/>
    </row>
    <row r="3147" spans="51:60" x14ac:dyDescent="0.2">
      <c r="AY3147" s="315"/>
      <c r="AZ3147" s="326"/>
      <c r="BA3147" s="175"/>
      <c r="BB3147" s="42"/>
      <c r="BC3147" s="431"/>
      <c r="BG3147" s="315"/>
      <c r="BH3147" s="42"/>
    </row>
    <row r="3148" spans="51:60" x14ac:dyDescent="0.2">
      <c r="AY3148" s="315"/>
      <c r="AZ3148" s="326"/>
      <c r="BA3148" s="175"/>
      <c r="BB3148" s="42"/>
      <c r="BC3148" s="431"/>
      <c r="BG3148" s="315"/>
      <c r="BH3148" s="42"/>
    </row>
    <row r="3149" spans="51:60" x14ac:dyDescent="0.2">
      <c r="AY3149" s="315"/>
      <c r="AZ3149" s="326"/>
      <c r="BA3149" s="175"/>
      <c r="BB3149" s="42"/>
      <c r="BC3149" s="431"/>
      <c r="BG3149" s="315"/>
      <c r="BH3149" s="42"/>
    </row>
    <row r="3150" spans="51:60" x14ac:dyDescent="0.2">
      <c r="AY3150" s="315"/>
      <c r="AZ3150" s="326"/>
      <c r="BA3150" s="175"/>
      <c r="BB3150" s="42"/>
      <c r="BC3150" s="431"/>
      <c r="BG3150" s="315"/>
      <c r="BH3150" s="42"/>
    </row>
    <row r="3151" spans="51:60" x14ac:dyDescent="0.2">
      <c r="AY3151" s="315"/>
      <c r="AZ3151" s="326"/>
      <c r="BA3151" s="175"/>
      <c r="BB3151" s="42"/>
      <c r="BC3151" s="431"/>
      <c r="BG3151" s="315"/>
      <c r="BH3151" s="42"/>
    </row>
    <row r="3152" spans="51:60" x14ac:dyDescent="0.2">
      <c r="AY3152" s="315"/>
      <c r="AZ3152" s="326"/>
      <c r="BA3152" s="175"/>
      <c r="BB3152" s="42"/>
      <c r="BC3152" s="431"/>
      <c r="BG3152" s="315"/>
      <c r="BH3152" s="42"/>
    </row>
    <row r="3153" spans="51:60" x14ac:dyDescent="0.2">
      <c r="AY3153" s="315"/>
      <c r="AZ3153" s="326"/>
      <c r="BA3153" s="175"/>
      <c r="BB3153" s="42"/>
      <c r="BC3153" s="431"/>
      <c r="BG3153" s="315"/>
      <c r="BH3153" s="42"/>
    </row>
    <row r="3154" spans="51:60" x14ac:dyDescent="0.2">
      <c r="AY3154" s="315"/>
      <c r="AZ3154" s="326"/>
      <c r="BA3154" s="175"/>
      <c r="BB3154" s="42"/>
      <c r="BC3154" s="431"/>
      <c r="BG3154" s="315"/>
      <c r="BH3154" s="42"/>
    </row>
    <row r="3155" spans="51:60" x14ac:dyDescent="0.2">
      <c r="AY3155" s="315"/>
      <c r="AZ3155" s="326"/>
      <c r="BA3155" s="175"/>
      <c r="BB3155" s="42"/>
      <c r="BC3155" s="431"/>
      <c r="BG3155" s="315"/>
      <c r="BH3155" s="42"/>
    </row>
    <row r="3156" spans="51:60" x14ac:dyDescent="0.2">
      <c r="AY3156" s="315"/>
      <c r="AZ3156" s="326"/>
      <c r="BA3156" s="175"/>
      <c r="BB3156" s="42"/>
      <c r="BC3156" s="431"/>
      <c r="BG3156" s="315"/>
      <c r="BH3156" s="42"/>
    </row>
    <row r="3157" spans="51:60" x14ac:dyDescent="0.2">
      <c r="AY3157" s="315"/>
      <c r="AZ3157" s="326"/>
      <c r="BA3157" s="175"/>
      <c r="BB3157" s="42"/>
      <c r="BC3157" s="431"/>
      <c r="BG3157" s="315"/>
      <c r="BH3157" s="42"/>
    </row>
    <row r="3158" spans="51:60" x14ac:dyDescent="0.2">
      <c r="AY3158" s="315"/>
      <c r="AZ3158" s="326"/>
      <c r="BA3158" s="175"/>
      <c r="BB3158" s="42"/>
      <c r="BC3158" s="431"/>
      <c r="BG3158" s="315"/>
      <c r="BH3158" s="42"/>
    </row>
    <row r="3159" spans="51:60" x14ac:dyDescent="0.2">
      <c r="AY3159" s="315"/>
      <c r="AZ3159" s="326"/>
      <c r="BA3159" s="175"/>
      <c r="BB3159" s="42"/>
      <c r="BC3159" s="431"/>
      <c r="BG3159" s="315"/>
      <c r="BH3159" s="42"/>
    </row>
    <row r="3160" spans="51:60" x14ac:dyDescent="0.2">
      <c r="AY3160" s="315"/>
      <c r="AZ3160" s="326"/>
      <c r="BA3160" s="175"/>
      <c r="BB3160" s="42"/>
      <c r="BC3160" s="431"/>
      <c r="BG3160" s="315"/>
      <c r="BH3160" s="42"/>
    </row>
    <row r="3161" spans="51:60" x14ac:dyDescent="0.2">
      <c r="AY3161" s="315"/>
      <c r="AZ3161" s="326"/>
      <c r="BA3161" s="175"/>
      <c r="BB3161" s="42"/>
      <c r="BC3161" s="431"/>
      <c r="BG3161" s="315"/>
      <c r="BH3161" s="42"/>
    </row>
    <row r="3162" spans="51:60" x14ac:dyDescent="0.2">
      <c r="AY3162" s="315"/>
      <c r="AZ3162" s="326"/>
      <c r="BA3162" s="175"/>
      <c r="BB3162" s="42"/>
      <c r="BC3162" s="431"/>
      <c r="BG3162" s="315"/>
      <c r="BH3162" s="42"/>
    </row>
    <row r="3163" spans="51:60" x14ac:dyDescent="0.2">
      <c r="AY3163" s="315"/>
      <c r="AZ3163" s="326"/>
      <c r="BA3163" s="175"/>
      <c r="BB3163" s="42"/>
      <c r="BC3163" s="431"/>
      <c r="BG3163" s="315"/>
      <c r="BH3163" s="42"/>
    </row>
    <row r="3164" spans="51:60" x14ac:dyDescent="0.2">
      <c r="AY3164" s="315"/>
      <c r="AZ3164" s="326"/>
      <c r="BA3164" s="175"/>
      <c r="BB3164" s="42"/>
      <c r="BC3164" s="431"/>
      <c r="BG3164" s="315"/>
      <c r="BH3164" s="42"/>
    </row>
    <row r="3165" spans="51:60" x14ac:dyDescent="0.2">
      <c r="AY3165" s="315"/>
      <c r="AZ3165" s="326"/>
      <c r="BA3165" s="175"/>
      <c r="BB3165" s="42"/>
      <c r="BC3165" s="431"/>
      <c r="BG3165" s="315"/>
      <c r="BH3165" s="42"/>
    </row>
    <row r="3166" spans="51:60" x14ac:dyDescent="0.2">
      <c r="AY3166" s="315"/>
      <c r="AZ3166" s="326"/>
      <c r="BA3166" s="175"/>
      <c r="BB3166" s="42"/>
      <c r="BC3166" s="431"/>
      <c r="BG3166" s="315"/>
      <c r="BH3166" s="42"/>
    </row>
    <row r="3167" spans="51:60" x14ac:dyDescent="0.2">
      <c r="AY3167" s="315"/>
      <c r="AZ3167" s="326"/>
      <c r="BA3167" s="175"/>
      <c r="BB3167" s="42"/>
      <c r="BC3167" s="431"/>
      <c r="BG3167" s="315"/>
      <c r="BH3167" s="42"/>
    </row>
    <row r="3168" spans="51:60" x14ac:dyDescent="0.2">
      <c r="AY3168" s="315"/>
      <c r="AZ3168" s="326"/>
      <c r="BA3168" s="175"/>
      <c r="BB3168" s="42"/>
      <c r="BC3168" s="431"/>
      <c r="BG3168" s="315"/>
      <c r="BH3168" s="42"/>
    </row>
    <row r="3169" spans="51:60" x14ac:dyDescent="0.2">
      <c r="AY3169" s="315"/>
      <c r="AZ3169" s="326"/>
      <c r="BA3169" s="175"/>
      <c r="BB3169" s="42"/>
      <c r="BC3169" s="431"/>
      <c r="BG3169" s="315"/>
      <c r="BH3169" s="42"/>
    </row>
    <row r="3170" spans="51:60" x14ac:dyDescent="0.2">
      <c r="AY3170" s="315"/>
      <c r="AZ3170" s="326"/>
      <c r="BA3170" s="175"/>
      <c r="BB3170" s="42"/>
      <c r="BC3170" s="431"/>
      <c r="BG3170" s="315"/>
      <c r="BH3170" s="42"/>
    </row>
    <row r="3171" spans="51:60" x14ac:dyDescent="0.2">
      <c r="AY3171" s="315"/>
      <c r="AZ3171" s="326"/>
      <c r="BA3171" s="175"/>
      <c r="BB3171" s="42"/>
      <c r="BC3171" s="431"/>
      <c r="BG3171" s="315"/>
      <c r="BH3171" s="42"/>
    </row>
    <row r="3172" spans="51:60" x14ac:dyDescent="0.2">
      <c r="AY3172" s="315"/>
      <c r="AZ3172" s="326"/>
      <c r="BA3172" s="175"/>
      <c r="BB3172" s="42"/>
      <c r="BC3172" s="431"/>
      <c r="BG3172" s="315"/>
      <c r="BH3172" s="42"/>
    </row>
    <row r="3173" spans="51:60" x14ac:dyDescent="0.2">
      <c r="AY3173" s="315"/>
      <c r="AZ3173" s="326"/>
      <c r="BA3173" s="175"/>
      <c r="BB3173" s="42"/>
      <c r="BC3173" s="431"/>
      <c r="BG3173" s="315"/>
      <c r="BH3173" s="42"/>
    </row>
    <row r="3174" spans="51:60" x14ac:dyDescent="0.2">
      <c r="AY3174" s="315"/>
      <c r="AZ3174" s="326"/>
      <c r="BA3174" s="175"/>
      <c r="BB3174" s="42"/>
      <c r="BC3174" s="431"/>
      <c r="BG3174" s="315"/>
      <c r="BH3174" s="42"/>
    </row>
    <row r="3175" spans="51:60" x14ac:dyDescent="0.2">
      <c r="AY3175" s="315"/>
      <c r="AZ3175" s="326"/>
      <c r="BA3175" s="175"/>
      <c r="BB3175" s="42"/>
      <c r="BC3175" s="431"/>
      <c r="BG3175" s="315"/>
      <c r="BH3175" s="42"/>
    </row>
    <row r="3176" spans="51:60" x14ac:dyDescent="0.2">
      <c r="AY3176" s="315"/>
      <c r="AZ3176" s="326"/>
      <c r="BA3176" s="175"/>
      <c r="BB3176" s="42"/>
      <c r="BC3176" s="431"/>
      <c r="BG3176" s="315"/>
      <c r="BH3176" s="42"/>
    </row>
    <row r="3177" spans="51:60" x14ac:dyDescent="0.2">
      <c r="AY3177" s="315"/>
      <c r="AZ3177" s="326"/>
      <c r="BA3177" s="175"/>
      <c r="BB3177" s="42"/>
      <c r="BC3177" s="431"/>
      <c r="BG3177" s="315"/>
      <c r="BH3177" s="42"/>
    </row>
    <row r="3178" spans="51:60" x14ac:dyDescent="0.2">
      <c r="AY3178" s="315"/>
      <c r="AZ3178" s="326"/>
      <c r="BA3178" s="175"/>
      <c r="BB3178" s="42"/>
      <c r="BC3178" s="431"/>
      <c r="BG3178" s="315"/>
      <c r="BH3178" s="42"/>
    </row>
    <row r="3179" spans="51:60" x14ac:dyDescent="0.2">
      <c r="AY3179" s="315"/>
      <c r="AZ3179" s="326"/>
      <c r="BA3179" s="175"/>
      <c r="BB3179" s="42"/>
      <c r="BC3179" s="431"/>
      <c r="BG3179" s="315"/>
      <c r="BH3179" s="42"/>
    </row>
    <row r="3180" spans="51:60" x14ac:dyDescent="0.2">
      <c r="AY3180" s="315"/>
      <c r="AZ3180" s="326"/>
      <c r="BA3180" s="175"/>
      <c r="BB3180" s="42"/>
      <c r="BC3180" s="431"/>
      <c r="BG3180" s="315"/>
      <c r="BH3180" s="42"/>
    </row>
    <row r="3181" spans="51:60" x14ac:dyDescent="0.2">
      <c r="AY3181" s="315"/>
      <c r="AZ3181" s="326"/>
      <c r="BA3181" s="175"/>
      <c r="BB3181" s="42"/>
      <c r="BC3181" s="431"/>
      <c r="BG3181" s="315"/>
      <c r="BH3181" s="42"/>
    </row>
    <row r="3182" spans="51:60" x14ac:dyDescent="0.2">
      <c r="AY3182" s="315"/>
      <c r="AZ3182" s="326"/>
      <c r="BA3182" s="175"/>
      <c r="BB3182" s="42"/>
      <c r="BC3182" s="431"/>
      <c r="BG3182" s="315"/>
      <c r="BH3182" s="42"/>
    </row>
    <row r="3183" spans="51:60" x14ac:dyDescent="0.2">
      <c r="AY3183" s="315"/>
      <c r="AZ3183" s="326"/>
      <c r="BA3183" s="175"/>
      <c r="BB3183" s="42"/>
      <c r="BC3183" s="431"/>
      <c r="BG3183" s="315"/>
      <c r="BH3183" s="42"/>
    </row>
    <row r="3184" spans="51:60" x14ac:dyDescent="0.2">
      <c r="AY3184" s="315"/>
      <c r="AZ3184" s="326"/>
      <c r="BA3184" s="175"/>
      <c r="BB3184" s="42"/>
      <c r="BC3184" s="431"/>
      <c r="BG3184" s="315"/>
      <c r="BH3184" s="42"/>
    </row>
    <row r="3185" spans="51:60" x14ac:dyDescent="0.2">
      <c r="AY3185" s="315"/>
      <c r="AZ3185" s="326"/>
      <c r="BA3185" s="175"/>
      <c r="BB3185" s="42"/>
      <c r="BC3185" s="431"/>
      <c r="BG3185" s="315"/>
      <c r="BH3185" s="42"/>
    </row>
    <row r="3186" spans="51:60" x14ac:dyDescent="0.2">
      <c r="AY3186" s="315"/>
      <c r="AZ3186" s="326"/>
      <c r="BA3186" s="175"/>
      <c r="BB3186" s="42"/>
      <c r="BC3186" s="431"/>
      <c r="BG3186" s="315"/>
      <c r="BH3186" s="42"/>
    </row>
    <row r="3187" spans="51:60" x14ac:dyDescent="0.2">
      <c r="AY3187" s="315"/>
      <c r="AZ3187" s="326"/>
      <c r="BA3187" s="175"/>
      <c r="BB3187" s="42"/>
      <c r="BC3187" s="431"/>
      <c r="BG3187" s="315"/>
      <c r="BH3187" s="42"/>
    </row>
    <row r="3188" spans="51:60" x14ac:dyDescent="0.2">
      <c r="AY3188" s="315"/>
      <c r="AZ3188" s="326"/>
      <c r="BA3188" s="175"/>
      <c r="BB3188" s="42"/>
      <c r="BC3188" s="431"/>
      <c r="BG3188" s="315"/>
      <c r="BH3188" s="42"/>
    </row>
    <row r="3189" spans="51:60" x14ac:dyDescent="0.2">
      <c r="AY3189" s="315"/>
      <c r="AZ3189" s="326"/>
      <c r="BA3189" s="175"/>
      <c r="BB3189" s="42"/>
      <c r="BC3189" s="431"/>
      <c r="BG3189" s="315"/>
      <c r="BH3189" s="42"/>
    </row>
    <row r="3190" spans="51:60" x14ac:dyDescent="0.2">
      <c r="AY3190" s="315"/>
      <c r="AZ3190" s="326"/>
      <c r="BA3190" s="175"/>
      <c r="BB3190" s="42"/>
      <c r="BC3190" s="431"/>
      <c r="BG3190" s="315"/>
      <c r="BH3190" s="42"/>
    </row>
    <row r="3191" spans="51:60" x14ac:dyDescent="0.2">
      <c r="AY3191" s="315"/>
      <c r="AZ3191" s="326"/>
      <c r="BA3191" s="175"/>
      <c r="BB3191" s="42"/>
      <c r="BC3191" s="431"/>
      <c r="BG3191" s="315"/>
      <c r="BH3191" s="42"/>
    </row>
    <row r="3192" spans="51:60" x14ac:dyDescent="0.2">
      <c r="AY3192" s="315"/>
      <c r="AZ3192" s="326"/>
      <c r="BA3192" s="175"/>
      <c r="BB3192" s="42"/>
      <c r="BC3192" s="431"/>
      <c r="BG3192" s="315"/>
      <c r="BH3192" s="42"/>
    </row>
    <row r="3193" spans="51:60" x14ac:dyDescent="0.2">
      <c r="AY3193" s="315"/>
      <c r="AZ3193" s="326"/>
      <c r="BA3193" s="175"/>
      <c r="BB3193" s="42"/>
      <c r="BC3193" s="431"/>
      <c r="BG3193" s="315"/>
      <c r="BH3193" s="42"/>
    </row>
    <row r="3194" spans="51:60" x14ac:dyDescent="0.2">
      <c r="AY3194" s="315"/>
      <c r="AZ3194" s="326"/>
      <c r="BA3194" s="175"/>
      <c r="BB3194" s="42"/>
      <c r="BC3194" s="431"/>
      <c r="BG3194" s="315"/>
      <c r="BH3194" s="42"/>
    </row>
    <row r="3195" spans="51:60" x14ac:dyDescent="0.2">
      <c r="AY3195" s="315"/>
      <c r="AZ3195" s="326"/>
      <c r="BA3195" s="175"/>
      <c r="BB3195" s="42"/>
      <c r="BC3195" s="431"/>
      <c r="BG3195" s="315"/>
      <c r="BH3195" s="42"/>
    </row>
    <row r="3196" spans="51:60" x14ac:dyDescent="0.2">
      <c r="AY3196" s="315"/>
      <c r="AZ3196" s="326"/>
      <c r="BA3196" s="175"/>
      <c r="BB3196" s="42"/>
      <c r="BC3196" s="431"/>
      <c r="BG3196" s="315"/>
      <c r="BH3196" s="42"/>
    </row>
    <row r="3197" spans="51:60" x14ac:dyDescent="0.2">
      <c r="AY3197" s="315"/>
      <c r="AZ3197" s="326"/>
      <c r="BA3197" s="175"/>
      <c r="BB3197" s="42"/>
      <c r="BC3197" s="431"/>
      <c r="BG3197" s="315"/>
      <c r="BH3197" s="42"/>
    </row>
    <row r="3198" spans="51:60" x14ac:dyDescent="0.2">
      <c r="AY3198" s="315"/>
      <c r="AZ3198" s="326"/>
      <c r="BA3198" s="175"/>
      <c r="BB3198" s="42"/>
      <c r="BC3198" s="431"/>
      <c r="BG3198" s="315"/>
      <c r="BH3198" s="42"/>
    </row>
    <row r="3199" spans="51:60" x14ac:dyDescent="0.2">
      <c r="AY3199" s="315"/>
      <c r="AZ3199" s="326"/>
      <c r="BA3199" s="175"/>
      <c r="BB3199" s="42"/>
      <c r="BC3199" s="431"/>
      <c r="BG3199" s="315"/>
      <c r="BH3199" s="42"/>
    </row>
    <row r="3200" spans="51:60" x14ac:dyDescent="0.2">
      <c r="AY3200" s="315"/>
      <c r="AZ3200" s="326"/>
      <c r="BA3200" s="175"/>
      <c r="BB3200" s="42"/>
      <c r="BC3200" s="431"/>
      <c r="BG3200" s="315"/>
      <c r="BH3200" s="42"/>
    </row>
    <row r="3201" spans="51:60" x14ac:dyDescent="0.2">
      <c r="AY3201" s="315"/>
      <c r="AZ3201" s="326"/>
      <c r="BA3201" s="175"/>
      <c r="BB3201" s="42"/>
      <c r="BC3201" s="431"/>
      <c r="BG3201" s="315"/>
      <c r="BH3201" s="42"/>
    </row>
    <row r="3202" spans="51:60" x14ac:dyDescent="0.2">
      <c r="AY3202" s="315"/>
      <c r="AZ3202" s="326"/>
      <c r="BA3202" s="175"/>
      <c r="BB3202" s="42"/>
      <c r="BC3202" s="431"/>
      <c r="BG3202" s="315"/>
      <c r="BH3202" s="42"/>
    </row>
    <row r="3203" spans="51:60" x14ac:dyDescent="0.2">
      <c r="AY3203" s="315"/>
      <c r="AZ3203" s="326"/>
      <c r="BA3203" s="175"/>
      <c r="BB3203" s="42"/>
      <c r="BC3203" s="431"/>
      <c r="BG3203" s="315"/>
      <c r="BH3203" s="42"/>
    </row>
    <row r="3204" spans="51:60" x14ac:dyDescent="0.2">
      <c r="AY3204" s="315"/>
      <c r="AZ3204" s="326"/>
      <c r="BA3204" s="175"/>
      <c r="BB3204" s="42"/>
      <c r="BC3204" s="431"/>
      <c r="BG3204" s="315"/>
      <c r="BH3204" s="42"/>
    </row>
    <row r="3205" spans="51:60" x14ac:dyDescent="0.2">
      <c r="AY3205" s="315"/>
      <c r="AZ3205" s="326"/>
      <c r="BA3205" s="175"/>
      <c r="BB3205" s="42"/>
      <c r="BC3205" s="431"/>
      <c r="BG3205" s="315"/>
      <c r="BH3205" s="42"/>
    </row>
    <row r="3206" spans="51:60" x14ac:dyDescent="0.2">
      <c r="AY3206" s="315"/>
      <c r="AZ3206" s="326"/>
      <c r="BA3206" s="175"/>
      <c r="BB3206" s="42"/>
      <c r="BC3206" s="431"/>
      <c r="BG3206" s="315"/>
      <c r="BH3206" s="42"/>
    </row>
    <row r="3207" spans="51:60" x14ac:dyDescent="0.2">
      <c r="AY3207" s="315"/>
      <c r="AZ3207" s="326"/>
      <c r="BA3207" s="175"/>
      <c r="BB3207" s="42"/>
      <c r="BC3207" s="431"/>
      <c r="BG3207" s="315"/>
      <c r="BH3207" s="42"/>
    </row>
    <row r="3208" spans="51:60" x14ac:dyDescent="0.2">
      <c r="AY3208" s="315"/>
      <c r="AZ3208" s="326"/>
      <c r="BA3208" s="175"/>
      <c r="BB3208" s="42"/>
      <c r="BC3208" s="431"/>
      <c r="BG3208" s="315"/>
      <c r="BH3208" s="42"/>
    </row>
    <row r="3209" spans="51:60" x14ac:dyDescent="0.2">
      <c r="AY3209" s="315"/>
      <c r="AZ3209" s="326"/>
      <c r="BA3209" s="175"/>
      <c r="BB3209" s="42"/>
      <c r="BC3209" s="431"/>
      <c r="BG3209" s="315"/>
      <c r="BH3209" s="42"/>
    </row>
    <row r="3210" spans="51:60" x14ac:dyDescent="0.2">
      <c r="AY3210" s="315"/>
      <c r="AZ3210" s="326"/>
      <c r="BA3210" s="175"/>
      <c r="BB3210" s="42"/>
      <c r="BC3210" s="431"/>
      <c r="BG3210" s="315"/>
      <c r="BH3210" s="42"/>
    </row>
    <row r="3211" spans="51:60" x14ac:dyDescent="0.2">
      <c r="AY3211" s="315"/>
      <c r="AZ3211" s="326"/>
      <c r="BA3211" s="175"/>
      <c r="BB3211" s="42"/>
      <c r="BC3211" s="431"/>
      <c r="BG3211" s="315"/>
      <c r="BH3211" s="42"/>
    </row>
    <row r="3212" spans="51:60" x14ac:dyDescent="0.2">
      <c r="AY3212" s="315"/>
      <c r="AZ3212" s="326"/>
      <c r="BA3212" s="175"/>
      <c r="BB3212" s="42"/>
      <c r="BC3212" s="431"/>
      <c r="BG3212" s="315"/>
      <c r="BH3212" s="42"/>
    </row>
    <row r="3213" spans="51:60" x14ac:dyDescent="0.2">
      <c r="AY3213" s="315"/>
      <c r="AZ3213" s="326"/>
      <c r="BA3213" s="175"/>
      <c r="BB3213" s="42"/>
      <c r="BC3213" s="431"/>
      <c r="BG3213" s="315"/>
      <c r="BH3213" s="42"/>
    </row>
    <row r="3214" spans="51:60" x14ac:dyDescent="0.2">
      <c r="AY3214" s="315"/>
      <c r="AZ3214" s="326"/>
      <c r="BA3214" s="175"/>
      <c r="BB3214" s="42"/>
      <c r="BC3214" s="431"/>
      <c r="BG3214" s="315"/>
      <c r="BH3214" s="42"/>
    </row>
    <row r="3215" spans="51:60" x14ac:dyDescent="0.2">
      <c r="AY3215" s="315"/>
      <c r="AZ3215" s="326"/>
      <c r="BA3215" s="175"/>
      <c r="BB3215" s="42"/>
      <c r="BC3215" s="431"/>
      <c r="BG3215" s="315"/>
      <c r="BH3215" s="42"/>
    </row>
    <row r="3216" spans="51:60" x14ac:dyDescent="0.2">
      <c r="AY3216" s="315"/>
      <c r="AZ3216" s="326"/>
      <c r="BA3216" s="175"/>
      <c r="BB3216" s="42"/>
      <c r="BC3216" s="431"/>
      <c r="BG3216" s="315"/>
      <c r="BH3216" s="42"/>
    </row>
    <row r="3217" spans="51:60" x14ac:dyDescent="0.2">
      <c r="AY3217" s="315"/>
      <c r="AZ3217" s="326"/>
      <c r="BA3217" s="175"/>
      <c r="BB3217" s="42"/>
      <c r="BC3217" s="431"/>
      <c r="BG3217" s="315"/>
      <c r="BH3217" s="42"/>
    </row>
    <row r="3218" spans="51:60" x14ac:dyDescent="0.2">
      <c r="AY3218" s="315"/>
      <c r="AZ3218" s="326"/>
      <c r="BA3218" s="175"/>
      <c r="BB3218" s="42"/>
      <c r="BC3218" s="431"/>
      <c r="BG3218" s="315"/>
      <c r="BH3218" s="42"/>
    </row>
    <row r="3219" spans="51:60" x14ac:dyDescent="0.2">
      <c r="AY3219" s="315"/>
      <c r="AZ3219" s="326"/>
      <c r="BA3219" s="175"/>
      <c r="BB3219" s="42"/>
      <c r="BC3219" s="431"/>
      <c r="BG3219" s="315"/>
      <c r="BH3219" s="42"/>
    </row>
    <row r="3220" spans="51:60" x14ac:dyDescent="0.2">
      <c r="AY3220" s="315"/>
      <c r="AZ3220" s="326"/>
      <c r="BA3220" s="175"/>
      <c r="BB3220" s="42"/>
      <c r="BC3220" s="431"/>
      <c r="BG3220" s="315"/>
      <c r="BH3220" s="42"/>
    </row>
    <row r="3221" spans="51:60" x14ac:dyDescent="0.2">
      <c r="AY3221" s="315"/>
      <c r="AZ3221" s="326"/>
      <c r="BA3221" s="175"/>
      <c r="BB3221" s="42"/>
      <c r="BC3221" s="431"/>
      <c r="BG3221" s="315"/>
      <c r="BH3221" s="42"/>
    </row>
    <row r="3222" spans="51:60" x14ac:dyDescent="0.2">
      <c r="AY3222" s="315"/>
      <c r="AZ3222" s="326"/>
      <c r="BA3222" s="175"/>
      <c r="BB3222" s="42"/>
      <c r="BC3222" s="431"/>
      <c r="BG3222" s="315"/>
      <c r="BH3222" s="42"/>
    </row>
    <row r="3223" spans="51:60" x14ac:dyDescent="0.2">
      <c r="AY3223" s="315"/>
      <c r="AZ3223" s="326"/>
      <c r="BA3223" s="175"/>
      <c r="BB3223" s="42"/>
      <c r="BC3223" s="431"/>
      <c r="BG3223" s="315"/>
      <c r="BH3223" s="42"/>
    </row>
    <row r="3224" spans="51:60" x14ac:dyDescent="0.2">
      <c r="AY3224" s="315"/>
      <c r="AZ3224" s="326"/>
      <c r="BA3224" s="175"/>
      <c r="BB3224" s="42"/>
      <c r="BC3224" s="431"/>
      <c r="BG3224" s="315"/>
      <c r="BH3224" s="42"/>
    </row>
    <row r="3225" spans="51:60" x14ac:dyDescent="0.2">
      <c r="AY3225" s="315"/>
      <c r="AZ3225" s="326"/>
      <c r="BA3225" s="175"/>
      <c r="BB3225" s="42"/>
      <c r="BC3225" s="431"/>
      <c r="BG3225" s="315"/>
      <c r="BH3225" s="42"/>
    </row>
    <row r="3226" spans="51:60" x14ac:dyDescent="0.2">
      <c r="AY3226" s="315"/>
      <c r="AZ3226" s="326"/>
      <c r="BA3226" s="175"/>
      <c r="BB3226" s="42"/>
      <c r="BC3226" s="431"/>
      <c r="BG3226" s="315"/>
      <c r="BH3226" s="42"/>
    </row>
    <row r="3227" spans="51:60" x14ac:dyDescent="0.2">
      <c r="AY3227" s="315"/>
      <c r="AZ3227" s="326"/>
      <c r="BA3227" s="175"/>
      <c r="BB3227" s="42"/>
      <c r="BC3227" s="431"/>
      <c r="BG3227" s="315"/>
      <c r="BH3227" s="42"/>
    </row>
    <row r="3228" spans="51:60" x14ac:dyDescent="0.2">
      <c r="AY3228" s="315"/>
      <c r="AZ3228" s="326"/>
      <c r="BA3228" s="175"/>
      <c r="BB3228" s="42"/>
      <c r="BC3228" s="431"/>
      <c r="BG3228" s="315"/>
      <c r="BH3228" s="42"/>
    </row>
    <row r="3229" spans="51:60" x14ac:dyDescent="0.2">
      <c r="AY3229" s="315"/>
      <c r="AZ3229" s="326"/>
      <c r="BA3229" s="175"/>
      <c r="BB3229" s="42"/>
      <c r="BC3229" s="431"/>
      <c r="BG3229" s="315"/>
      <c r="BH3229" s="42"/>
    </row>
    <row r="3230" spans="51:60" x14ac:dyDescent="0.2">
      <c r="AY3230" s="315"/>
      <c r="AZ3230" s="326"/>
      <c r="BA3230" s="175"/>
      <c r="BB3230" s="42"/>
      <c r="BC3230" s="431"/>
      <c r="BG3230" s="315"/>
      <c r="BH3230" s="42"/>
    </row>
    <row r="3231" spans="51:60" x14ac:dyDescent="0.2">
      <c r="AY3231" s="315"/>
      <c r="AZ3231" s="326"/>
      <c r="BA3231" s="175"/>
      <c r="BB3231" s="42"/>
      <c r="BC3231" s="431"/>
      <c r="BG3231" s="315"/>
      <c r="BH3231" s="42"/>
    </row>
    <row r="3232" spans="51:60" x14ac:dyDescent="0.2">
      <c r="AY3232" s="315"/>
      <c r="AZ3232" s="326"/>
      <c r="BA3232" s="175"/>
      <c r="BB3232" s="42"/>
      <c r="BC3232" s="431"/>
      <c r="BG3232" s="315"/>
      <c r="BH3232" s="42"/>
    </row>
    <row r="3233" spans="51:60" x14ac:dyDescent="0.2">
      <c r="AY3233" s="315"/>
      <c r="AZ3233" s="326"/>
      <c r="BA3233" s="175"/>
      <c r="BB3233" s="42"/>
      <c r="BC3233" s="431"/>
      <c r="BG3233" s="315"/>
      <c r="BH3233" s="42"/>
    </row>
    <row r="3234" spans="51:60" x14ac:dyDescent="0.2">
      <c r="AY3234" s="315"/>
      <c r="AZ3234" s="326"/>
      <c r="BA3234" s="175"/>
      <c r="BB3234" s="42"/>
      <c r="BC3234" s="431"/>
      <c r="BG3234" s="315"/>
      <c r="BH3234" s="42"/>
    </row>
    <row r="3235" spans="51:60" x14ac:dyDescent="0.2">
      <c r="AY3235" s="315"/>
      <c r="AZ3235" s="326"/>
      <c r="BA3235" s="175"/>
      <c r="BB3235" s="42"/>
      <c r="BC3235" s="431"/>
      <c r="BG3235" s="315"/>
      <c r="BH3235" s="42"/>
    </row>
    <row r="3236" spans="51:60" x14ac:dyDescent="0.2">
      <c r="AY3236" s="315"/>
      <c r="AZ3236" s="326"/>
      <c r="BA3236" s="175"/>
      <c r="BB3236" s="42"/>
      <c r="BC3236" s="431"/>
      <c r="BG3236" s="315"/>
      <c r="BH3236" s="42"/>
    </row>
    <row r="3237" spans="51:60" x14ac:dyDescent="0.2">
      <c r="AY3237" s="315"/>
      <c r="AZ3237" s="326"/>
      <c r="BA3237" s="175"/>
      <c r="BB3237" s="42"/>
      <c r="BC3237" s="431"/>
      <c r="BG3237" s="315"/>
      <c r="BH3237" s="42"/>
    </row>
    <row r="3238" spans="51:60" x14ac:dyDescent="0.2">
      <c r="AY3238" s="315"/>
      <c r="AZ3238" s="326"/>
      <c r="BA3238" s="175"/>
      <c r="BB3238" s="42"/>
      <c r="BC3238" s="431"/>
      <c r="BG3238" s="315"/>
      <c r="BH3238" s="42"/>
    </row>
    <row r="3239" spans="51:60" x14ac:dyDescent="0.2">
      <c r="AY3239" s="315"/>
      <c r="AZ3239" s="326"/>
      <c r="BA3239" s="175"/>
      <c r="BB3239" s="42"/>
      <c r="BC3239" s="431"/>
      <c r="BG3239" s="315"/>
      <c r="BH3239" s="42"/>
    </row>
    <row r="3240" spans="51:60" x14ac:dyDescent="0.2">
      <c r="AY3240" s="315"/>
      <c r="AZ3240" s="326"/>
      <c r="BA3240" s="175"/>
      <c r="BB3240" s="42"/>
      <c r="BC3240" s="431"/>
      <c r="BG3240" s="315"/>
      <c r="BH3240" s="42"/>
    </row>
    <row r="3241" spans="51:60" x14ac:dyDescent="0.2">
      <c r="AY3241" s="315"/>
      <c r="AZ3241" s="326"/>
      <c r="BA3241" s="175"/>
      <c r="BB3241" s="42"/>
      <c r="BC3241" s="431"/>
      <c r="BG3241" s="315"/>
      <c r="BH3241" s="42"/>
    </row>
    <row r="3242" spans="51:60" x14ac:dyDescent="0.2">
      <c r="AY3242" s="315"/>
      <c r="AZ3242" s="326"/>
      <c r="BA3242" s="175"/>
      <c r="BB3242" s="42"/>
      <c r="BC3242" s="431"/>
      <c r="BG3242" s="315"/>
      <c r="BH3242" s="42"/>
    </row>
    <row r="3243" spans="51:60" x14ac:dyDescent="0.2">
      <c r="AY3243" s="315"/>
      <c r="AZ3243" s="326"/>
      <c r="BA3243" s="175"/>
      <c r="BB3243" s="42"/>
      <c r="BC3243" s="431"/>
      <c r="BG3243" s="315"/>
      <c r="BH3243" s="42"/>
    </row>
    <row r="3244" spans="51:60" x14ac:dyDescent="0.2">
      <c r="AY3244" s="315"/>
      <c r="AZ3244" s="326"/>
      <c r="BA3244" s="175"/>
      <c r="BB3244" s="42"/>
      <c r="BC3244" s="431"/>
      <c r="BG3244" s="315"/>
      <c r="BH3244" s="42"/>
    </row>
    <row r="3245" spans="51:60" x14ac:dyDescent="0.2">
      <c r="AY3245" s="315"/>
      <c r="AZ3245" s="326"/>
      <c r="BA3245" s="175"/>
      <c r="BB3245" s="42"/>
      <c r="BC3245" s="431"/>
      <c r="BG3245" s="315"/>
      <c r="BH3245" s="42"/>
    </row>
    <row r="3246" spans="51:60" x14ac:dyDescent="0.2">
      <c r="AY3246" s="315"/>
      <c r="AZ3246" s="326"/>
      <c r="BA3246" s="175"/>
      <c r="BB3246" s="42"/>
      <c r="BC3246" s="431"/>
      <c r="BG3246" s="315"/>
      <c r="BH3246" s="42"/>
    </row>
    <row r="3247" spans="51:60" x14ac:dyDescent="0.2">
      <c r="AY3247" s="315"/>
      <c r="AZ3247" s="326"/>
      <c r="BA3247" s="175"/>
      <c r="BB3247" s="42"/>
      <c r="BC3247" s="431"/>
      <c r="BG3247" s="315"/>
      <c r="BH3247" s="42"/>
    </row>
    <row r="3248" spans="51:60" x14ac:dyDescent="0.2">
      <c r="AY3248" s="315"/>
      <c r="AZ3248" s="326"/>
      <c r="BA3248" s="175"/>
      <c r="BB3248" s="42"/>
      <c r="BC3248" s="431"/>
      <c r="BG3248" s="315"/>
      <c r="BH3248" s="42"/>
    </row>
    <row r="3249" spans="51:60" x14ac:dyDescent="0.2">
      <c r="AY3249" s="315"/>
      <c r="AZ3249" s="326"/>
      <c r="BA3249" s="175"/>
      <c r="BB3249" s="42"/>
      <c r="BC3249" s="431"/>
      <c r="BG3249" s="315"/>
      <c r="BH3249" s="42"/>
    </row>
    <row r="3250" spans="51:60" x14ac:dyDescent="0.2">
      <c r="AY3250" s="315"/>
      <c r="AZ3250" s="326"/>
      <c r="BA3250" s="175"/>
      <c r="BB3250" s="42"/>
      <c r="BC3250" s="431"/>
      <c r="BG3250" s="315"/>
      <c r="BH3250" s="42"/>
    </row>
    <row r="3251" spans="51:60" x14ac:dyDescent="0.2">
      <c r="AY3251" s="315"/>
      <c r="AZ3251" s="326"/>
      <c r="BA3251" s="175"/>
      <c r="BB3251" s="42"/>
      <c r="BC3251" s="431"/>
      <c r="BG3251" s="315"/>
      <c r="BH3251" s="42"/>
    </row>
    <row r="3252" spans="51:60" x14ac:dyDescent="0.2">
      <c r="AY3252" s="315"/>
      <c r="AZ3252" s="326"/>
      <c r="BA3252" s="175"/>
      <c r="BB3252" s="42"/>
      <c r="BC3252" s="431"/>
      <c r="BG3252" s="315"/>
      <c r="BH3252" s="42"/>
    </row>
    <row r="3253" spans="51:60" x14ac:dyDescent="0.2">
      <c r="AY3253" s="315"/>
      <c r="AZ3253" s="326"/>
      <c r="BA3253" s="175"/>
      <c r="BB3253" s="42"/>
      <c r="BC3253" s="431"/>
      <c r="BG3253" s="315"/>
      <c r="BH3253" s="42"/>
    </row>
    <row r="3254" spans="51:60" x14ac:dyDescent="0.2">
      <c r="AY3254" s="315"/>
      <c r="AZ3254" s="326"/>
      <c r="BA3254" s="175"/>
      <c r="BB3254" s="42"/>
      <c r="BC3254" s="431"/>
      <c r="BG3254" s="315"/>
      <c r="BH3254" s="42"/>
    </row>
    <row r="3255" spans="51:60" x14ac:dyDescent="0.2">
      <c r="AY3255" s="315"/>
      <c r="AZ3255" s="326"/>
      <c r="BA3255" s="175"/>
      <c r="BB3255" s="42"/>
      <c r="BC3255" s="431"/>
      <c r="BG3255" s="315"/>
      <c r="BH3255" s="42"/>
    </row>
    <row r="3256" spans="51:60" x14ac:dyDescent="0.2">
      <c r="AY3256" s="315"/>
      <c r="AZ3256" s="326"/>
      <c r="BA3256" s="175"/>
      <c r="BB3256" s="42"/>
      <c r="BC3256" s="431"/>
      <c r="BG3256" s="315"/>
      <c r="BH3256" s="42"/>
    </row>
    <row r="3257" spans="51:60" x14ac:dyDescent="0.2">
      <c r="AY3257" s="315"/>
      <c r="AZ3257" s="326"/>
      <c r="BA3257" s="175"/>
      <c r="BB3257" s="42"/>
      <c r="BC3257" s="431"/>
      <c r="BG3257" s="315"/>
      <c r="BH3257" s="42"/>
    </row>
    <row r="3258" spans="51:60" x14ac:dyDescent="0.2">
      <c r="AY3258" s="315"/>
      <c r="AZ3258" s="326"/>
      <c r="BA3258" s="175"/>
      <c r="BB3258" s="42"/>
      <c r="BC3258" s="431"/>
      <c r="BG3258" s="315"/>
      <c r="BH3258" s="42"/>
    </row>
    <row r="3259" spans="51:60" x14ac:dyDescent="0.2">
      <c r="AY3259" s="315"/>
      <c r="AZ3259" s="326"/>
      <c r="BA3259" s="175"/>
      <c r="BB3259" s="42"/>
      <c r="BC3259" s="431"/>
      <c r="BG3259" s="315"/>
      <c r="BH3259" s="42"/>
    </row>
    <row r="3260" spans="51:60" x14ac:dyDescent="0.2">
      <c r="AY3260" s="315"/>
      <c r="AZ3260" s="326"/>
      <c r="BA3260" s="175"/>
      <c r="BB3260" s="42"/>
      <c r="BC3260" s="431"/>
      <c r="BG3260" s="315"/>
      <c r="BH3260" s="42"/>
    </row>
    <row r="3261" spans="51:60" x14ac:dyDescent="0.2">
      <c r="AY3261" s="315"/>
      <c r="AZ3261" s="326"/>
      <c r="BA3261" s="175"/>
      <c r="BB3261" s="42"/>
      <c r="BC3261" s="431"/>
      <c r="BG3261" s="315"/>
      <c r="BH3261" s="42"/>
    </row>
    <row r="3262" spans="51:60" x14ac:dyDescent="0.2">
      <c r="AY3262" s="315"/>
      <c r="AZ3262" s="326"/>
      <c r="BA3262" s="175"/>
      <c r="BB3262" s="42"/>
      <c r="BC3262" s="431"/>
      <c r="BG3262" s="315"/>
      <c r="BH3262" s="42"/>
    </row>
    <row r="3263" spans="51:60" x14ac:dyDescent="0.2">
      <c r="AY3263" s="315"/>
      <c r="AZ3263" s="326"/>
      <c r="BA3263" s="175"/>
      <c r="BB3263" s="42"/>
      <c r="BC3263" s="431"/>
      <c r="BG3263" s="315"/>
      <c r="BH3263" s="42"/>
    </row>
    <row r="3264" spans="51:60" x14ac:dyDescent="0.2">
      <c r="AY3264" s="315"/>
      <c r="AZ3264" s="326"/>
      <c r="BA3264" s="175"/>
      <c r="BB3264" s="42"/>
      <c r="BC3264" s="431"/>
      <c r="BG3264" s="315"/>
      <c r="BH3264" s="42"/>
    </row>
    <row r="3265" spans="51:60" x14ac:dyDescent="0.2">
      <c r="AY3265" s="315"/>
      <c r="AZ3265" s="326"/>
      <c r="BA3265" s="175"/>
      <c r="BB3265" s="42"/>
      <c r="BC3265" s="431"/>
      <c r="BG3265" s="315"/>
      <c r="BH3265" s="42"/>
    </row>
    <row r="3266" spans="51:60" x14ac:dyDescent="0.2">
      <c r="AY3266" s="315"/>
      <c r="AZ3266" s="326"/>
      <c r="BA3266" s="175"/>
      <c r="BB3266" s="42"/>
      <c r="BC3266" s="431"/>
      <c r="BG3266" s="315"/>
      <c r="BH3266" s="42"/>
    </row>
    <row r="3267" spans="51:60" x14ac:dyDescent="0.2">
      <c r="AY3267" s="315"/>
      <c r="AZ3267" s="326"/>
      <c r="BA3267" s="175"/>
      <c r="BB3267" s="42"/>
      <c r="BC3267" s="431"/>
      <c r="BG3267" s="315"/>
      <c r="BH3267" s="42"/>
    </row>
    <row r="3268" spans="51:60" x14ac:dyDescent="0.2">
      <c r="AY3268" s="315"/>
      <c r="AZ3268" s="326"/>
      <c r="BA3268" s="175"/>
      <c r="BB3268" s="42"/>
      <c r="BC3268" s="431"/>
      <c r="BG3268" s="315"/>
      <c r="BH3268" s="42"/>
    </row>
    <row r="3269" spans="51:60" x14ac:dyDescent="0.2">
      <c r="AY3269" s="315"/>
      <c r="AZ3269" s="326"/>
      <c r="BA3269" s="175"/>
      <c r="BB3269" s="42"/>
      <c r="BC3269" s="431"/>
      <c r="BG3269" s="315"/>
      <c r="BH3269" s="42"/>
    </row>
    <row r="3270" spans="51:60" x14ac:dyDescent="0.2">
      <c r="AY3270" s="315"/>
      <c r="AZ3270" s="326"/>
      <c r="BA3270" s="175"/>
      <c r="BB3270" s="42"/>
      <c r="BC3270" s="431"/>
      <c r="BG3270" s="315"/>
      <c r="BH3270" s="42"/>
    </row>
    <row r="3271" spans="51:60" x14ac:dyDescent="0.2">
      <c r="AY3271" s="315"/>
      <c r="AZ3271" s="326"/>
      <c r="BA3271" s="175"/>
      <c r="BB3271" s="42"/>
      <c r="BC3271" s="431"/>
      <c r="BG3271" s="315"/>
      <c r="BH3271" s="42"/>
    </row>
    <row r="3272" spans="51:60" x14ac:dyDescent="0.2">
      <c r="AY3272" s="315"/>
      <c r="AZ3272" s="326"/>
      <c r="BA3272" s="175"/>
      <c r="BB3272" s="42"/>
      <c r="BC3272" s="431"/>
      <c r="BG3272" s="315"/>
      <c r="BH3272" s="42"/>
    </row>
    <row r="3273" spans="51:60" x14ac:dyDescent="0.2">
      <c r="AY3273" s="315"/>
      <c r="AZ3273" s="326"/>
      <c r="BA3273" s="175"/>
      <c r="BB3273" s="42"/>
      <c r="BC3273" s="431"/>
      <c r="BG3273" s="315"/>
      <c r="BH3273" s="42"/>
    </row>
    <row r="3274" spans="51:60" x14ac:dyDescent="0.2">
      <c r="AY3274" s="315"/>
      <c r="AZ3274" s="326"/>
      <c r="BA3274" s="175"/>
      <c r="BB3274" s="42"/>
      <c r="BC3274" s="431"/>
      <c r="BG3274" s="315"/>
      <c r="BH3274" s="42"/>
    </row>
    <row r="3275" spans="51:60" x14ac:dyDescent="0.2">
      <c r="AY3275" s="315"/>
      <c r="AZ3275" s="326"/>
      <c r="BA3275" s="175"/>
      <c r="BB3275" s="42"/>
      <c r="BC3275" s="431"/>
      <c r="BG3275" s="315"/>
      <c r="BH3275" s="42"/>
    </row>
    <row r="3276" spans="51:60" x14ac:dyDescent="0.2">
      <c r="AY3276" s="315"/>
      <c r="AZ3276" s="326"/>
      <c r="BA3276" s="175"/>
      <c r="BB3276" s="42"/>
      <c r="BC3276" s="431"/>
      <c r="BG3276" s="315"/>
      <c r="BH3276" s="42"/>
    </row>
    <row r="3277" spans="51:60" x14ac:dyDescent="0.2">
      <c r="AY3277" s="315"/>
      <c r="AZ3277" s="326"/>
      <c r="BA3277" s="175"/>
      <c r="BB3277" s="42"/>
      <c r="BC3277" s="431"/>
      <c r="BG3277" s="315"/>
      <c r="BH3277" s="42"/>
    </row>
    <row r="3278" spans="51:60" x14ac:dyDescent="0.2">
      <c r="AY3278" s="315"/>
      <c r="AZ3278" s="326"/>
      <c r="BA3278" s="175"/>
      <c r="BB3278" s="42"/>
      <c r="BC3278" s="431"/>
      <c r="BG3278" s="315"/>
      <c r="BH3278" s="42"/>
    </row>
    <row r="3279" spans="51:60" x14ac:dyDescent="0.2">
      <c r="AY3279" s="315"/>
      <c r="AZ3279" s="326"/>
      <c r="BA3279" s="175"/>
      <c r="BB3279" s="42"/>
      <c r="BC3279" s="431"/>
      <c r="BG3279" s="315"/>
      <c r="BH3279" s="42"/>
    </row>
    <row r="3280" spans="51:60" x14ac:dyDescent="0.2">
      <c r="AY3280" s="315"/>
      <c r="AZ3280" s="326"/>
      <c r="BA3280" s="175"/>
      <c r="BB3280" s="42"/>
      <c r="BC3280" s="431"/>
      <c r="BG3280" s="315"/>
      <c r="BH3280" s="42"/>
    </row>
    <row r="3281" spans="51:60" x14ac:dyDescent="0.2">
      <c r="AY3281" s="315"/>
      <c r="AZ3281" s="326"/>
      <c r="BA3281" s="175"/>
      <c r="BB3281" s="42"/>
      <c r="BC3281" s="431"/>
      <c r="BG3281" s="315"/>
      <c r="BH3281" s="42"/>
    </row>
    <row r="3282" spans="51:60" x14ac:dyDescent="0.2">
      <c r="AY3282" s="315"/>
      <c r="AZ3282" s="326"/>
      <c r="BA3282" s="175"/>
      <c r="BB3282" s="42"/>
      <c r="BC3282" s="431"/>
      <c r="BG3282" s="315"/>
      <c r="BH3282" s="42"/>
    </row>
    <row r="3283" spans="51:60" x14ac:dyDescent="0.2">
      <c r="AY3283" s="315"/>
      <c r="AZ3283" s="326"/>
      <c r="BA3283" s="175"/>
      <c r="BB3283" s="42"/>
      <c r="BC3283" s="431"/>
      <c r="BG3283" s="315"/>
      <c r="BH3283" s="42"/>
    </row>
    <row r="3284" spans="51:60" x14ac:dyDescent="0.2">
      <c r="AY3284" s="315"/>
      <c r="AZ3284" s="326"/>
      <c r="BA3284" s="175"/>
      <c r="BB3284" s="42"/>
      <c r="BC3284" s="431"/>
      <c r="BG3284" s="315"/>
      <c r="BH3284" s="42"/>
    </row>
    <row r="3285" spans="51:60" x14ac:dyDescent="0.2">
      <c r="AY3285" s="315"/>
      <c r="AZ3285" s="326"/>
      <c r="BA3285" s="175"/>
      <c r="BB3285" s="42"/>
      <c r="BC3285" s="431"/>
      <c r="BG3285" s="315"/>
      <c r="BH3285" s="42"/>
    </row>
    <row r="3286" spans="51:60" x14ac:dyDescent="0.2">
      <c r="AY3286" s="315"/>
      <c r="AZ3286" s="326"/>
      <c r="BA3286" s="175"/>
      <c r="BB3286" s="42"/>
      <c r="BC3286" s="431"/>
      <c r="BG3286" s="315"/>
      <c r="BH3286" s="42"/>
    </row>
    <row r="3287" spans="51:60" x14ac:dyDescent="0.2">
      <c r="AY3287" s="315"/>
      <c r="AZ3287" s="326"/>
      <c r="BA3287" s="175"/>
      <c r="BB3287" s="42"/>
      <c r="BC3287" s="431"/>
      <c r="BG3287" s="315"/>
      <c r="BH3287" s="42"/>
    </row>
    <row r="3288" spans="51:60" x14ac:dyDescent="0.2">
      <c r="AY3288" s="315"/>
      <c r="AZ3288" s="326"/>
      <c r="BA3288" s="175"/>
      <c r="BB3288" s="42"/>
      <c r="BC3288" s="431"/>
      <c r="BG3288" s="315"/>
      <c r="BH3288" s="42"/>
    </row>
    <row r="3289" spans="51:60" x14ac:dyDescent="0.2">
      <c r="AY3289" s="315"/>
      <c r="AZ3289" s="326"/>
      <c r="BA3289" s="175"/>
      <c r="BB3289" s="42"/>
      <c r="BC3289" s="431"/>
      <c r="BG3289" s="315"/>
      <c r="BH3289" s="42"/>
    </row>
    <row r="3290" spans="51:60" x14ac:dyDescent="0.2">
      <c r="AY3290" s="315"/>
      <c r="AZ3290" s="326"/>
      <c r="BA3290" s="175"/>
      <c r="BB3290" s="42"/>
      <c r="BC3290" s="431"/>
      <c r="BG3290" s="315"/>
      <c r="BH3290" s="42"/>
    </row>
    <row r="3291" spans="51:60" x14ac:dyDescent="0.2">
      <c r="AY3291" s="315"/>
      <c r="AZ3291" s="326"/>
      <c r="BA3291" s="175"/>
      <c r="BB3291" s="42"/>
      <c r="BC3291" s="431"/>
      <c r="BG3291" s="315"/>
      <c r="BH3291" s="42"/>
    </row>
    <row r="3292" spans="51:60" x14ac:dyDescent="0.2">
      <c r="AY3292" s="315"/>
      <c r="AZ3292" s="326"/>
      <c r="BA3292" s="175"/>
      <c r="BB3292" s="42"/>
      <c r="BC3292" s="431"/>
      <c r="BG3292" s="315"/>
      <c r="BH3292" s="42"/>
    </row>
    <row r="3293" spans="51:60" x14ac:dyDescent="0.2">
      <c r="AY3293" s="315"/>
      <c r="AZ3293" s="326"/>
      <c r="BA3293" s="175"/>
      <c r="BB3293" s="42"/>
      <c r="BC3293" s="431"/>
      <c r="BG3293" s="315"/>
      <c r="BH3293" s="42"/>
    </row>
    <row r="3294" spans="51:60" x14ac:dyDescent="0.2">
      <c r="AY3294" s="315"/>
      <c r="AZ3294" s="326"/>
      <c r="BA3294" s="175"/>
      <c r="BB3294" s="42"/>
      <c r="BC3294" s="431"/>
      <c r="BG3294" s="315"/>
      <c r="BH3294" s="42"/>
    </row>
    <row r="3295" spans="51:60" x14ac:dyDescent="0.2">
      <c r="AY3295" s="315"/>
      <c r="AZ3295" s="326"/>
      <c r="BA3295" s="175"/>
      <c r="BB3295" s="42"/>
      <c r="BC3295" s="431"/>
      <c r="BG3295" s="315"/>
      <c r="BH3295" s="42"/>
    </row>
    <row r="3296" spans="51:60" x14ac:dyDescent="0.2">
      <c r="AY3296" s="315"/>
      <c r="AZ3296" s="326"/>
      <c r="BA3296" s="175"/>
      <c r="BB3296" s="42"/>
      <c r="BC3296" s="431"/>
      <c r="BG3296" s="315"/>
      <c r="BH3296" s="42"/>
    </row>
    <row r="3297" spans="51:60" x14ac:dyDescent="0.2">
      <c r="AY3297" s="315"/>
      <c r="AZ3297" s="326"/>
      <c r="BA3297" s="175"/>
      <c r="BB3297" s="42"/>
      <c r="BC3297" s="431"/>
      <c r="BG3297" s="315"/>
      <c r="BH3297" s="42"/>
    </row>
    <row r="3298" spans="51:60" x14ac:dyDescent="0.2">
      <c r="AY3298" s="315"/>
      <c r="AZ3298" s="326"/>
      <c r="BA3298" s="175"/>
      <c r="BB3298" s="42"/>
      <c r="BC3298" s="431"/>
      <c r="BG3298" s="315"/>
      <c r="BH3298" s="42"/>
    </row>
    <row r="3299" spans="51:60" x14ac:dyDescent="0.2">
      <c r="AY3299" s="315"/>
      <c r="AZ3299" s="326"/>
      <c r="BA3299" s="175"/>
      <c r="BB3299" s="42"/>
      <c r="BC3299" s="431"/>
      <c r="BG3299" s="315"/>
      <c r="BH3299" s="42"/>
    </row>
    <row r="3300" spans="51:60" x14ac:dyDescent="0.2">
      <c r="AY3300" s="315"/>
      <c r="AZ3300" s="326"/>
      <c r="BA3300" s="175"/>
      <c r="BB3300" s="42"/>
      <c r="BC3300" s="431"/>
      <c r="BG3300" s="315"/>
      <c r="BH3300" s="42"/>
    </row>
    <row r="3301" spans="51:60" x14ac:dyDescent="0.2">
      <c r="AY3301" s="315"/>
      <c r="AZ3301" s="326"/>
      <c r="BA3301" s="175"/>
      <c r="BB3301" s="42"/>
      <c r="BC3301" s="431"/>
      <c r="BG3301" s="315"/>
      <c r="BH3301" s="42"/>
    </row>
    <row r="3302" spans="51:60" x14ac:dyDescent="0.2">
      <c r="AY3302" s="315"/>
      <c r="AZ3302" s="326"/>
      <c r="BA3302" s="175"/>
      <c r="BB3302" s="42"/>
      <c r="BC3302" s="431"/>
      <c r="BG3302" s="315"/>
      <c r="BH3302" s="42"/>
    </row>
    <row r="3303" spans="51:60" x14ac:dyDescent="0.2">
      <c r="AY3303" s="315"/>
      <c r="AZ3303" s="326"/>
      <c r="BA3303" s="175"/>
      <c r="BB3303" s="42"/>
      <c r="BC3303" s="431"/>
      <c r="BG3303" s="315"/>
      <c r="BH3303" s="42"/>
    </row>
    <row r="3304" spans="51:60" x14ac:dyDescent="0.2">
      <c r="AY3304" s="315"/>
      <c r="AZ3304" s="326"/>
      <c r="BA3304" s="175"/>
      <c r="BB3304" s="42"/>
      <c r="BC3304" s="431"/>
      <c r="BG3304" s="315"/>
      <c r="BH3304" s="42"/>
    </row>
    <row r="3305" spans="51:60" x14ac:dyDescent="0.2">
      <c r="AY3305" s="315"/>
      <c r="AZ3305" s="326"/>
      <c r="BA3305" s="175"/>
      <c r="BB3305" s="42"/>
      <c r="BC3305" s="431"/>
      <c r="BG3305" s="315"/>
      <c r="BH3305" s="42"/>
    </row>
    <row r="3306" spans="51:60" x14ac:dyDescent="0.2">
      <c r="AY3306" s="315"/>
      <c r="AZ3306" s="326"/>
      <c r="BA3306" s="175"/>
      <c r="BB3306" s="42"/>
      <c r="BC3306" s="431"/>
      <c r="BG3306" s="315"/>
      <c r="BH3306" s="42"/>
    </row>
    <row r="3307" spans="51:60" x14ac:dyDescent="0.2">
      <c r="AY3307" s="315"/>
      <c r="AZ3307" s="326"/>
      <c r="BA3307" s="175"/>
      <c r="BB3307" s="42"/>
      <c r="BC3307" s="431"/>
      <c r="BG3307" s="315"/>
      <c r="BH3307" s="42"/>
    </row>
    <row r="3308" spans="51:60" x14ac:dyDescent="0.2">
      <c r="AY3308" s="315"/>
      <c r="AZ3308" s="326"/>
      <c r="BA3308" s="175"/>
      <c r="BB3308" s="42"/>
      <c r="BC3308" s="431"/>
      <c r="BG3308" s="315"/>
      <c r="BH3308" s="42"/>
    </row>
    <row r="3309" spans="51:60" x14ac:dyDescent="0.2">
      <c r="AY3309" s="315"/>
      <c r="AZ3309" s="326"/>
      <c r="BA3309" s="175"/>
      <c r="BB3309" s="42"/>
      <c r="BC3309" s="431"/>
      <c r="BG3309" s="315"/>
      <c r="BH3309" s="42"/>
    </row>
    <row r="3310" spans="51:60" x14ac:dyDescent="0.2">
      <c r="AY3310" s="315"/>
      <c r="AZ3310" s="326"/>
      <c r="BA3310" s="175"/>
      <c r="BB3310" s="42"/>
      <c r="BC3310" s="431"/>
      <c r="BG3310" s="315"/>
      <c r="BH3310" s="42"/>
    </row>
    <row r="3311" spans="51:60" x14ac:dyDescent="0.2">
      <c r="AY3311" s="315"/>
      <c r="AZ3311" s="326"/>
      <c r="BA3311" s="175"/>
      <c r="BB3311" s="42"/>
      <c r="BC3311" s="431"/>
      <c r="BG3311" s="315"/>
      <c r="BH3311" s="42"/>
    </row>
    <row r="3312" spans="51:60" x14ac:dyDescent="0.2">
      <c r="AY3312" s="315"/>
      <c r="AZ3312" s="326"/>
      <c r="BA3312" s="175"/>
      <c r="BB3312" s="42"/>
      <c r="BC3312" s="431"/>
      <c r="BG3312" s="315"/>
      <c r="BH3312" s="42"/>
    </row>
    <row r="3313" spans="51:60" x14ac:dyDescent="0.2">
      <c r="AY3313" s="315"/>
      <c r="AZ3313" s="326"/>
      <c r="BA3313" s="175"/>
      <c r="BB3313" s="42"/>
      <c r="BC3313" s="431"/>
      <c r="BG3313" s="315"/>
      <c r="BH3313" s="42"/>
    </row>
    <row r="3314" spans="51:60" x14ac:dyDescent="0.2">
      <c r="AY3314" s="315"/>
      <c r="AZ3314" s="326"/>
      <c r="BA3314" s="175"/>
      <c r="BB3314" s="42"/>
      <c r="BC3314" s="431"/>
      <c r="BG3314" s="315"/>
      <c r="BH3314" s="42"/>
    </row>
    <row r="3315" spans="51:60" x14ac:dyDescent="0.2">
      <c r="AY3315" s="315"/>
      <c r="AZ3315" s="326"/>
      <c r="BA3315" s="175"/>
      <c r="BB3315" s="42"/>
      <c r="BC3315" s="431"/>
      <c r="BG3315" s="315"/>
      <c r="BH3315" s="42"/>
    </row>
    <row r="3316" spans="51:60" x14ac:dyDescent="0.2">
      <c r="AY3316" s="315"/>
      <c r="AZ3316" s="326"/>
      <c r="BA3316" s="175"/>
      <c r="BB3316" s="42"/>
      <c r="BC3316" s="431"/>
      <c r="BG3316" s="315"/>
      <c r="BH3316" s="42"/>
    </row>
    <row r="3317" spans="51:60" x14ac:dyDescent="0.2">
      <c r="AY3317" s="315"/>
      <c r="AZ3317" s="326"/>
      <c r="BA3317" s="175"/>
      <c r="BB3317" s="42"/>
      <c r="BC3317" s="431"/>
      <c r="BG3317" s="315"/>
      <c r="BH3317" s="42"/>
    </row>
    <row r="3318" spans="51:60" x14ac:dyDescent="0.2">
      <c r="AY3318" s="315"/>
      <c r="AZ3318" s="326"/>
      <c r="BA3318" s="175"/>
      <c r="BB3318" s="42"/>
      <c r="BC3318" s="431"/>
      <c r="BG3318" s="315"/>
      <c r="BH3318" s="42"/>
    </row>
    <row r="3319" spans="51:60" x14ac:dyDescent="0.2">
      <c r="AY3319" s="315"/>
      <c r="AZ3319" s="326"/>
      <c r="BA3319" s="175"/>
      <c r="BB3319" s="42"/>
      <c r="BC3319" s="431"/>
      <c r="BG3319" s="315"/>
      <c r="BH3319" s="42"/>
    </row>
    <row r="3320" spans="51:60" x14ac:dyDescent="0.2">
      <c r="AY3320" s="315"/>
      <c r="AZ3320" s="326"/>
      <c r="BA3320" s="175"/>
      <c r="BB3320" s="42"/>
      <c r="BC3320" s="431"/>
      <c r="BG3320" s="315"/>
      <c r="BH3320" s="42"/>
    </row>
    <row r="3321" spans="51:60" x14ac:dyDescent="0.2">
      <c r="AY3321" s="315"/>
      <c r="AZ3321" s="326"/>
      <c r="BA3321" s="175"/>
      <c r="BB3321" s="42"/>
      <c r="BC3321" s="431"/>
      <c r="BG3321" s="315"/>
      <c r="BH3321" s="42"/>
    </row>
    <row r="3322" spans="51:60" x14ac:dyDescent="0.2">
      <c r="AY3322" s="315"/>
      <c r="AZ3322" s="326"/>
      <c r="BA3322" s="175"/>
      <c r="BB3322" s="42"/>
      <c r="BC3322" s="431"/>
      <c r="BG3322" s="315"/>
      <c r="BH3322" s="42"/>
    </row>
    <row r="3323" spans="51:60" x14ac:dyDescent="0.2">
      <c r="AY3323" s="315"/>
      <c r="AZ3323" s="326"/>
      <c r="BA3323" s="175"/>
      <c r="BB3323" s="42"/>
      <c r="BC3323" s="431"/>
      <c r="BG3323" s="315"/>
      <c r="BH3323" s="42"/>
    </row>
    <row r="3324" spans="51:60" x14ac:dyDescent="0.2">
      <c r="AY3324" s="315"/>
      <c r="AZ3324" s="326"/>
      <c r="BA3324" s="175"/>
      <c r="BB3324" s="42"/>
      <c r="BC3324" s="431"/>
      <c r="BG3324" s="315"/>
      <c r="BH3324" s="42"/>
    </row>
    <row r="3325" spans="51:60" x14ac:dyDescent="0.2">
      <c r="AY3325" s="315"/>
      <c r="AZ3325" s="326"/>
      <c r="BA3325" s="175"/>
      <c r="BB3325" s="42"/>
      <c r="BC3325" s="431"/>
      <c r="BG3325" s="315"/>
      <c r="BH3325" s="42"/>
    </row>
    <row r="3326" spans="51:60" x14ac:dyDescent="0.2">
      <c r="AY3326" s="315"/>
      <c r="AZ3326" s="326"/>
      <c r="BA3326" s="175"/>
      <c r="BB3326" s="42"/>
      <c r="BC3326" s="431"/>
      <c r="BG3326" s="315"/>
      <c r="BH3326" s="42"/>
    </row>
    <row r="3327" spans="51:60" x14ac:dyDescent="0.2">
      <c r="AY3327" s="315"/>
      <c r="AZ3327" s="326"/>
      <c r="BA3327" s="175"/>
      <c r="BB3327" s="42"/>
      <c r="BC3327" s="431"/>
      <c r="BG3327" s="315"/>
      <c r="BH3327" s="42"/>
    </row>
    <row r="3328" spans="51:60" x14ac:dyDescent="0.2">
      <c r="AY3328" s="315"/>
      <c r="AZ3328" s="326"/>
      <c r="BA3328" s="175"/>
      <c r="BB3328" s="42"/>
      <c r="BC3328" s="431"/>
      <c r="BG3328" s="315"/>
      <c r="BH3328" s="42"/>
    </row>
    <row r="3329" spans="51:60" x14ac:dyDescent="0.2">
      <c r="AY3329" s="315"/>
      <c r="AZ3329" s="326"/>
      <c r="BA3329" s="175"/>
      <c r="BB3329" s="42"/>
      <c r="BC3329" s="431"/>
      <c r="BG3329" s="315"/>
      <c r="BH3329" s="42"/>
    </row>
    <row r="3330" spans="51:60" x14ac:dyDescent="0.2">
      <c r="AY3330" s="315"/>
      <c r="AZ3330" s="326"/>
      <c r="BA3330" s="175"/>
      <c r="BB3330" s="42"/>
      <c r="BC3330" s="431"/>
      <c r="BG3330" s="315"/>
      <c r="BH3330" s="42"/>
    </row>
    <row r="3331" spans="51:60" x14ac:dyDescent="0.2">
      <c r="AY3331" s="315"/>
      <c r="AZ3331" s="326"/>
      <c r="BA3331" s="175"/>
      <c r="BB3331" s="42"/>
      <c r="BC3331" s="431"/>
      <c r="BG3331" s="315"/>
      <c r="BH3331" s="42"/>
    </row>
    <row r="3332" spans="51:60" x14ac:dyDescent="0.2">
      <c r="AY3332" s="315"/>
      <c r="AZ3332" s="326"/>
      <c r="BA3332" s="175"/>
      <c r="BB3332" s="42"/>
      <c r="BC3332" s="431"/>
      <c r="BG3332" s="315"/>
      <c r="BH3332" s="42"/>
    </row>
    <row r="3333" spans="51:60" x14ac:dyDescent="0.2">
      <c r="AY3333" s="315"/>
      <c r="AZ3333" s="326"/>
      <c r="BA3333" s="175"/>
      <c r="BB3333" s="42"/>
      <c r="BC3333" s="431"/>
      <c r="BG3333" s="315"/>
      <c r="BH3333" s="42"/>
    </row>
    <row r="3334" spans="51:60" x14ac:dyDescent="0.2">
      <c r="AY3334" s="315"/>
      <c r="AZ3334" s="326"/>
      <c r="BA3334" s="175"/>
      <c r="BB3334" s="42"/>
      <c r="BC3334" s="431"/>
      <c r="BG3334" s="315"/>
      <c r="BH3334" s="42"/>
    </row>
    <row r="3335" spans="51:60" x14ac:dyDescent="0.2">
      <c r="AY3335" s="315"/>
      <c r="AZ3335" s="326"/>
      <c r="BA3335" s="175"/>
      <c r="BB3335" s="42"/>
      <c r="BC3335" s="431"/>
      <c r="BG3335" s="315"/>
      <c r="BH3335" s="42"/>
    </row>
    <row r="3336" spans="51:60" x14ac:dyDescent="0.2">
      <c r="AY3336" s="315"/>
      <c r="AZ3336" s="326"/>
      <c r="BA3336" s="175"/>
      <c r="BB3336" s="42"/>
      <c r="BC3336" s="431"/>
      <c r="BG3336" s="315"/>
      <c r="BH3336" s="42"/>
    </row>
    <row r="3337" spans="51:60" x14ac:dyDescent="0.2">
      <c r="AY3337" s="315"/>
      <c r="AZ3337" s="326"/>
      <c r="BA3337" s="175"/>
      <c r="BB3337" s="42"/>
      <c r="BC3337" s="431"/>
      <c r="BG3337" s="315"/>
      <c r="BH3337" s="42"/>
    </row>
    <row r="3338" spans="51:60" x14ac:dyDescent="0.2">
      <c r="AY3338" s="315"/>
      <c r="AZ3338" s="326"/>
      <c r="BA3338" s="175"/>
      <c r="BB3338" s="42"/>
      <c r="BC3338" s="431"/>
      <c r="BG3338" s="315"/>
      <c r="BH3338" s="42"/>
    </row>
    <row r="3339" spans="51:60" x14ac:dyDescent="0.2">
      <c r="AY3339" s="315"/>
      <c r="AZ3339" s="326"/>
      <c r="BA3339" s="175"/>
      <c r="BB3339" s="42"/>
      <c r="BC3339" s="431"/>
      <c r="BG3339" s="315"/>
      <c r="BH3339" s="42"/>
    </row>
    <row r="3340" spans="51:60" x14ac:dyDescent="0.2">
      <c r="AY3340" s="315"/>
      <c r="AZ3340" s="326"/>
      <c r="BA3340" s="175"/>
      <c r="BB3340" s="42"/>
      <c r="BC3340" s="431"/>
      <c r="BG3340" s="315"/>
      <c r="BH3340" s="42"/>
    </row>
    <row r="3341" spans="51:60" x14ac:dyDescent="0.2">
      <c r="AY3341" s="315"/>
      <c r="AZ3341" s="326"/>
      <c r="BA3341" s="175"/>
      <c r="BB3341" s="42"/>
      <c r="BC3341" s="431"/>
      <c r="BG3341" s="315"/>
      <c r="BH3341" s="42"/>
    </row>
    <row r="3342" spans="51:60" x14ac:dyDescent="0.2">
      <c r="AY3342" s="315"/>
      <c r="AZ3342" s="326"/>
      <c r="BA3342" s="175"/>
      <c r="BB3342" s="42"/>
      <c r="BC3342" s="431"/>
      <c r="BG3342" s="315"/>
      <c r="BH3342" s="42"/>
    </row>
    <row r="3343" spans="51:60" x14ac:dyDescent="0.2">
      <c r="AY3343" s="315"/>
      <c r="AZ3343" s="326"/>
      <c r="BA3343" s="175"/>
      <c r="BB3343" s="42"/>
      <c r="BC3343" s="431"/>
      <c r="BG3343" s="315"/>
      <c r="BH3343" s="42"/>
    </row>
    <row r="3344" spans="51:60" x14ac:dyDescent="0.2">
      <c r="AY3344" s="315"/>
      <c r="AZ3344" s="326"/>
      <c r="BA3344" s="175"/>
      <c r="BB3344" s="42"/>
      <c r="BC3344" s="431"/>
      <c r="BG3344" s="315"/>
      <c r="BH3344" s="42"/>
    </row>
    <row r="3345" spans="51:60" x14ac:dyDescent="0.2">
      <c r="AY3345" s="315"/>
      <c r="AZ3345" s="326"/>
      <c r="BA3345" s="175"/>
      <c r="BB3345" s="42"/>
      <c r="BC3345" s="431"/>
      <c r="BG3345" s="315"/>
      <c r="BH3345" s="42"/>
    </row>
    <row r="3346" spans="51:60" x14ac:dyDescent="0.2">
      <c r="AY3346" s="315"/>
      <c r="AZ3346" s="326"/>
      <c r="BA3346" s="175"/>
      <c r="BB3346" s="42"/>
      <c r="BC3346" s="431"/>
      <c r="BG3346" s="315"/>
      <c r="BH3346" s="42"/>
    </row>
    <row r="3347" spans="51:60" x14ac:dyDescent="0.2">
      <c r="AY3347" s="315"/>
      <c r="AZ3347" s="326"/>
      <c r="BA3347" s="175"/>
      <c r="BB3347" s="42"/>
      <c r="BC3347" s="431"/>
      <c r="BG3347" s="315"/>
      <c r="BH3347" s="42"/>
    </row>
    <row r="3348" spans="51:60" x14ac:dyDescent="0.2">
      <c r="AY3348" s="315"/>
      <c r="AZ3348" s="326"/>
      <c r="BA3348" s="175"/>
      <c r="BB3348" s="42"/>
      <c r="BC3348" s="431"/>
      <c r="BG3348" s="315"/>
      <c r="BH3348" s="42"/>
    </row>
    <row r="3349" spans="51:60" x14ac:dyDescent="0.2">
      <c r="AY3349" s="315"/>
      <c r="AZ3349" s="326"/>
      <c r="BA3349" s="175"/>
      <c r="BB3349" s="42"/>
      <c r="BC3349" s="431"/>
      <c r="BG3349" s="315"/>
      <c r="BH3349" s="42"/>
    </row>
    <row r="3350" spans="51:60" x14ac:dyDescent="0.2">
      <c r="AY3350" s="315"/>
      <c r="AZ3350" s="326"/>
      <c r="BA3350" s="175"/>
      <c r="BB3350" s="42"/>
      <c r="BC3350" s="431"/>
      <c r="BG3350" s="315"/>
      <c r="BH3350" s="42"/>
    </row>
    <row r="3351" spans="51:60" x14ac:dyDescent="0.2">
      <c r="AY3351" s="315"/>
      <c r="AZ3351" s="326"/>
      <c r="BA3351" s="175"/>
      <c r="BB3351" s="42"/>
      <c r="BC3351" s="431"/>
      <c r="BG3351" s="315"/>
      <c r="BH3351" s="42"/>
    </row>
    <row r="3352" spans="51:60" x14ac:dyDescent="0.2">
      <c r="AY3352" s="315"/>
      <c r="AZ3352" s="326"/>
      <c r="BA3352" s="175"/>
      <c r="BB3352" s="42"/>
      <c r="BC3352" s="431"/>
      <c r="BG3352" s="315"/>
      <c r="BH3352" s="42"/>
    </row>
    <row r="3353" spans="51:60" x14ac:dyDescent="0.2">
      <c r="AY3353" s="315"/>
      <c r="AZ3353" s="326"/>
      <c r="BA3353" s="175"/>
      <c r="BB3353" s="42"/>
      <c r="BC3353" s="431"/>
      <c r="BG3353" s="315"/>
      <c r="BH3353" s="42"/>
    </row>
    <row r="3354" spans="51:60" x14ac:dyDescent="0.2">
      <c r="AY3354" s="315"/>
      <c r="AZ3354" s="326"/>
      <c r="BA3354" s="175"/>
      <c r="BB3354" s="42"/>
      <c r="BC3354" s="431"/>
      <c r="BG3354" s="315"/>
      <c r="BH3354" s="42"/>
    </row>
    <row r="3355" spans="51:60" x14ac:dyDescent="0.2">
      <c r="AY3355" s="315"/>
      <c r="AZ3355" s="326"/>
      <c r="BA3355" s="175"/>
      <c r="BB3355" s="42"/>
      <c r="BC3355" s="431"/>
      <c r="BG3355" s="315"/>
      <c r="BH3355" s="42"/>
    </row>
    <row r="3356" spans="51:60" x14ac:dyDescent="0.2">
      <c r="AY3356" s="315"/>
      <c r="AZ3356" s="326"/>
      <c r="BA3356" s="175"/>
      <c r="BB3356" s="42"/>
      <c r="BC3356" s="431"/>
      <c r="BG3356" s="315"/>
      <c r="BH3356" s="42"/>
    </row>
    <row r="3357" spans="51:60" x14ac:dyDescent="0.2">
      <c r="AY3357" s="315"/>
      <c r="AZ3357" s="326"/>
      <c r="BA3357" s="175"/>
      <c r="BB3357" s="42"/>
      <c r="BC3357" s="431"/>
      <c r="BG3357" s="315"/>
      <c r="BH3357" s="42"/>
    </row>
    <row r="3358" spans="51:60" x14ac:dyDescent="0.2">
      <c r="AY3358" s="315"/>
      <c r="AZ3358" s="326"/>
      <c r="BA3358" s="175"/>
      <c r="BB3358" s="42"/>
      <c r="BC3358" s="431"/>
      <c r="BG3358" s="315"/>
      <c r="BH3358" s="42"/>
    </row>
    <row r="3359" spans="51:60" x14ac:dyDescent="0.2">
      <c r="AY3359" s="315"/>
      <c r="AZ3359" s="326"/>
      <c r="BA3359" s="175"/>
      <c r="BB3359" s="42"/>
      <c r="BC3359" s="431"/>
      <c r="BG3359" s="315"/>
      <c r="BH3359" s="42"/>
    </row>
    <row r="3360" spans="51:60" x14ac:dyDescent="0.2">
      <c r="AY3360" s="315"/>
      <c r="AZ3360" s="326"/>
      <c r="BA3360" s="175"/>
      <c r="BB3360" s="42"/>
      <c r="BC3360" s="431"/>
      <c r="BG3360" s="315"/>
      <c r="BH3360" s="42"/>
    </row>
    <row r="3361" spans="51:60" x14ac:dyDescent="0.2">
      <c r="AY3361" s="315"/>
      <c r="AZ3361" s="326"/>
      <c r="BA3361" s="175"/>
      <c r="BB3361" s="42"/>
      <c r="BC3361" s="431"/>
      <c r="BG3361" s="315"/>
      <c r="BH3361" s="42"/>
    </row>
    <row r="3362" spans="51:60" x14ac:dyDescent="0.2">
      <c r="AY3362" s="315"/>
      <c r="AZ3362" s="326"/>
      <c r="BA3362" s="175"/>
      <c r="BB3362" s="42"/>
      <c r="BC3362" s="431"/>
      <c r="BG3362" s="315"/>
      <c r="BH3362" s="42"/>
    </row>
    <row r="3363" spans="51:60" x14ac:dyDescent="0.2">
      <c r="AY3363" s="315"/>
      <c r="AZ3363" s="326"/>
      <c r="BA3363" s="175"/>
      <c r="BB3363" s="42"/>
      <c r="BC3363" s="431"/>
      <c r="BG3363" s="315"/>
      <c r="BH3363" s="42"/>
    </row>
    <row r="3364" spans="51:60" x14ac:dyDescent="0.2">
      <c r="AY3364" s="315"/>
      <c r="AZ3364" s="326"/>
      <c r="BA3364" s="175"/>
      <c r="BB3364" s="42"/>
      <c r="BC3364" s="431"/>
      <c r="BG3364" s="315"/>
      <c r="BH3364" s="42"/>
    </row>
    <row r="3365" spans="51:60" x14ac:dyDescent="0.2">
      <c r="AY3365" s="315"/>
      <c r="AZ3365" s="326"/>
      <c r="BA3365" s="175"/>
      <c r="BB3365" s="42"/>
      <c r="BC3365" s="431"/>
      <c r="BG3365" s="315"/>
      <c r="BH3365" s="42"/>
    </row>
    <row r="3366" spans="51:60" x14ac:dyDescent="0.2">
      <c r="AY3366" s="315"/>
      <c r="AZ3366" s="326"/>
      <c r="BA3366" s="175"/>
      <c r="BB3366" s="42"/>
      <c r="BC3366" s="431"/>
      <c r="BG3366" s="315"/>
      <c r="BH3366" s="42"/>
    </row>
    <row r="3367" spans="51:60" x14ac:dyDescent="0.2">
      <c r="AY3367" s="315"/>
      <c r="AZ3367" s="326"/>
      <c r="BA3367" s="175"/>
      <c r="BB3367" s="42"/>
      <c r="BC3367" s="431"/>
      <c r="BG3367" s="315"/>
      <c r="BH3367" s="42"/>
    </row>
    <row r="3368" spans="51:60" x14ac:dyDescent="0.2">
      <c r="AY3368" s="315"/>
      <c r="AZ3368" s="326"/>
      <c r="BA3368" s="175"/>
      <c r="BB3368" s="42"/>
      <c r="BC3368" s="431"/>
      <c r="BG3368" s="315"/>
      <c r="BH3368" s="42"/>
    </row>
    <row r="3369" spans="51:60" x14ac:dyDescent="0.2">
      <c r="AY3369" s="315"/>
      <c r="AZ3369" s="326"/>
      <c r="BA3369" s="175"/>
      <c r="BB3369" s="42"/>
      <c r="BC3369" s="431"/>
      <c r="BG3369" s="315"/>
      <c r="BH3369" s="42"/>
    </row>
    <row r="3370" spans="51:60" x14ac:dyDescent="0.2">
      <c r="AY3370" s="315"/>
      <c r="AZ3370" s="326"/>
      <c r="BA3370" s="175"/>
      <c r="BB3370" s="42"/>
      <c r="BC3370" s="431"/>
      <c r="BG3370" s="315"/>
      <c r="BH3370" s="42"/>
    </row>
    <row r="3371" spans="51:60" x14ac:dyDescent="0.2">
      <c r="AY3371" s="315"/>
      <c r="AZ3371" s="326"/>
      <c r="BA3371" s="175"/>
      <c r="BB3371" s="42"/>
      <c r="BC3371" s="431"/>
      <c r="BG3371" s="315"/>
      <c r="BH3371" s="42"/>
    </row>
    <row r="3372" spans="51:60" x14ac:dyDescent="0.2">
      <c r="AY3372" s="315"/>
      <c r="AZ3372" s="326"/>
      <c r="BA3372" s="175"/>
      <c r="BB3372" s="42"/>
      <c r="BC3372" s="431"/>
      <c r="BG3372" s="315"/>
      <c r="BH3372" s="42"/>
    </row>
    <row r="3373" spans="51:60" x14ac:dyDescent="0.2">
      <c r="AY3373" s="315"/>
      <c r="AZ3373" s="326"/>
      <c r="BA3373" s="175"/>
      <c r="BB3373" s="42"/>
      <c r="BC3373" s="431"/>
      <c r="BG3373" s="315"/>
      <c r="BH3373" s="42"/>
    </row>
    <row r="3374" spans="51:60" x14ac:dyDescent="0.2">
      <c r="AY3374" s="315"/>
      <c r="AZ3374" s="326"/>
      <c r="BA3374" s="175"/>
      <c r="BB3374" s="42"/>
      <c r="BC3374" s="431"/>
      <c r="BG3374" s="315"/>
      <c r="BH3374" s="42"/>
    </row>
    <row r="3375" spans="51:60" x14ac:dyDescent="0.2">
      <c r="AY3375" s="315"/>
      <c r="AZ3375" s="326"/>
      <c r="BA3375" s="175"/>
      <c r="BB3375" s="42"/>
      <c r="BC3375" s="431"/>
      <c r="BG3375" s="315"/>
      <c r="BH3375" s="42"/>
    </row>
    <row r="3376" spans="51:60" x14ac:dyDescent="0.2">
      <c r="AY3376" s="315"/>
      <c r="AZ3376" s="326"/>
      <c r="BA3376" s="175"/>
      <c r="BB3376" s="42"/>
      <c r="BC3376" s="431"/>
      <c r="BG3376" s="315"/>
      <c r="BH3376" s="42"/>
    </row>
    <row r="3377" spans="51:60" x14ac:dyDescent="0.2">
      <c r="AY3377" s="315"/>
      <c r="AZ3377" s="326"/>
      <c r="BA3377" s="175"/>
      <c r="BB3377" s="42"/>
      <c r="BC3377" s="431"/>
      <c r="BG3377" s="315"/>
      <c r="BH3377" s="42"/>
    </row>
    <row r="3378" spans="51:60" x14ac:dyDescent="0.2">
      <c r="AY3378" s="315"/>
      <c r="AZ3378" s="326"/>
      <c r="BA3378" s="175"/>
      <c r="BB3378" s="42"/>
      <c r="BC3378" s="431"/>
      <c r="BG3378" s="315"/>
      <c r="BH3378" s="42"/>
    </row>
    <row r="3379" spans="51:60" x14ac:dyDescent="0.2">
      <c r="AY3379" s="315"/>
      <c r="AZ3379" s="326"/>
      <c r="BA3379" s="175"/>
      <c r="BB3379" s="42"/>
      <c r="BC3379" s="431"/>
      <c r="BG3379" s="315"/>
      <c r="BH3379" s="42"/>
    </row>
    <row r="3380" spans="51:60" x14ac:dyDescent="0.2">
      <c r="AY3380" s="315"/>
      <c r="AZ3380" s="326"/>
      <c r="BA3380" s="175"/>
      <c r="BB3380" s="42"/>
      <c r="BC3380" s="431"/>
      <c r="BG3380" s="315"/>
      <c r="BH3380" s="42"/>
    </row>
    <row r="3381" spans="51:60" x14ac:dyDescent="0.2">
      <c r="AY3381" s="315"/>
      <c r="AZ3381" s="326"/>
      <c r="BA3381" s="175"/>
      <c r="BB3381" s="42"/>
      <c r="BC3381" s="431"/>
      <c r="BG3381" s="315"/>
      <c r="BH3381" s="42"/>
    </row>
    <row r="3382" spans="51:60" x14ac:dyDescent="0.2">
      <c r="AY3382" s="315"/>
      <c r="AZ3382" s="326"/>
      <c r="BA3382" s="175"/>
      <c r="BB3382" s="42"/>
      <c r="BC3382" s="431"/>
      <c r="BG3382" s="315"/>
      <c r="BH3382" s="42"/>
    </row>
    <row r="3383" spans="51:60" x14ac:dyDescent="0.2">
      <c r="AY3383" s="315"/>
      <c r="AZ3383" s="326"/>
      <c r="BA3383" s="175"/>
      <c r="BB3383" s="42"/>
      <c r="BC3383" s="431"/>
      <c r="BG3383" s="315"/>
      <c r="BH3383" s="42"/>
    </row>
    <row r="3384" spans="51:60" x14ac:dyDescent="0.2">
      <c r="AY3384" s="315"/>
      <c r="AZ3384" s="326"/>
      <c r="BA3384" s="175"/>
      <c r="BB3384" s="42"/>
      <c r="BC3384" s="431"/>
      <c r="BG3384" s="315"/>
      <c r="BH3384" s="42"/>
    </row>
    <row r="3385" spans="51:60" x14ac:dyDescent="0.2">
      <c r="AY3385" s="315"/>
      <c r="AZ3385" s="326"/>
      <c r="BA3385" s="175"/>
      <c r="BB3385" s="42"/>
      <c r="BC3385" s="431"/>
      <c r="BG3385" s="315"/>
      <c r="BH3385" s="42"/>
    </row>
    <row r="3386" spans="51:60" x14ac:dyDescent="0.2">
      <c r="AY3386" s="315"/>
      <c r="AZ3386" s="326"/>
      <c r="BA3386" s="175"/>
      <c r="BB3386" s="42"/>
      <c r="BC3386" s="431"/>
      <c r="BG3386" s="315"/>
      <c r="BH3386" s="42"/>
    </row>
    <row r="3387" spans="51:60" x14ac:dyDescent="0.2">
      <c r="AY3387" s="315"/>
      <c r="AZ3387" s="326"/>
      <c r="BA3387" s="175"/>
      <c r="BB3387" s="42"/>
      <c r="BC3387" s="431"/>
      <c r="BG3387" s="315"/>
      <c r="BH3387" s="42"/>
    </row>
    <row r="3388" spans="51:60" x14ac:dyDescent="0.2">
      <c r="AY3388" s="315"/>
      <c r="AZ3388" s="326"/>
      <c r="BA3388" s="175"/>
      <c r="BB3388" s="42"/>
      <c r="BC3388" s="431"/>
      <c r="BG3388" s="315"/>
      <c r="BH3388" s="42"/>
    </row>
    <row r="3389" spans="51:60" x14ac:dyDescent="0.2">
      <c r="AY3389" s="315"/>
      <c r="AZ3389" s="326"/>
      <c r="BA3389" s="175"/>
      <c r="BB3389" s="42"/>
      <c r="BC3389" s="431"/>
      <c r="BG3389" s="315"/>
      <c r="BH3389" s="42"/>
    </row>
    <row r="3390" spans="51:60" x14ac:dyDescent="0.2">
      <c r="AY3390" s="315"/>
      <c r="AZ3390" s="326"/>
      <c r="BA3390" s="175"/>
      <c r="BB3390" s="42"/>
      <c r="BC3390" s="431"/>
      <c r="BG3390" s="315"/>
      <c r="BH3390" s="42"/>
    </row>
    <row r="3391" spans="51:60" x14ac:dyDescent="0.2">
      <c r="AY3391" s="315"/>
      <c r="AZ3391" s="326"/>
      <c r="BA3391" s="175"/>
      <c r="BB3391" s="42"/>
      <c r="BC3391" s="431"/>
      <c r="BG3391" s="315"/>
      <c r="BH3391" s="42"/>
    </row>
    <row r="3392" spans="51:60" x14ac:dyDescent="0.2">
      <c r="AY3392" s="315"/>
      <c r="AZ3392" s="326"/>
      <c r="BA3392" s="175"/>
      <c r="BB3392" s="42"/>
      <c r="BC3392" s="431"/>
      <c r="BG3392" s="315"/>
      <c r="BH3392" s="42"/>
    </row>
    <row r="3393" spans="51:60" x14ac:dyDescent="0.2">
      <c r="AY3393" s="315"/>
      <c r="AZ3393" s="326"/>
      <c r="BA3393" s="175"/>
      <c r="BB3393" s="42"/>
      <c r="BC3393" s="431"/>
      <c r="BG3393" s="315"/>
      <c r="BH3393" s="42"/>
    </row>
    <row r="3394" spans="51:60" x14ac:dyDescent="0.2">
      <c r="AY3394" s="315"/>
      <c r="AZ3394" s="326"/>
      <c r="BA3394" s="175"/>
      <c r="BB3394" s="42"/>
      <c r="BC3394" s="431"/>
      <c r="BG3394" s="315"/>
      <c r="BH3394" s="42"/>
    </row>
    <row r="3395" spans="51:60" x14ac:dyDescent="0.2">
      <c r="AY3395" s="315"/>
      <c r="AZ3395" s="326"/>
      <c r="BA3395" s="175"/>
      <c r="BB3395" s="42"/>
      <c r="BC3395" s="431"/>
      <c r="BG3395" s="315"/>
      <c r="BH3395" s="42"/>
    </row>
    <row r="3396" spans="51:60" x14ac:dyDescent="0.2">
      <c r="AY3396" s="315"/>
      <c r="AZ3396" s="326"/>
      <c r="BA3396" s="175"/>
      <c r="BB3396" s="42"/>
      <c r="BC3396" s="431"/>
      <c r="BG3396" s="315"/>
      <c r="BH3396" s="42"/>
    </row>
    <row r="3397" spans="51:60" x14ac:dyDescent="0.2">
      <c r="AY3397" s="315"/>
      <c r="AZ3397" s="326"/>
      <c r="BA3397" s="175"/>
      <c r="BB3397" s="42"/>
      <c r="BC3397" s="431"/>
      <c r="BG3397" s="315"/>
      <c r="BH3397" s="42"/>
    </row>
    <row r="3398" spans="51:60" x14ac:dyDescent="0.2">
      <c r="AY3398" s="315"/>
      <c r="AZ3398" s="326"/>
      <c r="BA3398" s="175"/>
      <c r="BB3398" s="42"/>
      <c r="BC3398" s="431"/>
      <c r="BG3398" s="315"/>
      <c r="BH3398" s="42"/>
    </row>
    <row r="3399" spans="51:60" x14ac:dyDescent="0.2">
      <c r="AY3399" s="315"/>
      <c r="AZ3399" s="326"/>
      <c r="BA3399" s="175"/>
      <c r="BB3399" s="42"/>
      <c r="BC3399" s="431"/>
      <c r="BG3399" s="315"/>
      <c r="BH3399" s="42"/>
    </row>
    <row r="3400" spans="51:60" x14ac:dyDescent="0.2">
      <c r="AY3400" s="315"/>
      <c r="AZ3400" s="326"/>
      <c r="BA3400" s="175"/>
      <c r="BB3400" s="42"/>
      <c r="BC3400" s="431"/>
      <c r="BG3400" s="315"/>
      <c r="BH3400" s="42"/>
    </row>
    <row r="3401" spans="51:60" x14ac:dyDescent="0.2">
      <c r="AY3401" s="315"/>
      <c r="AZ3401" s="326"/>
      <c r="BA3401" s="175"/>
      <c r="BB3401" s="42"/>
      <c r="BC3401" s="431"/>
      <c r="BG3401" s="315"/>
      <c r="BH3401" s="42"/>
    </row>
    <row r="3402" spans="51:60" x14ac:dyDescent="0.2">
      <c r="AY3402" s="315"/>
      <c r="AZ3402" s="326"/>
      <c r="BA3402" s="175"/>
      <c r="BB3402" s="42"/>
      <c r="BC3402" s="431"/>
      <c r="BG3402" s="315"/>
      <c r="BH3402" s="42"/>
    </row>
    <row r="3403" spans="51:60" x14ac:dyDescent="0.2">
      <c r="AY3403" s="315"/>
      <c r="AZ3403" s="326"/>
      <c r="BA3403" s="175"/>
      <c r="BB3403" s="42"/>
      <c r="BC3403" s="431"/>
      <c r="BG3403" s="315"/>
      <c r="BH3403" s="42"/>
    </row>
    <row r="3404" spans="51:60" x14ac:dyDescent="0.2">
      <c r="AY3404" s="315"/>
      <c r="AZ3404" s="326"/>
      <c r="BA3404" s="175"/>
      <c r="BB3404" s="42"/>
      <c r="BC3404" s="431"/>
      <c r="BG3404" s="315"/>
      <c r="BH3404" s="42"/>
    </row>
    <row r="3405" spans="51:60" x14ac:dyDescent="0.2">
      <c r="AY3405" s="315"/>
      <c r="AZ3405" s="326"/>
      <c r="BA3405" s="175"/>
      <c r="BB3405" s="42"/>
      <c r="BC3405" s="431"/>
      <c r="BG3405" s="315"/>
      <c r="BH3405" s="42"/>
    </row>
    <row r="3406" spans="51:60" x14ac:dyDescent="0.2">
      <c r="AY3406" s="315"/>
      <c r="AZ3406" s="326"/>
      <c r="BA3406" s="175"/>
      <c r="BB3406" s="42"/>
      <c r="BC3406" s="431"/>
      <c r="BG3406" s="315"/>
      <c r="BH3406" s="42"/>
    </row>
    <row r="3407" spans="51:60" x14ac:dyDescent="0.2">
      <c r="AY3407" s="315"/>
      <c r="AZ3407" s="326"/>
      <c r="BA3407" s="175"/>
      <c r="BB3407" s="42"/>
      <c r="BC3407" s="431"/>
      <c r="BG3407" s="315"/>
      <c r="BH3407" s="42"/>
    </row>
    <row r="3408" spans="51:60" x14ac:dyDescent="0.2">
      <c r="AY3408" s="315"/>
      <c r="AZ3408" s="326"/>
      <c r="BA3408" s="175"/>
      <c r="BB3408" s="42"/>
      <c r="BC3408" s="431"/>
      <c r="BG3408" s="315"/>
      <c r="BH3408" s="42"/>
    </row>
    <row r="3409" spans="51:60" x14ac:dyDescent="0.2">
      <c r="AY3409" s="315"/>
      <c r="AZ3409" s="326"/>
      <c r="BA3409" s="175"/>
      <c r="BB3409" s="42"/>
      <c r="BC3409" s="431"/>
      <c r="BG3409" s="315"/>
      <c r="BH3409" s="42"/>
    </row>
    <row r="3410" spans="51:60" x14ac:dyDescent="0.2">
      <c r="AY3410" s="315"/>
      <c r="AZ3410" s="326"/>
      <c r="BA3410" s="175"/>
      <c r="BB3410" s="42"/>
      <c r="BC3410" s="431"/>
      <c r="BG3410" s="315"/>
      <c r="BH3410" s="42"/>
    </row>
    <row r="3411" spans="51:60" x14ac:dyDescent="0.2">
      <c r="AY3411" s="315"/>
      <c r="AZ3411" s="326"/>
      <c r="BA3411" s="175"/>
      <c r="BB3411" s="42"/>
      <c r="BC3411" s="431"/>
      <c r="BG3411" s="315"/>
      <c r="BH3411" s="42"/>
    </row>
    <row r="3412" spans="51:60" x14ac:dyDescent="0.2">
      <c r="AY3412" s="315"/>
      <c r="AZ3412" s="326"/>
      <c r="BA3412" s="175"/>
      <c r="BB3412" s="42"/>
      <c r="BC3412" s="431"/>
      <c r="BG3412" s="315"/>
      <c r="BH3412" s="42"/>
    </row>
    <row r="3413" spans="51:60" x14ac:dyDescent="0.2">
      <c r="AY3413" s="315"/>
      <c r="AZ3413" s="326"/>
      <c r="BA3413" s="175"/>
      <c r="BB3413" s="42"/>
      <c r="BC3413" s="431"/>
      <c r="BG3413" s="315"/>
      <c r="BH3413" s="42"/>
    </row>
    <row r="3414" spans="51:60" x14ac:dyDescent="0.2">
      <c r="AY3414" s="315"/>
      <c r="AZ3414" s="326"/>
      <c r="BA3414" s="175"/>
      <c r="BB3414" s="42"/>
      <c r="BC3414" s="431"/>
      <c r="BG3414" s="315"/>
      <c r="BH3414" s="42"/>
    </row>
    <row r="3415" spans="51:60" x14ac:dyDescent="0.2">
      <c r="AY3415" s="315"/>
      <c r="AZ3415" s="326"/>
      <c r="BA3415" s="175"/>
      <c r="BB3415" s="42"/>
      <c r="BC3415" s="431"/>
      <c r="BG3415" s="315"/>
      <c r="BH3415" s="42"/>
    </row>
    <row r="3416" spans="51:60" x14ac:dyDescent="0.2">
      <c r="AY3416" s="315"/>
      <c r="AZ3416" s="326"/>
      <c r="BA3416" s="175"/>
      <c r="BB3416" s="42"/>
      <c r="BC3416" s="431"/>
      <c r="BG3416" s="315"/>
      <c r="BH3416" s="42"/>
    </row>
    <row r="3417" spans="51:60" x14ac:dyDescent="0.2">
      <c r="AY3417" s="315"/>
      <c r="AZ3417" s="326"/>
      <c r="BA3417" s="175"/>
      <c r="BB3417" s="42"/>
      <c r="BC3417" s="431"/>
      <c r="BG3417" s="315"/>
      <c r="BH3417" s="42"/>
    </row>
    <row r="3418" spans="51:60" x14ac:dyDescent="0.2">
      <c r="AY3418" s="315"/>
      <c r="AZ3418" s="326"/>
      <c r="BA3418" s="175"/>
      <c r="BB3418" s="42"/>
      <c r="BC3418" s="431"/>
      <c r="BG3418" s="315"/>
      <c r="BH3418" s="42"/>
    </row>
    <row r="3419" spans="51:60" x14ac:dyDescent="0.2">
      <c r="AY3419" s="315"/>
      <c r="AZ3419" s="326"/>
      <c r="BA3419" s="175"/>
      <c r="BB3419" s="42"/>
      <c r="BC3419" s="431"/>
      <c r="BG3419" s="315"/>
      <c r="BH3419" s="42"/>
    </row>
    <row r="3420" spans="51:60" x14ac:dyDescent="0.2">
      <c r="AY3420" s="315"/>
      <c r="AZ3420" s="326"/>
      <c r="BA3420" s="175"/>
      <c r="BB3420" s="42"/>
      <c r="BC3420" s="431"/>
      <c r="BG3420" s="315"/>
      <c r="BH3420" s="42"/>
    </row>
    <row r="3421" spans="51:60" x14ac:dyDescent="0.2">
      <c r="AY3421" s="315"/>
      <c r="AZ3421" s="326"/>
      <c r="BA3421" s="175"/>
      <c r="BB3421" s="42"/>
      <c r="BC3421" s="431"/>
      <c r="BG3421" s="315"/>
      <c r="BH3421" s="42"/>
    </row>
    <row r="3422" spans="51:60" x14ac:dyDescent="0.2">
      <c r="AY3422" s="315"/>
      <c r="AZ3422" s="326"/>
      <c r="BA3422" s="175"/>
      <c r="BB3422" s="42"/>
      <c r="BC3422" s="431"/>
      <c r="BG3422" s="315"/>
      <c r="BH3422" s="42"/>
    </row>
    <row r="3423" spans="51:60" x14ac:dyDescent="0.2">
      <c r="AY3423" s="315"/>
      <c r="AZ3423" s="326"/>
      <c r="BA3423" s="175"/>
      <c r="BB3423" s="42"/>
      <c r="BC3423" s="431"/>
      <c r="BG3423" s="315"/>
      <c r="BH3423" s="42"/>
    </row>
    <row r="3424" spans="51:60" x14ac:dyDescent="0.2">
      <c r="AY3424" s="315"/>
      <c r="AZ3424" s="326"/>
      <c r="BA3424" s="175"/>
      <c r="BB3424" s="42"/>
      <c r="BC3424" s="431"/>
      <c r="BG3424" s="315"/>
      <c r="BH3424" s="42"/>
    </row>
    <row r="3425" spans="51:60" x14ac:dyDescent="0.2">
      <c r="AY3425" s="315"/>
      <c r="AZ3425" s="326"/>
      <c r="BA3425" s="175"/>
      <c r="BB3425" s="42"/>
      <c r="BC3425" s="431"/>
      <c r="BG3425" s="315"/>
      <c r="BH3425" s="42"/>
    </row>
    <row r="3426" spans="51:60" x14ac:dyDescent="0.2">
      <c r="AY3426" s="315"/>
      <c r="AZ3426" s="326"/>
      <c r="BA3426" s="175"/>
      <c r="BB3426" s="42"/>
      <c r="BC3426" s="431"/>
      <c r="BG3426" s="315"/>
      <c r="BH3426" s="42"/>
    </row>
    <row r="3427" spans="51:60" x14ac:dyDescent="0.2">
      <c r="AY3427" s="315"/>
      <c r="AZ3427" s="326"/>
      <c r="BA3427" s="175"/>
      <c r="BB3427" s="42"/>
      <c r="BC3427" s="431"/>
      <c r="BG3427" s="315"/>
      <c r="BH3427" s="42"/>
    </row>
    <row r="3428" spans="51:60" x14ac:dyDescent="0.2">
      <c r="AY3428" s="315"/>
      <c r="AZ3428" s="326"/>
      <c r="BA3428" s="175"/>
      <c r="BB3428" s="42"/>
      <c r="BC3428" s="431"/>
      <c r="BG3428" s="315"/>
      <c r="BH3428" s="42"/>
    </row>
    <row r="3429" spans="51:60" x14ac:dyDescent="0.2">
      <c r="AY3429" s="315"/>
      <c r="AZ3429" s="326"/>
      <c r="BA3429" s="175"/>
      <c r="BB3429" s="42"/>
      <c r="BC3429" s="431"/>
      <c r="BG3429" s="315"/>
      <c r="BH3429" s="42"/>
    </row>
    <row r="3430" spans="51:60" x14ac:dyDescent="0.2">
      <c r="AY3430" s="315"/>
      <c r="AZ3430" s="326"/>
      <c r="BA3430" s="175"/>
      <c r="BB3430" s="42"/>
      <c r="BC3430" s="431"/>
      <c r="BG3430" s="315"/>
      <c r="BH3430" s="42"/>
    </row>
    <row r="3431" spans="51:60" x14ac:dyDescent="0.2">
      <c r="AY3431" s="315"/>
      <c r="AZ3431" s="326"/>
      <c r="BA3431" s="175"/>
      <c r="BB3431" s="42"/>
      <c r="BC3431" s="431"/>
      <c r="BG3431" s="315"/>
      <c r="BH3431" s="42"/>
    </row>
    <row r="3432" spans="51:60" x14ac:dyDescent="0.2">
      <c r="AY3432" s="315"/>
      <c r="AZ3432" s="326"/>
      <c r="BA3432" s="175"/>
      <c r="BB3432" s="42"/>
      <c r="BC3432" s="431"/>
      <c r="BG3432" s="315"/>
      <c r="BH3432" s="42"/>
    </row>
    <row r="3433" spans="51:60" x14ac:dyDescent="0.2">
      <c r="AY3433" s="315"/>
      <c r="AZ3433" s="326"/>
      <c r="BA3433" s="175"/>
      <c r="BB3433" s="42"/>
      <c r="BC3433" s="431"/>
      <c r="BG3433" s="315"/>
      <c r="BH3433" s="42"/>
    </row>
    <row r="3434" spans="51:60" x14ac:dyDescent="0.2">
      <c r="AY3434" s="315"/>
      <c r="AZ3434" s="326"/>
      <c r="BA3434" s="175"/>
      <c r="BB3434" s="42"/>
      <c r="BC3434" s="431"/>
      <c r="BG3434" s="315"/>
      <c r="BH3434" s="42"/>
    </row>
    <row r="3435" spans="51:60" x14ac:dyDescent="0.2">
      <c r="AY3435" s="315"/>
      <c r="AZ3435" s="326"/>
      <c r="BA3435" s="175"/>
      <c r="BB3435" s="42"/>
      <c r="BC3435" s="431"/>
      <c r="BG3435" s="315"/>
      <c r="BH3435" s="42"/>
    </row>
    <row r="3436" spans="51:60" x14ac:dyDescent="0.2">
      <c r="AY3436" s="315"/>
      <c r="AZ3436" s="326"/>
      <c r="BA3436" s="175"/>
      <c r="BB3436" s="42"/>
      <c r="BC3436" s="431"/>
      <c r="BG3436" s="315"/>
      <c r="BH3436" s="42"/>
    </row>
    <row r="3437" spans="51:60" x14ac:dyDescent="0.2">
      <c r="AY3437" s="315"/>
      <c r="AZ3437" s="326"/>
      <c r="BA3437" s="175"/>
      <c r="BB3437" s="42"/>
      <c r="BC3437" s="431"/>
      <c r="BG3437" s="315"/>
      <c r="BH3437" s="42"/>
    </row>
    <row r="3438" spans="51:60" x14ac:dyDescent="0.2">
      <c r="AY3438" s="315"/>
      <c r="AZ3438" s="326"/>
      <c r="BA3438" s="175"/>
      <c r="BB3438" s="42"/>
      <c r="BC3438" s="431"/>
      <c r="BG3438" s="315"/>
      <c r="BH3438" s="42"/>
    </row>
    <row r="3439" spans="51:60" x14ac:dyDescent="0.2">
      <c r="AY3439" s="315"/>
      <c r="AZ3439" s="326"/>
      <c r="BA3439" s="175"/>
      <c r="BB3439" s="42"/>
      <c r="BC3439" s="431"/>
      <c r="BG3439" s="315"/>
      <c r="BH3439" s="42"/>
    </row>
    <row r="3440" spans="51:60" x14ac:dyDescent="0.2">
      <c r="AY3440" s="315"/>
      <c r="AZ3440" s="326"/>
      <c r="BA3440" s="175"/>
      <c r="BB3440" s="42"/>
      <c r="BC3440" s="431"/>
      <c r="BG3440" s="315"/>
      <c r="BH3440" s="42"/>
    </row>
    <row r="3441" spans="51:60" x14ac:dyDescent="0.2">
      <c r="AY3441" s="315"/>
      <c r="AZ3441" s="326"/>
      <c r="BA3441" s="175"/>
      <c r="BB3441" s="42"/>
      <c r="BC3441" s="431"/>
      <c r="BG3441" s="315"/>
      <c r="BH3441" s="42"/>
    </row>
    <row r="3442" spans="51:60" x14ac:dyDescent="0.2">
      <c r="AY3442" s="315"/>
      <c r="AZ3442" s="326"/>
      <c r="BA3442" s="175"/>
      <c r="BB3442" s="42"/>
      <c r="BC3442" s="431"/>
      <c r="BG3442" s="315"/>
      <c r="BH3442" s="42"/>
    </row>
    <row r="3443" spans="51:60" x14ac:dyDescent="0.2">
      <c r="AY3443" s="315"/>
      <c r="AZ3443" s="326"/>
      <c r="BA3443" s="175"/>
      <c r="BB3443" s="42"/>
      <c r="BC3443" s="431"/>
      <c r="BG3443" s="315"/>
      <c r="BH3443" s="42"/>
    </row>
    <row r="3444" spans="51:60" x14ac:dyDescent="0.2">
      <c r="AY3444" s="315"/>
      <c r="AZ3444" s="326"/>
      <c r="BA3444" s="175"/>
      <c r="BB3444" s="42"/>
      <c r="BC3444" s="431"/>
      <c r="BG3444" s="315"/>
      <c r="BH3444" s="42"/>
    </row>
    <row r="3445" spans="51:60" x14ac:dyDescent="0.2">
      <c r="AY3445" s="315"/>
      <c r="AZ3445" s="326"/>
      <c r="BA3445" s="175"/>
      <c r="BB3445" s="42"/>
      <c r="BC3445" s="431"/>
      <c r="BG3445" s="315"/>
      <c r="BH3445" s="42"/>
    </row>
    <row r="3446" spans="51:60" x14ac:dyDescent="0.2">
      <c r="AY3446" s="315"/>
      <c r="AZ3446" s="326"/>
      <c r="BA3446" s="175"/>
      <c r="BB3446" s="42"/>
      <c r="BC3446" s="431"/>
      <c r="BG3446" s="315"/>
      <c r="BH3446" s="42"/>
    </row>
    <row r="3447" spans="51:60" x14ac:dyDescent="0.2">
      <c r="AY3447" s="315"/>
      <c r="AZ3447" s="326"/>
      <c r="BA3447" s="175"/>
      <c r="BB3447" s="42"/>
      <c r="BC3447" s="431"/>
      <c r="BG3447" s="315"/>
      <c r="BH3447" s="42"/>
    </row>
    <row r="3448" spans="51:60" x14ac:dyDescent="0.2">
      <c r="AY3448" s="315"/>
      <c r="AZ3448" s="326"/>
      <c r="BA3448" s="175"/>
      <c r="BB3448" s="42"/>
      <c r="BC3448" s="431"/>
      <c r="BG3448" s="315"/>
      <c r="BH3448" s="42"/>
    </row>
    <row r="3449" spans="51:60" x14ac:dyDescent="0.2">
      <c r="AY3449" s="315"/>
      <c r="AZ3449" s="326"/>
      <c r="BA3449" s="175"/>
      <c r="BB3449" s="42"/>
      <c r="BC3449" s="431"/>
      <c r="BG3449" s="315"/>
      <c r="BH3449" s="42"/>
    </row>
    <row r="3450" spans="51:60" x14ac:dyDescent="0.2">
      <c r="AY3450" s="315"/>
      <c r="AZ3450" s="326"/>
      <c r="BA3450" s="175"/>
      <c r="BB3450" s="42"/>
      <c r="BC3450" s="431"/>
      <c r="BG3450" s="315"/>
      <c r="BH3450" s="42"/>
    </row>
    <row r="3451" spans="51:60" x14ac:dyDescent="0.2">
      <c r="AY3451" s="315"/>
      <c r="AZ3451" s="326"/>
      <c r="BA3451" s="175"/>
      <c r="BB3451" s="42"/>
      <c r="BC3451" s="431"/>
      <c r="BG3451" s="315"/>
      <c r="BH3451" s="42"/>
    </row>
    <row r="3452" spans="51:60" x14ac:dyDescent="0.2">
      <c r="AY3452" s="315"/>
      <c r="AZ3452" s="326"/>
      <c r="BA3452" s="175"/>
      <c r="BB3452" s="42"/>
      <c r="BC3452" s="431"/>
      <c r="BG3452" s="315"/>
      <c r="BH3452" s="42"/>
    </row>
    <row r="3453" spans="51:60" x14ac:dyDescent="0.2">
      <c r="AY3453" s="315"/>
      <c r="AZ3453" s="326"/>
      <c r="BA3453" s="175"/>
      <c r="BB3453" s="42"/>
      <c r="BC3453" s="431"/>
      <c r="BG3453" s="315"/>
      <c r="BH3453" s="42"/>
    </row>
    <row r="3454" spans="51:60" x14ac:dyDescent="0.2">
      <c r="AY3454" s="315"/>
      <c r="AZ3454" s="326"/>
      <c r="BA3454" s="175"/>
      <c r="BB3454" s="42"/>
      <c r="BC3454" s="431"/>
      <c r="BG3454" s="315"/>
      <c r="BH3454" s="42"/>
    </row>
    <row r="3455" spans="51:60" x14ac:dyDescent="0.2">
      <c r="AY3455" s="315"/>
      <c r="AZ3455" s="326"/>
      <c r="BA3455" s="175"/>
      <c r="BB3455" s="42"/>
      <c r="BC3455" s="431"/>
      <c r="BG3455" s="315"/>
      <c r="BH3455" s="42"/>
    </row>
    <row r="3456" spans="51:60" x14ac:dyDescent="0.2">
      <c r="AY3456" s="315"/>
      <c r="AZ3456" s="326"/>
      <c r="BA3456" s="175"/>
      <c r="BB3456" s="42"/>
      <c r="BC3456" s="431"/>
      <c r="BG3456" s="315"/>
      <c r="BH3456" s="42"/>
    </row>
    <row r="3457" spans="51:60" x14ac:dyDescent="0.2">
      <c r="AY3457" s="315"/>
      <c r="AZ3457" s="326"/>
      <c r="BA3457" s="175"/>
      <c r="BB3457" s="42"/>
      <c r="BC3457" s="431"/>
      <c r="BG3457" s="315"/>
      <c r="BH3457" s="42"/>
    </row>
    <row r="3458" spans="51:60" x14ac:dyDescent="0.2">
      <c r="AY3458" s="315"/>
      <c r="AZ3458" s="326"/>
      <c r="BA3458" s="175"/>
      <c r="BB3458" s="42"/>
      <c r="BC3458" s="431"/>
      <c r="BG3458" s="315"/>
      <c r="BH3458" s="42"/>
    </row>
    <row r="3459" spans="51:60" x14ac:dyDescent="0.2">
      <c r="AY3459" s="315"/>
      <c r="AZ3459" s="326"/>
      <c r="BA3459" s="175"/>
      <c r="BB3459" s="42"/>
      <c r="BC3459" s="431"/>
      <c r="BG3459" s="315"/>
      <c r="BH3459" s="42"/>
    </row>
    <row r="3460" spans="51:60" x14ac:dyDescent="0.2">
      <c r="AY3460" s="315"/>
      <c r="AZ3460" s="326"/>
      <c r="BA3460" s="175"/>
      <c r="BB3460" s="42"/>
      <c r="BC3460" s="431"/>
      <c r="BG3460" s="315"/>
      <c r="BH3460" s="42"/>
    </row>
    <row r="3461" spans="51:60" x14ac:dyDescent="0.2">
      <c r="AY3461" s="315"/>
      <c r="AZ3461" s="326"/>
      <c r="BA3461" s="175"/>
      <c r="BB3461" s="42"/>
      <c r="BC3461" s="431"/>
      <c r="BG3461" s="315"/>
      <c r="BH3461" s="42"/>
    </row>
    <row r="3462" spans="51:60" x14ac:dyDescent="0.2">
      <c r="AY3462" s="315"/>
      <c r="AZ3462" s="326"/>
      <c r="BA3462" s="175"/>
      <c r="BB3462" s="42"/>
      <c r="BC3462" s="431"/>
      <c r="BG3462" s="315"/>
      <c r="BH3462" s="42"/>
    </row>
    <row r="3463" spans="51:60" x14ac:dyDescent="0.2">
      <c r="AY3463" s="315"/>
      <c r="AZ3463" s="326"/>
      <c r="BA3463" s="175"/>
      <c r="BB3463" s="42"/>
      <c r="BC3463" s="431"/>
      <c r="BG3463" s="315"/>
      <c r="BH3463" s="42"/>
    </row>
    <row r="3464" spans="51:60" x14ac:dyDescent="0.2">
      <c r="AY3464" s="315"/>
      <c r="AZ3464" s="326"/>
      <c r="BA3464" s="175"/>
      <c r="BB3464" s="42"/>
      <c r="BC3464" s="431"/>
      <c r="BG3464" s="315"/>
      <c r="BH3464" s="42"/>
    </row>
    <row r="3465" spans="51:60" x14ac:dyDescent="0.2">
      <c r="AY3465" s="315"/>
      <c r="AZ3465" s="326"/>
      <c r="BA3465" s="175"/>
      <c r="BB3465" s="42"/>
      <c r="BC3465" s="431"/>
      <c r="BG3465" s="315"/>
      <c r="BH3465" s="42"/>
    </row>
    <row r="3466" spans="51:60" x14ac:dyDescent="0.2">
      <c r="AY3466" s="315"/>
      <c r="AZ3466" s="326"/>
      <c r="BA3466" s="175"/>
      <c r="BB3466" s="42"/>
      <c r="BC3466" s="431"/>
      <c r="BG3466" s="315"/>
      <c r="BH3466" s="42"/>
    </row>
    <row r="3467" spans="51:60" x14ac:dyDescent="0.2">
      <c r="AY3467" s="315"/>
      <c r="AZ3467" s="326"/>
      <c r="BA3467" s="175"/>
      <c r="BB3467" s="42"/>
      <c r="BC3467" s="431"/>
      <c r="BG3467" s="315"/>
      <c r="BH3467" s="42"/>
    </row>
    <row r="3468" spans="51:60" x14ac:dyDescent="0.2">
      <c r="AY3468" s="315"/>
      <c r="AZ3468" s="326"/>
      <c r="BA3468" s="175"/>
      <c r="BB3468" s="42"/>
      <c r="BC3468" s="431"/>
      <c r="BG3468" s="315"/>
      <c r="BH3468" s="42"/>
    </row>
    <row r="3469" spans="51:60" x14ac:dyDescent="0.2">
      <c r="AY3469" s="315"/>
      <c r="AZ3469" s="326"/>
      <c r="BA3469" s="175"/>
      <c r="BB3469" s="42"/>
      <c r="BC3469" s="431"/>
      <c r="BG3469" s="315"/>
      <c r="BH3469" s="42"/>
    </row>
    <row r="3470" spans="51:60" x14ac:dyDescent="0.2">
      <c r="AY3470" s="315"/>
      <c r="AZ3470" s="326"/>
      <c r="BA3470" s="175"/>
      <c r="BB3470" s="42"/>
      <c r="BC3470" s="431"/>
      <c r="BG3470" s="315"/>
      <c r="BH3470" s="42"/>
    </row>
    <row r="3471" spans="51:60" x14ac:dyDescent="0.2">
      <c r="AY3471" s="315"/>
      <c r="AZ3471" s="326"/>
      <c r="BA3471" s="175"/>
      <c r="BB3471" s="42"/>
      <c r="BC3471" s="431"/>
      <c r="BG3471" s="315"/>
      <c r="BH3471" s="42"/>
    </row>
    <row r="3472" spans="51:60" x14ac:dyDescent="0.2">
      <c r="AY3472" s="315"/>
      <c r="AZ3472" s="326"/>
      <c r="BA3472" s="175"/>
      <c r="BB3472" s="42"/>
      <c r="BC3472" s="431"/>
      <c r="BG3472" s="315"/>
      <c r="BH3472" s="42"/>
    </row>
    <row r="3473" spans="51:60" x14ac:dyDescent="0.2">
      <c r="AY3473" s="315"/>
      <c r="AZ3473" s="326"/>
      <c r="BA3473" s="175"/>
      <c r="BB3473" s="42"/>
      <c r="BC3473" s="431"/>
      <c r="BG3473" s="315"/>
      <c r="BH3473" s="42"/>
    </row>
    <row r="3474" spans="51:60" x14ac:dyDescent="0.2">
      <c r="AY3474" s="315"/>
      <c r="AZ3474" s="326"/>
      <c r="BA3474" s="175"/>
      <c r="BB3474" s="42"/>
      <c r="BC3474" s="431"/>
      <c r="BG3474" s="315"/>
      <c r="BH3474" s="42"/>
    </row>
    <row r="3475" spans="51:60" x14ac:dyDescent="0.2">
      <c r="AY3475" s="315"/>
      <c r="AZ3475" s="326"/>
      <c r="BA3475" s="175"/>
      <c r="BB3475" s="42"/>
      <c r="BC3475" s="431"/>
      <c r="BG3475" s="315"/>
      <c r="BH3475" s="42"/>
    </row>
    <row r="3476" spans="51:60" x14ac:dyDescent="0.2">
      <c r="AY3476" s="315"/>
      <c r="AZ3476" s="326"/>
      <c r="BA3476" s="175"/>
      <c r="BB3476" s="42"/>
      <c r="BC3476" s="431"/>
      <c r="BG3476" s="315"/>
      <c r="BH3476" s="42"/>
    </row>
    <row r="3477" spans="51:60" x14ac:dyDescent="0.2">
      <c r="AY3477" s="315"/>
      <c r="AZ3477" s="326"/>
      <c r="BA3477" s="175"/>
      <c r="BB3477" s="42"/>
      <c r="BC3477" s="431"/>
      <c r="BG3477" s="315"/>
      <c r="BH3477" s="42"/>
    </row>
    <row r="3478" spans="51:60" x14ac:dyDescent="0.2">
      <c r="AY3478" s="315"/>
      <c r="AZ3478" s="326"/>
      <c r="BA3478" s="175"/>
      <c r="BB3478" s="42"/>
      <c r="BC3478" s="431"/>
      <c r="BG3478" s="315"/>
      <c r="BH3478" s="42"/>
    </row>
    <row r="3479" spans="51:60" x14ac:dyDescent="0.2">
      <c r="AY3479" s="315"/>
      <c r="AZ3479" s="326"/>
      <c r="BA3479" s="175"/>
      <c r="BB3479" s="42"/>
      <c r="BC3479" s="431"/>
      <c r="BG3479" s="315"/>
      <c r="BH3479" s="42"/>
    </row>
    <row r="3480" spans="51:60" x14ac:dyDescent="0.2">
      <c r="AY3480" s="315"/>
      <c r="AZ3480" s="326"/>
      <c r="BA3480" s="175"/>
      <c r="BB3480" s="42"/>
      <c r="BC3480" s="431"/>
      <c r="BG3480" s="315"/>
      <c r="BH3480" s="42"/>
    </row>
    <row r="3481" spans="51:60" x14ac:dyDescent="0.2">
      <c r="AY3481" s="315"/>
      <c r="AZ3481" s="326"/>
      <c r="BA3481" s="175"/>
      <c r="BB3481" s="42"/>
      <c r="BC3481" s="431"/>
      <c r="BG3481" s="315"/>
      <c r="BH3481" s="42"/>
    </row>
    <row r="3482" spans="51:60" x14ac:dyDescent="0.2">
      <c r="AY3482" s="315"/>
      <c r="AZ3482" s="326"/>
      <c r="BA3482" s="175"/>
      <c r="BB3482" s="42"/>
      <c r="BC3482" s="431"/>
      <c r="BG3482" s="315"/>
      <c r="BH3482" s="42"/>
    </row>
    <row r="3483" spans="51:60" x14ac:dyDescent="0.2">
      <c r="AY3483" s="315"/>
      <c r="AZ3483" s="326"/>
      <c r="BA3483" s="175"/>
      <c r="BB3483" s="42"/>
      <c r="BC3483" s="431"/>
      <c r="BG3483" s="315"/>
      <c r="BH3483" s="42"/>
    </row>
    <row r="3484" spans="51:60" x14ac:dyDescent="0.2">
      <c r="AY3484" s="315"/>
      <c r="AZ3484" s="326"/>
      <c r="BA3484" s="175"/>
      <c r="BB3484" s="42"/>
      <c r="BC3484" s="431"/>
      <c r="BG3484" s="315"/>
      <c r="BH3484" s="42"/>
    </row>
    <row r="3485" spans="51:60" x14ac:dyDescent="0.2">
      <c r="AY3485" s="315"/>
      <c r="AZ3485" s="326"/>
      <c r="BA3485" s="175"/>
      <c r="BB3485" s="42"/>
      <c r="BC3485" s="431"/>
      <c r="BG3485" s="315"/>
      <c r="BH3485" s="42"/>
    </row>
    <row r="3486" spans="51:60" x14ac:dyDescent="0.2">
      <c r="AY3486" s="315"/>
      <c r="AZ3486" s="326"/>
      <c r="BA3486" s="175"/>
      <c r="BB3486" s="42"/>
      <c r="BC3486" s="431"/>
      <c r="BG3486" s="315"/>
      <c r="BH3486" s="42"/>
    </row>
    <row r="3487" spans="51:60" x14ac:dyDescent="0.2">
      <c r="AY3487" s="315"/>
      <c r="AZ3487" s="326"/>
      <c r="BA3487" s="175"/>
      <c r="BB3487" s="42"/>
      <c r="BC3487" s="431"/>
      <c r="BG3487" s="315"/>
      <c r="BH3487" s="42"/>
    </row>
    <row r="3488" spans="51:60" x14ac:dyDescent="0.2">
      <c r="AY3488" s="315"/>
      <c r="AZ3488" s="326"/>
      <c r="BA3488" s="175"/>
      <c r="BB3488" s="42"/>
      <c r="BC3488" s="431"/>
      <c r="BG3488" s="315"/>
      <c r="BH3488" s="42"/>
    </row>
    <row r="3489" spans="51:60" x14ac:dyDescent="0.2">
      <c r="AY3489" s="315"/>
      <c r="AZ3489" s="326"/>
      <c r="BA3489" s="175"/>
      <c r="BB3489" s="42"/>
      <c r="BC3489" s="431"/>
      <c r="BG3489" s="315"/>
      <c r="BH3489" s="42"/>
    </row>
    <row r="3490" spans="51:60" x14ac:dyDescent="0.2">
      <c r="AY3490" s="315"/>
      <c r="AZ3490" s="326"/>
      <c r="BA3490" s="175"/>
      <c r="BB3490" s="42"/>
      <c r="BC3490" s="431"/>
      <c r="BG3490" s="315"/>
      <c r="BH3490" s="42"/>
    </row>
    <row r="3491" spans="51:60" x14ac:dyDescent="0.2">
      <c r="AY3491" s="315"/>
      <c r="AZ3491" s="326"/>
      <c r="BA3491" s="175"/>
      <c r="BB3491" s="42"/>
      <c r="BC3491" s="431"/>
      <c r="BG3491" s="315"/>
      <c r="BH3491" s="42"/>
    </row>
    <row r="3492" spans="51:60" x14ac:dyDescent="0.2">
      <c r="AY3492" s="315"/>
      <c r="AZ3492" s="326"/>
      <c r="BA3492" s="175"/>
      <c r="BB3492" s="42"/>
      <c r="BC3492" s="431"/>
      <c r="BG3492" s="315"/>
      <c r="BH3492" s="42"/>
    </row>
    <row r="3493" spans="51:60" x14ac:dyDescent="0.2">
      <c r="AY3493" s="315"/>
      <c r="AZ3493" s="326"/>
      <c r="BA3493" s="175"/>
      <c r="BB3493" s="42"/>
      <c r="BC3493" s="431"/>
      <c r="BG3493" s="315"/>
      <c r="BH3493" s="42"/>
    </row>
    <row r="3494" spans="51:60" x14ac:dyDescent="0.2">
      <c r="AY3494" s="315"/>
      <c r="AZ3494" s="326"/>
      <c r="BA3494" s="175"/>
      <c r="BB3494" s="42"/>
      <c r="BC3494" s="431"/>
      <c r="BG3494" s="315"/>
      <c r="BH3494" s="42"/>
    </row>
    <row r="3495" spans="51:60" x14ac:dyDescent="0.2">
      <c r="AY3495" s="315"/>
      <c r="AZ3495" s="326"/>
      <c r="BA3495" s="175"/>
      <c r="BB3495" s="42"/>
      <c r="BC3495" s="431"/>
      <c r="BG3495" s="315"/>
      <c r="BH3495" s="42"/>
    </row>
    <row r="3496" spans="51:60" x14ac:dyDescent="0.2">
      <c r="AY3496" s="315"/>
      <c r="AZ3496" s="326"/>
      <c r="BA3496" s="175"/>
      <c r="BB3496" s="42"/>
      <c r="BC3496" s="431"/>
      <c r="BG3496" s="315"/>
      <c r="BH3496" s="42"/>
    </row>
    <row r="3497" spans="51:60" x14ac:dyDescent="0.2">
      <c r="AY3497" s="315"/>
      <c r="AZ3497" s="326"/>
      <c r="BA3497" s="175"/>
      <c r="BB3497" s="42"/>
      <c r="BC3497" s="431"/>
      <c r="BG3497" s="315"/>
      <c r="BH3497" s="42"/>
    </row>
    <row r="3498" spans="51:60" x14ac:dyDescent="0.2">
      <c r="AY3498" s="315"/>
      <c r="AZ3498" s="326"/>
      <c r="BA3498" s="175"/>
      <c r="BB3498" s="42"/>
      <c r="BC3498" s="431"/>
      <c r="BG3498" s="315"/>
      <c r="BH3498" s="42"/>
    </row>
    <row r="3499" spans="51:60" x14ac:dyDescent="0.2">
      <c r="AY3499" s="315"/>
      <c r="AZ3499" s="326"/>
      <c r="BA3499" s="175"/>
      <c r="BB3499" s="42"/>
      <c r="BC3499" s="431"/>
      <c r="BG3499" s="315"/>
      <c r="BH3499" s="42"/>
    </row>
    <row r="3500" spans="51:60" x14ac:dyDescent="0.2">
      <c r="AY3500" s="315"/>
      <c r="AZ3500" s="326"/>
      <c r="BA3500" s="175"/>
      <c r="BB3500" s="42"/>
      <c r="BC3500" s="431"/>
      <c r="BG3500" s="315"/>
      <c r="BH3500" s="42"/>
    </row>
    <row r="3501" spans="51:60" x14ac:dyDescent="0.2">
      <c r="AY3501" s="315"/>
      <c r="AZ3501" s="326"/>
      <c r="BA3501" s="175"/>
      <c r="BB3501" s="42"/>
      <c r="BC3501" s="431"/>
      <c r="BG3501" s="315"/>
      <c r="BH3501" s="42"/>
    </row>
    <row r="3502" spans="51:60" x14ac:dyDescent="0.2">
      <c r="AY3502" s="315"/>
      <c r="AZ3502" s="326"/>
      <c r="BA3502" s="175"/>
      <c r="BB3502" s="42"/>
      <c r="BC3502" s="431"/>
      <c r="BG3502" s="315"/>
      <c r="BH3502" s="42"/>
    </row>
    <row r="3503" spans="51:60" x14ac:dyDescent="0.2">
      <c r="AY3503" s="315"/>
      <c r="AZ3503" s="326"/>
      <c r="BA3503" s="175"/>
      <c r="BB3503" s="42"/>
      <c r="BC3503" s="431"/>
      <c r="BG3503" s="315"/>
      <c r="BH3503" s="42"/>
    </row>
    <row r="3504" spans="51:60" x14ac:dyDescent="0.2">
      <c r="AY3504" s="315"/>
      <c r="AZ3504" s="326"/>
      <c r="BA3504" s="175"/>
      <c r="BB3504" s="42"/>
      <c r="BC3504" s="431"/>
      <c r="BG3504" s="315"/>
      <c r="BH3504" s="42"/>
    </row>
    <row r="3505" spans="51:60" x14ac:dyDescent="0.2">
      <c r="AY3505" s="315"/>
      <c r="AZ3505" s="326"/>
      <c r="BA3505" s="175"/>
      <c r="BB3505" s="42"/>
      <c r="BC3505" s="431"/>
      <c r="BG3505" s="315"/>
      <c r="BH3505" s="42"/>
    </row>
    <row r="3506" spans="51:60" x14ac:dyDescent="0.2">
      <c r="AY3506" s="315"/>
      <c r="AZ3506" s="326"/>
      <c r="BA3506" s="175"/>
      <c r="BB3506" s="42"/>
      <c r="BC3506" s="431"/>
      <c r="BG3506" s="315"/>
      <c r="BH3506" s="42"/>
    </row>
    <row r="3507" spans="51:60" x14ac:dyDescent="0.2">
      <c r="AY3507" s="315"/>
      <c r="AZ3507" s="326"/>
      <c r="BA3507" s="175"/>
      <c r="BB3507" s="42"/>
      <c r="BC3507" s="431"/>
      <c r="BG3507" s="315"/>
      <c r="BH3507" s="42"/>
    </row>
    <row r="3508" spans="51:60" x14ac:dyDescent="0.2">
      <c r="AY3508" s="315"/>
      <c r="AZ3508" s="326"/>
      <c r="BA3508" s="175"/>
      <c r="BB3508" s="42"/>
      <c r="BC3508" s="431"/>
      <c r="BG3508" s="315"/>
      <c r="BH3508" s="42"/>
    </row>
    <row r="3509" spans="51:60" x14ac:dyDescent="0.2">
      <c r="AY3509" s="315"/>
      <c r="AZ3509" s="326"/>
      <c r="BA3509" s="175"/>
      <c r="BB3509" s="42"/>
      <c r="BC3509" s="431"/>
      <c r="BG3509" s="315"/>
      <c r="BH3509" s="42"/>
    </row>
    <row r="3510" spans="51:60" x14ac:dyDescent="0.2">
      <c r="AY3510" s="315"/>
      <c r="AZ3510" s="326"/>
      <c r="BA3510" s="175"/>
      <c r="BB3510" s="42"/>
      <c r="BC3510" s="431"/>
      <c r="BG3510" s="315"/>
      <c r="BH3510" s="42"/>
    </row>
    <row r="3511" spans="51:60" x14ac:dyDescent="0.2">
      <c r="AY3511" s="315"/>
      <c r="AZ3511" s="326"/>
      <c r="BA3511" s="175"/>
      <c r="BB3511" s="42"/>
      <c r="BC3511" s="431"/>
      <c r="BG3511" s="315"/>
      <c r="BH3511" s="42"/>
    </row>
    <row r="3512" spans="51:60" x14ac:dyDescent="0.2">
      <c r="AY3512" s="315"/>
      <c r="AZ3512" s="326"/>
      <c r="BA3512" s="175"/>
      <c r="BB3512" s="42"/>
      <c r="BC3512" s="431"/>
      <c r="BG3512" s="315"/>
      <c r="BH3512" s="42"/>
    </row>
    <row r="3513" spans="51:60" x14ac:dyDescent="0.2">
      <c r="AY3513" s="315"/>
      <c r="AZ3513" s="326"/>
      <c r="BA3513" s="175"/>
      <c r="BB3513" s="42"/>
      <c r="BC3513" s="431"/>
      <c r="BG3513" s="315"/>
      <c r="BH3513" s="42"/>
    </row>
    <row r="3514" spans="51:60" x14ac:dyDescent="0.2">
      <c r="AY3514" s="315"/>
      <c r="AZ3514" s="326"/>
      <c r="BA3514" s="175"/>
      <c r="BB3514" s="42"/>
      <c r="BC3514" s="431"/>
      <c r="BG3514" s="315"/>
      <c r="BH3514" s="42"/>
    </row>
    <row r="3515" spans="51:60" x14ac:dyDescent="0.2">
      <c r="AY3515" s="315"/>
      <c r="AZ3515" s="326"/>
      <c r="BA3515" s="175"/>
      <c r="BB3515" s="42"/>
      <c r="BC3515" s="431"/>
      <c r="BG3515" s="315"/>
      <c r="BH3515" s="42"/>
    </row>
    <row r="3516" spans="51:60" x14ac:dyDescent="0.2">
      <c r="AY3516" s="315"/>
      <c r="AZ3516" s="326"/>
      <c r="BA3516" s="175"/>
      <c r="BB3516" s="42"/>
      <c r="BC3516" s="431"/>
      <c r="BG3516" s="315"/>
      <c r="BH3516" s="42"/>
    </row>
    <row r="3517" spans="51:60" x14ac:dyDescent="0.2">
      <c r="AY3517" s="315"/>
      <c r="AZ3517" s="326"/>
      <c r="BA3517" s="175"/>
      <c r="BB3517" s="42"/>
      <c r="BC3517" s="431"/>
      <c r="BG3517" s="315"/>
      <c r="BH3517" s="42"/>
    </row>
    <row r="3518" spans="51:60" x14ac:dyDescent="0.2">
      <c r="AY3518" s="315"/>
      <c r="AZ3518" s="326"/>
      <c r="BA3518" s="175"/>
      <c r="BB3518" s="42"/>
      <c r="BC3518" s="431"/>
      <c r="BG3518" s="315"/>
      <c r="BH3518" s="42"/>
    </row>
    <row r="3519" spans="51:60" x14ac:dyDescent="0.2">
      <c r="AY3519" s="315"/>
      <c r="AZ3519" s="326"/>
      <c r="BA3519" s="175"/>
      <c r="BB3519" s="42"/>
      <c r="BC3519" s="431"/>
      <c r="BG3519" s="315"/>
      <c r="BH3519" s="42"/>
    </row>
    <row r="3520" spans="51:60" x14ac:dyDescent="0.2">
      <c r="AY3520" s="315"/>
      <c r="AZ3520" s="326"/>
      <c r="BA3520" s="175"/>
      <c r="BB3520" s="42"/>
      <c r="BC3520" s="431"/>
      <c r="BG3520" s="315"/>
      <c r="BH3520" s="42"/>
    </row>
    <row r="3521" spans="51:60" x14ac:dyDescent="0.2">
      <c r="AY3521" s="315"/>
      <c r="AZ3521" s="326"/>
      <c r="BA3521" s="175"/>
      <c r="BB3521" s="42"/>
      <c r="BC3521" s="431"/>
      <c r="BG3521" s="315"/>
      <c r="BH3521" s="42"/>
    </row>
    <row r="3522" spans="51:60" x14ac:dyDescent="0.2">
      <c r="AY3522" s="315"/>
      <c r="AZ3522" s="326"/>
      <c r="BA3522" s="175"/>
      <c r="BB3522" s="42"/>
      <c r="BC3522" s="431"/>
      <c r="BG3522" s="315"/>
      <c r="BH3522" s="42"/>
    </row>
    <row r="3523" spans="51:60" x14ac:dyDescent="0.2">
      <c r="AY3523" s="315"/>
      <c r="AZ3523" s="326"/>
      <c r="BA3523" s="175"/>
      <c r="BB3523" s="42"/>
      <c r="BC3523" s="431"/>
      <c r="BG3523" s="315"/>
      <c r="BH3523" s="42"/>
    </row>
    <row r="3524" spans="51:60" x14ac:dyDescent="0.2">
      <c r="AY3524" s="315"/>
      <c r="AZ3524" s="326"/>
      <c r="BA3524" s="175"/>
      <c r="BB3524" s="42"/>
      <c r="BC3524" s="431"/>
      <c r="BG3524" s="315"/>
      <c r="BH3524" s="42"/>
    </row>
    <row r="3525" spans="51:60" x14ac:dyDescent="0.2">
      <c r="AY3525" s="315"/>
      <c r="AZ3525" s="326"/>
      <c r="BA3525" s="175"/>
      <c r="BB3525" s="42"/>
      <c r="BC3525" s="431"/>
      <c r="BG3525" s="315"/>
      <c r="BH3525" s="42"/>
    </row>
    <row r="3526" spans="51:60" x14ac:dyDescent="0.2">
      <c r="AY3526" s="315"/>
      <c r="AZ3526" s="326"/>
      <c r="BA3526" s="175"/>
      <c r="BB3526" s="42"/>
      <c r="BC3526" s="431"/>
      <c r="BG3526" s="315"/>
      <c r="BH3526" s="42"/>
    </row>
    <row r="3527" spans="51:60" x14ac:dyDescent="0.2">
      <c r="AY3527" s="315"/>
      <c r="AZ3527" s="326"/>
      <c r="BA3527" s="175"/>
      <c r="BB3527" s="42"/>
      <c r="BC3527" s="431"/>
      <c r="BG3527" s="315"/>
      <c r="BH3527" s="42"/>
    </row>
    <row r="3528" spans="51:60" x14ac:dyDescent="0.2">
      <c r="AY3528" s="315"/>
      <c r="AZ3528" s="326"/>
      <c r="BA3528" s="175"/>
      <c r="BB3528" s="42"/>
      <c r="BC3528" s="431"/>
      <c r="BG3528" s="315"/>
      <c r="BH3528" s="42"/>
    </row>
    <row r="3529" spans="51:60" x14ac:dyDescent="0.2">
      <c r="AY3529" s="315"/>
      <c r="AZ3529" s="326"/>
      <c r="BA3529" s="175"/>
      <c r="BB3529" s="42"/>
      <c r="BC3529" s="431"/>
      <c r="BG3529" s="315"/>
      <c r="BH3529" s="42"/>
    </row>
    <row r="3530" spans="51:60" x14ac:dyDescent="0.2">
      <c r="AY3530" s="315"/>
      <c r="AZ3530" s="326"/>
      <c r="BA3530" s="175"/>
      <c r="BB3530" s="42"/>
      <c r="BC3530" s="431"/>
      <c r="BG3530" s="315"/>
      <c r="BH3530" s="42"/>
    </row>
    <row r="3531" spans="51:60" x14ac:dyDescent="0.2">
      <c r="AY3531" s="315"/>
      <c r="AZ3531" s="326"/>
      <c r="BA3531" s="175"/>
      <c r="BB3531" s="42"/>
      <c r="BC3531" s="431"/>
      <c r="BG3531" s="315"/>
      <c r="BH3531" s="42"/>
    </row>
    <row r="3532" spans="51:60" x14ac:dyDescent="0.2">
      <c r="AY3532" s="315"/>
      <c r="AZ3532" s="326"/>
      <c r="BA3532" s="175"/>
      <c r="BB3532" s="42"/>
      <c r="BC3532" s="431"/>
      <c r="BG3532" s="315"/>
      <c r="BH3532" s="42"/>
    </row>
    <row r="3533" spans="51:60" x14ac:dyDescent="0.2">
      <c r="AY3533" s="315"/>
      <c r="AZ3533" s="326"/>
      <c r="BA3533" s="175"/>
      <c r="BB3533" s="42"/>
      <c r="BC3533" s="431"/>
      <c r="BG3533" s="315"/>
      <c r="BH3533" s="42"/>
    </row>
    <row r="3534" spans="51:60" x14ac:dyDescent="0.2">
      <c r="AY3534" s="315"/>
      <c r="AZ3534" s="326"/>
      <c r="BA3534" s="175"/>
      <c r="BB3534" s="42"/>
      <c r="BC3534" s="431"/>
      <c r="BG3534" s="315"/>
      <c r="BH3534" s="42"/>
    </row>
    <row r="3535" spans="51:60" x14ac:dyDescent="0.2">
      <c r="AY3535" s="315"/>
      <c r="AZ3535" s="326"/>
      <c r="BA3535" s="175"/>
      <c r="BB3535" s="42"/>
      <c r="BC3535" s="431"/>
      <c r="BG3535" s="315"/>
      <c r="BH3535" s="42"/>
    </row>
    <row r="3536" spans="51:60" x14ac:dyDescent="0.2">
      <c r="AY3536" s="315"/>
      <c r="AZ3536" s="326"/>
      <c r="BA3536" s="175"/>
      <c r="BB3536" s="42"/>
      <c r="BC3536" s="431"/>
      <c r="BG3536" s="315"/>
      <c r="BH3536" s="42"/>
    </row>
    <row r="3537" spans="51:60" x14ac:dyDescent="0.2">
      <c r="AY3537" s="315"/>
      <c r="AZ3537" s="326"/>
      <c r="BA3537" s="175"/>
      <c r="BB3537" s="42"/>
      <c r="BC3537" s="431"/>
      <c r="BG3537" s="315"/>
      <c r="BH3537" s="42"/>
    </row>
    <row r="3538" spans="51:60" x14ac:dyDescent="0.2">
      <c r="AY3538" s="315"/>
      <c r="AZ3538" s="326"/>
      <c r="BA3538" s="175"/>
      <c r="BB3538" s="42"/>
      <c r="BC3538" s="431"/>
      <c r="BG3538" s="315"/>
      <c r="BH3538" s="42"/>
    </row>
    <row r="3539" spans="51:60" x14ac:dyDescent="0.2">
      <c r="AY3539" s="315"/>
      <c r="AZ3539" s="326"/>
      <c r="BA3539" s="175"/>
      <c r="BB3539" s="42"/>
      <c r="BC3539" s="431"/>
      <c r="BG3539" s="315"/>
      <c r="BH3539" s="42"/>
    </row>
    <row r="3540" spans="51:60" x14ac:dyDescent="0.2">
      <c r="AY3540" s="315"/>
      <c r="AZ3540" s="326"/>
      <c r="BA3540" s="175"/>
      <c r="BB3540" s="42"/>
      <c r="BC3540" s="431"/>
      <c r="BG3540" s="315"/>
      <c r="BH3540" s="42"/>
    </row>
    <row r="3541" spans="51:60" x14ac:dyDescent="0.2">
      <c r="AY3541" s="315"/>
      <c r="AZ3541" s="326"/>
      <c r="BA3541" s="175"/>
      <c r="BB3541" s="42"/>
      <c r="BC3541" s="431"/>
      <c r="BG3541" s="315"/>
      <c r="BH3541" s="42"/>
    </row>
    <row r="3542" spans="51:60" x14ac:dyDescent="0.2">
      <c r="AY3542" s="315"/>
      <c r="AZ3542" s="326"/>
      <c r="BA3542" s="175"/>
      <c r="BB3542" s="42"/>
      <c r="BC3542" s="431"/>
      <c r="BG3542" s="315"/>
      <c r="BH3542" s="42"/>
    </row>
    <row r="3543" spans="51:60" x14ac:dyDescent="0.2">
      <c r="AY3543" s="315"/>
      <c r="AZ3543" s="326"/>
      <c r="BA3543" s="175"/>
      <c r="BB3543" s="42"/>
      <c r="BC3543" s="431"/>
      <c r="BG3543" s="315"/>
      <c r="BH3543" s="42"/>
    </row>
    <row r="3544" spans="51:60" x14ac:dyDescent="0.2">
      <c r="AY3544" s="315"/>
      <c r="AZ3544" s="326"/>
      <c r="BA3544" s="175"/>
      <c r="BB3544" s="42"/>
      <c r="BC3544" s="431"/>
      <c r="BG3544" s="315"/>
      <c r="BH3544" s="42"/>
    </row>
    <row r="3545" spans="51:60" x14ac:dyDescent="0.2">
      <c r="AY3545" s="315"/>
      <c r="AZ3545" s="326"/>
      <c r="BA3545" s="175"/>
      <c r="BB3545" s="42"/>
      <c r="BC3545" s="431"/>
      <c r="BG3545" s="315"/>
      <c r="BH3545" s="42"/>
    </row>
    <row r="3546" spans="51:60" x14ac:dyDescent="0.2">
      <c r="AY3546" s="315"/>
      <c r="AZ3546" s="326"/>
      <c r="BA3546" s="175"/>
      <c r="BB3546" s="42"/>
      <c r="BC3546" s="431"/>
      <c r="BG3546" s="315"/>
      <c r="BH3546" s="42"/>
    </row>
    <row r="3547" spans="51:60" x14ac:dyDescent="0.2">
      <c r="AY3547" s="315"/>
      <c r="AZ3547" s="326"/>
      <c r="BA3547" s="175"/>
      <c r="BB3547" s="42"/>
      <c r="BC3547" s="431"/>
      <c r="BG3547" s="315"/>
      <c r="BH3547" s="42"/>
    </row>
    <row r="3548" spans="51:60" x14ac:dyDescent="0.2">
      <c r="AY3548" s="315"/>
      <c r="AZ3548" s="326"/>
      <c r="BA3548" s="175"/>
      <c r="BB3548" s="42"/>
      <c r="BC3548" s="431"/>
      <c r="BG3548" s="315"/>
      <c r="BH3548" s="42"/>
    </row>
    <row r="3549" spans="51:60" x14ac:dyDescent="0.2">
      <c r="AY3549" s="315"/>
      <c r="AZ3549" s="326"/>
      <c r="BA3549" s="175"/>
      <c r="BB3549" s="42"/>
      <c r="BC3549" s="431"/>
      <c r="BG3549" s="315"/>
      <c r="BH3549" s="42"/>
    </row>
    <row r="3550" spans="51:60" x14ac:dyDescent="0.2">
      <c r="AY3550" s="315"/>
      <c r="AZ3550" s="326"/>
      <c r="BA3550" s="175"/>
      <c r="BB3550" s="42"/>
      <c r="BC3550" s="431"/>
      <c r="BG3550" s="315"/>
      <c r="BH3550" s="42"/>
    </row>
    <row r="3551" spans="51:60" x14ac:dyDescent="0.2">
      <c r="AY3551" s="315"/>
      <c r="AZ3551" s="326"/>
      <c r="BA3551" s="175"/>
      <c r="BB3551" s="42"/>
      <c r="BC3551" s="431"/>
      <c r="BG3551" s="315"/>
      <c r="BH3551" s="42"/>
    </row>
    <row r="3552" spans="51:60" x14ac:dyDescent="0.2">
      <c r="AY3552" s="315"/>
      <c r="AZ3552" s="326"/>
      <c r="BA3552" s="175"/>
      <c r="BB3552" s="42"/>
      <c r="BC3552" s="431"/>
      <c r="BG3552" s="315"/>
      <c r="BH3552" s="42"/>
    </row>
    <row r="3553" spans="51:60" x14ac:dyDescent="0.2">
      <c r="AY3553" s="315"/>
      <c r="AZ3553" s="326"/>
      <c r="BA3553" s="175"/>
      <c r="BB3553" s="42"/>
      <c r="BC3553" s="431"/>
      <c r="BG3553" s="315"/>
      <c r="BH3553" s="42"/>
    </row>
    <row r="3554" spans="51:60" x14ac:dyDescent="0.2">
      <c r="AY3554" s="315"/>
      <c r="AZ3554" s="326"/>
      <c r="BA3554" s="175"/>
      <c r="BB3554" s="42"/>
      <c r="BC3554" s="431"/>
      <c r="BG3554" s="315"/>
      <c r="BH3554" s="42"/>
    </row>
    <row r="3555" spans="51:60" x14ac:dyDescent="0.2">
      <c r="AY3555" s="315"/>
      <c r="AZ3555" s="326"/>
      <c r="BA3555" s="175"/>
      <c r="BB3555" s="42"/>
      <c r="BC3555" s="431"/>
      <c r="BG3555" s="315"/>
      <c r="BH3555" s="42"/>
    </row>
    <row r="3556" spans="51:60" x14ac:dyDescent="0.2">
      <c r="AY3556" s="315"/>
      <c r="AZ3556" s="326"/>
      <c r="BA3556" s="175"/>
      <c r="BB3556" s="42"/>
      <c r="BC3556" s="431"/>
      <c r="BG3556" s="315"/>
      <c r="BH3556" s="42"/>
    </row>
    <row r="3557" spans="51:60" x14ac:dyDescent="0.2">
      <c r="AY3557" s="315"/>
      <c r="AZ3557" s="326"/>
      <c r="BA3557" s="175"/>
      <c r="BB3557" s="42"/>
      <c r="BC3557" s="431"/>
      <c r="BG3557" s="315"/>
      <c r="BH3557" s="42"/>
    </row>
    <row r="3558" spans="51:60" x14ac:dyDescent="0.2">
      <c r="AY3558" s="315"/>
      <c r="AZ3558" s="326"/>
      <c r="BA3558" s="175"/>
      <c r="BB3558" s="42"/>
      <c r="BC3558" s="431"/>
      <c r="BG3558" s="315"/>
      <c r="BH3558" s="42"/>
    </row>
    <row r="3559" spans="51:60" x14ac:dyDescent="0.2">
      <c r="AY3559" s="315"/>
      <c r="AZ3559" s="326"/>
      <c r="BA3559" s="175"/>
      <c r="BB3559" s="42"/>
      <c r="BC3559" s="431"/>
      <c r="BG3559" s="315"/>
      <c r="BH3559" s="42"/>
    </row>
    <row r="3560" spans="51:60" x14ac:dyDescent="0.2">
      <c r="AY3560" s="315"/>
      <c r="AZ3560" s="326"/>
      <c r="BA3560" s="175"/>
      <c r="BB3560" s="42"/>
      <c r="BC3560" s="431"/>
      <c r="BG3560" s="315"/>
      <c r="BH3560" s="42"/>
    </row>
    <row r="3561" spans="51:60" x14ac:dyDescent="0.2">
      <c r="AY3561" s="315"/>
      <c r="AZ3561" s="326"/>
      <c r="BA3561" s="175"/>
      <c r="BB3561" s="42"/>
      <c r="BC3561" s="431"/>
      <c r="BG3561" s="315"/>
      <c r="BH3561" s="42"/>
    </row>
    <row r="3562" spans="51:60" x14ac:dyDescent="0.2">
      <c r="AY3562" s="315"/>
      <c r="AZ3562" s="326"/>
      <c r="BA3562" s="175"/>
      <c r="BB3562" s="42"/>
      <c r="BC3562" s="431"/>
      <c r="BG3562" s="315"/>
      <c r="BH3562" s="42"/>
    </row>
    <row r="3563" spans="51:60" x14ac:dyDescent="0.2">
      <c r="AY3563" s="315"/>
      <c r="AZ3563" s="326"/>
      <c r="BA3563" s="175"/>
      <c r="BB3563" s="42"/>
      <c r="BC3563" s="431"/>
      <c r="BG3563" s="315"/>
      <c r="BH3563" s="42"/>
    </row>
    <row r="3564" spans="51:60" x14ac:dyDescent="0.2">
      <c r="AY3564" s="315"/>
      <c r="AZ3564" s="326"/>
      <c r="BA3564" s="175"/>
      <c r="BB3564" s="42"/>
      <c r="BC3564" s="431"/>
      <c r="BG3564" s="315"/>
      <c r="BH3564" s="42"/>
    </row>
    <row r="3565" spans="51:60" x14ac:dyDescent="0.2">
      <c r="AY3565" s="315"/>
      <c r="AZ3565" s="326"/>
      <c r="BA3565" s="175"/>
      <c r="BB3565" s="42"/>
      <c r="BC3565" s="431"/>
      <c r="BG3565" s="315"/>
      <c r="BH3565" s="42"/>
    </row>
    <row r="3566" spans="51:60" x14ac:dyDescent="0.2">
      <c r="AY3566" s="315"/>
      <c r="AZ3566" s="326"/>
      <c r="BA3566" s="175"/>
      <c r="BB3566" s="42"/>
      <c r="BC3566" s="431"/>
      <c r="BG3566" s="315"/>
      <c r="BH3566" s="42"/>
    </row>
    <row r="3567" spans="51:60" x14ac:dyDescent="0.2">
      <c r="AY3567" s="315"/>
      <c r="AZ3567" s="326"/>
      <c r="BA3567" s="175"/>
      <c r="BB3567" s="42"/>
      <c r="BC3567" s="431"/>
      <c r="BG3567" s="315"/>
      <c r="BH3567" s="42"/>
    </row>
    <row r="3568" spans="51:60" x14ac:dyDescent="0.2">
      <c r="AY3568" s="315"/>
      <c r="AZ3568" s="326"/>
      <c r="BA3568" s="175"/>
      <c r="BB3568" s="42"/>
      <c r="BC3568" s="431"/>
      <c r="BG3568" s="315"/>
      <c r="BH3568" s="42"/>
    </row>
    <row r="3569" spans="51:60" x14ac:dyDescent="0.2">
      <c r="AY3569" s="315"/>
      <c r="AZ3569" s="326"/>
      <c r="BA3569" s="175"/>
      <c r="BB3569" s="42"/>
      <c r="BC3569" s="431"/>
      <c r="BG3569" s="315"/>
      <c r="BH3569" s="42"/>
    </row>
    <row r="3570" spans="51:60" x14ac:dyDescent="0.2">
      <c r="AY3570" s="315"/>
      <c r="AZ3570" s="326"/>
      <c r="BA3570" s="175"/>
      <c r="BB3570" s="42"/>
      <c r="BC3570" s="431"/>
      <c r="BG3570" s="315"/>
      <c r="BH3570" s="42"/>
    </row>
    <row r="3571" spans="51:60" x14ac:dyDescent="0.2">
      <c r="AY3571" s="315"/>
      <c r="AZ3571" s="326"/>
      <c r="BA3571" s="175"/>
      <c r="BB3571" s="42"/>
      <c r="BC3571" s="431"/>
      <c r="BG3571" s="315"/>
      <c r="BH3571" s="42"/>
    </row>
    <row r="3572" spans="51:60" x14ac:dyDescent="0.2">
      <c r="AY3572" s="315"/>
      <c r="AZ3572" s="326"/>
      <c r="BA3572" s="175"/>
      <c r="BB3572" s="42"/>
      <c r="BC3572" s="431"/>
      <c r="BG3572" s="315"/>
      <c r="BH3572" s="42"/>
    </row>
    <row r="3573" spans="51:60" x14ac:dyDescent="0.2">
      <c r="AY3573" s="315"/>
      <c r="AZ3573" s="326"/>
      <c r="BA3573" s="175"/>
      <c r="BB3573" s="42"/>
      <c r="BC3573" s="431"/>
      <c r="BG3573" s="315"/>
      <c r="BH3573" s="42"/>
    </row>
    <row r="3574" spans="51:60" x14ac:dyDescent="0.2">
      <c r="AY3574" s="315"/>
      <c r="AZ3574" s="326"/>
      <c r="BA3574" s="175"/>
      <c r="BB3574" s="42"/>
      <c r="BC3574" s="431"/>
      <c r="BG3574" s="315"/>
      <c r="BH3574" s="42"/>
    </row>
    <row r="3575" spans="51:60" x14ac:dyDescent="0.2">
      <c r="AY3575" s="315"/>
      <c r="AZ3575" s="326"/>
      <c r="BA3575" s="175"/>
      <c r="BB3575" s="42"/>
      <c r="BC3575" s="431"/>
      <c r="BG3575" s="315"/>
      <c r="BH3575" s="42"/>
    </row>
    <row r="3576" spans="51:60" x14ac:dyDescent="0.2">
      <c r="AY3576" s="315"/>
      <c r="AZ3576" s="326"/>
      <c r="BA3576" s="175"/>
      <c r="BB3576" s="42"/>
      <c r="BC3576" s="431"/>
      <c r="BG3576" s="315"/>
      <c r="BH3576" s="42"/>
    </row>
    <row r="3577" spans="51:60" x14ac:dyDescent="0.2">
      <c r="AY3577" s="315"/>
      <c r="AZ3577" s="326"/>
      <c r="BA3577" s="175"/>
      <c r="BB3577" s="42"/>
      <c r="BC3577" s="431"/>
      <c r="BG3577" s="315"/>
      <c r="BH3577" s="42"/>
    </row>
    <row r="3578" spans="51:60" x14ac:dyDescent="0.2">
      <c r="AY3578" s="315"/>
      <c r="AZ3578" s="326"/>
      <c r="BA3578" s="175"/>
      <c r="BB3578" s="42"/>
      <c r="BC3578" s="431"/>
      <c r="BG3578" s="315"/>
      <c r="BH3578" s="42"/>
    </row>
    <row r="3579" spans="51:60" x14ac:dyDescent="0.2">
      <c r="AY3579" s="315"/>
      <c r="AZ3579" s="326"/>
      <c r="BA3579" s="175"/>
      <c r="BB3579" s="42"/>
      <c r="BC3579" s="431"/>
      <c r="BG3579" s="315"/>
      <c r="BH3579" s="42"/>
    </row>
    <row r="3580" spans="51:60" x14ac:dyDescent="0.2">
      <c r="AY3580" s="315"/>
      <c r="AZ3580" s="326"/>
      <c r="BA3580" s="175"/>
      <c r="BB3580" s="42"/>
      <c r="BC3580" s="431"/>
      <c r="BG3580" s="315"/>
      <c r="BH3580" s="42"/>
    </row>
    <row r="3581" spans="51:60" x14ac:dyDescent="0.2">
      <c r="AY3581" s="315"/>
      <c r="AZ3581" s="326"/>
      <c r="BA3581" s="175"/>
      <c r="BB3581" s="42"/>
      <c r="BC3581" s="431"/>
      <c r="BG3581" s="315"/>
      <c r="BH3581" s="42"/>
    </row>
    <row r="3582" spans="51:60" x14ac:dyDescent="0.2">
      <c r="AY3582" s="315"/>
      <c r="AZ3582" s="326"/>
      <c r="BA3582" s="175"/>
      <c r="BB3582" s="42"/>
      <c r="BC3582" s="431"/>
      <c r="BG3582" s="315"/>
      <c r="BH3582" s="42"/>
    </row>
    <row r="3583" spans="51:60" x14ac:dyDescent="0.2">
      <c r="AY3583" s="315"/>
      <c r="AZ3583" s="326"/>
      <c r="BA3583" s="175"/>
      <c r="BB3583" s="42"/>
      <c r="BC3583" s="431"/>
      <c r="BG3583" s="315"/>
      <c r="BH3583" s="42"/>
    </row>
    <row r="3584" spans="51:60" x14ac:dyDescent="0.2">
      <c r="AY3584" s="315"/>
      <c r="AZ3584" s="326"/>
      <c r="BA3584" s="175"/>
      <c r="BB3584" s="42"/>
      <c r="BC3584" s="431"/>
      <c r="BG3584" s="315"/>
      <c r="BH3584" s="42"/>
    </row>
    <row r="3585" spans="51:60" x14ac:dyDescent="0.2">
      <c r="AY3585" s="315"/>
      <c r="AZ3585" s="326"/>
      <c r="BA3585" s="175"/>
      <c r="BB3585" s="42"/>
      <c r="BC3585" s="431"/>
      <c r="BG3585" s="315"/>
      <c r="BH3585" s="42"/>
    </row>
    <row r="3586" spans="51:60" x14ac:dyDescent="0.2">
      <c r="AY3586" s="315"/>
      <c r="AZ3586" s="326"/>
      <c r="BA3586" s="175"/>
      <c r="BB3586" s="42"/>
      <c r="BC3586" s="431"/>
      <c r="BG3586" s="315"/>
      <c r="BH3586" s="42"/>
    </row>
    <row r="3587" spans="51:60" x14ac:dyDescent="0.2">
      <c r="AY3587" s="315"/>
      <c r="AZ3587" s="326"/>
      <c r="BA3587" s="175"/>
      <c r="BB3587" s="42"/>
      <c r="BC3587" s="431"/>
      <c r="BG3587" s="315"/>
      <c r="BH3587" s="42"/>
    </row>
    <row r="3588" spans="51:60" x14ac:dyDescent="0.2">
      <c r="AY3588" s="315"/>
      <c r="AZ3588" s="326"/>
      <c r="BA3588" s="175"/>
      <c r="BB3588" s="42"/>
      <c r="BC3588" s="431"/>
      <c r="BG3588" s="315"/>
      <c r="BH3588" s="42"/>
    </row>
    <row r="3589" spans="51:60" x14ac:dyDescent="0.2">
      <c r="AY3589" s="315"/>
      <c r="AZ3589" s="326"/>
      <c r="BA3589" s="175"/>
      <c r="BB3589" s="42"/>
      <c r="BC3589" s="431"/>
      <c r="BG3589" s="315"/>
      <c r="BH3589" s="42"/>
    </row>
    <row r="3590" spans="51:60" x14ac:dyDescent="0.2">
      <c r="AY3590" s="315"/>
      <c r="AZ3590" s="326"/>
      <c r="BA3590" s="175"/>
      <c r="BB3590" s="42"/>
      <c r="BC3590" s="431"/>
      <c r="BG3590" s="315"/>
      <c r="BH3590" s="42"/>
    </row>
    <row r="3591" spans="51:60" x14ac:dyDescent="0.2">
      <c r="AY3591" s="315"/>
      <c r="AZ3591" s="326"/>
      <c r="BA3591" s="175"/>
      <c r="BB3591" s="42"/>
      <c r="BC3591" s="431"/>
      <c r="BG3591" s="315"/>
      <c r="BH3591" s="42"/>
    </row>
    <row r="3592" spans="51:60" x14ac:dyDescent="0.2">
      <c r="AY3592" s="315"/>
      <c r="AZ3592" s="326"/>
      <c r="BA3592" s="175"/>
      <c r="BB3592" s="42"/>
      <c r="BC3592" s="431"/>
      <c r="BG3592" s="315"/>
      <c r="BH3592" s="42"/>
    </row>
    <row r="3593" spans="51:60" x14ac:dyDescent="0.2">
      <c r="AY3593" s="315"/>
      <c r="AZ3593" s="326"/>
      <c r="BA3593" s="175"/>
      <c r="BB3593" s="42"/>
      <c r="BC3593" s="431"/>
      <c r="BG3593" s="315"/>
      <c r="BH3593" s="42"/>
    </row>
    <row r="3594" spans="51:60" x14ac:dyDescent="0.2">
      <c r="AY3594" s="315"/>
      <c r="AZ3594" s="326"/>
      <c r="BA3594" s="175"/>
      <c r="BB3594" s="42"/>
      <c r="BC3594" s="431"/>
      <c r="BG3594" s="315"/>
      <c r="BH3594" s="42"/>
    </row>
    <row r="3595" spans="51:60" x14ac:dyDescent="0.2">
      <c r="AY3595" s="315"/>
      <c r="AZ3595" s="326"/>
      <c r="BA3595" s="175"/>
      <c r="BB3595" s="42"/>
      <c r="BC3595" s="431"/>
      <c r="BG3595" s="315"/>
      <c r="BH3595" s="42"/>
    </row>
    <row r="3596" spans="51:60" x14ac:dyDescent="0.2">
      <c r="AY3596" s="315"/>
      <c r="AZ3596" s="326"/>
      <c r="BA3596" s="175"/>
      <c r="BB3596" s="42"/>
      <c r="BC3596" s="431"/>
      <c r="BG3596" s="315"/>
      <c r="BH3596" s="42"/>
    </row>
    <row r="3597" spans="51:60" x14ac:dyDescent="0.2">
      <c r="AY3597" s="315"/>
      <c r="AZ3597" s="326"/>
      <c r="BA3597" s="175"/>
      <c r="BB3597" s="42"/>
      <c r="BC3597" s="431"/>
      <c r="BG3597" s="315"/>
      <c r="BH3597" s="42"/>
    </row>
    <row r="3598" spans="51:60" x14ac:dyDescent="0.2">
      <c r="AY3598" s="315"/>
      <c r="AZ3598" s="326"/>
      <c r="BA3598" s="175"/>
      <c r="BB3598" s="42"/>
      <c r="BC3598" s="431"/>
      <c r="BG3598" s="315"/>
      <c r="BH3598" s="42"/>
    </row>
    <row r="3599" spans="51:60" x14ac:dyDescent="0.2">
      <c r="AY3599" s="315"/>
      <c r="AZ3599" s="326"/>
      <c r="BA3599" s="175"/>
      <c r="BB3599" s="42"/>
      <c r="BC3599" s="431"/>
      <c r="BG3599" s="315"/>
      <c r="BH3599" s="42"/>
    </row>
    <row r="3600" spans="51:60" x14ac:dyDescent="0.2">
      <c r="AY3600" s="315"/>
      <c r="AZ3600" s="326"/>
      <c r="BA3600" s="175"/>
      <c r="BB3600" s="42"/>
      <c r="BC3600" s="431"/>
      <c r="BG3600" s="315"/>
      <c r="BH3600" s="42"/>
    </row>
    <row r="3601" spans="51:60" x14ac:dyDescent="0.2">
      <c r="AY3601" s="315"/>
      <c r="AZ3601" s="326"/>
      <c r="BA3601" s="175"/>
      <c r="BB3601" s="42"/>
      <c r="BC3601" s="431"/>
      <c r="BG3601" s="315"/>
      <c r="BH3601" s="42"/>
    </row>
    <row r="3602" spans="51:60" x14ac:dyDescent="0.2">
      <c r="AY3602" s="315"/>
      <c r="AZ3602" s="326"/>
      <c r="BA3602" s="175"/>
      <c r="BB3602" s="42"/>
      <c r="BC3602" s="431"/>
      <c r="BG3602" s="315"/>
      <c r="BH3602" s="42"/>
    </row>
    <row r="3603" spans="51:60" x14ac:dyDescent="0.2">
      <c r="AY3603" s="315"/>
      <c r="AZ3603" s="326"/>
      <c r="BA3603" s="175"/>
      <c r="BB3603" s="42"/>
      <c r="BC3603" s="431"/>
      <c r="BG3603" s="315"/>
      <c r="BH3603" s="42"/>
    </row>
    <row r="3604" spans="51:60" x14ac:dyDescent="0.2">
      <c r="AY3604" s="315"/>
      <c r="AZ3604" s="326"/>
      <c r="BA3604" s="175"/>
      <c r="BB3604" s="42"/>
      <c r="BC3604" s="431"/>
      <c r="BG3604" s="315"/>
      <c r="BH3604" s="42"/>
    </row>
    <row r="3605" spans="51:60" x14ac:dyDescent="0.2">
      <c r="AY3605" s="315"/>
      <c r="AZ3605" s="326"/>
      <c r="BA3605" s="175"/>
      <c r="BB3605" s="42"/>
      <c r="BC3605" s="431"/>
      <c r="BG3605" s="315"/>
      <c r="BH3605" s="42"/>
    </row>
    <row r="3606" spans="51:60" x14ac:dyDescent="0.2">
      <c r="AY3606" s="315"/>
      <c r="AZ3606" s="326"/>
      <c r="BA3606" s="175"/>
      <c r="BB3606" s="42"/>
      <c r="BC3606" s="431"/>
      <c r="BG3606" s="315"/>
      <c r="BH3606" s="42"/>
    </row>
    <row r="3607" spans="51:60" x14ac:dyDescent="0.2">
      <c r="AY3607" s="315"/>
      <c r="AZ3607" s="326"/>
      <c r="BA3607" s="175"/>
      <c r="BB3607" s="42"/>
      <c r="BC3607" s="431"/>
      <c r="BG3607" s="315"/>
      <c r="BH3607" s="42"/>
    </row>
    <row r="3608" spans="51:60" x14ac:dyDescent="0.2">
      <c r="AY3608" s="315"/>
      <c r="AZ3608" s="326"/>
      <c r="BA3608" s="175"/>
      <c r="BB3608" s="42"/>
      <c r="BC3608" s="431"/>
      <c r="BG3608" s="315"/>
      <c r="BH3608" s="42"/>
    </row>
    <row r="3609" spans="51:60" x14ac:dyDescent="0.2">
      <c r="AY3609" s="315"/>
      <c r="AZ3609" s="326"/>
      <c r="BA3609" s="175"/>
      <c r="BB3609" s="42"/>
      <c r="BC3609" s="431"/>
      <c r="BG3609" s="315"/>
      <c r="BH3609" s="42"/>
    </row>
    <row r="3610" spans="51:60" x14ac:dyDescent="0.2">
      <c r="AY3610" s="315"/>
      <c r="AZ3610" s="326"/>
      <c r="BA3610" s="175"/>
      <c r="BB3610" s="42"/>
      <c r="BC3610" s="431"/>
      <c r="BG3610" s="315"/>
      <c r="BH3610" s="42"/>
    </row>
    <row r="3611" spans="51:60" x14ac:dyDescent="0.2">
      <c r="AY3611" s="315"/>
      <c r="AZ3611" s="326"/>
      <c r="BA3611" s="175"/>
      <c r="BB3611" s="42"/>
      <c r="BC3611" s="431"/>
      <c r="BG3611" s="315"/>
      <c r="BH3611" s="42"/>
    </row>
    <row r="3612" spans="51:60" x14ac:dyDescent="0.2">
      <c r="AY3612" s="315"/>
      <c r="AZ3612" s="326"/>
      <c r="BA3612" s="175"/>
      <c r="BB3612" s="42"/>
      <c r="BC3612" s="431"/>
      <c r="BG3612" s="315"/>
      <c r="BH3612" s="42"/>
    </row>
    <row r="3613" spans="51:60" x14ac:dyDescent="0.2">
      <c r="AY3613" s="315"/>
      <c r="AZ3613" s="326"/>
      <c r="BA3613" s="175"/>
      <c r="BB3613" s="42"/>
      <c r="BC3613" s="431"/>
      <c r="BG3613" s="315"/>
      <c r="BH3613" s="42"/>
    </row>
    <row r="3614" spans="51:60" x14ac:dyDescent="0.2">
      <c r="AY3614" s="315"/>
      <c r="AZ3614" s="326"/>
      <c r="BA3614" s="175"/>
      <c r="BB3614" s="42"/>
      <c r="BC3614" s="431"/>
      <c r="BG3614" s="315"/>
      <c r="BH3614" s="42"/>
    </row>
    <row r="3615" spans="51:60" x14ac:dyDescent="0.2">
      <c r="AY3615" s="315"/>
      <c r="AZ3615" s="326"/>
      <c r="BA3615" s="175"/>
      <c r="BB3615" s="42"/>
      <c r="BC3615" s="431"/>
      <c r="BG3615" s="315"/>
      <c r="BH3615" s="42"/>
    </row>
    <row r="3616" spans="51:60" x14ac:dyDescent="0.2">
      <c r="AY3616" s="315"/>
      <c r="AZ3616" s="326"/>
      <c r="BA3616" s="175"/>
      <c r="BB3616" s="42"/>
      <c r="BC3616" s="431"/>
      <c r="BG3616" s="315"/>
      <c r="BH3616" s="42"/>
    </row>
    <row r="3617" spans="51:60" x14ac:dyDescent="0.2">
      <c r="AY3617" s="315"/>
      <c r="AZ3617" s="326"/>
      <c r="BA3617" s="175"/>
      <c r="BB3617" s="42"/>
      <c r="BC3617" s="431"/>
      <c r="BG3617" s="315"/>
      <c r="BH3617" s="42"/>
    </row>
    <row r="3618" spans="51:60" x14ac:dyDescent="0.2">
      <c r="AY3618" s="315"/>
      <c r="AZ3618" s="326"/>
      <c r="BA3618" s="175"/>
      <c r="BB3618" s="42"/>
      <c r="BC3618" s="431"/>
      <c r="BG3618" s="315"/>
      <c r="BH3618" s="42"/>
    </row>
    <row r="3619" spans="51:60" x14ac:dyDescent="0.2">
      <c r="AY3619" s="315"/>
      <c r="AZ3619" s="326"/>
      <c r="BA3619" s="175"/>
      <c r="BB3619" s="42"/>
      <c r="BC3619" s="431"/>
      <c r="BG3619" s="315"/>
      <c r="BH3619" s="42"/>
    </row>
    <row r="3620" spans="51:60" x14ac:dyDescent="0.2">
      <c r="AY3620" s="315"/>
      <c r="AZ3620" s="326"/>
      <c r="BA3620" s="175"/>
      <c r="BB3620" s="42"/>
      <c r="BC3620" s="431"/>
      <c r="BG3620" s="315"/>
      <c r="BH3620" s="42"/>
    </row>
    <row r="3621" spans="51:60" x14ac:dyDescent="0.2">
      <c r="AY3621" s="315"/>
      <c r="AZ3621" s="326"/>
      <c r="BA3621" s="175"/>
      <c r="BB3621" s="42"/>
      <c r="BC3621" s="431"/>
      <c r="BG3621" s="315"/>
      <c r="BH3621" s="42"/>
    </row>
    <row r="3622" spans="51:60" x14ac:dyDescent="0.2">
      <c r="AY3622" s="315"/>
      <c r="AZ3622" s="326"/>
      <c r="BA3622" s="175"/>
      <c r="BB3622" s="42"/>
      <c r="BC3622" s="431"/>
      <c r="BG3622" s="315"/>
      <c r="BH3622" s="42"/>
    </row>
    <row r="3623" spans="51:60" x14ac:dyDescent="0.2">
      <c r="AY3623" s="315"/>
      <c r="AZ3623" s="326"/>
      <c r="BA3623" s="175"/>
      <c r="BB3623" s="42"/>
      <c r="BC3623" s="431"/>
      <c r="BG3623" s="315"/>
      <c r="BH3623" s="42"/>
    </row>
    <row r="3624" spans="51:60" x14ac:dyDescent="0.2">
      <c r="AY3624" s="315"/>
      <c r="AZ3624" s="326"/>
      <c r="BA3624" s="175"/>
      <c r="BB3624" s="42"/>
      <c r="BC3624" s="431"/>
      <c r="BG3624" s="315"/>
      <c r="BH3624" s="42"/>
    </row>
    <row r="3625" spans="51:60" x14ac:dyDescent="0.2">
      <c r="AY3625" s="315"/>
      <c r="AZ3625" s="326"/>
      <c r="BA3625" s="175"/>
      <c r="BB3625" s="42"/>
      <c r="BC3625" s="431"/>
      <c r="BG3625" s="315"/>
      <c r="BH3625" s="42"/>
    </row>
    <row r="3626" spans="51:60" x14ac:dyDescent="0.2">
      <c r="AY3626" s="315"/>
      <c r="AZ3626" s="326"/>
      <c r="BA3626" s="175"/>
      <c r="BB3626" s="42"/>
      <c r="BC3626" s="431"/>
      <c r="BG3626" s="315"/>
      <c r="BH3626" s="42"/>
    </row>
    <row r="3627" spans="51:60" x14ac:dyDescent="0.2">
      <c r="AY3627" s="315"/>
      <c r="AZ3627" s="326"/>
      <c r="BA3627" s="175"/>
      <c r="BB3627" s="42"/>
      <c r="BC3627" s="431"/>
      <c r="BG3627" s="315"/>
      <c r="BH3627" s="42"/>
    </row>
    <row r="3628" spans="51:60" x14ac:dyDescent="0.2">
      <c r="AY3628" s="315"/>
      <c r="AZ3628" s="326"/>
      <c r="BA3628" s="175"/>
      <c r="BB3628" s="42"/>
      <c r="BC3628" s="431"/>
      <c r="BG3628" s="315"/>
      <c r="BH3628" s="42"/>
    </row>
    <row r="3629" spans="51:60" x14ac:dyDescent="0.2">
      <c r="AY3629" s="315"/>
      <c r="AZ3629" s="326"/>
      <c r="BA3629" s="175"/>
      <c r="BB3629" s="42"/>
      <c r="BC3629" s="431"/>
      <c r="BG3629" s="315"/>
      <c r="BH3629" s="42"/>
    </row>
    <row r="3630" spans="51:60" x14ac:dyDescent="0.2">
      <c r="AY3630" s="315"/>
      <c r="AZ3630" s="326"/>
      <c r="BA3630" s="175"/>
      <c r="BB3630" s="42"/>
      <c r="BC3630" s="431"/>
      <c r="BG3630" s="315"/>
      <c r="BH3630" s="42"/>
    </row>
    <row r="3631" spans="51:60" x14ac:dyDescent="0.2">
      <c r="AY3631" s="315"/>
      <c r="AZ3631" s="326"/>
      <c r="BA3631" s="175"/>
      <c r="BB3631" s="42"/>
      <c r="BC3631" s="431"/>
      <c r="BG3631" s="315"/>
      <c r="BH3631" s="42"/>
    </row>
    <row r="3632" spans="51:60" x14ac:dyDescent="0.2">
      <c r="AY3632" s="315"/>
      <c r="AZ3632" s="326"/>
      <c r="BA3632" s="175"/>
      <c r="BB3632" s="42"/>
      <c r="BC3632" s="431"/>
      <c r="BG3632" s="315"/>
      <c r="BH3632" s="42"/>
    </row>
    <row r="3633" spans="51:60" x14ac:dyDescent="0.2">
      <c r="AY3633" s="315"/>
      <c r="AZ3633" s="326"/>
      <c r="BA3633" s="175"/>
      <c r="BB3633" s="42"/>
      <c r="BC3633" s="431"/>
      <c r="BG3633" s="315"/>
      <c r="BH3633" s="42"/>
    </row>
    <row r="3634" spans="51:60" x14ac:dyDescent="0.2">
      <c r="AY3634" s="315"/>
      <c r="AZ3634" s="326"/>
      <c r="BA3634" s="175"/>
      <c r="BB3634" s="42"/>
      <c r="BC3634" s="431"/>
      <c r="BG3634" s="315"/>
      <c r="BH3634" s="42"/>
    </row>
    <row r="3635" spans="51:60" x14ac:dyDescent="0.2">
      <c r="AY3635" s="315"/>
      <c r="AZ3635" s="326"/>
      <c r="BA3635" s="175"/>
      <c r="BB3635" s="42"/>
      <c r="BC3635" s="431"/>
      <c r="BG3635" s="315"/>
      <c r="BH3635" s="42"/>
    </row>
    <row r="3636" spans="51:60" x14ac:dyDescent="0.2">
      <c r="AY3636" s="315"/>
      <c r="AZ3636" s="326"/>
      <c r="BA3636" s="175"/>
      <c r="BB3636" s="42"/>
      <c r="BC3636" s="431"/>
      <c r="BG3636" s="315"/>
      <c r="BH3636" s="42"/>
    </row>
    <row r="3637" spans="51:60" x14ac:dyDescent="0.2">
      <c r="AY3637" s="315"/>
      <c r="AZ3637" s="326"/>
      <c r="BA3637" s="175"/>
      <c r="BB3637" s="42"/>
      <c r="BC3637" s="431"/>
      <c r="BG3637" s="315"/>
      <c r="BH3637" s="42"/>
    </row>
    <row r="3638" spans="51:60" x14ac:dyDescent="0.2">
      <c r="AY3638" s="315"/>
      <c r="AZ3638" s="326"/>
      <c r="BA3638" s="175"/>
      <c r="BB3638" s="42"/>
      <c r="BC3638" s="431"/>
      <c r="BG3638" s="315"/>
      <c r="BH3638" s="42"/>
    </row>
    <row r="3639" spans="51:60" x14ac:dyDescent="0.2">
      <c r="AY3639" s="315"/>
      <c r="AZ3639" s="326"/>
      <c r="BA3639" s="175"/>
      <c r="BB3639" s="42"/>
      <c r="BC3639" s="431"/>
      <c r="BG3639" s="315"/>
      <c r="BH3639" s="42"/>
    </row>
    <row r="3640" spans="51:60" x14ac:dyDescent="0.2">
      <c r="AY3640" s="315"/>
      <c r="AZ3640" s="326"/>
      <c r="BA3640" s="175"/>
      <c r="BB3640" s="42"/>
      <c r="BC3640" s="431"/>
      <c r="BG3640" s="315"/>
      <c r="BH3640" s="42"/>
    </row>
    <row r="3641" spans="51:60" x14ac:dyDescent="0.2">
      <c r="AY3641" s="315"/>
      <c r="AZ3641" s="326"/>
      <c r="BA3641" s="175"/>
      <c r="BB3641" s="42"/>
      <c r="BC3641" s="431"/>
      <c r="BG3641" s="315"/>
      <c r="BH3641" s="42"/>
    </row>
    <row r="3642" spans="51:60" x14ac:dyDescent="0.2">
      <c r="AY3642" s="315"/>
      <c r="AZ3642" s="326"/>
      <c r="BA3642" s="175"/>
      <c r="BB3642" s="42"/>
      <c r="BC3642" s="431"/>
      <c r="BG3642" s="315"/>
      <c r="BH3642" s="42"/>
    </row>
    <row r="3643" spans="51:60" x14ac:dyDescent="0.2">
      <c r="AY3643" s="315"/>
      <c r="AZ3643" s="326"/>
      <c r="BA3643" s="175"/>
      <c r="BB3643" s="42"/>
      <c r="BC3643" s="431"/>
      <c r="BG3643" s="315"/>
      <c r="BH3643" s="42"/>
    </row>
    <row r="3644" spans="51:60" x14ac:dyDescent="0.2">
      <c r="AY3644" s="315"/>
      <c r="AZ3644" s="326"/>
      <c r="BA3644" s="175"/>
      <c r="BB3644" s="42"/>
      <c r="BC3644" s="431"/>
      <c r="BG3644" s="315"/>
      <c r="BH3644" s="42"/>
    </row>
    <row r="3645" spans="51:60" x14ac:dyDescent="0.2">
      <c r="AY3645" s="315"/>
      <c r="AZ3645" s="326"/>
      <c r="BA3645" s="175"/>
      <c r="BB3645" s="42"/>
      <c r="BC3645" s="431"/>
      <c r="BG3645" s="315"/>
      <c r="BH3645" s="42"/>
    </row>
    <row r="3646" spans="51:60" x14ac:dyDescent="0.2">
      <c r="AY3646" s="315"/>
      <c r="AZ3646" s="326"/>
      <c r="BA3646" s="175"/>
      <c r="BB3646" s="42"/>
      <c r="BC3646" s="431"/>
      <c r="BG3646" s="315"/>
      <c r="BH3646" s="42"/>
    </row>
    <row r="3647" spans="51:60" x14ac:dyDescent="0.2">
      <c r="AY3647" s="315"/>
      <c r="AZ3647" s="326"/>
      <c r="BA3647" s="175"/>
      <c r="BB3647" s="42"/>
      <c r="BC3647" s="431"/>
      <c r="BG3647" s="315"/>
      <c r="BH3647" s="42"/>
    </row>
    <row r="3648" spans="51:60" x14ac:dyDescent="0.2">
      <c r="AY3648" s="315"/>
      <c r="AZ3648" s="326"/>
      <c r="BA3648" s="175"/>
      <c r="BB3648" s="42"/>
      <c r="BC3648" s="431"/>
      <c r="BG3648" s="315"/>
      <c r="BH3648" s="42"/>
    </row>
    <row r="3649" spans="51:60" x14ac:dyDescent="0.2">
      <c r="AY3649" s="315"/>
      <c r="AZ3649" s="326"/>
      <c r="BA3649" s="175"/>
      <c r="BB3649" s="42"/>
      <c r="BC3649" s="431"/>
      <c r="BG3649" s="315"/>
      <c r="BH3649" s="42"/>
    </row>
    <row r="3650" spans="51:60" x14ac:dyDescent="0.2">
      <c r="AY3650" s="315"/>
      <c r="AZ3650" s="326"/>
      <c r="BA3650" s="175"/>
      <c r="BB3650" s="42"/>
      <c r="BC3650" s="431"/>
      <c r="BG3650" s="315"/>
      <c r="BH3650" s="42"/>
    </row>
    <row r="3651" spans="51:60" x14ac:dyDescent="0.2">
      <c r="AY3651" s="315"/>
      <c r="AZ3651" s="326"/>
      <c r="BA3651" s="175"/>
      <c r="BB3651" s="42"/>
      <c r="BC3651" s="431"/>
      <c r="BG3651" s="315"/>
      <c r="BH3651" s="42"/>
    </row>
    <row r="3652" spans="51:60" x14ac:dyDescent="0.2">
      <c r="AY3652" s="315"/>
      <c r="AZ3652" s="326"/>
      <c r="BA3652" s="175"/>
      <c r="BB3652" s="42"/>
      <c r="BC3652" s="431"/>
      <c r="BG3652" s="315"/>
      <c r="BH3652" s="42"/>
    </row>
    <row r="3653" spans="51:60" x14ac:dyDescent="0.2">
      <c r="AY3653" s="315"/>
      <c r="AZ3653" s="326"/>
      <c r="BA3653" s="175"/>
      <c r="BB3653" s="42"/>
      <c r="BC3653" s="431"/>
      <c r="BG3653" s="315"/>
      <c r="BH3653" s="42"/>
    </row>
    <row r="3654" spans="51:60" x14ac:dyDescent="0.2">
      <c r="AY3654" s="315"/>
      <c r="AZ3654" s="326"/>
      <c r="BA3654" s="175"/>
      <c r="BB3654" s="42"/>
      <c r="BC3654" s="431"/>
      <c r="BG3654" s="315"/>
      <c r="BH3654" s="42"/>
    </row>
    <row r="3655" spans="51:60" x14ac:dyDescent="0.2">
      <c r="AY3655" s="315"/>
      <c r="AZ3655" s="326"/>
      <c r="BA3655" s="175"/>
      <c r="BB3655" s="42"/>
      <c r="BC3655" s="431"/>
      <c r="BG3655" s="315"/>
      <c r="BH3655" s="42"/>
    </row>
    <row r="3656" spans="51:60" x14ac:dyDescent="0.2">
      <c r="AY3656" s="315"/>
      <c r="AZ3656" s="326"/>
      <c r="BA3656" s="175"/>
      <c r="BB3656" s="42"/>
      <c r="BC3656" s="431"/>
      <c r="BG3656" s="315"/>
      <c r="BH3656" s="42"/>
    </row>
    <row r="3657" spans="51:60" x14ac:dyDescent="0.2">
      <c r="AY3657" s="315"/>
      <c r="AZ3657" s="326"/>
      <c r="BA3657" s="175"/>
      <c r="BB3657" s="42"/>
      <c r="BC3657" s="431"/>
      <c r="BG3657" s="315"/>
      <c r="BH3657" s="42"/>
    </row>
    <row r="3658" spans="51:60" x14ac:dyDescent="0.2">
      <c r="AY3658" s="315"/>
      <c r="AZ3658" s="326"/>
      <c r="BA3658" s="175"/>
      <c r="BB3658" s="42"/>
      <c r="BC3658" s="431"/>
      <c r="BG3658" s="315"/>
      <c r="BH3658" s="42"/>
    </row>
    <row r="3659" spans="51:60" x14ac:dyDescent="0.2">
      <c r="AY3659" s="315"/>
      <c r="AZ3659" s="326"/>
      <c r="BA3659" s="175"/>
      <c r="BB3659" s="42"/>
      <c r="BC3659" s="431"/>
      <c r="BG3659" s="315"/>
      <c r="BH3659" s="42"/>
    </row>
    <row r="3660" spans="51:60" x14ac:dyDescent="0.2">
      <c r="AY3660" s="315"/>
      <c r="AZ3660" s="326"/>
      <c r="BA3660" s="175"/>
      <c r="BB3660" s="42"/>
      <c r="BC3660" s="431"/>
      <c r="BG3660" s="315"/>
      <c r="BH3660" s="42"/>
    </row>
    <row r="3661" spans="51:60" x14ac:dyDescent="0.2">
      <c r="AY3661" s="315"/>
      <c r="AZ3661" s="326"/>
      <c r="BA3661" s="175"/>
      <c r="BB3661" s="42"/>
      <c r="BC3661" s="431"/>
      <c r="BG3661" s="315"/>
      <c r="BH3661" s="42"/>
    </row>
    <row r="3662" spans="51:60" x14ac:dyDescent="0.2">
      <c r="AY3662" s="315"/>
      <c r="AZ3662" s="326"/>
      <c r="BA3662" s="175"/>
      <c r="BB3662" s="42"/>
      <c r="BC3662" s="431"/>
      <c r="BG3662" s="315"/>
      <c r="BH3662" s="42"/>
    </row>
    <row r="3663" spans="51:60" x14ac:dyDescent="0.2">
      <c r="AY3663" s="315"/>
      <c r="AZ3663" s="326"/>
      <c r="BA3663" s="175"/>
      <c r="BB3663" s="42"/>
      <c r="BC3663" s="431"/>
      <c r="BG3663" s="315"/>
      <c r="BH3663" s="42"/>
    </row>
    <row r="3664" spans="51:60" x14ac:dyDescent="0.2">
      <c r="AY3664" s="315"/>
      <c r="AZ3664" s="326"/>
      <c r="BA3664" s="175"/>
      <c r="BB3664" s="42"/>
      <c r="BC3664" s="431"/>
      <c r="BG3664" s="315"/>
      <c r="BH3664" s="42"/>
    </row>
    <row r="3665" spans="51:60" x14ac:dyDescent="0.2">
      <c r="AY3665" s="315"/>
      <c r="AZ3665" s="326"/>
      <c r="BA3665" s="175"/>
      <c r="BB3665" s="42"/>
      <c r="BC3665" s="431"/>
      <c r="BG3665" s="315"/>
      <c r="BH3665" s="42"/>
    </row>
    <row r="3666" spans="51:60" x14ac:dyDescent="0.2">
      <c r="AY3666" s="315"/>
      <c r="AZ3666" s="326"/>
      <c r="BA3666" s="175"/>
      <c r="BB3666" s="42"/>
      <c r="BC3666" s="431"/>
      <c r="BG3666" s="315"/>
      <c r="BH3666" s="42"/>
    </row>
    <row r="3667" spans="51:60" x14ac:dyDescent="0.2">
      <c r="AY3667" s="315"/>
      <c r="AZ3667" s="326"/>
      <c r="BA3667" s="175"/>
      <c r="BB3667" s="42"/>
      <c r="BC3667" s="431"/>
      <c r="BG3667" s="315"/>
      <c r="BH3667" s="42"/>
    </row>
    <row r="3668" spans="51:60" x14ac:dyDescent="0.2">
      <c r="AY3668" s="315"/>
      <c r="AZ3668" s="326"/>
      <c r="BA3668" s="175"/>
      <c r="BB3668" s="42"/>
      <c r="BC3668" s="431"/>
      <c r="BG3668" s="315"/>
      <c r="BH3668" s="42"/>
    </row>
    <row r="3669" spans="51:60" x14ac:dyDescent="0.2">
      <c r="AY3669" s="315"/>
      <c r="AZ3669" s="326"/>
      <c r="BA3669" s="175"/>
      <c r="BB3669" s="42"/>
      <c r="BC3669" s="431"/>
      <c r="BG3669" s="315"/>
      <c r="BH3669" s="42"/>
    </row>
    <row r="3670" spans="51:60" x14ac:dyDescent="0.2">
      <c r="AY3670" s="315"/>
      <c r="AZ3670" s="326"/>
      <c r="BA3670" s="175"/>
      <c r="BB3670" s="42"/>
      <c r="BC3670" s="431"/>
      <c r="BG3670" s="315"/>
      <c r="BH3670" s="42"/>
    </row>
    <row r="3671" spans="51:60" x14ac:dyDescent="0.2">
      <c r="AY3671" s="315"/>
      <c r="AZ3671" s="326"/>
      <c r="BA3671" s="175"/>
      <c r="BB3671" s="42"/>
      <c r="BC3671" s="431"/>
      <c r="BG3671" s="315"/>
      <c r="BH3671" s="42"/>
    </row>
    <row r="3672" spans="51:60" x14ac:dyDescent="0.2">
      <c r="AY3672" s="315"/>
      <c r="AZ3672" s="326"/>
      <c r="BA3672" s="175"/>
      <c r="BB3672" s="42"/>
      <c r="BC3672" s="431"/>
      <c r="BG3672" s="315"/>
      <c r="BH3672" s="42"/>
    </row>
    <row r="3673" spans="51:60" x14ac:dyDescent="0.2">
      <c r="AY3673" s="315"/>
      <c r="AZ3673" s="326"/>
      <c r="BA3673" s="175"/>
      <c r="BB3673" s="42"/>
      <c r="BC3673" s="431"/>
      <c r="BG3673" s="315"/>
      <c r="BH3673" s="42"/>
    </row>
    <row r="3674" spans="51:60" x14ac:dyDescent="0.2">
      <c r="AY3674" s="315"/>
      <c r="AZ3674" s="326"/>
      <c r="BA3674" s="175"/>
      <c r="BB3674" s="42"/>
      <c r="BC3674" s="431"/>
      <c r="BG3674" s="315"/>
      <c r="BH3674" s="42"/>
    </row>
    <row r="3675" spans="51:60" x14ac:dyDescent="0.2">
      <c r="AY3675" s="315"/>
      <c r="AZ3675" s="326"/>
      <c r="BA3675" s="175"/>
      <c r="BB3675" s="42"/>
      <c r="BC3675" s="431"/>
      <c r="BG3675" s="315"/>
      <c r="BH3675" s="42"/>
    </row>
    <row r="3676" spans="51:60" x14ac:dyDescent="0.2">
      <c r="AY3676" s="315"/>
      <c r="AZ3676" s="326"/>
      <c r="BA3676" s="175"/>
      <c r="BB3676" s="42"/>
      <c r="BC3676" s="431"/>
      <c r="BG3676" s="315"/>
      <c r="BH3676" s="42"/>
    </row>
    <row r="3677" spans="51:60" x14ac:dyDescent="0.2">
      <c r="AY3677" s="315"/>
      <c r="AZ3677" s="326"/>
      <c r="BA3677" s="175"/>
      <c r="BB3677" s="42"/>
      <c r="BC3677" s="431"/>
      <c r="BG3677" s="315"/>
      <c r="BH3677" s="42"/>
    </row>
    <row r="3678" spans="51:60" x14ac:dyDescent="0.2">
      <c r="AY3678" s="315"/>
      <c r="AZ3678" s="326"/>
      <c r="BA3678" s="175"/>
      <c r="BB3678" s="42"/>
      <c r="BC3678" s="431"/>
      <c r="BG3678" s="315"/>
      <c r="BH3678" s="42"/>
    </row>
    <row r="3679" spans="51:60" x14ac:dyDescent="0.2">
      <c r="AY3679" s="315"/>
      <c r="AZ3679" s="326"/>
      <c r="BA3679" s="175"/>
      <c r="BB3679" s="42"/>
      <c r="BC3679" s="431"/>
      <c r="BG3679" s="315"/>
      <c r="BH3679" s="42"/>
    </row>
    <row r="3680" spans="51:60" x14ac:dyDescent="0.2">
      <c r="AY3680" s="315"/>
      <c r="AZ3680" s="326"/>
      <c r="BA3680" s="175"/>
      <c r="BB3680" s="42"/>
      <c r="BC3680" s="431"/>
      <c r="BG3680" s="315"/>
      <c r="BH3680" s="42"/>
    </row>
    <row r="3681" spans="51:60" x14ac:dyDescent="0.2">
      <c r="AY3681" s="315"/>
      <c r="AZ3681" s="326"/>
      <c r="BA3681" s="175"/>
      <c r="BB3681" s="42"/>
      <c r="BC3681" s="431"/>
      <c r="BG3681" s="315"/>
      <c r="BH3681" s="42"/>
    </row>
    <row r="3682" spans="51:60" x14ac:dyDescent="0.2">
      <c r="AY3682" s="315"/>
      <c r="AZ3682" s="326"/>
      <c r="BA3682" s="175"/>
      <c r="BB3682" s="42"/>
      <c r="BC3682" s="431"/>
      <c r="BG3682" s="315"/>
      <c r="BH3682" s="42"/>
    </row>
    <row r="3683" spans="51:60" x14ac:dyDescent="0.2">
      <c r="AY3683" s="315"/>
      <c r="AZ3683" s="326"/>
      <c r="BA3683" s="175"/>
      <c r="BB3683" s="42"/>
      <c r="BC3683" s="431"/>
      <c r="BG3683" s="315"/>
      <c r="BH3683" s="42"/>
    </row>
    <row r="3684" spans="51:60" x14ac:dyDescent="0.2">
      <c r="AY3684" s="315"/>
      <c r="AZ3684" s="326"/>
      <c r="BA3684" s="175"/>
      <c r="BB3684" s="42"/>
      <c r="BC3684" s="431"/>
      <c r="BG3684" s="315"/>
      <c r="BH3684" s="42"/>
    </row>
    <row r="3685" spans="51:60" x14ac:dyDescent="0.2">
      <c r="AY3685" s="315"/>
      <c r="AZ3685" s="326"/>
      <c r="BA3685" s="175"/>
      <c r="BB3685" s="42"/>
      <c r="BC3685" s="431"/>
      <c r="BG3685" s="315"/>
      <c r="BH3685" s="42"/>
    </row>
    <row r="3686" spans="51:60" x14ac:dyDescent="0.2">
      <c r="AY3686" s="315"/>
      <c r="AZ3686" s="326"/>
      <c r="BA3686" s="175"/>
      <c r="BB3686" s="42"/>
      <c r="BC3686" s="431"/>
      <c r="BG3686" s="315"/>
      <c r="BH3686" s="42"/>
    </row>
    <row r="3687" spans="51:60" x14ac:dyDescent="0.2">
      <c r="AY3687" s="315"/>
      <c r="AZ3687" s="326"/>
      <c r="BA3687" s="175"/>
      <c r="BB3687" s="42"/>
      <c r="BC3687" s="431"/>
      <c r="BG3687" s="315"/>
      <c r="BH3687" s="42"/>
    </row>
    <row r="3688" spans="51:60" x14ac:dyDescent="0.2">
      <c r="AY3688" s="315"/>
      <c r="AZ3688" s="326"/>
      <c r="BA3688" s="175"/>
      <c r="BB3688" s="42"/>
      <c r="BC3688" s="431"/>
      <c r="BG3688" s="315"/>
      <c r="BH3688" s="42"/>
    </row>
    <row r="3689" spans="51:60" x14ac:dyDescent="0.2">
      <c r="AY3689" s="315"/>
      <c r="AZ3689" s="326"/>
      <c r="BA3689" s="175"/>
      <c r="BB3689" s="42"/>
      <c r="BC3689" s="431"/>
      <c r="BG3689" s="315"/>
      <c r="BH3689" s="42"/>
    </row>
    <row r="3690" spans="51:60" x14ac:dyDescent="0.2">
      <c r="AY3690" s="315"/>
      <c r="AZ3690" s="326"/>
      <c r="BA3690" s="175"/>
      <c r="BB3690" s="42"/>
      <c r="BC3690" s="431"/>
      <c r="BG3690" s="315"/>
      <c r="BH3690" s="42"/>
    </row>
    <row r="3691" spans="51:60" x14ac:dyDescent="0.2">
      <c r="AY3691" s="315"/>
      <c r="AZ3691" s="326"/>
      <c r="BA3691" s="175"/>
      <c r="BB3691" s="42"/>
      <c r="BC3691" s="431"/>
      <c r="BG3691" s="315"/>
      <c r="BH3691" s="42"/>
    </row>
    <row r="3692" spans="51:60" x14ac:dyDescent="0.2">
      <c r="AY3692" s="315"/>
      <c r="AZ3692" s="326"/>
      <c r="BA3692" s="175"/>
      <c r="BB3692" s="42"/>
      <c r="BC3692" s="431"/>
      <c r="BG3692" s="315"/>
      <c r="BH3692" s="42"/>
    </row>
    <row r="3693" spans="51:60" x14ac:dyDescent="0.2">
      <c r="AY3693" s="315"/>
      <c r="AZ3693" s="326"/>
      <c r="BA3693" s="175"/>
      <c r="BB3693" s="42"/>
      <c r="BC3693" s="431"/>
      <c r="BG3693" s="315"/>
      <c r="BH3693" s="42"/>
    </row>
    <row r="3694" spans="51:60" x14ac:dyDescent="0.2">
      <c r="AY3694" s="315"/>
      <c r="AZ3694" s="326"/>
      <c r="BA3694" s="175"/>
      <c r="BB3694" s="42"/>
      <c r="BC3694" s="431"/>
      <c r="BG3694" s="315"/>
      <c r="BH3694" s="42"/>
    </row>
    <row r="3695" spans="51:60" x14ac:dyDescent="0.2">
      <c r="AY3695" s="315"/>
      <c r="AZ3695" s="326"/>
      <c r="BA3695" s="175"/>
      <c r="BB3695" s="42"/>
      <c r="BC3695" s="431"/>
      <c r="BG3695" s="315"/>
      <c r="BH3695" s="42"/>
    </row>
    <row r="3696" spans="51:60" x14ac:dyDescent="0.2">
      <c r="AY3696" s="315"/>
      <c r="AZ3696" s="326"/>
      <c r="BA3696" s="175"/>
      <c r="BB3696" s="42"/>
      <c r="BC3696" s="431"/>
      <c r="BG3696" s="315"/>
      <c r="BH3696" s="42"/>
    </row>
    <row r="3697" spans="51:60" x14ac:dyDescent="0.2">
      <c r="AY3697" s="315"/>
      <c r="AZ3697" s="326"/>
      <c r="BA3697" s="175"/>
      <c r="BB3697" s="42"/>
      <c r="BC3697" s="431"/>
      <c r="BG3697" s="315"/>
      <c r="BH3697" s="42"/>
    </row>
    <row r="3698" spans="51:60" x14ac:dyDescent="0.2">
      <c r="AY3698" s="315"/>
      <c r="AZ3698" s="326"/>
      <c r="BA3698" s="175"/>
      <c r="BB3698" s="42"/>
      <c r="BC3698" s="431"/>
      <c r="BG3698" s="315"/>
      <c r="BH3698" s="42"/>
    </row>
    <row r="3699" spans="51:60" x14ac:dyDescent="0.2">
      <c r="AY3699" s="315"/>
      <c r="AZ3699" s="326"/>
      <c r="BA3699" s="175"/>
      <c r="BB3699" s="42"/>
      <c r="BC3699" s="431"/>
      <c r="BG3699" s="315"/>
      <c r="BH3699" s="42"/>
    </row>
    <row r="3700" spans="51:60" x14ac:dyDescent="0.2">
      <c r="AY3700" s="315"/>
      <c r="AZ3700" s="326"/>
      <c r="BA3700" s="175"/>
      <c r="BB3700" s="42"/>
      <c r="BC3700" s="431"/>
      <c r="BG3700" s="315"/>
      <c r="BH3700" s="42"/>
    </row>
    <row r="3701" spans="51:60" x14ac:dyDescent="0.2">
      <c r="AY3701" s="315"/>
      <c r="AZ3701" s="326"/>
      <c r="BA3701" s="175"/>
      <c r="BB3701" s="42"/>
      <c r="BC3701" s="431"/>
      <c r="BG3701" s="315"/>
      <c r="BH3701" s="42"/>
    </row>
    <row r="3702" spans="51:60" x14ac:dyDescent="0.2">
      <c r="AY3702" s="315"/>
      <c r="AZ3702" s="326"/>
      <c r="BA3702" s="175"/>
      <c r="BB3702" s="42"/>
      <c r="BC3702" s="431"/>
      <c r="BG3702" s="315"/>
      <c r="BH3702" s="42"/>
    </row>
    <row r="3703" spans="51:60" x14ac:dyDescent="0.2">
      <c r="AY3703" s="315"/>
      <c r="AZ3703" s="326"/>
      <c r="BA3703" s="175"/>
      <c r="BB3703" s="42"/>
      <c r="BC3703" s="431"/>
      <c r="BG3703" s="315"/>
      <c r="BH3703" s="42"/>
    </row>
    <row r="3704" spans="51:60" x14ac:dyDescent="0.2">
      <c r="AY3704" s="315"/>
      <c r="AZ3704" s="326"/>
      <c r="BA3704" s="175"/>
      <c r="BB3704" s="42"/>
      <c r="BC3704" s="431"/>
      <c r="BG3704" s="315"/>
      <c r="BH3704" s="42"/>
    </row>
    <row r="3705" spans="51:60" x14ac:dyDescent="0.2">
      <c r="AY3705" s="315"/>
      <c r="AZ3705" s="326"/>
      <c r="BA3705" s="175"/>
      <c r="BB3705" s="42"/>
      <c r="BC3705" s="431"/>
      <c r="BG3705" s="315"/>
      <c r="BH3705" s="42"/>
    </row>
    <row r="3706" spans="51:60" x14ac:dyDescent="0.2">
      <c r="AY3706" s="315"/>
      <c r="AZ3706" s="326"/>
      <c r="BA3706" s="175"/>
      <c r="BB3706" s="42"/>
      <c r="BC3706" s="431"/>
      <c r="BG3706" s="315"/>
      <c r="BH3706" s="42"/>
    </row>
    <row r="3707" spans="51:60" x14ac:dyDescent="0.2">
      <c r="AY3707" s="315"/>
      <c r="AZ3707" s="326"/>
      <c r="BA3707" s="175"/>
      <c r="BB3707" s="42"/>
      <c r="BC3707" s="431"/>
      <c r="BG3707" s="315"/>
      <c r="BH3707" s="42"/>
    </row>
    <row r="3708" spans="51:60" x14ac:dyDescent="0.2">
      <c r="AY3708" s="315"/>
      <c r="AZ3708" s="326"/>
      <c r="BA3708" s="175"/>
      <c r="BB3708" s="42"/>
      <c r="BC3708" s="431"/>
      <c r="BG3708" s="315"/>
      <c r="BH3708" s="42"/>
    </row>
    <row r="3709" spans="51:60" x14ac:dyDescent="0.2">
      <c r="AY3709" s="315"/>
      <c r="AZ3709" s="326"/>
      <c r="BA3709" s="175"/>
      <c r="BB3709" s="42"/>
      <c r="BC3709" s="431"/>
      <c r="BG3709" s="315"/>
      <c r="BH3709" s="42"/>
    </row>
    <row r="3710" spans="51:60" x14ac:dyDescent="0.2">
      <c r="AY3710" s="315"/>
      <c r="AZ3710" s="326"/>
      <c r="BA3710" s="175"/>
      <c r="BB3710" s="42"/>
      <c r="BC3710" s="431"/>
      <c r="BG3710" s="315"/>
      <c r="BH3710" s="42"/>
    </row>
    <row r="3711" spans="51:60" x14ac:dyDescent="0.2">
      <c r="AY3711" s="315"/>
      <c r="AZ3711" s="326"/>
      <c r="BA3711" s="175"/>
      <c r="BB3711" s="42"/>
      <c r="BC3711" s="431"/>
      <c r="BG3711" s="315"/>
      <c r="BH3711" s="42"/>
    </row>
    <row r="3712" spans="51:60" x14ac:dyDescent="0.2">
      <c r="AY3712" s="315"/>
      <c r="AZ3712" s="326"/>
      <c r="BA3712" s="175"/>
      <c r="BB3712" s="42"/>
      <c r="BC3712" s="431"/>
      <c r="BG3712" s="315"/>
      <c r="BH3712" s="42"/>
    </row>
    <row r="3713" spans="51:60" x14ac:dyDescent="0.2">
      <c r="AY3713" s="315"/>
      <c r="AZ3713" s="326"/>
      <c r="BA3713" s="175"/>
      <c r="BB3713" s="42"/>
      <c r="BC3713" s="431"/>
      <c r="BG3713" s="315"/>
      <c r="BH3713" s="42"/>
    </row>
    <row r="3714" spans="51:60" x14ac:dyDescent="0.2">
      <c r="AY3714" s="315"/>
      <c r="AZ3714" s="326"/>
      <c r="BA3714" s="175"/>
      <c r="BB3714" s="42"/>
      <c r="BC3714" s="431"/>
      <c r="BG3714" s="315"/>
      <c r="BH3714" s="42"/>
    </row>
    <row r="3715" spans="51:60" x14ac:dyDescent="0.2">
      <c r="AY3715" s="315"/>
      <c r="AZ3715" s="326"/>
      <c r="BA3715" s="175"/>
      <c r="BB3715" s="42"/>
      <c r="BC3715" s="431"/>
      <c r="BG3715" s="315"/>
      <c r="BH3715" s="42"/>
    </row>
    <row r="3716" spans="51:60" x14ac:dyDescent="0.2">
      <c r="AY3716" s="315"/>
      <c r="AZ3716" s="326"/>
      <c r="BA3716" s="175"/>
      <c r="BB3716" s="42"/>
      <c r="BC3716" s="431"/>
      <c r="BG3716" s="315"/>
      <c r="BH3716" s="42"/>
    </row>
    <row r="3717" spans="51:60" x14ac:dyDescent="0.2">
      <c r="AY3717" s="315"/>
      <c r="AZ3717" s="326"/>
      <c r="BA3717" s="175"/>
      <c r="BB3717" s="42"/>
      <c r="BC3717" s="431"/>
      <c r="BG3717" s="315"/>
      <c r="BH3717" s="42"/>
    </row>
    <row r="3718" spans="51:60" x14ac:dyDescent="0.2">
      <c r="AY3718" s="315"/>
      <c r="AZ3718" s="326"/>
      <c r="BA3718" s="175"/>
      <c r="BB3718" s="42"/>
      <c r="BC3718" s="431"/>
      <c r="BG3718" s="315"/>
      <c r="BH3718" s="42"/>
    </row>
    <row r="3719" spans="51:60" x14ac:dyDescent="0.2">
      <c r="AY3719" s="315"/>
      <c r="AZ3719" s="326"/>
      <c r="BA3719" s="175"/>
      <c r="BB3719" s="42"/>
      <c r="BC3719" s="431"/>
      <c r="BG3719" s="315"/>
      <c r="BH3719" s="42"/>
    </row>
    <row r="3720" spans="51:60" x14ac:dyDescent="0.2">
      <c r="AY3720" s="315"/>
      <c r="AZ3720" s="326"/>
      <c r="BA3720" s="175"/>
      <c r="BB3720" s="42"/>
      <c r="BC3720" s="431"/>
      <c r="BG3720" s="315"/>
      <c r="BH3720" s="42"/>
    </row>
    <row r="3721" spans="51:60" x14ac:dyDescent="0.2">
      <c r="AY3721" s="315"/>
      <c r="AZ3721" s="326"/>
      <c r="BA3721" s="175"/>
      <c r="BB3721" s="42"/>
      <c r="BC3721" s="431"/>
      <c r="BG3721" s="315"/>
      <c r="BH3721" s="42"/>
    </row>
    <row r="3722" spans="51:60" x14ac:dyDescent="0.2">
      <c r="AY3722" s="315"/>
      <c r="AZ3722" s="326"/>
      <c r="BA3722" s="175"/>
      <c r="BB3722" s="42"/>
      <c r="BC3722" s="431"/>
      <c r="BG3722" s="315"/>
      <c r="BH3722" s="42"/>
    </row>
    <row r="3723" spans="51:60" x14ac:dyDescent="0.2">
      <c r="AY3723" s="315"/>
      <c r="AZ3723" s="326"/>
      <c r="BA3723" s="175"/>
      <c r="BB3723" s="42"/>
      <c r="BC3723" s="431"/>
      <c r="BG3723" s="315"/>
      <c r="BH3723" s="42"/>
    </row>
    <row r="3724" spans="51:60" x14ac:dyDescent="0.2">
      <c r="AY3724" s="315"/>
      <c r="AZ3724" s="326"/>
      <c r="BA3724" s="175"/>
      <c r="BB3724" s="42"/>
      <c r="BC3724" s="431"/>
      <c r="BG3724" s="315"/>
      <c r="BH3724" s="42"/>
    </row>
    <row r="3725" spans="51:60" x14ac:dyDescent="0.2">
      <c r="AY3725" s="315"/>
      <c r="AZ3725" s="326"/>
      <c r="BA3725" s="175"/>
      <c r="BB3725" s="42"/>
      <c r="BC3725" s="431"/>
      <c r="BG3725" s="315"/>
      <c r="BH3725" s="42"/>
    </row>
    <row r="3726" spans="51:60" x14ac:dyDescent="0.2">
      <c r="AY3726" s="315"/>
      <c r="AZ3726" s="326"/>
      <c r="BA3726" s="175"/>
      <c r="BB3726" s="42"/>
      <c r="BC3726" s="431"/>
      <c r="BG3726" s="315"/>
      <c r="BH3726" s="42"/>
    </row>
    <row r="3727" spans="51:60" x14ac:dyDescent="0.2">
      <c r="AY3727" s="315"/>
      <c r="AZ3727" s="326"/>
      <c r="BA3727" s="175"/>
      <c r="BB3727" s="42"/>
      <c r="BC3727" s="431"/>
      <c r="BG3727" s="315"/>
      <c r="BH3727" s="42"/>
    </row>
    <row r="3728" spans="51:60" x14ac:dyDescent="0.2">
      <c r="AY3728" s="315"/>
      <c r="AZ3728" s="326"/>
      <c r="BA3728" s="175"/>
      <c r="BB3728" s="42"/>
      <c r="BC3728" s="431"/>
      <c r="BG3728" s="315"/>
      <c r="BH3728" s="42"/>
    </row>
    <row r="3729" spans="51:60" x14ac:dyDescent="0.2">
      <c r="AY3729" s="315"/>
      <c r="AZ3729" s="326"/>
      <c r="BA3729" s="175"/>
      <c r="BB3729" s="42"/>
      <c r="BC3729" s="431"/>
      <c r="BG3729" s="315"/>
      <c r="BH3729" s="42"/>
    </row>
    <row r="3730" spans="51:60" x14ac:dyDescent="0.2">
      <c r="AY3730" s="315"/>
      <c r="AZ3730" s="326"/>
      <c r="BA3730" s="175"/>
      <c r="BB3730" s="42"/>
      <c r="BC3730" s="431"/>
      <c r="BG3730" s="315"/>
      <c r="BH3730" s="42"/>
    </row>
    <row r="3731" spans="51:60" x14ac:dyDescent="0.2">
      <c r="AY3731" s="315"/>
      <c r="AZ3731" s="326"/>
      <c r="BA3731" s="175"/>
      <c r="BB3731" s="42"/>
      <c r="BC3731" s="431"/>
      <c r="BG3731" s="315"/>
      <c r="BH3731" s="42"/>
    </row>
    <row r="3732" spans="51:60" x14ac:dyDescent="0.2">
      <c r="AY3732" s="315"/>
      <c r="AZ3732" s="326"/>
      <c r="BA3732" s="175"/>
      <c r="BB3732" s="42"/>
      <c r="BC3732" s="431"/>
      <c r="BG3732" s="315"/>
      <c r="BH3732" s="42"/>
    </row>
    <row r="3733" spans="51:60" x14ac:dyDescent="0.2">
      <c r="AY3733" s="315"/>
      <c r="AZ3733" s="326"/>
      <c r="BA3733" s="175"/>
      <c r="BB3733" s="42"/>
      <c r="BC3733" s="431"/>
      <c r="BG3733" s="315"/>
      <c r="BH3733" s="42"/>
    </row>
    <row r="3734" spans="51:60" x14ac:dyDescent="0.2">
      <c r="AY3734" s="315"/>
      <c r="AZ3734" s="326"/>
      <c r="BA3734" s="175"/>
      <c r="BB3734" s="42"/>
      <c r="BC3734" s="431"/>
      <c r="BG3734" s="315"/>
      <c r="BH3734" s="42"/>
    </row>
    <row r="3735" spans="51:60" x14ac:dyDescent="0.2">
      <c r="AY3735" s="315"/>
      <c r="AZ3735" s="326"/>
      <c r="BA3735" s="175"/>
      <c r="BB3735" s="42"/>
      <c r="BC3735" s="431"/>
      <c r="BG3735" s="315"/>
      <c r="BH3735" s="42"/>
    </row>
    <row r="3736" spans="51:60" x14ac:dyDescent="0.2">
      <c r="AY3736" s="315"/>
      <c r="AZ3736" s="326"/>
      <c r="BA3736" s="175"/>
      <c r="BB3736" s="42"/>
      <c r="BC3736" s="431"/>
      <c r="BG3736" s="315"/>
      <c r="BH3736" s="42"/>
    </row>
    <row r="3737" spans="51:60" x14ac:dyDescent="0.2">
      <c r="AY3737" s="315"/>
      <c r="AZ3737" s="326"/>
      <c r="BA3737" s="175"/>
      <c r="BB3737" s="42"/>
      <c r="BC3737" s="431"/>
      <c r="BG3737" s="315"/>
      <c r="BH3737" s="42"/>
    </row>
    <row r="3738" spans="51:60" x14ac:dyDescent="0.2">
      <c r="AY3738" s="315"/>
      <c r="AZ3738" s="326"/>
      <c r="BA3738" s="175"/>
      <c r="BB3738" s="42"/>
      <c r="BC3738" s="431"/>
      <c r="BG3738" s="315"/>
      <c r="BH3738" s="42"/>
    </row>
    <row r="3739" spans="51:60" x14ac:dyDescent="0.2">
      <c r="AY3739" s="315"/>
      <c r="AZ3739" s="326"/>
      <c r="BA3739" s="175"/>
      <c r="BB3739" s="42"/>
      <c r="BC3739" s="431"/>
      <c r="BG3739" s="315"/>
      <c r="BH3739" s="42"/>
    </row>
    <row r="3740" spans="51:60" x14ac:dyDescent="0.2">
      <c r="AY3740" s="315"/>
      <c r="AZ3740" s="326"/>
      <c r="BA3740" s="175"/>
      <c r="BB3740" s="42"/>
      <c r="BC3740" s="431"/>
      <c r="BG3740" s="315"/>
      <c r="BH3740" s="42"/>
    </row>
    <row r="3741" spans="51:60" x14ac:dyDescent="0.2">
      <c r="AY3741" s="315"/>
      <c r="AZ3741" s="326"/>
      <c r="BA3741" s="175"/>
      <c r="BB3741" s="42"/>
      <c r="BC3741" s="431"/>
      <c r="BG3741" s="315"/>
      <c r="BH3741" s="42"/>
    </row>
    <row r="3742" spans="51:60" x14ac:dyDescent="0.2">
      <c r="AY3742" s="315"/>
      <c r="AZ3742" s="326"/>
      <c r="BA3742" s="175"/>
      <c r="BB3742" s="42"/>
      <c r="BC3742" s="431"/>
      <c r="BG3742" s="315"/>
      <c r="BH3742" s="42"/>
    </row>
    <row r="3743" spans="51:60" x14ac:dyDescent="0.2">
      <c r="AY3743" s="315"/>
      <c r="AZ3743" s="326"/>
      <c r="BA3743" s="175"/>
      <c r="BB3743" s="42"/>
      <c r="BC3743" s="431"/>
      <c r="BG3743" s="315"/>
      <c r="BH3743" s="42"/>
    </row>
    <row r="3744" spans="51:60" x14ac:dyDescent="0.2">
      <c r="AY3744" s="315"/>
      <c r="AZ3744" s="326"/>
      <c r="BA3744" s="175"/>
      <c r="BB3744" s="42"/>
      <c r="BC3744" s="431"/>
      <c r="BG3744" s="315"/>
      <c r="BH3744" s="42"/>
    </row>
    <row r="3745" spans="51:60" x14ac:dyDescent="0.2">
      <c r="AY3745" s="315"/>
      <c r="AZ3745" s="326"/>
      <c r="BA3745" s="175"/>
      <c r="BB3745" s="42"/>
      <c r="BC3745" s="431"/>
      <c r="BG3745" s="315"/>
      <c r="BH3745" s="42"/>
    </row>
    <row r="3746" spans="51:60" x14ac:dyDescent="0.2">
      <c r="AY3746" s="315"/>
      <c r="AZ3746" s="326"/>
      <c r="BA3746" s="175"/>
      <c r="BB3746" s="42"/>
      <c r="BC3746" s="431"/>
      <c r="BG3746" s="315"/>
      <c r="BH3746" s="42"/>
    </row>
    <row r="3747" spans="51:60" x14ac:dyDescent="0.2">
      <c r="AY3747" s="315"/>
      <c r="AZ3747" s="326"/>
      <c r="BA3747" s="175"/>
      <c r="BB3747" s="42"/>
      <c r="BC3747" s="431"/>
      <c r="BG3747" s="315"/>
      <c r="BH3747" s="42"/>
    </row>
    <row r="3748" spans="51:60" x14ac:dyDescent="0.2">
      <c r="AY3748" s="315"/>
      <c r="AZ3748" s="326"/>
      <c r="BA3748" s="175"/>
      <c r="BB3748" s="42"/>
      <c r="BC3748" s="431"/>
      <c r="BG3748" s="315"/>
      <c r="BH3748" s="42"/>
    </row>
    <row r="3749" spans="51:60" x14ac:dyDescent="0.2">
      <c r="AY3749" s="315"/>
      <c r="AZ3749" s="326"/>
      <c r="BA3749" s="175"/>
      <c r="BB3749" s="42"/>
      <c r="BC3749" s="431"/>
      <c r="BG3749" s="315"/>
      <c r="BH3749" s="42"/>
    </row>
    <row r="3750" spans="51:60" x14ac:dyDescent="0.2">
      <c r="AY3750" s="315"/>
      <c r="AZ3750" s="326"/>
      <c r="BA3750" s="175"/>
      <c r="BB3750" s="42"/>
      <c r="BC3750" s="431"/>
      <c r="BG3750" s="315"/>
      <c r="BH3750" s="42"/>
    </row>
    <row r="3751" spans="51:60" x14ac:dyDescent="0.2">
      <c r="AY3751" s="315"/>
      <c r="AZ3751" s="326"/>
      <c r="BA3751" s="175"/>
      <c r="BB3751" s="42"/>
      <c r="BC3751" s="431"/>
      <c r="BG3751" s="315"/>
      <c r="BH3751" s="42"/>
    </row>
    <row r="3752" spans="51:60" x14ac:dyDescent="0.2">
      <c r="AY3752" s="315"/>
      <c r="AZ3752" s="326"/>
      <c r="BA3752" s="175"/>
      <c r="BB3752" s="42"/>
      <c r="BC3752" s="431"/>
      <c r="BG3752" s="315"/>
      <c r="BH3752" s="42"/>
    </row>
    <row r="3753" spans="51:60" x14ac:dyDescent="0.2">
      <c r="AY3753" s="315"/>
      <c r="AZ3753" s="326"/>
      <c r="BA3753" s="175"/>
      <c r="BB3753" s="42"/>
      <c r="BC3753" s="431"/>
      <c r="BG3753" s="315"/>
      <c r="BH3753" s="42"/>
    </row>
    <row r="3754" spans="51:60" x14ac:dyDescent="0.2">
      <c r="AY3754" s="315"/>
      <c r="AZ3754" s="326"/>
      <c r="BA3754" s="175"/>
      <c r="BB3754" s="42"/>
      <c r="BC3754" s="431"/>
      <c r="BG3754" s="315"/>
      <c r="BH3754" s="42"/>
    </row>
    <row r="3755" spans="51:60" x14ac:dyDescent="0.2">
      <c r="AY3755" s="315"/>
      <c r="AZ3755" s="326"/>
      <c r="BA3755" s="175"/>
      <c r="BB3755" s="42"/>
      <c r="BC3755" s="431"/>
      <c r="BG3755" s="315"/>
      <c r="BH3755" s="42"/>
    </row>
    <row r="3756" spans="51:60" x14ac:dyDescent="0.2">
      <c r="AY3756" s="315"/>
      <c r="AZ3756" s="326"/>
      <c r="BA3756" s="175"/>
      <c r="BB3756" s="42"/>
      <c r="BC3756" s="431"/>
      <c r="BG3756" s="315"/>
      <c r="BH3756" s="42"/>
    </row>
    <row r="3757" spans="51:60" x14ac:dyDescent="0.2">
      <c r="AY3757" s="315"/>
      <c r="AZ3757" s="326"/>
      <c r="BA3757" s="175"/>
      <c r="BB3757" s="42"/>
      <c r="BC3757" s="431"/>
      <c r="BG3757" s="315"/>
      <c r="BH3757" s="42"/>
    </row>
    <row r="3758" spans="51:60" x14ac:dyDescent="0.2">
      <c r="AY3758" s="315"/>
      <c r="AZ3758" s="326"/>
      <c r="BA3758" s="175"/>
      <c r="BB3758" s="42"/>
      <c r="BC3758" s="431"/>
      <c r="BG3758" s="315"/>
      <c r="BH3758" s="42"/>
    </row>
    <row r="3759" spans="51:60" x14ac:dyDescent="0.2">
      <c r="AY3759" s="315"/>
      <c r="AZ3759" s="326"/>
      <c r="BA3759" s="175"/>
      <c r="BB3759" s="42"/>
      <c r="BC3759" s="431"/>
      <c r="BG3759" s="315"/>
      <c r="BH3759" s="42"/>
    </row>
    <row r="3760" spans="51:60" x14ac:dyDescent="0.2">
      <c r="AY3760" s="315"/>
      <c r="AZ3760" s="326"/>
      <c r="BA3760" s="175"/>
      <c r="BB3760" s="42"/>
      <c r="BC3760" s="431"/>
      <c r="BG3760" s="315"/>
      <c r="BH3760" s="42"/>
    </row>
    <row r="3761" spans="51:60" x14ac:dyDescent="0.2">
      <c r="AY3761" s="315"/>
      <c r="AZ3761" s="326"/>
      <c r="BA3761" s="175"/>
      <c r="BB3761" s="42"/>
      <c r="BC3761" s="431"/>
      <c r="BG3761" s="315"/>
      <c r="BH3761" s="42"/>
    </row>
    <row r="3762" spans="51:60" x14ac:dyDescent="0.2">
      <c r="AY3762" s="315"/>
      <c r="AZ3762" s="326"/>
      <c r="BA3762" s="175"/>
      <c r="BB3762" s="42"/>
      <c r="BC3762" s="431"/>
      <c r="BG3762" s="315"/>
      <c r="BH3762" s="42"/>
    </row>
    <row r="3763" spans="51:60" x14ac:dyDescent="0.2">
      <c r="AY3763" s="315"/>
      <c r="AZ3763" s="326"/>
      <c r="BA3763" s="175"/>
      <c r="BB3763" s="42"/>
      <c r="BC3763" s="431"/>
      <c r="BG3763" s="315"/>
      <c r="BH3763" s="42"/>
    </row>
    <row r="3764" spans="51:60" x14ac:dyDescent="0.2">
      <c r="AY3764" s="315"/>
      <c r="AZ3764" s="326"/>
      <c r="BA3764" s="175"/>
      <c r="BB3764" s="42"/>
      <c r="BC3764" s="431"/>
      <c r="BG3764" s="315"/>
      <c r="BH3764" s="42"/>
    </row>
    <row r="3765" spans="51:60" x14ac:dyDescent="0.2">
      <c r="AY3765" s="315"/>
      <c r="AZ3765" s="326"/>
      <c r="BA3765" s="175"/>
      <c r="BB3765" s="42"/>
      <c r="BC3765" s="431"/>
      <c r="BG3765" s="315"/>
      <c r="BH3765" s="42"/>
    </row>
    <row r="3766" spans="51:60" x14ac:dyDescent="0.2">
      <c r="AY3766" s="315"/>
      <c r="AZ3766" s="326"/>
      <c r="BA3766" s="175"/>
      <c r="BB3766" s="42"/>
      <c r="BC3766" s="431"/>
      <c r="BG3766" s="315"/>
      <c r="BH3766" s="42"/>
    </row>
    <row r="3767" spans="51:60" x14ac:dyDescent="0.2">
      <c r="AY3767" s="315"/>
      <c r="AZ3767" s="326"/>
      <c r="BA3767" s="175"/>
      <c r="BB3767" s="42"/>
      <c r="BC3767" s="431"/>
      <c r="BG3767" s="315"/>
      <c r="BH3767" s="42"/>
    </row>
    <row r="3768" spans="51:60" x14ac:dyDescent="0.2">
      <c r="AY3768" s="315"/>
      <c r="AZ3768" s="326"/>
      <c r="BA3768" s="175"/>
      <c r="BB3768" s="42"/>
      <c r="BC3768" s="431"/>
      <c r="BG3768" s="315"/>
      <c r="BH3768" s="42"/>
    </row>
    <row r="3769" spans="51:60" x14ac:dyDescent="0.2">
      <c r="AY3769" s="315"/>
      <c r="AZ3769" s="326"/>
      <c r="BA3769" s="175"/>
      <c r="BB3769" s="42"/>
      <c r="BC3769" s="431"/>
      <c r="BG3769" s="315"/>
      <c r="BH3769" s="42"/>
    </row>
    <row r="3770" spans="51:60" x14ac:dyDescent="0.2">
      <c r="AY3770" s="315"/>
      <c r="AZ3770" s="326"/>
      <c r="BA3770" s="175"/>
      <c r="BB3770" s="42"/>
      <c r="BC3770" s="431"/>
      <c r="BG3770" s="315"/>
      <c r="BH3770" s="42"/>
    </row>
    <row r="3771" spans="51:60" x14ac:dyDescent="0.2">
      <c r="AY3771" s="315"/>
      <c r="AZ3771" s="326"/>
      <c r="BA3771" s="175"/>
      <c r="BB3771" s="42"/>
      <c r="BC3771" s="431"/>
      <c r="BG3771" s="315"/>
      <c r="BH3771" s="42"/>
    </row>
    <row r="3772" spans="51:60" x14ac:dyDescent="0.2">
      <c r="AY3772" s="315"/>
      <c r="AZ3772" s="326"/>
      <c r="BA3772" s="175"/>
      <c r="BB3772" s="42"/>
      <c r="BC3772" s="431"/>
      <c r="BG3772" s="315"/>
      <c r="BH3772" s="42"/>
    </row>
    <row r="3773" spans="51:60" x14ac:dyDescent="0.2">
      <c r="AY3773" s="315"/>
      <c r="AZ3773" s="326"/>
      <c r="BA3773" s="175"/>
      <c r="BB3773" s="42"/>
      <c r="BC3773" s="431"/>
      <c r="BG3773" s="315"/>
      <c r="BH3773" s="42"/>
    </row>
    <row r="3774" spans="51:60" x14ac:dyDescent="0.2">
      <c r="AY3774" s="315"/>
      <c r="AZ3774" s="326"/>
      <c r="BA3774" s="175"/>
      <c r="BB3774" s="42"/>
      <c r="BC3774" s="431"/>
      <c r="BG3774" s="315"/>
      <c r="BH3774" s="42"/>
    </row>
    <row r="3775" spans="51:60" x14ac:dyDescent="0.2">
      <c r="AY3775" s="315"/>
      <c r="AZ3775" s="326"/>
      <c r="BA3775" s="175"/>
      <c r="BB3775" s="42"/>
      <c r="BC3775" s="431"/>
      <c r="BG3775" s="315"/>
      <c r="BH3775" s="42"/>
    </row>
    <row r="3776" spans="51:60" x14ac:dyDescent="0.2">
      <c r="AY3776" s="315"/>
      <c r="AZ3776" s="326"/>
      <c r="BA3776" s="175"/>
      <c r="BB3776" s="42"/>
      <c r="BC3776" s="431"/>
      <c r="BG3776" s="315"/>
      <c r="BH3776" s="42"/>
    </row>
    <row r="3777" spans="51:60" x14ac:dyDescent="0.2">
      <c r="AY3777" s="315"/>
      <c r="AZ3777" s="326"/>
      <c r="BA3777" s="175"/>
      <c r="BB3777" s="42"/>
      <c r="BC3777" s="431"/>
      <c r="BG3777" s="315"/>
      <c r="BH3777" s="42"/>
    </row>
    <row r="3778" spans="51:60" x14ac:dyDescent="0.2">
      <c r="AY3778" s="315"/>
      <c r="AZ3778" s="326"/>
      <c r="BA3778" s="175"/>
      <c r="BB3778" s="42"/>
      <c r="BC3778" s="431"/>
      <c r="BG3778" s="315"/>
      <c r="BH3778" s="42"/>
    </row>
    <row r="3779" spans="51:60" x14ac:dyDescent="0.2">
      <c r="AY3779" s="315"/>
      <c r="AZ3779" s="326"/>
      <c r="BA3779" s="175"/>
      <c r="BB3779" s="42"/>
      <c r="BC3779" s="431"/>
      <c r="BG3779" s="315"/>
      <c r="BH3779" s="42"/>
    </row>
    <row r="3780" spans="51:60" x14ac:dyDescent="0.2">
      <c r="AY3780" s="315"/>
      <c r="AZ3780" s="326"/>
      <c r="BA3780" s="175"/>
      <c r="BB3780" s="42"/>
      <c r="BC3780" s="431"/>
      <c r="BG3780" s="315"/>
      <c r="BH3780" s="42"/>
    </row>
    <row r="3781" spans="51:60" x14ac:dyDescent="0.2">
      <c r="AY3781" s="315"/>
      <c r="AZ3781" s="326"/>
      <c r="BA3781" s="175"/>
      <c r="BB3781" s="42"/>
      <c r="BC3781" s="431"/>
      <c r="BG3781" s="315"/>
      <c r="BH3781" s="42"/>
    </row>
    <row r="3782" spans="51:60" x14ac:dyDescent="0.2">
      <c r="AY3782" s="315"/>
      <c r="AZ3782" s="326"/>
      <c r="BA3782" s="175"/>
      <c r="BB3782" s="42"/>
      <c r="BC3782" s="431"/>
      <c r="BG3782" s="315"/>
      <c r="BH3782" s="42"/>
    </row>
    <row r="3783" spans="51:60" x14ac:dyDescent="0.2">
      <c r="AY3783" s="315"/>
      <c r="AZ3783" s="326"/>
      <c r="BA3783" s="175"/>
      <c r="BB3783" s="42"/>
      <c r="BC3783" s="431"/>
      <c r="BG3783" s="315"/>
      <c r="BH3783" s="42"/>
    </row>
    <row r="3784" spans="51:60" x14ac:dyDescent="0.2">
      <c r="AY3784" s="315"/>
      <c r="AZ3784" s="326"/>
      <c r="BA3784" s="175"/>
      <c r="BB3784" s="42"/>
      <c r="BC3784" s="431"/>
      <c r="BG3784" s="315"/>
      <c r="BH3784" s="42"/>
    </row>
    <row r="3785" spans="51:60" x14ac:dyDescent="0.2">
      <c r="AY3785" s="315"/>
      <c r="AZ3785" s="326"/>
      <c r="BA3785" s="175"/>
      <c r="BB3785" s="42"/>
      <c r="BC3785" s="431"/>
      <c r="BG3785" s="315"/>
      <c r="BH3785" s="42"/>
    </row>
    <row r="3786" spans="51:60" x14ac:dyDescent="0.2">
      <c r="AY3786" s="315"/>
      <c r="AZ3786" s="326"/>
      <c r="BA3786" s="175"/>
      <c r="BB3786" s="42"/>
      <c r="BC3786" s="431"/>
      <c r="BG3786" s="315"/>
      <c r="BH3786" s="42"/>
    </row>
    <row r="3787" spans="51:60" x14ac:dyDescent="0.2">
      <c r="AY3787" s="315"/>
      <c r="AZ3787" s="326"/>
      <c r="BA3787" s="175"/>
      <c r="BB3787" s="42"/>
      <c r="BC3787" s="431"/>
      <c r="BG3787" s="315"/>
      <c r="BH3787" s="42"/>
    </row>
    <row r="3788" spans="51:60" x14ac:dyDescent="0.2">
      <c r="AY3788" s="315"/>
      <c r="AZ3788" s="326"/>
      <c r="BA3788" s="175"/>
      <c r="BB3788" s="42"/>
      <c r="BC3788" s="431"/>
      <c r="BG3788" s="315"/>
      <c r="BH3788" s="42"/>
    </row>
    <row r="3789" spans="51:60" x14ac:dyDescent="0.2">
      <c r="AY3789" s="315"/>
      <c r="AZ3789" s="326"/>
      <c r="BA3789" s="175"/>
      <c r="BB3789" s="42"/>
      <c r="BC3789" s="431"/>
      <c r="BG3789" s="315"/>
      <c r="BH3789" s="42"/>
    </row>
    <row r="3790" spans="51:60" x14ac:dyDescent="0.2">
      <c r="AY3790" s="315"/>
      <c r="AZ3790" s="326"/>
      <c r="BA3790" s="175"/>
      <c r="BB3790" s="42"/>
      <c r="BC3790" s="431"/>
      <c r="BG3790" s="315"/>
      <c r="BH3790" s="42"/>
    </row>
    <row r="3791" spans="51:60" x14ac:dyDescent="0.2">
      <c r="AY3791" s="315"/>
      <c r="AZ3791" s="326"/>
      <c r="BA3791" s="175"/>
      <c r="BB3791" s="42"/>
      <c r="BC3791" s="431"/>
      <c r="BG3791" s="315"/>
      <c r="BH3791" s="42"/>
    </row>
    <row r="3792" spans="51:60" x14ac:dyDescent="0.2">
      <c r="AY3792" s="315"/>
      <c r="AZ3792" s="326"/>
      <c r="BA3792" s="175"/>
      <c r="BB3792" s="42"/>
      <c r="BC3792" s="431"/>
      <c r="BG3792" s="315"/>
      <c r="BH3792" s="42"/>
    </row>
    <row r="3793" spans="51:60" x14ac:dyDescent="0.2">
      <c r="AY3793" s="315"/>
      <c r="AZ3793" s="326"/>
      <c r="BA3793" s="175"/>
      <c r="BB3793" s="42"/>
      <c r="BC3793" s="431"/>
      <c r="BG3793" s="315"/>
      <c r="BH3793" s="42"/>
    </row>
    <row r="3794" spans="51:60" x14ac:dyDescent="0.2">
      <c r="AY3794" s="315"/>
      <c r="AZ3794" s="326"/>
      <c r="BA3794" s="175"/>
      <c r="BB3794" s="42"/>
      <c r="BC3794" s="431"/>
      <c r="BG3794" s="315"/>
      <c r="BH3794" s="42"/>
    </row>
    <row r="3795" spans="51:60" x14ac:dyDescent="0.2">
      <c r="AY3795" s="315"/>
      <c r="AZ3795" s="326"/>
      <c r="BA3795" s="175"/>
      <c r="BB3795" s="42"/>
      <c r="BC3795" s="431"/>
      <c r="BG3795" s="315"/>
      <c r="BH3795" s="42"/>
    </row>
    <row r="3796" spans="51:60" x14ac:dyDescent="0.2">
      <c r="AY3796" s="315"/>
      <c r="AZ3796" s="326"/>
      <c r="BA3796" s="175"/>
      <c r="BB3796" s="42"/>
      <c r="BC3796" s="431"/>
      <c r="BG3796" s="315"/>
      <c r="BH3796" s="42"/>
    </row>
    <row r="3797" spans="51:60" x14ac:dyDescent="0.2">
      <c r="AY3797" s="315"/>
      <c r="AZ3797" s="326"/>
      <c r="BA3797" s="175"/>
      <c r="BB3797" s="42"/>
      <c r="BC3797" s="431"/>
      <c r="BG3797" s="315"/>
      <c r="BH3797" s="42"/>
    </row>
    <row r="3798" spans="51:60" x14ac:dyDescent="0.2">
      <c r="AY3798" s="315"/>
      <c r="AZ3798" s="326"/>
      <c r="BA3798" s="175"/>
      <c r="BB3798" s="42"/>
      <c r="BC3798" s="431"/>
      <c r="BG3798" s="315"/>
      <c r="BH3798" s="42"/>
    </row>
    <row r="3799" spans="51:60" x14ac:dyDescent="0.2">
      <c r="AY3799" s="315"/>
      <c r="AZ3799" s="326"/>
      <c r="BA3799" s="175"/>
      <c r="BB3799" s="42"/>
      <c r="BC3799" s="431"/>
      <c r="BG3799" s="315"/>
      <c r="BH3799" s="42"/>
    </row>
    <row r="3800" spans="51:60" x14ac:dyDescent="0.2">
      <c r="AY3800" s="315"/>
      <c r="AZ3800" s="326"/>
      <c r="BA3800" s="175"/>
      <c r="BB3800" s="42"/>
      <c r="BC3800" s="431"/>
      <c r="BG3800" s="315"/>
      <c r="BH3800" s="42"/>
    </row>
    <row r="3801" spans="51:60" x14ac:dyDescent="0.2">
      <c r="AY3801" s="315"/>
      <c r="AZ3801" s="326"/>
      <c r="BA3801" s="175"/>
      <c r="BB3801" s="42"/>
      <c r="BC3801" s="431"/>
      <c r="BG3801" s="315"/>
      <c r="BH3801" s="42"/>
    </row>
    <row r="3802" spans="51:60" x14ac:dyDescent="0.2">
      <c r="AY3802" s="315"/>
      <c r="AZ3802" s="326"/>
      <c r="BA3802" s="175"/>
      <c r="BB3802" s="42"/>
      <c r="BC3802" s="431"/>
      <c r="BG3802" s="315"/>
      <c r="BH3802" s="42"/>
    </row>
    <row r="3803" spans="51:60" x14ac:dyDescent="0.2">
      <c r="AY3803" s="315"/>
      <c r="AZ3803" s="326"/>
      <c r="BA3803" s="175"/>
      <c r="BB3803" s="42"/>
      <c r="BC3803" s="431"/>
      <c r="BG3803" s="315"/>
      <c r="BH3803" s="42"/>
    </row>
    <row r="3804" spans="51:60" x14ac:dyDescent="0.2">
      <c r="AY3804" s="315"/>
      <c r="AZ3804" s="326"/>
      <c r="BA3804" s="175"/>
      <c r="BB3804" s="42"/>
      <c r="BC3804" s="431"/>
      <c r="BG3804" s="315"/>
      <c r="BH3804" s="42"/>
    </row>
    <row r="3805" spans="51:60" x14ac:dyDescent="0.2">
      <c r="AY3805" s="315"/>
      <c r="AZ3805" s="326"/>
      <c r="BA3805" s="175"/>
      <c r="BB3805" s="42"/>
      <c r="BC3805" s="431"/>
      <c r="BG3805" s="315"/>
      <c r="BH3805" s="42"/>
    </row>
    <row r="3806" spans="51:60" x14ac:dyDescent="0.2">
      <c r="AY3806" s="315"/>
      <c r="AZ3806" s="326"/>
      <c r="BA3806" s="175"/>
      <c r="BB3806" s="42"/>
      <c r="BC3806" s="431"/>
      <c r="BG3806" s="315"/>
      <c r="BH3806" s="42"/>
    </row>
    <row r="3807" spans="51:60" x14ac:dyDescent="0.2">
      <c r="AY3807" s="315"/>
      <c r="AZ3807" s="326"/>
      <c r="BA3807" s="175"/>
      <c r="BB3807" s="42"/>
      <c r="BC3807" s="431"/>
      <c r="BG3807" s="315"/>
      <c r="BH3807" s="42"/>
    </row>
    <row r="3808" spans="51:60" x14ac:dyDescent="0.2">
      <c r="AY3808" s="315"/>
      <c r="AZ3808" s="326"/>
      <c r="BA3808" s="175"/>
      <c r="BB3808" s="42"/>
      <c r="BC3808" s="431"/>
      <c r="BG3808" s="315"/>
      <c r="BH3808" s="42"/>
    </row>
    <row r="3809" spans="51:60" x14ac:dyDescent="0.2">
      <c r="AY3809" s="315"/>
      <c r="AZ3809" s="326"/>
      <c r="BA3809" s="175"/>
      <c r="BB3809" s="42"/>
      <c r="BC3809" s="431"/>
      <c r="BG3809" s="315"/>
      <c r="BH3809" s="42"/>
    </row>
    <row r="3810" spans="51:60" x14ac:dyDescent="0.2">
      <c r="AY3810" s="315"/>
      <c r="AZ3810" s="326"/>
      <c r="BA3810" s="175"/>
      <c r="BB3810" s="42"/>
      <c r="BC3810" s="431"/>
      <c r="BG3810" s="315"/>
      <c r="BH3810" s="42"/>
    </row>
    <row r="3811" spans="51:60" x14ac:dyDescent="0.2">
      <c r="AY3811" s="315"/>
      <c r="AZ3811" s="326"/>
      <c r="BA3811" s="175"/>
      <c r="BB3811" s="42"/>
      <c r="BC3811" s="431"/>
      <c r="BG3811" s="315"/>
      <c r="BH3811" s="42"/>
    </row>
    <row r="3812" spans="51:60" x14ac:dyDescent="0.2">
      <c r="AY3812" s="315"/>
      <c r="AZ3812" s="326"/>
      <c r="BA3812" s="175"/>
      <c r="BB3812" s="42"/>
      <c r="BC3812" s="431"/>
      <c r="BG3812" s="315"/>
      <c r="BH3812" s="42"/>
    </row>
    <row r="3813" spans="51:60" x14ac:dyDescent="0.2">
      <c r="AY3813" s="315"/>
      <c r="AZ3813" s="326"/>
      <c r="BA3813" s="175"/>
      <c r="BB3813" s="42"/>
      <c r="BC3813" s="431"/>
      <c r="BG3813" s="315"/>
      <c r="BH3813" s="42"/>
    </row>
    <row r="3814" spans="51:60" x14ac:dyDescent="0.2">
      <c r="AY3814" s="315"/>
      <c r="AZ3814" s="326"/>
      <c r="BA3814" s="175"/>
      <c r="BB3814" s="42"/>
      <c r="BC3814" s="431"/>
      <c r="BG3814" s="315"/>
      <c r="BH3814" s="42"/>
    </row>
    <row r="3815" spans="51:60" x14ac:dyDescent="0.2">
      <c r="AY3815" s="315"/>
      <c r="AZ3815" s="326"/>
      <c r="BA3815" s="175"/>
      <c r="BB3815" s="42"/>
      <c r="BC3815" s="431"/>
      <c r="BG3815" s="315"/>
      <c r="BH3815" s="42"/>
    </row>
    <row r="3816" spans="51:60" x14ac:dyDescent="0.2">
      <c r="AY3816" s="315"/>
      <c r="AZ3816" s="326"/>
      <c r="BA3816" s="175"/>
      <c r="BB3816" s="42"/>
      <c r="BC3816" s="431"/>
      <c r="BG3816" s="315"/>
      <c r="BH3816" s="42"/>
    </row>
    <row r="3817" spans="51:60" x14ac:dyDescent="0.2">
      <c r="AY3817" s="315"/>
      <c r="AZ3817" s="326"/>
      <c r="BA3817" s="175"/>
      <c r="BB3817" s="42"/>
      <c r="BC3817" s="431"/>
      <c r="BG3817" s="315"/>
      <c r="BH3817" s="42"/>
    </row>
    <row r="3818" spans="51:60" x14ac:dyDescent="0.2">
      <c r="AY3818" s="315"/>
      <c r="AZ3818" s="326"/>
      <c r="BA3818" s="175"/>
      <c r="BB3818" s="42"/>
      <c r="BC3818" s="431"/>
      <c r="BG3818" s="315"/>
      <c r="BH3818" s="42"/>
    </row>
    <row r="3819" spans="51:60" x14ac:dyDescent="0.2">
      <c r="AY3819" s="315"/>
      <c r="AZ3819" s="326"/>
      <c r="BA3819" s="175"/>
      <c r="BB3819" s="42"/>
      <c r="BC3819" s="431"/>
      <c r="BG3819" s="315"/>
      <c r="BH3819" s="42"/>
    </row>
    <row r="3820" spans="51:60" x14ac:dyDescent="0.2">
      <c r="AY3820" s="315"/>
      <c r="AZ3820" s="326"/>
      <c r="BA3820" s="175"/>
      <c r="BB3820" s="42"/>
      <c r="BC3820" s="431"/>
      <c r="BG3820" s="315"/>
      <c r="BH3820" s="42"/>
    </row>
    <row r="3821" spans="51:60" x14ac:dyDescent="0.2">
      <c r="AY3821" s="315"/>
      <c r="AZ3821" s="326"/>
      <c r="BA3821" s="175"/>
      <c r="BB3821" s="42"/>
      <c r="BC3821" s="431"/>
      <c r="BG3821" s="315"/>
      <c r="BH3821" s="42"/>
    </row>
    <row r="3822" spans="51:60" x14ac:dyDescent="0.2">
      <c r="AY3822" s="315"/>
      <c r="AZ3822" s="326"/>
      <c r="BA3822" s="175"/>
      <c r="BB3822" s="42"/>
      <c r="BC3822" s="431"/>
      <c r="BG3822" s="315"/>
      <c r="BH3822" s="42"/>
    </row>
    <row r="3823" spans="51:60" x14ac:dyDescent="0.2">
      <c r="AY3823" s="315"/>
      <c r="AZ3823" s="326"/>
      <c r="BA3823" s="175"/>
      <c r="BB3823" s="42"/>
      <c r="BC3823" s="431"/>
      <c r="BG3823" s="315"/>
      <c r="BH3823" s="42"/>
    </row>
    <row r="3824" spans="51:60" x14ac:dyDescent="0.2">
      <c r="AY3824" s="315"/>
      <c r="AZ3824" s="326"/>
      <c r="BA3824" s="175"/>
      <c r="BB3824" s="42"/>
      <c r="BC3824" s="431"/>
      <c r="BG3824" s="315"/>
      <c r="BH3824" s="42"/>
    </row>
    <row r="3825" spans="51:60" x14ac:dyDescent="0.2">
      <c r="AY3825" s="315"/>
      <c r="AZ3825" s="326"/>
      <c r="BA3825" s="175"/>
      <c r="BB3825" s="42"/>
      <c r="BC3825" s="431"/>
      <c r="BG3825" s="315"/>
      <c r="BH3825" s="42"/>
    </row>
    <row r="3826" spans="51:60" x14ac:dyDescent="0.2">
      <c r="AY3826" s="315"/>
      <c r="AZ3826" s="326"/>
      <c r="BA3826" s="175"/>
      <c r="BB3826" s="42"/>
      <c r="BC3826" s="431"/>
      <c r="BG3826" s="315"/>
      <c r="BH3826" s="42"/>
    </row>
    <row r="3827" spans="51:60" x14ac:dyDescent="0.2">
      <c r="AY3827" s="315"/>
      <c r="AZ3827" s="326"/>
      <c r="BA3827" s="175"/>
      <c r="BB3827" s="42"/>
      <c r="BC3827" s="431"/>
      <c r="BG3827" s="315"/>
      <c r="BH3827" s="42"/>
    </row>
    <row r="3828" spans="51:60" x14ac:dyDescent="0.2">
      <c r="AY3828" s="315"/>
      <c r="AZ3828" s="326"/>
      <c r="BA3828" s="175"/>
      <c r="BB3828" s="42"/>
      <c r="BC3828" s="431"/>
      <c r="BG3828" s="315"/>
      <c r="BH3828" s="42"/>
    </row>
    <row r="3829" spans="51:60" x14ac:dyDescent="0.2">
      <c r="AY3829" s="315"/>
      <c r="AZ3829" s="326"/>
      <c r="BA3829" s="175"/>
      <c r="BB3829" s="42"/>
      <c r="BC3829" s="431"/>
      <c r="BG3829" s="315"/>
      <c r="BH3829" s="42"/>
    </row>
    <row r="3830" spans="51:60" x14ac:dyDescent="0.2">
      <c r="AY3830" s="315"/>
      <c r="AZ3830" s="326"/>
      <c r="BA3830" s="175"/>
      <c r="BB3830" s="42"/>
      <c r="BC3830" s="431"/>
      <c r="BG3830" s="315"/>
      <c r="BH3830" s="42"/>
    </row>
    <row r="3831" spans="51:60" x14ac:dyDescent="0.2">
      <c r="AY3831" s="315"/>
      <c r="AZ3831" s="326"/>
      <c r="BA3831" s="175"/>
      <c r="BB3831" s="42"/>
      <c r="BC3831" s="431"/>
      <c r="BG3831" s="315"/>
      <c r="BH3831" s="42"/>
    </row>
    <row r="3832" spans="51:60" x14ac:dyDescent="0.2">
      <c r="AY3832" s="315"/>
      <c r="AZ3832" s="326"/>
      <c r="BA3832" s="175"/>
      <c r="BB3832" s="42"/>
      <c r="BC3832" s="431"/>
      <c r="BG3832" s="315"/>
      <c r="BH3832" s="42"/>
    </row>
    <row r="3833" spans="51:60" x14ac:dyDescent="0.2">
      <c r="AY3833" s="315"/>
      <c r="AZ3833" s="326"/>
      <c r="BA3833" s="175"/>
      <c r="BB3833" s="42"/>
      <c r="BC3833" s="431"/>
      <c r="BG3833" s="315"/>
      <c r="BH3833" s="42"/>
    </row>
    <row r="3834" spans="51:60" x14ac:dyDescent="0.2">
      <c r="AY3834" s="315"/>
      <c r="AZ3834" s="326"/>
      <c r="BA3834" s="175"/>
      <c r="BB3834" s="42"/>
      <c r="BC3834" s="431"/>
      <c r="BG3834" s="315"/>
      <c r="BH3834" s="42"/>
    </row>
    <row r="3835" spans="51:60" x14ac:dyDescent="0.2">
      <c r="AY3835" s="315"/>
      <c r="AZ3835" s="326"/>
      <c r="BA3835" s="175"/>
      <c r="BB3835" s="42"/>
      <c r="BC3835" s="431"/>
      <c r="BG3835" s="315"/>
      <c r="BH3835" s="42"/>
    </row>
    <row r="3836" spans="51:60" x14ac:dyDescent="0.2">
      <c r="AY3836" s="315"/>
      <c r="AZ3836" s="326"/>
      <c r="BA3836" s="175"/>
      <c r="BB3836" s="42"/>
      <c r="BC3836" s="431"/>
      <c r="BG3836" s="315"/>
      <c r="BH3836" s="42"/>
    </row>
    <row r="3837" spans="51:60" x14ac:dyDescent="0.2">
      <c r="AY3837" s="315"/>
      <c r="AZ3837" s="326"/>
      <c r="BA3837" s="175"/>
      <c r="BB3837" s="42"/>
      <c r="BC3837" s="431"/>
      <c r="BG3837" s="315"/>
      <c r="BH3837" s="42"/>
    </row>
    <row r="3838" spans="51:60" x14ac:dyDescent="0.2">
      <c r="AY3838" s="315"/>
      <c r="AZ3838" s="326"/>
      <c r="BA3838" s="175"/>
      <c r="BB3838" s="42"/>
      <c r="BC3838" s="431"/>
      <c r="BG3838" s="315"/>
      <c r="BH3838" s="42"/>
    </row>
    <row r="3839" spans="51:60" x14ac:dyDescent="0.2">
      <c r="AY3839" s="315"/>
      <c r="AZ3839" s="326"/>
      <c r="BA3839" s="175"/>
      <c r="BB3839" s="42"/>
      <c r="BC3839" s="431"/>
      <c r="BG3839" s="315"/>
      <c r="BH3839" s="42"/>
    </row>
    <row r="3840" spans="51:60" x14ac:dyDescent="0.2">
      <c r="AY3840" s="315"/>
      <c r="AZ3840" s="326"/>
      <c r="BA3840" s="175"/>
      <c r="BB3840" s="42"/>
      <c r="BC3840" s="431"/>
      <c r="BG3840" s="315"/>
      <c r="BH3840" s="42"/>
    </row>
    <row r="3841" spans="51:60" x14ac:dyDescent="0.2">
      <c r="AY3841" s="315"/>
      <c r="AZ3841" s="326"/>
      <c r="BA3841" s="175"/>
      <c r="BB3841" s="42"/>
      <c r="BC3841" s="431"/>
      <c r="BG3841" s="315"/>
      <c r="BH3841" s="42"/>
    </row>
    <row r="3842" spans="51:60" x14ac:dyDescent="0.2">
      <c r="AY3842" s="315"/>
      <c r="AZ3842" s="326"/>
      <c r="BA3842" s="175"/>
      <c r="BB3842" s="42"/>
      <c r="BC3842" s="431"/>
      <c r="BG3842" s="315"/>
      <c r="BH3842" s="42"/>
    </row>
    <row r="3843" spans="51:60" x14ac:dyDescent="0.2">
      <c r="AY3843" s="315"/>
      <c r="AZ3843" s="326"/>
      <c r="BA3843" s="175"/>
      <c r="BB3843" s="42"/>
      <c r="BC3843" s="431"/>
      <c r="BG3843" s="315"/>
      <c r="BH3843" s="42"/>
    </row>
    <row r="3844" spans="51:60" x14ac:dyDescent="0.2">
      <c r="AY3844" s="315"/>
      <c r="AZ3844" s="326"/>
      <c r="BA3844" s="175"/>
      <c r="BB3844" s="42"/>
      <c r="BC3844" s="431"/>
      <c r="BG3844" s="315"/>
      <c r="BH3844" s="42"/>
    </row>
    <row r="3845" spans="51:60" x14ac:dyDescent="0.2">
      <c r="AY3845" s="315"/>
      <c r="AZ3845" s="326"/>
      <c r="BA3845" s="175"/>
      <c r="BB3845" s="42"/>
      <c r="BC3845" s="431"/>
      <c r="BG3845" s="315"/>
      <c r="BH3845" s="42"/>
    </row>
    <row r="3846" spans="51:60" x14ac:dyDescent="0.2">
      <c r="AY3846" s="315"/>
      <c r="AZ3846" s="326"/>
      <c r="BA3846" s="175"/>
      <c r="BB3846" s="42"/>
      <c r="BC3846" s="431"/>
      <c r="BG3846" s="315"/>
      <c r="BH3846" s="42"/>
    </row>
    <row r="3847" spans="51:60" x14ac:dyDescent="0.2">
      <c r="AY3847" s="315"/>
      <c r="AZ3847" s="326"/>
      <c r="BA3847" s="175"/>
      <c r="BB3847" s="42"/>
      <c r="BC3847" s="431"/>
      <c r="BG3847" s="315"/>
      <c r="BH3847" s="42"/>
    </row>
    <row r="3848" spans="51:60" x14ac:dyDescent="0.2">
      <c r="AY3848" s="315"/>
      <c r="AZ3848" s="326"/>
      <c r="BA3848" s="175"/>
      <c r="BB3848" s="42"/>
      <c r="BC3848" s="431"/>
      <c r="BG3848" s="315"/>
      <c r="BH3848" s="42"/>
    </row>
    <row r="3849" spans="51:60" x14ac:dyDescent="0.2">
      <c r="AY3849" s="315"/>
      <c r="AZ3849" s="326"/>
      <c r="BA3849" s="175"/>
      <c r="BB3849" s="42"/>
      <c r="BC3849" s="431"/>
      <c r="BG3849" s="315"/>
      <c r="BH3849" s="42"/>
    </row>
    <row r="3850" spans="51:60" x14ac:dyDescent="0.2">
      <c r="AY3850" s="315"/>
      <c r="AZ3850" s="326"/>
      <c r="BA3850" s="175"/>
      <c r="BB3850" s="42"/>
      <c r="BC3850" s="431"/>
      <c r="BG3850" s="315"/>
      <c r="BH3850" s="42"/>
    </row>
    <row r="3851" spans="51:60" x14ac:dyDescent="0.2">
      <c r="AY3851" s="315"/>
      <c r="AZ3851" s="326"/>
      <c r="BA3851" s="175"/>
      <c r="BB3851" s="42"/>
      <c r="BC3851" s="431"/>
      <c r="BG3851" s="315"/>
      <c r="BH3851" s="42"/>
    </row>
    <row r="3852" spans="51:60" x14ac:dyDescent="0.2">
      <c r="AY3852" s="315"/>
      <c r="AZ3852" s="326"/>
      <c r="BA3852" s="175"/>
      <c r="BB3852" s="42"/>
      <c r="BC3852" s="431"/>
      <c r="BG3852" s="315"/>
      <c r="BH3852" s="42"/>
    </row>
    <row r="3853" spans="51:60" x14ac:dyDescent="0.2">
      <c r="AY3853" s="315"/>
      <c r="AZ3853" s="326"/>
      <c r="BA3853" s="175"/>
      <c r="BB3853" s="42"/>
      <c r="BC3853" s="431"/>
      <c r="BG3853" s="315"/>
      <c r="BH3853" s="42"/>
    </row>
    <row r="3854" spans="51:60" x14ac:dyDescent="0.2">
      <c r="AY3854" s="315"/>
      <c r="AZ3854" s="326"/>
      <c r="BA3854" s="175"/>
      <c r="BB3854" s="42"/>
      <c r="BC3854" s="431"/>
      <c r="BG3854" s="315"/>
      <c r="BH3854" s="42"/>
    </row>
    <row r="3855" spans="51:60" x14ac:dyDescent="0.2">
      <c r="AY3855" s="315"/>
      <c r="AZ3855" s="326"/>
      <c r="BA3855" s="175"/>
      <c r="BB3855" s="42"/>
      <c r="BC3855" s="431"/>
      <c r="BG3855" s="315"/>
      <c r="BH3855" s="42"/>
    </row>
    <row r="3856" spans="51:60" x14ac:dyDescent="0.2">
      <c r="AY3856" s="315"/>
      <c r="AZ3856" s="326"/>
      <c r="BA3856" s="175"/>
      <c r="BB3856" s="42"/>
      <c r="BC3856" s="431"/>
      <c r="BG3856" s="315"/>
      <c r="BH3856" s="42"/>
    </row>
    <row r="3857" spans="51:60" x14ac:dyDescent="0.2">
      <c r="AY3857" s="315"/>
      <c r="AZ3857" s="326"/>
      <c r="BA3857" s="175"/>
      <c r="BB3857" s="42"/>
      <c r="BC3857" s="431"/>
      <c r="BG3857" s="315"/>
      <c r="BH3857" s="42"/>
    </row>
    <row r="3858" spans="51:60" x14ac:dyDescent="0.2">
      <c r="AY3858" s="315"/>
      <c r="AZ3858" s="326"/>
      <c r="BA3858" s="175"/>
      <c r="BB3858" s="42"/>
      <c r="BC3858" s="431"/>
      <c r="BG3858" s="315"/>
      <c r="BH3858" s="42"/>
    </row>
    <row r="3859" spans="51:60" x14ac:dyDescent="0.2">
      <c r="AY3859" s="315"/>
      <c r="AZ3859" s="326"/>
      <c r="BA3859" s="175"/>
      <c r="BB3859" s="42"/>
      <c r="BC3859" s="431"/>
      <c r="BG3859" s="315"/>
      <c r="BH3859" s="42"/>
    </row>
    <row r="3860" spans="51:60" x14ac:dyDescent="0.2">
      <c r="AY3860" s="315"/>
      <c r="AZ3860" s="326"/>
      <c r="BA3860" s="175"/>
      <c r="BB3860" s="42"/>
      <c r="BC3860" s="431"/>
      <c r="BG3860" s="315"/>
      <c r="BH3860" s="42"/>
    </row>
    <row r="3861" spans="51:60" x14ac:dyDescent="0.2">
      <c r="AY3861" s="315"/>
      <c r="AZ3861" s="326"/>
      <c r="BA3861" s="175"/>
      <c r="BB3861" s="42"/>
      <c r="BC3861" s="431"/>
      <c r="BG3861" s="315"/>
      <c r="BH3861" s="42"/>
    </row>
    <row r="3862" spans="51:60" x14ac:dyDescent="0.2">
      <c r="AY3862" s="315"/>
      <c r="AZ3862" s="326"/>
      <c r="BA3862" s="175"/>
      <c r="BB3862" s="42"/>
      <c r="BC3862" s="431"/>
      <c r="BG3862" s="315"/>
      <c r="BH3862" s="42"/>
    </row>
    <row r="3863" spans="51:60" x14ac:dyDescent="0.2">
      <c r="AY3863" s="315"/>
      <c r="AZ3863" s="326"/>
      <c r="BA3863" s="175"/>
      <c r="BB3863" s="42"/>
      <c r="BC3863" s="431"/>
      <c r="BG3863" s="315"/>
      <c r="BH3863" s="42"/>
    </row>
    <row r="3864" spans="51:60" x14ac:dyDescent="0.2">
      <c r="AY3864" s="315"/>
      <c r="AZ3864" s="326"/>
      <c r="BA3864" s="175"/>
      <c r="BB3864" s="42"/>
      <c r="BC3864" s="431"/>
      <c r="BG3864" s="315"/>
      <c r="BH3864" s="42"/>
    </row>
    <row r="3865" spans="51:60" x14ac:dyDescent="0.2">
      <c r="AY3865" s="315"/>
      <c r="AZ3865" s="326"/>
      <c r="BA3865" s="175"/>
      <c r="BB3865" s="42"/>
      <c r="BC3865" s="431"/>
      <c r="BG3865" s="315"/>
      <c r="BH3865" s="42"/>
    </row>
    <row r="3866" spans="51:60" x14ac:dyDescent="0.2">
      <c r="AY3866" s="315"/>
      <c r="AZ3866" s="326"/>
      <c r="BA3866" s="175"/>
      <c r="BB3866" s="42"/>
      <c r="BC3866" s="431"/>
      <c r="BG3866" s="315"/>
      <c r="BH3866" s="42"/>
    </row>
    <row r="3867" spans="51:60" x14ac:dyDescent="0.2">
      <c r="AY3867" s="315"/>
      <c r="AZ3867" s="326"/>
      <c r="BA3867" s="175"/>
      <c r="BB3867" s="42"/>
      <c r="BC3867" s="431"/>
      <c r="BG3867" s="315"/>
      <c r="BH3867" s="42"/>
    </row>
    <row r="3868" spans="51:60" x14ac:dyDescent="0.2">
      <c r="AY3868" s="315"/>
      <c r="AZ3868" s="326"/>
      <c r="BA3868" s="175"/>
      <c r="BB3868" s="42"/>
      <c r="BC3868" s="431"/>
      <c r="BG3868" s="315"/>
      <c r="BH3868" s="42"/>
    </row>
    <row r="3869" spans="51:60" x14ac:dyDescent="0.2">
      <c r="AY3869" s="315"/>
      <c r="AZ3869" s="326"/>
      <c r="BA3869" s="175"/>
      <c r="BB3869" s="42"/>
      <c r="BC3869" s="431"/>
      <c r="BG3869" s="315"/>
      <c r="BH3869" s="42"/>
    </row>
    <row r="3870" spans="51:60" x14ac:dyDescent="0.2">
      <c r="AY3870" s="315"/>
      <c r="AZ3870" s="326"/>
      <c r="BA3870" s="175"/>
      <c r="BB3870" s="42"/>
      <c r="BC3870" s="431"/>
      <c r="BG3870" s="315"/>
      <c r="BH3870" s="42"/>
    </row>
    <row r="3871" spans="51:60" x14ac:dyDescent="0.2">
      <c r="AY3871" s="315"/>
      <c r="AZ3871" s="326"/>
      <c r="BA3871" s="175"/>
      <c r="BB3871" s="42"/>
      <c r="BC3871" s="431"/>
      <c r="BG3871" s="315"/>
      <c r="BH3871" s="42"/>
    </row>
    <row r="3872" spans="51:60" x14ac:dyDescent="0.2">
      <c r="AY3872" s="315"/>
      <c r="AZ3872" s="326"/>
      <c r="BA3872" s="175"/>
      <c r="BB3872" s="42"/>
      <c r="BC3872" s="431"/>
      <c r="BG3872" s="315"/>
      <c r="BH3872" s="42"/>
    </row>
    <row r="3873" spans="51:60" x14ac:dyDescent="0.2">
      <c r="AY3873" s="315"/>
      <c r="AZ3873" s="326"/>
      <c r="BA3873" s="175"/>
      <c r="BB3873" s="42"/>
      <c r="BC3873" s="431"/>
      <c r="BG3873" s="315"/>
      <c r="BH3873" s="42"/>
    </row>
    <row r="3874" spans="51:60" x14ac:dyDescent="0.2">
      <c r="AY3874" s="315"/>
      <c r="AZ3874" s="326"/>
      <c r="BA3874" s="175"/>
      <c r="BB3874" s="42"/>
      <c r="BC3874" s="431"/>
      <c r="BG3874" s="315"/>
      <c r="BH3874" s="42"/>
    </row>
    <row r="3875" spans="51:60" x14ac:dyDescent="0.2">
      <c r="AY3875" s="315"/>
      <c r="AZ3875" s="326"/>
      <c r="BA3875" s="175"/>
      <c r="BB3875" s="42"/>
      <c r="BC3875" s="431"/>
      <c r="BG3875" s="315"/>
      <c r="BH3875" s="42"/>
    </row>
    <row r="3876" spans="51:60" x14ac:dyDescent="0.2">
      <c r="AY3876" s="315"/>
      <c r="AZ3876" s="326"/>
      <c r="BA3876" s="175"/>
      <c r="BB3876" s="42"/>
      <c r="BC3876" s="431"/>
      <c r="BG3876" s="315"/>
      <c r="BH3876" s="42"/>
    </row>
  </sheetData>
  <mergeCells count="1">
    <mergeCell ref="A2:B3"/>
  </mergeCells>
  <conditionalFormatting sqref="O1:O1048576">
    <cfRule type="expression" dxfId="166" priority="11">
      <formula>AND($N1&lt;&gt;$O1,ISNUMBER($O1))</formula>
    </cfRule>
  </conditionalFormatting>
  <conditionalFormatting sqref="F1:BH1048576">
    <cfRule type="expression" dxfId="165" priority="2">
      <formula>AND(ISNUMBER(F1),F1&lt;0)</formula>
    </cfRule>
  </conditionalFormatting>
  <conditionalFormatting sqref="F1:F1048576 AL1:AM1048576 AS1:AT1048576 AW1:AW1048576 AY1:AY1048576 BA1:BA1048576 BD1:BD1048576 BG1:BG1048576">
    <cfRule type="expression" dxfId="164" priority="1">
      <formula>$C1="&lt;01"</formula>
    </cfRule>
  </conditionalFormatting>
  <conditionalFormatting sqref="AQ1:AR1048576 BC1:BC1048576 BF1:BF1048576 S1:AM1048576">
    <cfRule type="expression" dxfId="163" priority="4">
      <formula>AND(ROW($S1)&gt;14,$E1&lt;&gt;"",LEFT($B1,4)="_Mil")</formula>
    </cfRule>
  </conditionalFormatting>
  <conditionalFormatting sqref="AN1:AN1048576">
    <cfRule type="expression" dxfId="162" priority="7">
      <formula>AND(ROW($AN1)&gt;14,$E1&lt;&gt;"",$C1&lt;&gt;"&lt;01")</formula>
    </cfRule>
  </conditionalFormatting>
  <conditionalFormatting sqref="W1:W1048576 Y1:Y1048576 AB1:AB1048576 AE1:AE1048576 AG1:AH1048576 AS1:AT1048576 AW1:AW1048576 AY1:AY1048576 BA1:BA1048576 BD1:BD1048576 BG1:BG1048576">
    <cfRule type="expression" dxfId="161" priority="3">
      <formula>AND(ISNUMBER(W1),W1&gt;1)</formula>
    </cfRule>
  </conditionalFormatting>
  <conditionalFormatting sqref="AA1:AA1048576 AL1:AL1048576 AR1:AR1048576">
    <cfRule type="expression" dxfId="160" priority="9">
      <formula>AND(ISNUMBER(AA1),AA1&gt;1)</formula>
    </cfRule>
    <cfRule type="expression" dxfId="159" priority="12">
      <formula>AND(ISNUMBER(AA1),AA1&lt;0.9)</formula>
    </cfRule>
  </conditionalFormatting>
  <conditionalFormatting sqref="Y1:Y1048576 AB1:AB1048576 AE1:AE1048576 AG1:AG1048576 BA1:BA1048576 BD1:BD1048576 BG1:BG1048576">
    <cfRule type="expression" dxfId="158" priority="10">
      <formula>AND(ISNUMBER(Y1),Y1&lt;0.95)</formula>
    </cfRule>
  </conditionalFormatting>
  <conditionalFormatting sqref="AS1:AT1048576">
    <cfRule type="expression" dxfId="157" priority="8">
      <formula>AND(ISNUMBER(AS1),AS1&lt;0.98)</formula>
    </cfRule>
  </conditionalFormatting>
  <conditionalFormatting sqref="AW1:AW1048576">
    <cfRule type="expression" dxfId="156" priority="6">
      <formula>AND(ISNUMBER(AW1),AW1&lt;1)</formula>
    </cfRule>
  </conditionalFormatting>
  <conditionalFormatting sqref="AY1:AY1048576">
    <cfRule type="expression" dxfId="155" priority="5">
      <formula>AND(ISNUMBER(AY1),AY1&lt;0.7)</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P15"/>
  <sheetViews>
    <sheetView workbookViewId="0">
      <pane xSplit="4" ySplit="14" topLeftCell="AL15" activePane="bottomRight" state="frozen"/>
      <selection pane="topRight" activeCell="E1" sqref="E1"/>
      <selection pane="bottomLeft" activeCell="A15" sqref="A15"/>
      <selection pane="bottomRight" activeCell="AP15" sqref="AP15"/>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9" width="11.83203125" style="36"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300" t="s">
        <v>288</v>
      </c>
      <c r="B1" s="4"/>
      <c r="C1" s="1"/>
      <c r="D1" s="1"/>
      <c r="E1" s="215" t="s">
        <v>29</v>
      </c>
      <c r="F1" s="181"/>
      <c r="G1" s="230"/>
      <c r="H1" s="215" t="s">
        <v>531</v>
      </c>
      <c r="I1" s="181"/>
      <c r="J1" s="215" t="s">
        <v>21</v>
      </c>
      <c r="K1" s="181"/>
      <c r="L1" s="215" t="s">
        <v>19</v>
      </c>
      <c r="M1" s="187"/>
      <c r="N1" s="215" t="s">
        <v>0</v>
      </c>
      <c r="O1" s="183"/>
      <c r="P1" s="183"/>
      <c r="Q1" s="181"/>
      <c r="R1" s="180"/>
      <c r="S1" s="180"/>
      <c r="T1" s="215" t="s">
        <v>1</v>
      </c>
      <c r="U1" s="185"/>
      <c r="V1" s="185"/>
      <c r="W1" s="180"/>
      <c r="X1" s="180"/>
      <c r="Y1" s="229"/>
      <c r="Z1" s="181"/>
      <c r="AA1" s="214" t="s">
        <v>36</v>
      </c>
      <c r="AB1" s="179"/>
      <c r="AC1" s="185"/>
      <c r="AD1" s="181"/>
      <c r="AE1" s="214" t="s">
        <v>35</v>
      </c>
      <c r="AF1" s="181"/>
      <c r="AG1" s="215" t="s">
        <v>147</v>
      </c>
      <c r="AH1" s="180"/>
      <c r="AI1" s="184"/>
      <c r="AJ1" s="184"/>
      <c r="AK1" s="181"/>
      <c r="AL1" s="181"/>
      <c r="AM1" s="214" t="s">
        <v>139</v>
      </c>
      <c r="AN1" s="181"/>
      <c r="AO1" s="215" t="s">
        <v>145</v>
      </c>
      <c r="AP1" s="181"/>
    </row>
    <row r="2" spans="1:42" s="21" customFormat="1" ht="19" x14ac:dyDescent="0.25">
      <c r="A2" s="13"/>
      <c r="B2" s="2"/>
      <c r="C2" s="2"/>
      <c r="D2" s="2"/>
      <c r="E2" s="265" t="s">
        <v>774</v>
      </c>
      <c r="F2" s="264" t="s">
        <v>774</v>
      </c>
      <c r="G2" s="274" t="s">
        <v>774</v>
      </c>
      <c r="H2" s="50"/>
      <c r="I2" s="264" t="s">
        <v>774</v>
      </c>
      <c r="J2" s="52"/>
      <c r="K2" s="264" t="s">
        <v>774</v>
      </c>
      <c r="L2" s="52"/>
      <c r="M2" s="258" t="s">
        <v>774</v>
      </c>
      <c r="N2" s="52"/>
      <c r="O2" s="46"/>
      <c r="P2" s="46"/>
      <c r="Q2" s="264" t="s">
        <v>774</v>
      </c>
      <c r="R2" s="408"/>
      <c r="S2" s="408"/>
      <c r="T2" s="52"/>
      <c r="U2" s="3"/>
      <c r="V2" s="3"/>
      <c r="W2" s="259"/>
      <c r="X2" s="259"/>
      <c r="Y2" s="121"/>
      <c r="Z2" s="264" t="s">
        <v>774</v>
      </c>
      <c r="AA2" s="120"/>
      <c r="AB2" s="55"/>
      <c r="AC2" s="3"/>
      <c r="AD2" s="264" t="s">
        <v>774</v>
      </c>
      <c r="AE2" s="120"/>
      <c r="AF2" s="264" t="s">
        <v>774</v>
      </c>
      <c r="AG2" s="50"/>
      <c r="AH2" s="34"/>
      <c r="AI2" s="3"/>
      <c r="AJ2" s="3"/>
      <c r="AK2" s="264" t="s">
        <v>774</v>
      </c>
      <c r="AL2" s="264" t="s">
        <v>774</v>
      </c>
      <c r="AM2" s="120"/>
      <c r="AN2" s="264" t="s">
        <v>774</v>
      </c>
      <c r="AO2" s="50"/>
      <c r="AP2" s="264" t="s">
        <v>774</v>
      </c>
    </row>
    <row r="3" spans="1:42" s="25" customFormat="1" ht="117" customHeight="1" x14ac:dyDescent="0.2">
      <c r="A3"/>
      <c r="B3"/>
      <c r="C3"/>
      <c r="D3" s="26"/>
      <c r="E3" s="266" t="s">
        <v>1145</v>
      </c>
      <c r="F3" s="257" t="s">
        <v>1146</v>
      </c>
      <c r="G3" s="275" t="s">
        <v>1147</v>
      </c>
      <c r="H3" s="72" t="s">
        <v>866</v>
      </c>
      <c r="I3" s="257" t="s">
        <v>675</v>
      </c>
      <c r="J3" s="112" t="s">
        <v>688</v>
      </c>
      <c r="K3" s="257" t="s">
        <v>676</v>
      </c>
      <c r="L3" s="105" t="s">
        <v>689</v>
      </c>
      <c r="M3" s="261" t="s">
        <v>677</v>
      </c>
      <c r="N3" s="105" t="s">
        <v>693</v>
      </c>
      <c r="O3" s="74" t="s">
        <v>690</v>
      </c>
      <c r="P3" s="201" t="s">
        <v>863</v>
      </c>
      <c r="Q3" s="257" t="s">
        <v>678</v>
      </c>
      <c r="R3" s="244" t="s">
        <v>1197</v>
      </c>
      <c r="S3" s="68" t="s">
        <v>1196</v>
      </c>
      <c r="T3" s="105" t="s">
        <v>691</v>
      </c>
      <c r="U3" s="202" t="s">
        <v>623</v>
      </c>
      <c r="V3" s="202" t="s">
        <v>622</v>
      </c>
      <c r="W3" s="74" t="s">
        <v>679</v>
      </c>
      <c r="X3" s="74" t="s">
        <v>621</v>
      </c>
      <c r="Y3" s="333" t="s">
        <v>620</v>
      </c>
      <c r="Z3" s="30" t="s">
        <v>680</v>
      </c>
      <c r="AA3" s="363" t="s">
        <v>624</v>
      </c>
      <c r="AB3" s="361" t="s">
        <v>625</v>
      </c>
      <c r="AC3" s="364" t="s">
        <v>626</v>
      </c>
      <c r="AD3" s="30" t="s">
        <v>681</v>
      </c>
      <c r="AE3" s="363" t="s">
        <v>589</v>
      </c>
      <c r="AF3" s="30" t="s">
        <v>682</v>
      </c>
      <c r="AG3" s="72" t="s">
        <v>861</v>
      </c>
      <c r="AH3" s="68" t="s">
        <v>862</v>
      </c>
      <c r="AI3" s="202" t="s">
        <v>655</v>
      </c>
      <c r="AJ3" s="202" t="s">
        <v>683</v>
      </c>
      <c r="AK3" s="30" t="s">
        <v>684</v>
      </c>
      <c r="AL3" s="257" t="s">
        <v>685</v>
      </c>
      <c r="AM3" s="247" t="s">
        <v>864</v>
      </c>
      <c r="AN3" s="30" t="s">
        <v>686</v>
      </c>
      <c r="AO3" s="72" t="s">
        <v>692</v>
      </c>
      <c r="AP3" s="257" t="s">
        <v>687</v>
      </c>
    </row>
    <row r="4" spans="1:42" s="25" customFormat="1" x14ac:dyDescent="0.2">
      <c r="A4" s="304"/>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35" t="str">
        <f>IF(SUM($F4)=0,"",SUM($R4)/$F4)</f>
        <v/>
      </c>
      <c r="T4" s="115">
        <f>SUBTOTAL(109,T$15:INDEX(T:T,COUNTA($B:$B)+14-COUNTA($B$1:$B$14)))</f>
        <v>0</v>
      </c>
      <c r="U4" s="96"/>
      <c r="V4" s="96"/>
      <c r="W4" s="35">
        <f>SUBTOTAL(109,W$15:INDEX(W:W,COUNTA($B:$B)+14-COUNTA($B$1:$B$14)))</f>
        <v>0</v>
      </c>
      <c r="X4" s="35">
        <f>SUBTOTAL(109,X$15:INDEX(X:X,COUNTA($B:$B)+14-COUNTA($B$1:$B$14)))</f>
        <v>0</v>
      </c>
      <c r="Y4" s="365"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36"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137</v>
      </c>
      <c r="B6" s="28" t="s">
        <v>137</v>
      </c>
      <c r="C6" s="28" t="s">
        <v>137</v>
      </c>
      <c r="D6" s="28" t="s">
        <v>137</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36"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36" t="s">
        <v>55</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90" t="s">
        <v>117</v>
      </c>
      <c r="F8" s="273" t="s">
        <v>175</v>
      </c>
      <c r="G8" s="291" t="s">
        <v>176</v>
      </c>
      <c r="H8" s="279" t="s">
        <v>568</v>
      </c>
      <c r="I8" s="273" t="s">
        <v>568</v>
      </c>
      <c r="J8" s="280" t="s">
        <v>127</v>
      </c>
      <c r="K8" s="273" t="s">
        <v>127</v>
      </c>
      <c r="L8" s="280" t="s">
        <v>118</v>
      </c>
      <c r="M8" s="281" t="s">
        <v>118</v>
      </c>
      <c r="N8" s="293" t="s">
        <v>516</v>
      </c>
      <c r="O8" s="282" t="s">
        <v>153</v>
      </c>
      <c r="P8" s="104"/>
      <c r="Q8" s="273" t="s">
        <v>153</v>
      </c>
      <c r="R8" s="36"/>
      <c r="S8" s="36"/>
      <c r="T8" s="280" t="s">
        <v>125</v>
      </c>
      <c r="U8" s="166"/>
      <c r="V8" s="166"/>
      <c r="W8" s="36"/>
      <c r="X8" s="36"/>
      <c r="Y8" s="366"/>
      <c r="Z8" s="273" t="s">
        <v>125</v>
      </c>
      <c r="AA8" s="362"/>
      <c r="AB8" s="137"/>
      <c r="AC8" s="166"/>
      <c r="AD8" s="273" t="s">
        <v>150</v>
      </c>
      <c r="AE8" s="362"/>
      <c r="AF8" s="273" t="s">
        <v>149</v>
      </c>
      <c r="AG8" s="279" t="s">
        <v>123</v>
      </c>
      <c r="AH8" s="277" t="s">
        <v>123</v>
      </c>
      <c r="AI8" s="166"/>
      <c r="AJ8" s="166"/>
      <c r="AK8" s="273" t="s">
        <v>123</v>
      </c>
      <c r="AL8" s="273" t="s">
        <v>123</v>
      </c>
      <c r="AM8" s="362"/>
      <c r="AN8" s="273" t="s">
        <v>146</v>
      </c>
      <c r="AO8" s="283" t="s">
        <v>164</v>
      </c>
      <c r="AP8" s="273" t="s">
        <v>164</v>
      </c>
    </row>
    <row r="9" spans="1:42" s="25" customFormat="1" x14ac:dyDescent="0.2">
      <c r="B9" s="28"/>
      <c r="C9" s="28"/>
      <c r="D9" s="28"/>
      <c r="E9" s="290"/>
      <c r="F9" s="273"/>
      <c r="G9" s="291"/>
      <c r="H9" s="279" t="s">
        <v>569</v>
      </c>
      <c r="I9" s="273" t="s">
        <v>569</v>
      </c>
      <c r="J9" s="280" t="s">
        <v>128</v>
      </c>
      <c r="K9" s="273" t="s">
        <v>128</v>
      </c>
      <c r="L9" s="280" t="s">
        <v>119</v>
      </c>
      <c r="M9" s="281" t="s">
        <v>119</v>
      </c>
      <c r="N9" s="293" t="s">
        <v>517</v>
      </c>
      <c r="O9" s="282" t="s">
        <v>154</v>
      </c>
      <c r="P9" s="104"/>
      <c r="Q9" s="273" t="s">
        <v>154</v>
      </c>
      <c r="R9" s="36"/>
      <c r="S9" s="36"/>
      <c r="T9" s="280" t="s">
        <v>126</v>
      </c>
      <c r="U9" s="166"/>
      <c r="V9" s="166"/>
      <c r="W9" s="36"/>
      <c r="X9" s="36"/>
      <c r="Y9" s="366"/>
      <c r="Z9" s="273" t="s">
        <v>126</v>
      </c>
      <c r="AA9" s="362"/>
      <c r="AB9" s="137"/>
      <c r="AC9" s="166"/>
      <c r="AD9" s="273" t="s">
        <v>151</v>
      </c>
      <c r="AE9" s="362"/>
      <c r="AF9" s="273" t="s">
        <v>148</v>
      </c>
      <c r="AG9" s="279" t="s">
        <v>124</v>
      </c>
      <c r="AH9" s="277" t="s">
        <v>124</v>
      </c>
      <c r="AI9" s="166"/>
      <c r="AJ9" s="166"/>
      <c r="AK9" s="273" t="s">
        <v>124</v>
      </c>
      <c r="AL9" s="273" t="s">
        <v>124</v>
      </c>
      <c r="AM9" s="362"/>
      <c r="AN9" s="273" t="s">
        <v>178</v>
      </c>
      <c r="AO9" s="283" t="s">
        <v>163</v>
      </c>
      <c r="AP9" s="273" t="s">
        <v>163</v>
      </c>
    </row>
    <row r="10" spans="1:42" s="25" customFormat="1" x14ac:dyDescent="0.2">
      <c r="B10" s="28"/>
      <c r="C10" s="28"/>
      <c r="D10" s="28"/>
      <c r="E10" s="290"/>
      <c r="F10" s="273" t="s">
        <v>65</v>
      </c>
      <c r="G10" s="291" t="s">
        <v>65</v>
      </c>
      <c r="H10" s="279"/>
      <c r="I10" s="273"/>
      <c r="J10" s="280"/>
      <c r="K10" s="273"/>
      <c r="L10" s="280"/>
      <c r="M10" s="281"/>
      <c r="N10" s="293" t="s">
        <v>65</v>
      </c>
      <c r="O10" s="282" t="s">
        <v>65</v>
      </c>
      <c r="P10" s="104"/>
      <c r="Q10" s="273" t="s">
        <v>65</v>
      </c>
      <c r="R10" s="36"/>
      <c r="S10" s="36"/>
      <c r="T10" s="280" t="s">
        <v>65</v>
      </c>
      <c r="U10" s="166"/>
      <c r="V10" s="166"/>
      <c r="W10" s="36"/>
      <c r="X10" s="36"/>
      <c r="Y10" s="366"/>
      <c r="Z10" s="273" t="s">
        <v>65</v>
      </c>
      <c r="AA10" s="362"/>
      <c r="AB10" s="137"/>
      <c r="AC10" s="166"/>
      <c r="AD10" s="273" t="s">
        <v>65</v>
      </c>
      <c r="AE10" s="362"/>
      <c r="AF10" s="273" t="s">
        <v>65</v>
      </c>
      <c r="AG10" s="279" t="s">
        <v>65</v>
      </c>
      <c r="AH10" s="277" t="s">
        <v>82</v>
      </c>
      <c r="AI10" s="166"/>
      <c r="AJ10" s="166"/>
      <c r="AK10" s="273" t="s">
        <v>65</v>
      </c>
      <c r="AL10" s="273" t="s">
        <v>82</v>
      </c>
      <c r="AM10" s="362"/>
      <c r="AN10" s="273" t="s">
        <v>65</v>
      </c>
      <c r="AO10" s="283"/>
      <c r="AP10" s="273"/>
    </row>
    <row r="11" spans="1:42" s="25" customFormat="1" x14ac:dyDescent="0.2">
      <c r="B11" s="28"/>
      <c r="C11" s="28"/>
      <c r="D11" s="28"/>
      <c r="E11" s="60"/>
      <c r="F11" s="33"/>
      <c r="G11" s="163"/>
      <c r="H11" s="47"/>
      <c r="I11" s="33"/>
      <c r="J11" s="114"/>
      <c r="K11" s="33"/>
      <c r="L11" s="114"/>
      <c r="M11" s="100"/>
      <c r="N11" s="108"/>
      <c r="O11" s="104"/>
      <c r="P11" s="104"/>
      <c r="Q11" s="33"/>
      <c r="R11" s="36"/>
      <c r="S11" s="36"/>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36"/>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467</v>
      </c>
      <c r="F13" s="33" t="s">
        <v>467</v>
      </c>
      <c r="G13" s="92" t="s">
        <v>467</v>
      </c>
      <c r="H13" s="47" t="s">
        <v>467</v>
      </c>
      <c r="I13" s="33" t="s">
        <v>467</v>
      </c>
      <c r="J13" s="114" t="s">
        <v>467</v>
      </c>
      <c r="K13" s="33" t="s">
        <v>467</v>
      </c>
      <c r="L13" s="114" t="s">
        <v>467</v>
      </c>
      <c r="M13" s="33" t="s">
        <v>467</v>
      </c>
      <c r="N13" s="107" t="s">
        <v>467</v>
      </c>
      <c r="O13" s="37" t="s">
        <v>467</v>
      </c>
      <c r="P13" s="37" t="s">
        <v>467</v>
      </c>
      <c r="Q13" s="33" t="s">
        <v>467</v>
      </c>
      <c r="R13" s="36" t="s">
        <v>467</v>
      </c>
      <c r="S13" s="36" t="s">
        <v>467</v>
      </c>
      <c r="T13" s="114" t="s">
        <v>467</v>
      </c>
      <c r="U13" s="98" t="s">
        <v>467</v>
      </c>
      <c r="V13" s="98" t="s">
        <v>467</v>
      </c>
      <c r="W13" s="36" t="s">
        <v>467</v>
      </c>
      <c r="X13" s="36" t="s">
        <v>467</v>
      </c>
      <c r="Y13" s="141" t="s">
        <v>467</v>
      </c>
      <c r="Z13" s="33" t="s">
        <v>467</v>
      </c>
      <c r="AA13" s="161" t="s">
        <v>467</v>
      </c>
      <c r="AB13" s="136" t="s">
        <v>467</v>
      </c>
      <c r="AC13" s="98" t="s">
        <v>467</v>
      </c>
      <c r="AD13" s="33" t="s">
        <v>467</v>
      </c>
      <c r="AE13" s="161" t="s">
        <v>467</v>
      </c>
      <c r="AF13" s="33" t="s">
        <v>467</v>
      </c>
      <c r="AG13" s="47" t="s">
        <v>467</v>
      </c>
      <c r="AH13" s="36" t="s">
        <v>467</v>
      </c>
      <c r="AI13" s="98" t="s">
        <v>467</v>
      </c>
      <c r="AJ13" s="98" t="s">
        <v>467</v>
      </c>
      <c r="AK13" s="33" t="s">
        <v>467</v>
      </c>
      <c r="AL13" s="33" t="s">
        <v>467</v>
      </c>
      <c r="AM13" s="161" t="s">
        <v>467</v>
      </c>
      <c r="AN13" s="33" t="s">
        <v>467</v>
      </c>
      <c r="AO13" s="47" t="s">
        <v>467</v>
      </c>
      <c r="AP13" s="33" t="s">
        <v>467</v>
      </c>
    </row>
    <row r="14" spans="1:42" s="25" customFormat="1" x14ac:dyDescent="0.2">
      <c r="A14" s="299" t="s">
        <v>44</v>
      </c>
      <c r="B14" s="207" t="s">
        <v>3</v>
      </c>
      <c r="C14" s="207" t="s">
        <v>45</v>
      </c>
      <c r="D14" s="207" t="s">
        <v>47</v>
      </c>
      <c r="E14" s="238" t="s">
        <v>1064</v>
      </c>
      <c r="F14" s="217" t="s">
        <v>1065</v>
      </c>
      <c r="G14" s="239" t="s">
        <v>1066</v>
      </c>
      <c r="H14" s="218" t="s">
        <v>865</v>
      </c>
      <c r="I14" s="217" t="s">
        <v>533</v>
      </c>
      <c r="J14" s="218" t="s">
        <v>273</v>
      </c>
      <c r="K14" s="217" t="s">
        <v>274</v>
      </c>
      <c r="L14" s="218" t="s">
        <v>259</v>
      </c>
      <c r="M14" s="217" t="s">
        <v>260</v>
      </c>
      <c r="N14" s="218" t="s">
        <v>390</v>
      </c>
      <c r="O14" s="194" t="s">
        <v>391</v>
      </c>
      <c r="P14" s="194" t="s">
        <v>867</v>
      </c>
      <c r="Q14" s="217" t="s">
        <v>269</v>
      </c>
      <c r="R14" s="194" t="s">
        <v>1194</v>
      </c>
      <c r="S14" s="194" t="s">
        <v>1195</v>
      </c>
      <c r="T14" s="218" t="s">
        <v>267</v>
      </c>
      <c r="U14" s="195" t="s">
        <v>394</v>
      </c>
      <c r="V14" s="195" t="s">
        <v>393</v>
      </c>
      <c r="W14" s="194" t="s">
        <v>392</v>
      </c>
      <c r="X14" s="194" t="s">
        <v>868</v>
      </c>
      <c r="Y14" s="196" t="s">
        <v>869</v>
      </c>
      <c r="Z14" s="217" t="s">
        <v>268</v>
      </c>
      <c r="AA14" s="223" t="s">
        <v>645</v>
      </c>
      <c r="AB14" s="191" t="s">
        <v>646</v>
      </c>
      <c r="AC14" s="195" t="s">
        <v>870</v>
      </c>
      <c r="AD14" s="217" t="s">
        <v>270</v>
      </c>
      <c r="AE14" s="223" t="s">
        <v>271</v>
      </c>
      <c r="AF14" s="217" t="s">
        <v>272</v>
      </c>
      <c r="AG14" s="218" t="s">
        <v>498</v>
      </c>
      <c r="AH14" s="194" t="s">
        <v>499</v>
      </c>
      <c r="AI14" s="195" t="s">
        <v>395</v>
      </c>
      <c r="AJ14" s="195" t="s">
        <v>396</v>
      </c>
      <c r="AK14" s="217" t="s">
        <v>263</v>
      </c>
      <c r="AL14" s="217" t="s">
        <v>264</v>
      </c>
      <c r="AM14" s="223" t="s">
        <v>871</v>
      </c>
      <c r="AN14" s="217" t="s">
        <v>265</v>
      </c>
      <c r="AO14" s="218" t="s">
        <v>389</v>
      </c>
      <c r="AP14" s="217" t="s">
        <v>266</v>
      </c>
    </row>
    <row r="15" spans="1:42" x14ac:dyDescent="0.2">
      <c r="A15" s="302" t="e">
        <f>INDEX(Prioritization!$D:$D,MATCH($B15,Prioritization!$A:$A,0))</f>
        <v>#N/A</v>
      </c>
      <c r="B15" s="20"/>
      <c r="C15" s="20"/>
      <c r="D15" s="20" t="str">
        <f>B15&amp;"|"&amp;C15</f>
        <v>|</v>
      </c>
      <c r="G15" s="92"/>
      <c r="L15" s="60"/>
      <c r="M15" s="40"/>
      <c r="N15" s="53"/>
      <c r="O15" s="38"/>
      <c r="P15" s="38" t="str">
        <f>IF(MAX($N15,$O15)=0,"",MAX($N15,$O15))</f>
        <v/>
      </c>
      <c r="Q15" s="33" t="str">
        <f>IF(SUM($P15)=0,"",SUM($P15))</f>
        <v/>
      </c>
      <c r="S15" s="36" t="str">
        <f>IF(SUM($F15)=0,"",SUM($R15)/$F15)</f>
        <v/>
      </c>
      <c r="T15" s="53"/>
      <c r="U15" s="11">
        <v>0.98</v>
      </c>
      <c r="V15" s="11">
        <v>0.98</v>
      </c>
      <c r="W15" s="37" t="str">
        <f>IF(SUM($P15,$Q15)=0,"",SUM($Q15)-SUM($P15))</f>
        <v/>
      </c>
      <c r="X15" s="37" t="str">
        <f>IFERROR(1/(1/ROUND((SUM($Q15)-(SUM($P15)*SUM($U15)))/$V15,0)),"")</f>
        <v/>
      </c>
      <c r="Y15" s="124">
        <v>1</v>
      </c>
      <c r="Z15" s="33" t="str">
        <f>IFERROR(1/(1/ROUND(SUM($X15)*SUM($Y15),0)),"")</f>
        <v/>
      </c>
      <c r="AA15" s="338">
        <v>0.7</v>
      </c>
      <c r="AB15" s="146" t="str">
        <f>IFERROR(1/(1/ROUND($P15+(SUM($X15)*$AA15),0)),"")</f>
        <v/>
      </c>
      <c r="AC15" s="336">
        <v>0.95</v>
      </c>
      <c r="AD15" s="33" t="str">
        <f>IF(SUM($AB15)=0,"",ROUND($AB15*$AC15,0))</f>
        <v/>
      </c>
      <c r="AE15" s="338">
        <v>0.95</v>
      </c>
      <c r="AF15" s="33" t="str">
        <f>IF(SUM($AD15)=0,"",ROUND($AD15*$AE15,0))</f>
        <v/>
      </c>
      <c r="AI15" s="11">
        <v>0.95</v>
      </c>
      <c r="AJ15" s="11"/>
      <c r="AK15" s="33" t="str">
        <f>IF(SUM($Z15)=0,"",IF(AND(SUM($Z15)&gt;0,$AI15=""),"ENTER LINKAGE RATE",ROUND($Z15/$AI15,0)))</f>
        <v/>
      </c>
      <c r="AL15" s="33" t="str">
        <f>IF(SUM($AK15)=0,"",IF(AND($AK15&gt;0,$AJ15=""),"ENTER YIELD RATE",ROUND($AK15/$AJ15-$AK15,0)))</f>
        <v/>
      </c>
      <c r="AM15" s="81">
        <v>1</v>
      </c>
      <c r="AN15" s="33" t="str">
        <f>IF(SUM($AK15)=0,"",ROUND($AK15*$AM15,0))</f>
        <v/>
      </c>
    </row>
  </sheetData>
  <conditionalFormatting sqref="AC1:AC1048576 AE1:AE1048576 AI1:AI1048576">
    <cfRule type="expression" dxfId="154" priority="3836">
      <formula>AND(ISNUMBER(AC1),SUM(AC1)&lt;95%)</formula>
    </cfRule>
  </conditionalFormatting>
  <conditionalFormatting sqref="E1:G1048576">
    <cfRule type="expression" dxfId="153" priority="2">
      <formula>LEFT($B1,4)="_Mil"</formula>
    </cfRule>
  </conditionalFormatting>
  <conditionalFormatting sqref="AA1:AA1048576">
    <cfRule type="expression" dxfId="152" priority="34">
      <formula>AND(ISNUMBER($AA1),ROUND(SUM($X1),0)&gt;0,ROUND(SUM($AA1),2)&lt;70%)</formula>
    </cfRule>
  </conditionalFormatting>
  <conditionalFormatting sqref="V1:V1048576">
    <cfRule type="expression" dxfId="151" priority="19">
      <formula>AND(ISNUMBER($V1),SUM($V1)&lt;98%)</formula>
    </cfRule>
  </conditionalFormatting>
  <conditionalFormatting sqref="E1:AP1048576">
    <cfRule type="expression" dxfId="150" priority="3">
      <formula>AND(ISNUMBER(E1),E1&lt;0)</formula>
    </cfRule>
  </conditionalFormatting>
  <conditionalFormatting sqref="G1:G1048576 U1:V1048576 Y1:Y1048576 AA1:AA1048576 AC1:AC1048576 AE1:AE1048576 AI1:AJ1048576 AM1:AM1048576">
    <cfRule type="expression" dxfId="149" priority="4">
      <formula>AND(ISNUMBER(G1),G1&gt;1)</formula>
    </cfRule>
  </conditionalFormatting>
  <conditionalFormatting sqref="Y1:Y1048576 AM1:AM1048576">
    <cfRule type="expression" dxfId="148" priority="32">
      <formula>AND(ISNUMBER(Y1),SUM(Y1)&lt;100%)</formula>
    </cfRule>
  </conditionalFormatting>
  <conditionalFormatting sqref="U1:U1048576">
    <cfRule type="expression" dxfId="147" priority="13">
      <formula>AND(ISNUMBER($U1),SUM($U1)&lt;98%)</formula>
    </cfRule>
  </conditionalFormatting>
  <conditionalFormatting sqref="AI1:AI1048576">
    <cfRule type="expression" dxfId="146" priority="10">
      <formula>AND(ROW($AI1)&gt;14,$AK1="ENTER LINKAGE RATE")</formula>
    </cfRule>
  </conditionalFormatting>
  <conditionalFormatting sqref="AJ1:AJ1048576">
    <cfRule type="expression" dxfId="14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FC58"/>
  <sheetViews>
    <sheetView zoomScaleNormal="100" workbookViewId="0">
      <pane xSplit="4" ySplit="14" topLeftCell="BC15" activePane="bottomRight" state="frozen"/>
      <selection pane="topRight" activeCell="E1" sqref="E1"/>
      <selection pane="bottomLeft" activeCell="A15" sqref="A15"/>
      <selection pane="bottomRight" activeCell="CQ4" sqref="CQ4"/>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47" customWidth="1"/>
    <col min="14" max="14" width="11.83203125" style="33" customWidth="1"/>
    <col min="15" max="15" width="11.83203125" style="19" customWidth="1"/>
    <col min="16" max="16" width="11.83203125" style="36" customWidth="1"/>
    <col min="17" max="17" width="11.83203125" style="19" customWidth="1"/>
    <col min="18" max="18" width="11.83203125" style="60" customWidth="1"/>
    <col min="19" max="19" width="11.83203125" style="33" customWidth="1"/>
    <col min="20" max="20" width="11.83203125" style="19" customWidth="1"/>
    <col min="21" max="21" width="11.83203125" style="149" customWidth="1"/>
    <col min="22" max="22" width="11.83203125" style="19" customWidth="1"/>
    <col min="23" max="23" width="11.83203125" style="36" customWidth="1"/>
    <col min="24" max="24" width="11.83203125" style="19" customWidth="1"/>
    <col min="25" max="25" width="11.83203125" style="33" customWidth="1"/>
    <col min="26" max="26" width="11.83203125" style="149" customWidth="1"/>
    <col min="27" max="27" width="11.83203125" style="36" customWidth="1"/>
    <col min="28" max="28" width="11.83203125" style="19" customWidth="1"/>
    <col min="29" max="29" width="11.83203125" style="33" customWidth="1"/>
    <col min="30" max="30" width="11.83203125" style="149" customWidth="1"/>
    <col min="31" max="31" width="11.83203125" style="33" customWidth="1"/>
    <col min="32" max="32" width="11.83203125" style="149" customWidth="1"/>
    <col min="33" max="33" width="11.83203125" style="33" customWidth="1"/>
    <col min="34" max="34" width="11.83203125" style="149" customWidth="1"/>
    <col min="35" max="42" width="11.83203125" style="19" customWidth="1"/>
    <col min="43" max="43" width="11.83203125" style="388" customWidth="1"/>
    <col min="44" max="51" width="11.83203125" style="389" customWidth="1"/>
    <col min="52" max="52" width="11.83203125" style="19" customWidth="1"/>
    <col min="53" max="53" width="11.83203125" style="47" customWidth="1"/>
    <col min="54" max="55" width="11.83203125" style="11" customWidth="1"/>
    <col min="56" max="56" width="11.83203125" style="33" customWidth="1"/>
    <col min="57" max="57" width="11.83203125" style="47" customWidth="1"/>
    <col min="58" max="58" width="11.83203125" style="33" customWidth="1"/>
    <col min="59" max="59" width="11.83203125" style="19" customWidth="1"/>
    <col min="60" max="60" width="11.83203125" style="47" customWidth="1"/>
    <col min="61" max="63" width="11.83203125" style="36" customWidth="1"/>
    <col min="64" max="66" width="11.83203125" style="33" customWidth="1"/>
    <col min="67" max="68" width="11.83203125" style="36" customWidth="1"/>
    <col min="69" max="69" width="11.83203125" style="47" customWidth="1"/>
    <col min="70" max="70" width="11.83203125" style="36" customWidth="1"/>
    <col min="71" max="71" width="11.83203125" style="141" customWidth="1"/>
    <col min="72" max="73" width="11.83203125" style="33" customWidth="1"/>
    <col min="74" max="74" width="11.83203125" style="47" customWidth="1"/>
    <col min="75" max="77" width="11.83203125" style="36" customWidth="1"/>
    <col min="78" max="80" width="11.83203125" style="33" customWidth="1"/>
    <col min="81" max="81" width="11.83203125" style="36" customWidth="1"/>
    <col min="82" max="82" width="11.83203125" style="11" customWidth="1"/>
    <col min="83" max="83" width="11.83203125" style="47" customWidth="1"/>
    <col min="84" max="84" width="11.83203125" style="36" customWidth="1"/>
    <col min="85" max="85" width="11.83203125" style="124" customWidth="1"/>
    <col min="86" max="87" width="11.83203125" style="33" customWidth="1"/>
    <col min="88" max="88" width="11.83203125" style="47" customWidth="1"/>
    <col min="89" max="95" width="11.83203125" style="36" customWidth="1"/>
    <col min="96" max="96" width="11.83203125" style="11" customWidth="1"/>
    <col min="97" max="97" width="11.83203125" style="47" customWidth="1"/>
    <col min="98" max="98" width="11.83203125" style="36" customWidth="1"/>
    <col min="99" max="100" width="11.83203125" style="33" customWidth="1"/>
    <col min="101" max="102" width="11.83203125" style="19" customWidth="1"/>
    <col min="103" max="103" width="11.83203125" style="47" customWidth="1"/>
    <col min="104" max="104" width="11.83203125" style="33" customWidth="1"/>
    <col min="105" max="105" width="11.83203125" style="19" customWidth="1"/>
    <col min="106" max="106" width="11.83203125" style="47" customWidth="1"/>
    <col min="107" max="107" width="11.83203125" style="33" customWidth="1"/>
    <col min="108" max="108" width="11.83203125" style="19" customWidth="1"/>
    <col min="109" max="109" width="11.83203125" style="47" customWidth="1"/>
    <col min="110" max="110" width="11.83203125" style="36" customWidth="1"/>
    <col min="111" max="112" width="11.83203125" style="19" customWidth="1"/>
    <col min="113" max="113" width="11.83203125" style="33" customWidth="1"/>
    <col min="114" max="114" width="11.83203125" style="19" customWidth="1"/>
    <col min="115" max="115" width="11.83203125" style="149" customWidth="1"/>
    <col min="116" max="120" width="11.83203125" style="19" customWidth="1"/>
    <col min="121" max="124" width="11.83203125" style="33" customWidth="1"/>
    <col min="125" max="125" width="11.83203125" style="47" customWidth="1"/>
    <col min="126" max="128" width="11.83203125" style="11" customWidth="1"/>
    <col min="129" max="130" width="11.83203125" style="33" customWidth="1"/>
    <col min="131" max="131" width="11.83203125" style="81" customWidth="1"/>
    <col min="132" max="133" width="11.83203125" style="33" customWidth="1"/>
    <col min="134" max="134" width="11.83203125" style="47" customWidth="1"/>
    <col min="135" max="137" width="11.83203125" style="36" customWidth="1"/>
    <col min="138" max="141" width="11.83203125" style="33" customWidth="1"/>
    <col min="142" max="145" width="11.83203125" style="11" customWidth="1"/>
    <col min="146" max="146" width="11.83203125" style="81" customWidth="1"/>
    <col min="147" max="147" width="11.83203125" style="61" customWidth="1"/>
    <col min="148" max="148" width="11.83203125" style="47" customWidth="1"/>
    <col min="149" max="149" width="11.83203125" style="36" customWidth="1"/>
    <col min="150" max="151" width="11.83203125" style="33" customWidth="1"/>
    <col min="152" max="153" width="11.83203125" style="11" customWidth="1"/>
    <col min="154" max="154" width="11.83203125" style="47" customWidth="1"/>
    <col min="155" max="155" width="11.83203125" style="33" customWidth="1"/>
    <col min="156" max="156" width="11.83203125" style="11" customWidth="1"/>
    <col min="157" max="157" width="11.83203125" style="47" customWidth="1"/>
    <col min="158" max="158" width="11.83203125" style="33" customWidth="1"/>
    <col min="159" max="159" width="11.83203125" style="98" customWidth="1"/>
    <col min="160" max="160" width="10.83203125" customWidth="1"/>
  </cols>
  <sheetData>
    <row r="1" spans="1:159" ht="31" customHeight="1" x14ac:dyDescent="0.2">
      <c r="A1" s="4" t="s">
        <v>590</v>
      </c>
      <c r="B1" s="4"/>
      <c r="C1" s="1"/>
      <c r="D1" s="1"/>
      <c r="E1" s="212" t="s">
        <v>187</v>
      </c>
      <c r="F1" s="182"/>
      <c r="G1" s="179"/>
      <c r="H1" s="182"/>
      <c r="I1" s="182"/>
      <c r="J1" s="179"/>
      <c r="K1" s="179"/>
      <c r="L1" s="186"/>
      <c r="M1" s="182"/>
      <c r="N1" s="179"/>
      <c r="O1" s="186"/>
      <c r="P1" s="182"/>
      <c r="Q1" s="186"/>
      <c r="R1" s="179"/>
      <c r="S1" s="179"/>
      <c r="T1" s="186"/>
      <c r="U1" s="186"/>
      <c r="V1" s="186"/>
      <c r="W1" s="179"/>
      <c r="X1" s="186"/>
      <c r="Y1" s="179"/>
      <c r="Z1" s="186"/>
      <c r="AA1" s="179"/>
      <c r="AB1" s="186"/>
      <c r="AC1" s="179"/>
      <c r="AD1" s="186"/>
      <c r="AE1" s="179"/>
      <c r="AF1" s="186"/>
      <c r="AG1" s="179"/>
      <c r="AH1" s="214" t="s">
        <v>973</v>
      </c>
      <c r="AI1" s="332"/>
      <c r="AJ1" s="332"/>
      <c r="AK1" s="332"/>
      <c r="AL1" s="332"/>
      <c r="AM1" s="332"/>
      <c r="AN1" s="332"/>
      <c r="AO1" s="332"/>
      <c r="AP1" s="332"/>
      <c r="AQ1" s="186"/>
      <c r="AR1" s="186"/>
      <c r="AS1" s="186"/>
      <c r="AT1" s="186"/>
      <c r="AU1" s="186"/>
      <c r="AV1" s="186"/>
      <c r="AW1" s="186"/>
      <c r="AX1" s="186"/>
      <c r="AY1" s="186"/>
      <c r="AZ1" s="332"/>
      <c r="BA1" s="212" t="s">
        <v>994</v>
      </c>
      <c r="BB1" s="332"/>
      <c r="BC1" s="332"/>
      <c r="BD1" s="179"/>
      <c r="BE1" s="396"/>
      <c r="BF1" s="179"/>
      <c r="BG1" s="332"/>
      <c r="BH1" s="396"/>
      <c r="BI1" s="182"/>
      <c r="BJ1" s="182"/>
      <c r="BK1" s="182"/>
      <c r="BL1" s="179"/>
      <c r="BM1" s="179"/>
      <c r="BN1" s="179"/>
      <c r="BO1" s="182"/>
      <c r="BP1" s="182"/>
      <c r="BQ1" s="396"/>
      <c r="BR1" s="182"/>
      <c r="BS1" s="332"/>
      <c r="BT1" s="179"/>
      <c r="BU1" s="179"/>
      <c r="BV1" s="396"/>
      <c r="BW1" s="182"/>
      <c r="BX1" s="182"/>
      <c r="BY1" s="182"/>
      <c r="BZ1" s="179"/>
      <c r="CA1" s="179"/>
      <c r="CB1" s="179"/>
      <c r="CC1" s="182"/>
      <c r="CD1" s="332"/>
      <c r="CE1" s="396"/>
      <c r="CF1" s="182"/>
      <c r="CG1" s="332"/>
      <c r="CH1" s="179"/>
      <c r="CI1" s="179"/>
      <c r="CJ1" s="396"/>
      <c r="CK1" s="182"/>
      <c r="CL1" s="182"/>
      <c r="CM1" s="182"/>
      <c r="CN1" s="182"/>
      <c r="CO1" s="182"/>
      <c r="CP1" s="182"/>
      <c r="CQ1" s="182"/>
      <c r="CR1" s="332"/>
      <c r="CS1" s="212"/>
      <c r="CT1" s="182"/>
      <c r="CU1" s="179"/>
      <c r="CV1" s="179"/>
      <c r="CW1" s="332"/>
      <c r="CX1" s="332"/>
      <c r="CY1" s="396"/>
      <c r="CZ1" s="179"/>
      <c r="DA1" s="332"/>
      <c r="DB1" s="396"/>
      <c r="DC1" s="179"/>
      <c r="DD1" s="332"/>
      <c r="DE1" s="396"/>
      <c r="DF1" s="182"/>
      <c r="DG1" s="332"/>
      <c r="DH1" s="332"/>
      <c r="DI1" s="179"/>
      <c r="DJ1" s="332"/>
      <c r="DK1" s="397"/>
      <c r="DL1" s="332"/>
      <c r="DM1" s="332"/>
      <c r="DN1" s="332"/>
      <c r="DO1" s="332"/>
      <c r="DP1" s="332"/>
      <c r="DQ1" s="179"/>
      <c r="DR1" s="179"/>
      <c r="DS1" s="179"/>
      <c r="DT1" s="179"/>
      <c r="DU1" s="396"/>
      <c r="DV1" s="332"/>
      <c r="DW1" s="332"/>
      <c r="DX1" s="332"/>
      <c r="DY1" s="179"/>
      <c r="DZ1" s="179"/>
      <c r="EA1" s="397"/>
      <c r="EB1" s="179"/>
      <c r="EC1" s="179"/>
      <c r="ED1" s="396"/>
      <c r="EE1" s="182"/>
      <c r="EF1" s="182"/>
      <c r="EG1" s="182"/>
      <c r="EH1" s="179"/>
      <c r="EI1" s="179"/>
      <c r="EJ1" s="179"/>
      <c r="EK1" s="179"/>
      <c r="EL1" s="332"/>
      <c r="EM1" s="332"/>
      <c r="EN1" s="332"/>
      <c r="EO1" s="332"/>
      <c r="EP1" s="397"/>
      <c r="EQ1" s="344"/>
      <c r="ER1" s="396"/>
      <c r="ES1" s="182"/>
      <c r="ET1" s="179"/>
      <c r="EU1" s="179"/>
      <c r="EV1" s="332"/>
      <c r="EW1" s="332"/>
      <c r="EX1" s="396"/>
      <c r="EY1" s="179"/>
      <c r="EZ1" s="332"/>
      <c r="FA1" s="396"/>
      <c r="FB1" s="179"/>
      <c r="FC1" s="332"/>
    </row>
    <row r="2" spans="1:159" s="21" customFormat="1" ht="19" customHeight="1" x14ac:dyDescent="0.25">
      <c r="A2" s="442" t="s">
        <v>971</v>
      </c>
      <c r="B2" s="442"/>
      <c r="C2" s="442"/>
      <c r="D2" s="380"/>
      <c r="E2" s="374" t="s">
        <v>946</v>
      </c>
      <c r="F2" s="29"/>
      <c r="G2" s="29"/>
      <c r="H2" s="29"/>
      <c r="I2" s="29"/>
      <c r="J2" s="29"/>
      <c r="K2" s="29"/>
      <c r="L2" s="377"/>
      <c r="M2" s="374" t="s">
        <v>947</v>
      </c>
      <c r="N2" s="29"/>
      <c r="O2" s="377"/>
      <c r="P2" s="383"/>
      <c r="Q2" s="377"/>
      <c r="R2" s="374" t="s">
        <v>629</v>
      </c>
      <c r="S2" s="29"/>
      <c r="T2" s="377"/>
      <c r="U2" s="375" t="s">
        <v>630</v>
      </c>
      <c r="V2" s="377"/>
      <c r="W2" s="29"/>
      <c r="X2" s="377"/>
      <c r="Y2" s="29"/>
      <c r="Z2" s="375" t="s">
        <v>628</v>
      </c>
      <c r="AA2" s="29"/>
      <c r="AB2" s="377"/>
      <c r="AC2" s="29"/>
      <c r="AD2" s="375" t="s">
        <v>940</v>
      </c>
      <c r="AE2" s="29"/>
      <c r="AF2" s="375" t="s">
        <v>582</v>
      </c>
      <c r="AG2" s="29"/>
      <c r="AH2" s="375" t="s">
        <v>974</v>
      </c>
      <c r="AI2" s="377"/>
      <c r="AJ2" s="377"/>
      <c r="AK2" s="377"/>
      <c r="AL2" s="377"/>
      <c r="AM2" s="377"/>
      <c r="AN2" s="377"/>
      <c r="AO2" s="377"/>
      <c r="AP2" s="377"/>
      <c r="AQ2" s="375" t="s">
        <v>984</v>
      </c>
      <c r="AR2" s="377"/>
      <c r="AS2" s="377"/>
      <c r="AT2" s="377"/>
      <c r="AU2" s="377"/>
      <c r="AV2" s="377"/>
      <c r="AW2" s="377"/>
      <c r="AX2" s="377"/>
      <c r="AY2" s="377"/>
      <c r="AZ2" s="377"/>
      <c r="BA2" s="374" t="s">
        <v>139</v>
      </c>
      <c r="BB2" s="399"/>
      <c r="BC2" s="399"/>
      <c r="BD2" s="29"/>
      <c r="BE2" s="374" t="s">
        <v>145</v>
      </c>
      <c r="BF2" s="29"/>
      <c r="BG2" s="382"/>
      <c r="BH2" s="374" t="s">
        <v>1213</v>
      </c>
      <c r="BI2" s="34"/>
      <c r="BJ2" s="34"/>
      <c r="BK2" s="34"/>
      <c r="BL2" s="29"/>
      <c r="BM2" s="29"/>
      <c r="BN2" s="29"/>
      <c r="BO2" s="34"/>
      <c r="BP2" s="34"/>
      <c r="BQ2" s="374" t="s">
        <v>1198</v>
      </c>
      <c r="BR2" s="34"/>
      <c r="BS2" s="433"/>
      <c r="BT2" s="29"/>
      <c r="BU2" s="34"/>
      <c r="BV2" s="374" t="s">
        <v>1221</v>
      </c>
      <c r="BW2" s="34"/>
      <c r="BX2" s="34"/>
      <c r="BY2" s="34"/>
      <c r="BZ2" s="34"/>
      <c r="CA2" s="34"/>
      <c r="CB2" s="34"/>
      <c r="CC2" s="34"/>
      <c r="CD2" s="3"/>
      <c r="CE2" s="374" t="s">
        <v>15</v>
      </c>
      <c r="CF2" s="34"/>
      <c r="CG2" s="433"/>
      <c r="CH2" s="29"/>
      <c r="CI2" s="29"/>
      <c r="CJ2" s="374" t="s">
        <v>18</v>
      </c>
      <c r="CK2" s="34"/>
      <c r="CL2" s="34"/>
      <c r="CM2" s="34"/>
      <c r="CN2" s="34"/>
      <c r="CO2" s="34"/>
      <c r="CP2" s="34"/>
      <c r="CQ2" s="34"/>
      <c r="CR2" s="3"/>
      <c r="CS2" s="374" t="s">
        <v>10</v>
      </c>
      <c r="CT2" s="29"/>
      <c r="CU2" s="29"/>
      <c r="CV2" s="29"/>
      <c r="CW2" s="382"/>
      <c r="CX2" s="382"/>
      <c r="CY2" s="374" t="s">
        <v>32</v>
      </c>
      <c r="CZ2" s="29"/>
      <c r="DA2" s="382"/>
      <c r="DB2" s="374" t="s">
        <v>19</v>
      </c>
      <c r="DC2" s="29"/>
      <c r="DD2" s="382"/>
      <c r="DE2" s="374" t="s">
        <v>12</v>
      </c>
      <c r="DF2" s="29"/>
      <c r="DG2" s="377"/>
      <c r="DH2" s="377"/>
      <c r="DI2" s="29"/>
      <c r="DJ2" s="382"/>
      <c r="DK2" s="374" t="s">
        <v>1120</v>
      </c>
      <c r="DL2" s="29"/>
      <c r="DM2" s="29"/>
      <c r="DN2" s="377"/>
      <c r="DO2" s="377"/>
      <c r="DP2" s="377"/>
      <c r="DQ2" s="29"/>
      <c r="DR2" s="29"/>
      <c r="DS2" s="29"/>
      <c r="DT2" s="29"/>
      <c r="DU2" s="374" t="s">
        <v>17</v>
      </c>
      <c r="DV2" s="399"/>
      <c r="DW2" s="399"/>
      <c r="DX2" s="399"/>
      <c r="DY2" s="29"/>
      <c r="DZ2" s="29"/>
      <c r="EA2" s="398" t="s">
        <v>28</v>
      </c>
      <c r="EB2" s="29"/>
      <c r="EC2" s="29"/>
      <c r="ED2" s="374" t="s">
        <v>31</v>
      </c>
      <c r="EE2" s="29"/>
      <c r="EF2" s="29"/>
      <c r="EG2" s="29"/>
      <c r="EH2" s="29"/>
      <c r="EI2" s="29"/>
      <c r="EJ2" s="29"/>
      <c r="EK2" s="29"/>
      <c r="EL2" s="3"/>
      <c r="EM2" s="3"/>
      <c r="EN2" s="3"/>
      <c r="EO2" s="3"/>
      <c r="EP2" s="398" t="s">
        <v>33</v>
      </c>
      <c r="EQ2" s="420"/>
      <c r="ER2" s="374" t="s">
        <v>292</v>
      </c>
      <c r="ES2" s="29"/>
      <c r="ET2" s="29"/>
      <c r="EU2" s="29"/>
      <c r="EV2" s="3"/>
      <c r="EW2" s="3"/>
      <c r="EX2" s="374" t="s">
        <v>20</v>
      </c>
      <c r="EY2" s="29"/>
      <c r="EZ2" s="3"/>
      <c r="FA2" s="374" t="s">
        <v>22</v>
      </c>
      <c r="FB2" s="29"/>
      <c r="FC2" s="3"/>
    </row>
    <row r="3" spans="1:159" ht="134" customHeight="1" x14ac:dyDescent="0.2">
      <c r="A3" s="442"/>
      <c r="B3" s="442"/>
      <c r="C3" s="442"/>
      <c r="D3" s="380"/>
      <c r="E3" s="127" t="s">
        <v>972</v>
      </c>
      <c r="F3" s="128" t="s">
        <v>585</v>
      </c>
      <c r="G3" s="131" t="s">
        <v>584</v>
      </c>
      <c r="H3" s="128" t="s">
        <v>586</v>
      </c>
      <c r="I3" s="128" t="s">
        <v>775</v>
      </c>
      <c r="J3" s="128" t="s">
        <v>930</v>
      </c>
      <c r="K3" s="128" t="s">
        <v>1148</v>
      </c>
      <c r="L3" s="130" t="s">
        <v>1149</v>
      </c>
      <c r="M3" s="393" t="s">
        <v>928</v>
      </c>
      <c r="N3" s="385" t="s">
        <v>929</v>
      </c>
      <c r="O3" s="378" t="s">
        <v>1150</v>
      </c>
      <c r="P3" s="371" t="s">
        <v>1151</v>
      </c>
      <c r="Q3" s="378" t="s">
        <v>1152</v>
      </c>
      <c r="R3" s="372" t="s">
        <v>591</v>
      </c>
      <c r="S3" s="385" t="s">
        <v>1153</v>
      </c>
      <c r="T3" s="379" t="s">
        <v>1154</v>
      </c>
      <c r="U3" s="376" t="s">
        <v>933</v>
      </c>
      <c r="V3" s="378" t="s">
        <v>932</v>
      </c>
      <c r="W3" s="371" t="s">
        <v>931</v>
      </c>
      <c r="X3" s="378" t="s">
        <v>942</v>
      </c>
      <c r="Y3" s="48" t="s">
        <v>934</v>
      </c>
      <c r="Z3" s="376" t="s">
        <v>935</v>
      </c>
      <c r="AA3" s="371" t="s">
        <v>936</v>
      </c>
      <c r="AB3" s="378" t="s">
        <v>937</v>
      </c>
      <c r="AC3" s="48" t="s">
        <v>592</v>
      </c>
      <c r="AD3" s="376" t="s">
        <v>938</v>
      </c>
      <c r="AE3" s="48" t="s">
        <v>939</v>
      </c>
      <c r="AF3" s="376" t="s">
        <v>941</v>
      </c>
      <c r="AG3" s="48" t="s">
        <v>969</v>
      </c>
      <c r="AH3" s="381" t="s">
        <v>496</v>
      </c>
      <c r="AI3" s="379" t="s">
        <v>648</v>
      </c>
      <c r="AJ3" s="379" t="s">
        <v>495</v>
      </c>
      <c r="AK3" s="379" t="s">
        <v>842</v>
      </c>
      <c r="AL3" s="379" t="s">
        <v>1080</v>
      </c>
      <c r="AM3" s="379" t="s">
        <v>1079</v>
      </c>
      <c r="AN3" s="379" t="s">
        <v>1081</v>
      </c>
      <c r="AO3" s="379" t="s">
        <v>1082</v>
      </c>
      <c r="AP3" s="379" t="s">
        <v>1083</v>
      </c>
      <c r="AQ3" s="386" t="s">
        <v>496</v>
      </c>
      <c r="AR3" s="387" t="s">
        <v>648</v>
      </c>
      <c r="AS3" s="387" t="s">
        <v>495</v>
      </c>
      <c r="AT3" s="387" t="s">
        <v>842</v>
      </c>
      <c r="AU3" s="387" t="s">
        <v>1080</v>
      </c>
      <c r="AV3" s="387" t="s">
        <v>1079</v>
      </c>
      <c r="AW3" s="387" t="s">
        <v>1081</v>
      </c>
      <c r="AX3" s="387" t="s">
        <v>1082</v>
      </c>
      <c r="AY3" s="387" t="s">
        <v>1083</v>
      </c>
      <c r="AZ3" s="379" t="s">
        <v>51</v>
      </c>
      <c r="BA3" s="384" t="s">
        <v>1002</v>
      </c>
      <c r="BB3" s="392" t="s">
        <v>1021</v>
      </c>
      <c r="BC3" s="364" t="s">
        <v>1022</v>
      </c>
      <c r="BD3" s="48" t="s">
        <v>1003</v>
      </c>
      <c r="BE3" s="384" t="s">
        <v>710</v>
      </c>
      <c r="BF3" s="385" t="s">
        <v>1001</v>
      </c>
      <c r="BG3" s="379" t="s">
        <v>1027</v>
      </c>
      <c r="BH3" s="384" t="s">
        <v>796</v>
      </c>
      <c r="BI3" s="371" t="s">
        <v>797</v>
      </c>
      <c r="BJ3" s="371" t="s">
        <v>798</v>
      </c>
      <c r="BK3" s="371" t="s">
        <v>594</v>
      </c>
      <c r="BL3" s="385" t="s">
        <v>1217</v>
      </c>
      <c r="BM3" s="48" t="s">
        <v>1216</v>
      </c>
      <c r="BN3" s="385" t="s">
        <v>1215</v>
      </c>
      <c r="BO3" s="371" t="s">
        <v>1214</v>
      </c>
      <c r="BP3" s="371" t="s">
        <v>1218</v>
      </c>
      <c r="BQ3" s="384" t="s">
        <v>595</v>
      </c>
      <c r="BR3" s="371" t="s">
        <v>596</v>
      </c>
      <c r="BS3" s="434" t="s">
        <v>941</v>
      </c>
      <c r="BT3" s="385" t="s">
        <v>1219</v>
      </c>
      <c r="BU3" s="385" t="s">
        <v>1220</v>
      </c>
      <c r="BV3" s="384" t="s">
        <v>816</v>
      </c>
      <c r="BW3" s="371" t="s">
        <v>817</v>
      </c>
      <c r="BX3" s="371" t="s">
        <v>818</v>
      </c>
      <c r="BY3" s="371" t="s">
        <v>809</v>
      </c>
      <c r="BZ3" s="48" t="s">
        <v>1222</v>
      </c>
      <c r="CA3" s="385" t="s">
        <v>1223</v>
      </c>
      <c r="CB3" s="48" t="s">
        <v>1224</v>
      </c>
      <c r="CC3" s="371" t="s">
        <v>1225</v>
      </c>
      <c r="CD3" s="392" t="s">
        <v>1226</v>
      </c>
      <c r="CE3" s="384" t="s">
        <v>595</v>
      </c>
      <c r="CF3" s="371" t="s">
        <v>596</v>
      </c>
      <c r="CG3" s="434" t="s">
        <v>941</v>
      </c>
      <c r="CH3" s="385" t="s">
        <v>1219</v>
      </c>
      <c r="CI3" s="385" t="s">
        <v>1220</v>
      </c>
      <c r="CJ3" s="384" t="s">
        <v>1228</v>
      </c>
      <c r="CK3" s="371" t="s">
        <v>1229</v>
      </c>
      <c r="CL3" s="371" t="s">
        <v>1230</v>
      </c>
      <c r="CM3" s="371" t="s">
        <v>1231</v>
      </c>
      <c r="CN3" s="371" t="s">
        <v>1232</v>
      </c>
      <c r="CO3" s="432" t="s">
        <v>1233</v>
      </c>
      <c r="CP3" s="371" t="s">
        <v>1234</v>
      </c>
      <c r="CQ3" s="371" t="s">
        <v>1235</v>
      </c>
      <c r="CR3" s="392" t="s">
        <v>1227</v>
      </c>
      <c r="CS3" s="384" t="s">
        <v>697</v>
      </c>
      <c r="CT3" s="371" t="s">
        <v>996</v>
      </c>
      <c r="CU3" s="385" t="s">
        <v>997</v>
      </c>
      <c r="CV3" s="385" t="s">
        <v>998</v>
      </c>
      <c r="CW3" s="379" t="s">
        <v>1024</v>
      </c>
      <c r="CX3" s="379" t="s">
        <v>1025</v>
      </c>
      <c r="CY3" s="384" t="s">
        <v>723</v>
      </c>
      <c r="CZ3" s="385" t="s">
        <v>1005</v>
      </c>
      <c r="DA3" s="379" t="s">
        <v>1028</v>
      </c>
      <c r="DB3" s="384" t="s">
        <v>677</v>
      </c>
      <c r="DC3" s="385" t="s">
        <v>1014</v>
      </c>
      <c r="DD3" s="379" t="s">
        <v>1026</v>
      </c>
      <c r="DE3" s="384" t="s">
        <v>713</v>
      </c>
      <c r="DF3" s="371" t="s">
        <v>1030</v>
      </c>
      <c r="DG3" s="378" t="s">
        <v>1031</v>
      </c>
      <c r="DH3" s="378" t="s">
        <v>1032</v>
      </c>
      <c r="DI3" s="48" t="s">
        <v>1004</v>
      </c>
      <c r="DJ3" s="379" t="s">
        <v>1029</v>
      </c>
      <c r="DK3" s="381" t="s">
        <v>1084</v>
      </c>
      <c r="DL3" s="379" t="s">
        <v>1085</v>
      </c>
      <c r="DM3" s="378" t="s">
        <v>1047</v>
      </c>
      <c r="DN3" s="378" t="s">
        <v>1046</v>
      </c>
      <c r="DO3" s="378" t="s">
        <v>1095</v>
      </c>
      <c r="DP3" s="378" t="s">
        <v>1094</v>
      </c>
      <c r="DQ3" s="48" t="s">
        <v>1098</v>
      </c>
      <c r="DR3" s="48" t="s">
        <v>1099</v>
      </c>
      <c r="DS3" s="48" t="s">
        <v>1100</v>
      </c>
      <c r="DT3" s="48" t="s">
        <v>1101</v>
      </c>
      <c r="DU3" s="393" t="s">
        <v>1118</v>
      </c>
      <c r="DV3" s="364" t="s">
        <v>1119</v>
      </c>
      <c r="DW3" s="364" t="s">
        <v>1114</v>
      </c>
      <c r="DX3" s="364" t="s">
        <v>1115</v>
      </c>
      <c r="DY3" s="48" t="s">
        <v>1102</v>
      </c>
      <c r="DZ3" s="48" t="s">
        <v>1103</v>
      </c>
      <c r="EA3" s="363" t="s">
        <v>1110</v>
      </c>
      <c r="EB3" s="48" t="s">
        <v>1106</v>
      </c>
      <c r="EC3" s="48" t="s">
        <v>1107</v>
      </c>
      <c r="ED3" s="384" t="s">
        <v>920</v>
      </c>
      <c r="EE3" s="371" t="s">
        <v>921</v>
      </c>
      <c r="EF3" s="371" t="s">
        <v>922</v>
      </c>
      <c r="EG3" s="371" t="s">
        <v>923</v>
      </c>
      <c r="EH3" s="385" t="s">
        <v>1121</v>
      </c>
      <c r="EI3" s="385" t="s">
        <v>1122</v>
      </c>
      <c r="EJ3" s="385" t="s">
        <v>1123</v>
      </c>
      <c r="EK3" s="385" t="s">
        <v>1124</v>
      </c>
      <c r="EL3" s="392" t="s">
        <v>1125</v>
      </c>
      <c r="EM3" s="392" t="s">
        <v>1128</v>
      </c>
      <c r="EN3" s="392" t="s">
        <v>1126</v>
      </c>
      <c r="EO3" s="392" t="s">
        <v>1127</v>
      </c>
      <c r="EP3" s="363" t="s">
        <v>727</v>
      </c>
      <c r="EQ3" s="421" t="s">
        <v>729</v>
      </c>
      <c r="ER3" s="384" t="s">
        <v>695</v>
      </c>
      <c r="ES3" s="371" t="s">
        <v>696</v>
      </c>
      <c r="ET3" s="385" t="s">
        <v>1008</v>
      </c>
      <c r="EU3" s="385" t="s">
        <v>1009</v>
      </c>
      <c r="EV3" s="392" t="s">
        <v>1034</v>
      </c>
      <c r="EW3" s="392" t="s">
        <v>1035</v>
      </c>
      <c r="EX3" s="384" t="s">
        <v>745</v>
      </c>
      <c r="EY3" s="385" t="s">
        <v>1010</v>
      </c>
      <c r="EZ3" s="392" t="s">
        <v>1033</v>
      </c>
      <c r="FA3" s="384" t="s">
        <v>1006</v>
      </c>
      <c r="FB3" s="385" t="s">
        <v>1007</v>
      </c>
      <c r="FC3" s="392" t="s">
        <v>1036</v>
      </c>
    </row>
    <row r="4" spans="1:159" x14ac:dyDescent="0.2">
      <c r="B4" s="15"/>
      <c r="D4" s="15" t="s">
        <v>2</v>
      </c>
    </row>
    <row r="5" spans="1:159" x14ac:dyDescent="0.2">
      <c r="A5" s="5" t="s">
        <v>59</v>
      </c>
      <c r="B5" s="5" t="s">
        <v>59</v>
      </c>
      <c r="C5" s="5" t="s">
        <v>59</v>
      </c>
      <c r="D5" s="5" t="s">
        <v>59</v>
      </c>
      <c r="E5" s="47" t="s">
        <v>59</v>
      </c>
      <c r="F5" s="36" t="s">
        <v>59</v>
      </c>
      <c r="G5" s="36" t="s">
        <v>59</v>
      </c>
      <c r="H5" s="36" t="s">
        <v>59</v>
      </c>
      <c r="I5" s="36" t="s">
        <v>59</v>
      </c>
      <c r="J5" s="36" t="s">
        <v>59</v>
      </c>
      <c r="K5" s="36" t="s">
        <v>59</v>
      </c>
      <c r="L5" s="19" t="s">
        <v>59</v>
      </c>
      <c r="M5" s="47" t="s">
        <v>59</v>
      </c>
      <c r="N5" s="33" t="s">
        <v>67</v>
      </c>
      <c r="O5" s="19" t="s">
        <v>59</v>
      </c>
      <c r="P5" s="36" t="s">
        <v>59</v>
      </c>
      <c r="Q5" s="19" t="s">
        <v>59</v>
      </c>
      <c r="R5" s="60" t="s">
        <v>70</v>
      </c>
      <c r="S5" s="33" t="s">
        <v>68</v>
      </c>
      <c r="T5" s="19" t="s">
        <v>59</v>
      </c>
      <c r="U5" s="149" t="s">
        <v>59</v>
      </c>
      <c r="V5" s="19" t="s">
        <v>59</v>
      </c>
      <c r="W5" s="36" t="s">
        <v>59</v>
      </c>
      <c r="X5" s="19" t="s">
        <v>59</v>
      </c>
      <c r="Y5" s="33" t="s">
        <v>70</v>
      </c>
      <c r="Z5" s="149" t="s">
        <v>59</v>
      </c>
      <c r="AA5" s="36" t="s">
        <v>59</v>
      </c>
      <c r="AB5" s="19" t="s">
        <v>59</v>
      </c>
      <c r="AC5" s="33" t="s">
        <v>70</v>
      </c>
      <c r="AD5" s="149" t="s">
        <v>59</v>
      </c>
      <c r="AE5" s="33" t="s">
        <v>70</v>
      </c>
      <c r="AF5" s="149" t="s">
        <v>59</v>
      </c>
      <c r="AG5" s="33" t="s">
        <v>70</v>
      </c>
      <c r="AH5" s="149" t="s">
        <v>59</v>
      </c>
      <c r="AI5" s="19" t="s">
        <v>59</v>
      </c>
      <c r="AJ5" s="19" t="s">
        <v>59</v>
      </c>
      <c r="AK5" s="19" t="s">
        <v>59</v>
      </c>
      <c r="AL5" s="19" t="s">
        <v>59</v>
      </c>
      <c r="AM5" s="19" t="s">
        <v>59</v>
      </c>
      <c r="AN5" s="19" t="s">
        <v>59</v>
      </c>
      <c r="AO5" s="19" t="s">
        <v>59</v>
      </c>
      <c r="AP5" s="19" t="s">
        <v>59</v>
      </c>
      <c r="AQ5" s="388" t="s">
        <v>70</v>
      </c>
      <c r="AR5" s="389" t="s">
        <v>70</v>
      </c>
      <c r="AS5" s="389" t="s">
        <v>70</v>
      </c>
      <c r="AT5" s="389" t="s">
        <v>70</v>
      </c>
      <c r="AU5" s="389" t="s">
        <v>70</v>
      </c>
      <c r="AV5" s="389" t="s">
        <v>70</v>
      </c>
      <c r="AW5" s="389" t="s">
        <v>70</v>
      </c>
      <c r="AX5" s="389" t="s">
        <v>70</v>
      </c>
      <c r="AY5" s="389" t="s">
        <v>70</v>
      </c>
      <c r="AZ5" s="19" t="s">
        <v>59</v>
      </c>
      <c r="BA5" s="47" t="s">
        <v>59</v>
      </c>
      <c r="BB5" s="11" t="s">
        <v>59</v>
      </c>
      <c r="BC5" s="11" t="s">
        <v>59</v>
      </c>
      <c r="BD5" s="33" t="s">
        <v>70</v>
      </c>
      <c r="BE5" s="47" t="s">
        <v>59</v>
      </c>
      <c r="BF5" s="33" t="s">
        <v>70</v>
      </c>
      <c r="BG5" s="19" t="s">
        <v>59</v>
      </c>
      <c r="BS5" s="141" t="s">
        <v>59</v>
      </c>
      <c r="BT5" s="33" t="s">
        <v>70</v>
      </c>
      <c r="BU5" s="33" t="s">
        <v>70</v>
      </c>
      <c r="CG5" s="124" t="s">
        <v>59</v>
      </c>
      <c r="CH5" s="33" t="s">
        <v>70</v>
      </c>
      <c r="CI5" s="33" t="s">
        <v>70</v>
      </c>
      <c r="CS5" s="47" t="s">
        <v>59</v>
      </c>
      <c r="CT5" s="36" t="s">
        <v>59</v>
      </c>
      <c r="CU5" s="33" t="s">
        <v>70</v>
      </c>
      <c r="CV5" s="33" t="s">
        <v>70</v>
      </c>
      <c r="CW5" s="19" t="s">
        <v>59</v>
      </c>
      <c r="CX5" s="19" t="s">
        <v>59</v>
      </c>
      <c r="CY5" s="47" t="s">
        <v>59</v>
      </c>
      <c r="CZ5" s="33" t="s">
        <v>70</v>
      </c>
      <c r="DA5" s="19" t="s">
        <v>59</v>
      </c>
      <c r="DB5" s="47" t="s">
        <v>59</v>
      </c>
      <c r="DC5" s="33" t="s">
        <v>70</v>
      </c>
      <c r="DD5" s="19" t="s">
        <v>59</v>
      </c>
      <c r="DE5" s="47" t="s">
        <v>59</v>
      </c>
      <c r="DF5" s="36" t="s">
        <v>59</v>
      </c>
      <c r="DG5" s="19" t="s">
        <v>59</v>
      </c>
      <c r="DH5" s="19" t="s">
        <v>59</v>
      </c>
      <c r="DI5" s="33" t="s">
        <v>70</v>
      </c>
      <c r="DJ5" s="19" t="s">
        <v>59</v>
      </c>
      <c r="DK5" s="149" t="s">
        <v>59</v>
      </c>
      <c r="DL5" s="19" t="s">
        <v>59</v>
      </c>
      <c r="DM5" s="19" t="s">
        <v>59</v>
      </c>
      <c r="DN5" s="19" t="s">
        <v>59</v>
      </c>
      <c r="DO5" s="19" t="s">
        <v>59</v>
      </c>
      <c r="DP5" s="19" t="s">
        <v>59</v>
      </c>
      <c r="DQ5" s="33" t="s">
        <v>70</v>
      </c>
      <c r="DR5" s="33" t="s">
        <v>70</v>
      </c>
      <c r="DS5" s="33" t="s">
        <v>70</v>
      </c>
      <c r="DT5" s="33" t="s">
        <v>70</v>
      </c>
      <c r="DU5" s="47" t="s">
        <v>59</v>
      </c>
      <c r="DV5" s="11" t="s">
        <v>59</v>
      </c>
      <c r="DW5" s="11" t="s">
        <v>59</v>
      </c>
      <c r="DX5" s="11" t="s">
        <v>59</v>
      </c>
      <c r="DY5" s="33" t="s">
        <v>70</v>
      </c>
      <c r="DZ5" s="33" t="s">
        <v>70</v>
      </c>
      <c r="EA5" s="81" t="s">
        <v>59</v>
      </c>
      <c r="EB5" s="33" t="s">
        <v>70</v>
      </c>
      <c r="EC5" s="33" t="s">
        <v>70</v>
      </c>
      <c r="ED5" s="47" t="s">
        <v>59</v>
      </c>
      <c r="EE5" s="36" t="s">
        <v>59</v>
      </c>
      <c r="EF5" s="36" t="s">
        <v>59</v>
      </c>
      <c r="EG5" s="36" t="s">
        <v>59</v>
      </c>
      <c r="EH5" s="33" t="s">
        <v>70</v>
      </c>
      <c r="EI5" s="33" t="s">
        <v>70</v>
      </c>
      <c r="EJ5" s="33" t="s">
        <v>70</v>
      </c>
      <c r="EK5" s="33" t="s">
        <v>70</v>
      </c>
      <c r="EL5" s="11" t="s">
        <v>59</v>
      </c>
      <c r="EM5" s="11" t="s">
        <v>59</v>
      </c>
      <c r="EN5" s="11" t="s">
        <v>59</v>
      </c>
      <c r="EO5" s="11" t="s">
        <v>59</v>
      </c>
      <c r="EP5" s="81" t="s">
        <v>59</v>
      </c>
      <c r="EQ5" s="61" t="s">
        <v>70</v>
      </c>
      <c r="ER5" s="47" t="s">
        <v>59</v>
      </c>
      <c r="ES5" s="36" t="s">
        <v>59</v>
      </c>
      <c r="ET5" s="33" t="s">
        <v>70</v>
      </c>
      <c r="EU5" s="33" t="s">
        <v>70</v>
      </c>
      <c r="EV5" s="11" t="s">
        <v>59</v>
      </c>
      <c r="EW5" s="11" t="s">
        <v>59</v>
      </c>
      <c r="EX5" s="47" t="s">
        <v>59</v>
      </c>
      <c r="EY5" s="33" t="s">
        <v>70</v>
      </c>
      <c r="EZ5" s="11" t="s">
        <v>59</v>
      </c>
      <c r="FA5" s="47" t="s">
        <v>59</v>
      </c>
      <c r="FB5" s="33" t="s">
        <v>70</v>
      </c>
      <c r="FC5" s="98" t="s">
        <v>59</v>
      </c>
    </row>
    <row r="6" spans="1:159" x14ac:dyDescent="0.2">
      <c r="A6" s="5" t="s">
        <v>137</v>
      </c>
      <c r="B6" s="5" t="s">
        <v>137</v>
      </c>
      <c r="C6" s="5" t="s">
        <v>137</v>
      </c>
      <c r="D6" s="5" t="s">
        <v>137</v>
      </c>
      <c r="E6" s="47" t="s">
        <v>54</v>
      </c>
      <c r="F6" s="36" t="s">
        <v>54</v>
      </c>
      <c r="G6" s="36" t="s">
        <v>54</v>
      </c>
      <c r="H6" s="36" t="s">
        <v>54</v>
      </c>
      <c r="I6" s="36" t="s">
        <v>54</v>
      </c>
      <c r="J6" s="36" t="s">
        <v>54</v>
      </c>
      <c r="K6" s="36" t="s">
        <v>54</v>
      </c>
      <c r="L6" s="19" t="s">
        <v>54</v>
      </c>
      <c r="M6" s="47" t="s">
        <v>73</v>
      </c>
      <c r="N6" s="33" t="s">
        <v>53</v>
      </c>
      <c r="O6" s="19" t="s">
        <v>73</v>
      </c>
      <c r="P6" s="36" t="s">
        <v>54</v>
      </c>
      <c r="Q6" s="19" t="s">
        <v>73</v>
      </c>
      <c r="R6" s="60" t="s">
        <v>53</v>
      </c>
      <c r="S6" s="33" t="s">
        <v>53</v>
      </c>
      <c r="T6" s="19" t="s">
        <v>54</v>
      </c>
      <c r="U6" s="149" t="s">
        <v>73</v>
      </c>
      <c r="V6" s="19" t="s">
        <v>73</v>
      </c>
      <c r="W6" s="36" t="s">
        <v>54</v>
      </c>
      <c r="X6" s="19" t="s">
        <v>73</v>
      </c>
      <c r="Y6" s="33" t="s">
        <v>53</v>
      </c>
      <c r="Z6" s="149" t="s">
        <v>73</v>
      </c>
      <c r="AA6" s="36" t="s">
        <v>73</v>
      </c>
      <c r="AB6" s="19" t="s">
        <v>73</v>
      </c>
      <c r="AC6" s="33" t="s">
        <v>53</v>
      </c>
      <c r="AD6" s="149" t="s">
        <v>73</v>
      </c>
      <c r="AE6" s="33" t="s">
        <v>53</v>
      </c>
      <c r="AF6" s="149" t="s">
        <v>73</v>
      </c>
      <c r="AG6" s="33" t="s">
        <v>53</v>
      </c>
      <c r="AH6" s="149" t="s">
        <v>54</v>
      </c>
      <c r="AI6" s="19" t="s">
        <v>54</v>
      </c>
      <c r="AJ6" s="19" t="s">
        <v>54</v>
      </c>
      <c r="AK6" s="19" t="s">
        <v>54</v>
      </c>
      <c r="AL6" s="19" t="s">
        <v>54</v>
      </c>
      <c r="AM6" s="19" t="s">
        <v>54</v>
      </c>
      <c r="AN6" s="19" t="s">
        <v>54</v>
      </c>
      <c r="AO6" s="19" t="s">
        <v>54</v>
      </c>
      <c r="AP6" s="19" t="s">
        <v>54</v>
      </c>
      <c r="AQ6" s="388" t="s">
        <v>53</v>
      </c>
      <c r="AR6" s="389" t="s">
        <v>53</v>
      </c>
      <c r="AS6" s="389" t="s">
        <v>53</v>
      </c>
      <c r="AT6" s="389" t="s">
        <v>53</v>
      </c>
      <c r="AU6" s="389" t="s">
        <v>53</v>
      </c>
      <c r="AV6" s="389" t="s">
        <v>53</v>
      </c>
      <c r="AW6" s="389" t="s">
        <v>53</v>
      </c>
      <c r="AX6" s="389" t="s">
        <v>53</v>
      </c>
      <c r="AY6" s="389" t="s">
        <v>53</v>
      </c>
      <c r="AZ6" s="19" t="s">
        <v>54</v>
      </c>
      <c r="BA6" s="47" t="s">
        <v>54</v>
      </c>
      <c r="BB6" s="11" t="s">
        <v>54</v>
      </c>
      <c r="BC6" s="11" t="s">
        <v>73</v>
      </c>
      <c r="BD6" s="33" t="s">
        <v>53</v>
      </c>
      <c r="BE6" s="47" t="s">
        <v>54</v>
      </c>
      <c r="BF6" s="33" t="s">
        <v>53</v>
      </c>
      <c r="BG6" s="19" t="s">
        <v>54</v>
      </c>
      <c r="BS6" s="141" t="s">
        <v>54</v>
      </c>
      <c r="BT6" s="33" t="s">
        <v>53</v>
      </c>
      <c r="BU6" s="33" t="s">
        <v>53</v>
      </c>
      <c r="CG6" s="124" t="s">
        <v>54</v>
      </c>
      <c r="CH6" s="33" t="s">
        <v>53</v>
      </c>
      <c r="CI6" s="33" t="s">
        <v>53</v>
      </c>
      <c r="CS6" s="47" t="s">
        <v>54</v>
      </c>
      <c r="CT6" s="36" t="s">
        <v>54</v>
      </c>
      <c r="CU6" s="33" t="s">
        <v>53</v>
      </c>
      <c r="CV6" s="33" t="s">
        <v>53</v>
      </c>
      <c r="CW6" s="19" t="s">
        <v>54</v>
      </c>
      <c r="CX6" s="19" t="s">
        <v>54</v>
      </c>
      <c r="CY6" s="47" t="s">
        <v>54</v>
      </c>
      <c r="CZ6" s="33" t="s">
        <v>53</v>
      </c>
      <c r="DA6" s="19" t="s">
        <v>54</v>
      </c>
      <c r="DB6" s="47" t="s">
        <v>54</v>
      </c>
      <c r="DC6" s="33" t="s">
        <v>53</v>
      </c>
      <c r="DD6" s="19" t="s">
        <v>54</v>
      </c>
      <c r="DE6" s="47" t="s">
        <v>54</v>
      </c>
      <c r="DF6" s="36" t="s">
        <v>54</v>
      </c>
      <c r="DG6" s="19" t="s">
        <v>73</v>
      </c>
      <c r="DH6" s="19" t="s">
        <v>73</v>
      </c>
      <c r="DI6" s="33" t="s">
        <v>53</v>
      </c>
      <c r="DJ6" s="19" t="s">
        <v>54</v>
      </c>
      <c r="DK6" s="149" t="s">
        <v>54</v>
      </c>
      <c r="DL6" s="19" t="s">
        <v>54</v>
      </c>
      <c r="DM6" s="19" t="s">
        <v>73</v>
      </c>
      <c r="DN6" s="19" t="s">
        <v>73</v>
      </c>
      <c r="DO6" s="19" t="s">
        <v>73</v>
      </c>
      <c r="DP6" s="19" t="s">
        <v>73</v>
      </c>
      <c r="DQ6" s="33" t="s">
        <v>53</v>
      </c>
      <c r="DR6" s="33" t="s">
        <v>53</v>
      </c>
      <c r="DS6" s="33" t="s">
        <v>53</v>
      </c>
      <c r="DT6" s="33" t="s">
        <v>53</v>
      </c>
      <c r="DU6" s="47" t="s">
        <v>54</v>
      </c>
      <c r="DV6" s="11" t="s">
        <v>54</v>
      </c>
      <c r="DW6" s="11" t="s">
        <v>54</v>
      </c>
      <c r="DX6" s="11" t="s">
        <v>54</v>
      </c>
      <c r="DY6" s="33" t="s">
        <v>53</v>
      </c>
      <c r="DZ6" s="33" t="s">
        <v>53</v>
      </c>
      <c r="EA6" s="81" t="s">
        <v>54</v>
      </c>
      <c r="EB6" s="33" t="s">
        <v>53</v>
      </c>
      <c r="EC6" s="33" t="s">
        <v>53</v>
      </c>
      <c r="ED6" s="47" t="s">
        <v>54</v>
      </c>
      <c r="EE6" s="36" t="s">
        <v>54</v>
      </c>
      <c r="EF6" s="36" t="s">
        <v>54</v>
      </c>
      <c r="EG6" s="36" t="s">
        <v>54</v>
      </c>
      <c r="EH6" s="33" t="s">
        <v>53</v>
      </c>
      <c r="EI6" s="33" t="s">
        <v>53</v>
      </c>
      <c r="EJ6" s="33" t="s">
        <v>53</v>
      </c>
      <c r="EK6" s="33" t="s">
        <v>53</v>
      </c>
      <c r="EL6" s="11" t="s">
        <v>54</v>
      </c>
      <c r="EM6" s="11" t="s">
        <v>54</v>
      </c>
      <c r="EN6" s="11" t="s">
        <v>54</v>
      </c>
      <c r="EO6" s="11" t="s">
        <v>54</v>
      </c>
      <c r="EP6" s="81" t="s">
        <v>73</v>
      </c>
      <c r="EQ6" s="61" t="s">
        <v>53</v>
      </c>
      <c r="ER6" s="47" t="s">
        <v>54</v>
      </c>
      <c r="ES6" s="36" t="s">
        <v>54</v>
      </c>
      <c r="ET6" s="33" t="s">
        <v>53</v>
      </c>
      <c r="EU6" s="33" t="s">
        <v>53</v>
      </c>
      <c r="EV6" s="11" t="s">
        <v>54</v>
      </c>
      <c r="EW6" s="11" t="s">
        <v>54</v>
      </c>
      <c r="EX6" s="47" t="s">
        <v>54</v>
      </c>
      <c r="EY6" s="33" t="s">
        <v>53</v>
      </c>
      <c r="EZ6" s="11" t="s">
        <v>54</v>
      </c>
      <c r="FA6" s="47" t="s">
        <v>54</v>
      </c>
      <c r="FB6" s="33" t="s">
        <v>53</v>
      </c>
      <c r="FC6" s="98" t="s">
        <v>54</v>
      </c>
    </row>
    <row r="7" spans="1:159" x14ac:dyDescent="0.2">
      <c r="A7" s="5" t="s">
        <v>69</v>
      </c>
      <c r="B7" s="5" t="s">
        <v>69</v>
      </c>
      <c r="C7" s="5" t="s">
        <v>69</v>
      </c>
      <c r="D7" s="5" t="s">
        <v>69</v>
      </c>
      <c r="E7" s="47" t="s">
        <v>55</v>
      </c>
      <c r="F7" s="36" t="s">
        <v>55</v>
      </c>
      <c r="G7" s="36" t="s">
        <v>55</v>
      </c>
      <c r="H7" s="36" t="s">
        <v>55</v>
      </c>
      <c r="I7" s="36" t="s">
        <v>55</v>
      </c>
      <c r="J7" s="36" t="s">
        <v>55</v>
      </c>
      <c r="K7" s="36" t="s">
        <v>55</v>
      </c>
      <c r="L7" s="19" t="s">
        <v>56</v>
      </c>
      <c r="M7" s="47" t="s">
        <v>55</v>
      </c>
      <c r="N7" s="33" t="s">
        <v>55</v>
      </c>
      <c r="O7" s="19" t="s">
        <v>56</v>
      </c>
      <c r="P7" s="36" t="s">
        <v>55</v>
      </c>
      <c r="Q7" s="19" t="s">
        <v>56</v>
      </c>
      <c r="R7" s="60" t="s">
        <v>55</v>
      </c>
      <c r="S7" s="33" t="s">
        <v>55</v>
      </c>
      <c r="T7" s="19" t="s">
        <v>56</v>
      </c>
      <c r="U7" s="149" t="s">
        <v>56</v>
      </c>
      <c r="V7" s="19" t="s">
        <v>56</v>
      </c>
      <c r="W7" s="36" t="s">
        <v>55</v>
      </c>
      <c r="X7" s="19" t="s">
        <v>56</v>
      </c>
      <c r="Y7" s="33" t="s">
        <v>55</v>
      </c>
      <c r="Z7" s="149" t="s">
        <v>56</v>
      </c>
      <c r="AA7" s="36" t="s">
        <v>55</v>
      </c>
      <c r="AB7" s="19" t="s">
        <v>56</v>
      </c>
      <c r="AC7" s="33" t="s">
        <v>55</v>
      </c>
      <c r="AD7" s="149" t="s">
        <v>56</v>
      </c>
      <c r="AE7" s="33" t="s">
        <v>55</v>
      </c>
      <c r="AF7" s="149" t="s">
        <v>56</v>
      </c>
      <c r="AG7" s="33" t="s">
        <v>55</v>
      </c>
      <c r="AH7" s="149" t="s">
        <v>56</v>
      </c>
      <c r="AI7" s="19" t="s">
        <v>56</v>
      </c>
      <c r="AJ7" s="19" t="s">
        <v>56</v>
      </c>
      <c r="AK7" s="19" t="s">
        <v>56</v>
      </c>
      <c r="AL7" s="19" t="s">
        <v>56</v>
      </c>
      <c r="AM7" s="19" t="s">
        <v>56</v>
      </c>
      <c r="AN7" s="19" t="s">
        <v>56</v>
      </c>
      <c r="AO7" s="19" t="s">
        <v>56</v>
      </c>
      <c r="AP7" s="19" t="s">
        <v>56</v>
      </c>
      <c r="AQ7" s="388" t="s">
        <v>56</v>
      </c>
      <c r="AR7" s="389" t="s">
        <v>56</v>
      </c>
      <c r="AS7" s="389" t="s">
        <v>56</v>
      </c>
      <c r="AT7" s="389" t="s">
        <v>56</v>
      </c>
      <c r="AU7" s="389" t="s">
        <v>56</v>
      </c>
      <c r="AV7" s="389" t="s">
        <v>56</v>
      </c>
      <c r="AW7" s="389" t="s">
        <v>56</v>
      </c>
      <c r="AX7" s="389" t="s">
        <v>56</v>
      </c>
      <c r="AY7" s="389" t="s">
        <v>56</v>
      </c>
      <c r="AZ7" s="19" t="s">
        <v>56</v>
      </c>
      <c r="BA7" s="47" t="s">
        <v>55</v>
      </c>
      <c r="BB7" s="11" t="s">
        <v>56</v>
      </c>
      <c r="BC7" s="11" t="s">
        <v>56</v>
      </c>
      <c r="BD7" s="33" t="s">
        <v>55</v>
      </c>
      <c r="BE7" s="47" t="s">
        <v>55</v>
      </c>
      <c r="BF7" s="33" t="s">
        <v>55</v>
      </c>
      <c r="BG7" s="19" t="s">
        <v>56</v>
      </c>
      <c r="BS7" s="141" t="s">
        <v>56</v>
      </c>
      <c r="BT7" s="33" t="s">
        <v>55</v>
      </c>
      <c r="BU7" s="33" t="s">
        <v>55</v>
      </c>
      <c r="CG7" s="124" t="s">
        <v>56</v>
      </c>
      <c r="CH7" s="33" t="s">
        <v>55</v>
      </c>
      <c r="CI7" s="33" t="s">
        <v>55</v>
      </c>
      <c r="CS7" s="47" t="s">
        <v>55</v>
      </c>
      <c r="CT7" s="36" t="s">
        <v>55</v>
      </c>
      <c r="CU7" s="33" t="s">
        <v>55</v>
      </c>
      <c r="CV7" s="33" t="s">
        <v>55</v>
      </c>
      <c r="CW7" s="19" t="s">
        <v>56</v>
      </c>
      <c r="CX7" s="19" t="s">
        <v>56</v>
      </c>
      <c r="CY7" s="47" t="s">
        <v>55</v>
      </c>
      <c r="CZ7" s="33" t="s">
        <v>55</v>
      </c>
      <c r="DA7" s="19" t="s">
        <v>56</v>
      </c>
      <c r="DB7" s="47" t="s">
        <v>55</v>
      </c>
      <c r="DC7" s="33" t="s">
        <v>55</v>
      </c>
      <c r="DD7" s="19" t="s">
        <v>56</v>
      </c>
      <c r="DE7" s="47" t="s">
        <v>55</v>
      </c>
      <c r="DF7" s="36" t="s">
        <v>56</v>
      </c>
      <c r="DG7" s="19" t="s">
        <v>56</v>
      </c>
      <c r="DH7" s="19" t="s">
        <v>56</v>
      </c>
      <c r="DI7" s="33" t="s">
        <v>55</v>
      </c>
      <c r="DJ7" s="19" t="s">
        <v>56</v>
      </c>
      <c r="DK7" s="149" t="s">
        <v>56</v>
      </c>
      <c r="DL7" s="19" t="s">
        <v>56</v>
      </c>
      <c r="DM7" s="19" t="s">
        <v>56</v>
      </c>
      <c r="DN7" s="19" t="s">
        <v>56</v>
      </c>
      <c r="DO7" s="19" t="s">
        <v>56</v>
      </c>
      <c r="DP7" s="19" t="s">
        <v>56</v>
      </c>
      <c r="DQ7" s="33" t="s">
        <v>55</v>
      </c>
      <c r="DR7" s="33" t="s">
        <v>55</v>
      </c>
      <c r="DS7" s="33" t="s">
        <v>55</v>
      </c>
      <c r="DT7" s="33" t="s">
        <v>55</v>
      </c>
      <c r="DU7" s="47" t="s">
        <v>55</v>
      </c>
      <c r="DV7" s="11" t="s">
        <v>56</v>
      </c>
      <c r="DW7" s="11" t="s">
        <v>56</v>
      </c>
      <c r="DX7" s="11" t="s">
        <v>56</v>
      </c>
      <c r="DY7" s="33" t="s">
        <v>55</v>
      </c>
      <c r="DZ7" s="33" t="s">
        <v>55</v>
      </c>
      <c r="EA7" s="81" t="s">
        <v>56</v>
      </c>
      <c r="EB7" s="33" t="s">
        <v>55</v>
      </c>
      <c r="EC7" s="33" t="s">
        <v>55</v>
      </c>
      <c r="ED7" s="47" t="s">
        <v>55</v>
      </c>
      <c r="EE7" s="36" t="s">
        <v>55</v>
      </c>
      <c r="EF7" s="36" t="s">
        <v>55</v>
      </c>
      <c r="EG7" s="36" t="s">
        <v>55</v>
      </c>
      <c r="EH7" s="33" t="s">
        <v>55</v>
      </c>
      <c r="EI7" s="33" t="s">
        <v>55</v>
      </c>
      <c r="EJ7" s="33" t="s">
        <v>55</v>
      </c>
      <c r="EK7" s="33" t="s">
        <v>55</v>
      </c>
      <c r="EL7" s="11" t="s">
        <v>56</v>
      </c>
      <c r="EM7" s="11" t="s">
        <v>56</v>
      </c>
      <c r="EN7" s="11" t="s">
        <v>56</v>
      </c>
      <c r="EO7" s="11" t="s">
        <v>56</v>
      </c>
      <c r="EP7" s="81" t="s">
        <v>56</v>
      </c>
      <c r="EQ7" s="61" t="s">
        <v>55</v>
      </c>
      <c r="ER7" s="47" t="s">
        <v>55</v>
      </c>
      <c r="ES7" s="36" t="s">
        <v>55</v>
      </c>
      <c r="ET7" s="33" t="s">
        <v>55</v>
      </c>
      <c r="EU7" s="33" t="s">
        <v>55</v>
      </c>
      <c r="EV7" s="11" t="s">
        <v>56</v>
      </c>
      <c r="EW7" s="11" t="s">
        <v>56</v>
      </c>
      <c r="EX7" s="47" t="s">
        <v>55</v>
      </c>
      <c r="EY7" s="33" t="s">
        <v>55</v>
      </c>
      <c r="EZ7" s="11" t="s">
        <v>56</v>
      </c>
      <c r="FA7" s="47" t="s">
        <v>55</v>
      </c>
      <c r="FB7" s="33" t="s">
        <v>55</v>
      </c>
      <c r="FC7" s="98" t="s">
        <v>56</v>
      </c>
    </row>
    <row r="8" spans="1:159" x14ac:dyDescent="0.2">
      <c r="C8" s="5"/>
      <c r="D8" s="5"/>
      <c r="N8" s="273" t="s">
        <v>1058</v>
      </c>
      <c r="R8" s="290" t="s">
        <v>1057</v>
      </c>
      <c r="S8" s="273" t="s">
        <v>181</v>
      </c>
      <c r="Y8" s="273" t="s">
        <v>1056</v>
      </c>
      <c r="AC8" s="273" t="s">
        <v>1055</v>
      </c>
      <c r="AE8" s="273" t="s">
        <v>1054</v>
      </c>
      <c r="AG8" s="273" t="s">
        <v>1053</v>
      </c>
      <c r="AQ8" s="394" t="s">
        <v>76</v>
      </c>
      <c r="AR8" s="395" t="s">
        <v>518</v>
      </c>
      <c r="AS8" s="395" t="s">
        <v>89</v>
      </c>
      <c r="AT8" s="395" t="s">
        <v>93</v>
      </c>
      <c r="AU8" s="395" t="s">
        <v>880</v>
      </c>
      <c r="AV8" s="395" t="s">
        <v>881</v>
      </c>
      <c r="AW8" s="395" t="s">
        <v>882</v>
      </c>
      <c r="AX8" s="395" t="s">
        <v>105</v>
      </c>
      <c r="AY8" s="395" t="s">
        <v>883</v>
      </c>
      <c r="BD8" s="273" t="s">
        <v>1205</v>
      </c>
      <c r="BF8" s="273" t="s">
        <v>1061</v>
      </c>
      <c r="BS8" s="366"/>
      <c r="BT8" s="273" t="s">
        <v>78</v>
      </c>
      <c r="BU8" s="273" t="s">
        <v>78</v>
      </c>
      <c r="CD8" s="144"/>
      <c r="CG8" s="270"/>
      <c r="CH8" s="273" t="s">
        <v>159</v>
      </c>
      <c r="CI8" s="273" t="s">
        <v>159</v>
      </c>
      <c r="CR8" s="144"/>
      <c r="CU8" s="273" t="s">
        <v>1059</v>
      </c>
      <c r="CV8" s="273" t="s">
        <v>1060</v>
      </c>
      <c r="CZ8" s="273" t="s">
        <v>129</v>
      </c>
      <c r="DC8" s="273" t="s">
        <v>118</v>
      </c>
      <c r="DI8" s="273" t="s">
        <v>103</v>
      </c>
      <c r="DQ8" s="273" t="s">
        <v>107</v>
      </c>
      <c r="DR8" s="273" t="s">
        <v>107</v>
      </c>
      <c r="DS8" s="273" t="s">
        <v>107</v>
      </c>
      <c r="DT8" s="273" t="s">
        <v>107</v>
      </c>
      <c r="DY8" s="273" t="s">
        <v>142</v>
      </c>
      <c r="DZ8" s="273" t="s">
        <v>142</v>
      </c>
      <c r="EB8" s="273" t="s">
        <v>143</v>
      </c>
      <c r="EC8" s="273" t="s">
        <v>143</v>
      </c>
      <c r="EH8" s="273" t="s">
        <v>473</v>
      </c>
      <c r="EI8" s="273" t="s">
        <v>471</v>
      </c>
      <c r="EJ8" s="273" t="s">
        <v>475</v>
      </c>
      <c r="EK8" s="273" t="s">
        <v>475</v>
      </c>
      <c r="EQ8" s="422" t="s">
        <v>115</v>
      </c>
      <c r="ET8" s="273" t="s">
        <v>477</v>
      </c>
      <c r="EU8" s="273" t="s">
        <v>478</v>
      </c>
      <c r="EY8" s="273" t="s">
        <v>121</v>
      </c>
      <c r="FB8" s="273" t="s">
        <v>133</v>
      </c>
    </row>
    <row r="9" spans="1:159" x14ac:dyDescent="0.2">
      <c r="C9" s="5"/>
      <c r="D9" s="5"/>
      <c r="N9" s="273"/>
      <c r="R9" s="290"/>
      <c r="S9" s="273"/>
      <c r="Y9" s="273"/>
      <c r="AC9" s="273"/>
      <c r="AE9" s="273"/>
      <c r="AG9" s="273"/>
      <c r="AQ9" s="394"/>
      <c r="AR9" s="395"/>
      <c r="AS9" s="395"/>
      <c r="AT9" s="395"/>
      <c r="AU9" s="395"/>
      <c r="AV9" s="395"/>
      <c r="AW9" s="395"/>
      <c r="AX9" s="395"/>
      <c r="AY9" s="395"/>
      <c r="BD9" s="273"/>
      <c r="BF9" s="273"/>
      <c r="BS9" s="366"/>
      <c r="BT9" s="273"/>
      <c r="BU9" s="273"/>
      <c r="CD9" s="144"/>
      <c r="CG9" s="270"/>
      <c r="CH9" s="273"/>
      <c r="CI9" s="273"/>
      <c r="CR9" s="144"/>
      <c r="CU9" s="273"/>
      <c r="CV9" s="273"/>
      <c r="CZ9" s="273"/>
      <c r="DC9" s="273"/>
      <c r="DI9" s="273"/>
      <c r="DQ9" s="273"/>
      <c r="DR9" s="273"/>
      <c r="DS9" s="273"/>
      <c r="DT9" s="273"/>
      <c r="DY9" s="273"/>
      <c r="DZ9" s="273"/>
      <c r="EB9" s="273"/>
      <c r="EC9" s="273"/>
      <c r="EH9" s="273"/>
      <c r="EI9" s="273"/>
      <c r="EJ9" s="273"/>
      <c r="EK9" s="273"/>
      <c r="EQ9" s="422"/>
      <c r="ET9" s="273"/>
      <c r="EU9" s="273"/>
      <c r="EY9" s="273"/>
      <c r="FB9" s="273"/>
    </row>
    <row r="10" spans="1:159" x14ac:dyDescent="0.2">
      <c r="C10" s="5"/>
      <c r="D10" s="5"/>
      <c r="N10" s="273" t="s">
        <v>1206</v>
      </c>
      <c r="R10" s="290" t="s">
        <v>1206</v>
      </c>
      <c r="S10" s="273" t="s">
        <v>65</v>
      </c>
      <c r="Y10" s="273" t="s">
        <v>1206</v>
      </c>
      <c r="AC10" s="273" t="s">
        <v>1207</v>
      </c>
      <c r="AE10" s="273" t="s">
        <v>1207</v>
      </c>
      <c r="AG10" s="273" t="s">
        <v>1208</v>
      </c>
      <c r="AQ10" s="394" t="s">
        <v>63</v>
      </c>
      <c r="AR10" s="395" t="s">
        <v>65</v>
      </c>
      <c r="AS10" s="395" t="s">
        <v>63</v>
      </c>
      <c r="AT10" s="395" t="s">
        <v>65</v>
      </c>
      <c r="AU10" s="395" t="s">
        <v>63</v>
      </c>
      <c r="AV10" s="395" t="s">
        <v>65</v>
      </c>
      <c r="AW10" s="395" t="s">
        <v>65</v>
      </c>
      <c r="AX10" s="395" t="s">
        <v>65</v>
      </c>
      <c r="AY10" s="395" t="s">
        <v>65</v>
      </c>
      <c r="BD10" s="273" t="s">
        <v>1206</v>
      </c>
      <c r="BF10" s="273"/>
      <c r="BS10" s="366"/>
      <c r="BT10" s="273" t="s">
        <v>81</v>
      </c>
      <c r="BU10" s="273" t="s">
        <v>80</v>
      </c>
      <c r="CD10" s="144"/>
      <c r="CG10" s="270"/>
      <c r="CH10" s="273" t="s">
        <v>81</v>
      </c>
      <c r="CI10" s="273" t="s">
        <v>80</v>
      </c>
      <c r="CR10" s="144"/>
      <c r="CU10" s="273"/>
      <c r="CV10" s="273"/>
      <c r="CZ10" s="273"/>
      <c r="DC10" s="273"/>
      <c r="DI10" s="273" t="s">
        <v>65</v>
      </c>
      <c r="DQ10" s="273" t="s">
        <v>111</v>
      </c>
      <c r="DR10" s="273" t="s">
        <v>112</v>
      </c>
      <c r="DS10" s="273" t="s">
        <v>109</v>
      </c>
      <c r="DT10" s="273" t="s">
        <v>110</v>
      </c>
      <c r="DY10" s="273" t="s">
        <v>81</v>
      </c>
      <c r="DZ10" s="273" t="s">
        <v>80</v>
      </c>
      <c r="EB10" s="273" t="s">
        <v>81</v>
      </c>
      <c r="EC10" s="273" t="s">
        <v>80</v>
      </c>
      <c r="EH10" s="273"/>
      <c r="EI10" s="273"/>
      <c r="EJ10" s="273" t="s">
        <v>114</v>
      </c>
      <c r="EK10" s="273" t="s">
        <v>113</v>
      </c>
      <c r="EQ10" s="422"/>
      <c r="ET10" s="273" t="s">
        <v>486</v>
      </c>
      <c r="EU10" s="273" t="s">
        <v>487</v>
      </c>
      <c r="EY10" s="273"/>
      <c r="FB10" s="273"/>
    </row>
    <row r="11" spans="1:159" x14ac:dyDescent="0.2">
      <c r="C11" s="5"/>
      <c r="D11" s="5"/>
      <c r="E11" s="47" t="s">
        <v>878</v>
      </c>
      <c r="F11" s="36" t="s">
        <v>878</v>
      </c>
      <c r="G11" s="36" t="s">
        <v>878</v>
      </c>
      <c r="H11" s="36" t="s">
        <v>878</v>
      </c>
      <c r="I11" s="36" t="s">
        <v>878</v>
      </c>
      <c r="J11" s="36" t="s">
        <v>878</v>
      </c>
      <c r="K11" s="36" t="s">
        <v>878</v>
      </c>
      <c r="L11" s="19" t="s">
        <v>878</v>
      </c>
      <c r="M11" s="47" t="s">
        <v>878</v>
      </c>
      <c r="N11" s="33" t="s">
        <v>878</v>
      </c>
      <c r="O11" s="19" t="s">
        <v>878</v>
      </c>
      <c r="P11" s="36" t="s">
        <v>878</v>
      </c>
      <c r="Q11" s="19" t="s">
        <v>878</v>
      </c>
      <c r="R11" s="60" t="s">
        <v>878</v>
      </c>
      <c r="S11" s="33" t="s">
        <v>878</v>
      </c>
      <c r="T11" s="19" t="s">
        <v>878</v>
      </c>
      <c r="U11" s="149" t="s">
        <v>878</v>
      </c>
      <c r="V11" s="19" t="s">
        <v>878</v>
      </c>
      <c r="W11" s="36" t="s">
        <v>878</v>
      </c>
      <c r="X11" s="19" t="s">
        <v>878</v>
      </c>
      <c r="Y11" s="33" t="s">
        <v>878</v>
      </c>
      <c r="Z11" s="149" t="s">
        <v>878</v>
      </c>
      <c r="AA11" s="36" t="s">
        <v>878</v>
      </c>
      <c r="AB11" s="19" t="s">
        <v>878</v>
      </c>
      <c r="AC11" s="33" t="s">
        <v>878</v>
      </c>
      <c r="AD11" s="149" t="s">
        <v>878</v>
      </c>
      <c r="AE11" s="33" t="s">
        <v>878</v>
      </c>
      <c r="AF11" s="149" t="s">
        <v>878</v>
      </c>
      <c r="AG11" s="33" t="s">
        <v>878</v>
      </c>
      <c r="AH11" s="149" t="s">
        <v>876</v>
      </c>
      <c r="AI11" s="19" t="s">
        <v>876</v>
      </c>
      <c r="AJ11" s="19" t="s">
        <v>877</v>
      </c>
      <c r="AK11" s="19" t="s">
        <v>875</v>
      </c>
      <c r="AL11" s="19" t="s">
        <v>877</v>
      </c>
      <c r="AM11" s="19" t="s">
        <v>877</v>
      </c>
      <c r="AN11" s="19" t="s">
        <v>877</v>
      </c>
      <c r="AO11" s="19" t="s">
        <v>877</v>
      </c>
      <c r="AP11" s="19" t="s">
        <v>877</v>
      </c>
      <c r="AQ11" s="388" t="s">
        <v>876</v>
      </c>
      <c r="AR11" s="389" t="s">
        <v>876</v>
      </c>
      <c r="AS11" s="389" t="s">
        <v>877</v>
      </c>
      <c r="AT11" s="389" t="s">
        <v>875</v>
      </c>
      <c r="AU11" s="389" t="s">
        <v>877</v>
      </c>
      <c r="AV11" s="389" t="s">
        <v>877</v>
      </c>
      <c r="AW11" s="389" t="s">
        <v>877</v>
      </c>
      <c r="AX11" s="389" t="s">
        <v>877</v>
      </c>
      <c r="AY11" s="389" t="s">
        <v>877</v>
      </c>
      <c r="AZ11" s="19" t="s">
        <v>877</v>
      </c>
      <c r="BA11" s="47" t="s">
        <v>875</v>
      </c>
      <c r="BB11" s="11" t="s">
        <v>875</v>
      </c>
      <c r="BC11" s="11" t="s">
        <v>875</v>
      </c>
      <c r="BD11" s="33" t="s">
        <v>875</v>
      </c>
      <c r="BE11" s="47" t="s">
        <v>876</v>
      </c>
      <c r="BF11" s="33" t="s">
        <v>876</v>
      </c>
      <c r="BG11" s="19" t="s">
        <v>876</v>
      </c>
      <c r="BS11" s="141" t="s">
        <v>876</v>
      </c>
      <c r="BT11" s="33" t="s">
        <v>876</v>
      </c>
      <c r="BU11" s="33" t="s">
        <v>876</v>
      </c>
      <c r="CG11" s="124" t="s">
        <v>877</v>
      </c>
      <c r="CH11" s="33" t="s">
        <v>877</v>
      </c>
      <c r="CI11" s="33" t="s">
        <v>877</v>
      </c>
      <c r="CS11" s="47" t="s">
        <v>875</v>
      </c>
      <c r="CT11" s="36" t="s">
        <v>875</v>
      </c>
      <c r="CU11" s="33" t="s">
        <v>875</v>
      </c>
      <c r="CV11" s="33" t="s">
        <v>875</v>
      </c>
      <c r="CW11" s="19" t="s">
        <v>875</v>
      </c>
      <c r="CX11" s="19" t="s">
        <v>875</v>
      </c>
      <c r="CY11" s="47" t="s">
        <v>876</v>
      </c>
      <c r="CZ11" s="33" t="s">
        <v>876</v>
      </c>
      <c r="DA11" s="19" t="s">
        <v>876</v>
      </c>
      <c r="DE11" s="47" t="s">
        <v>874</v>
      </c>
      <c r="DF11" s="36" t="s">
        <v>874</v>
      </c>
      <c r="DG11" s="19" t="s">
        <v>874</v>
      </c>
      <c r="DH11" s="19" t="s">
        <v>874</v>
      </c>
      <c r="DI11" s="33" t="s">
        <v>874</v>
      </c>
      <c r="DJ11" s="19" t="s">
        <v>874</v>
      </c>
      <c r="DK11" s="149" t="s">
        <v>462</v>
      </c>
      <c r="DL11" s="19" t="s">
        <v>462</v>
      </c>
      <c r="DM11" s="19" t="s">
        <v>462</v>
      </c>
      <c r="DN11" s="19" t="s">
        <v>462</v>
      </c>
      <c r="DO11" s="19" t="s">
        <v>462</v>
      </c>
      <c r="DP11" s="19" t="s">
        <v>462</v>
      </c>
      <c r="DQ11" s="33" t="s">
        <v>462</v>
      </c>
      <c r="DR11" s="33" t="s">
        <v>462</v>
      </c>
      <c r="DS11" s="33" t="s">
        <v>462</v>
      </c>
      <c r="DT11" s="33" t="s">
        <v>462</v>
      </c>
      <c r="DU11" s="47" t="s">
        <v>462</v>
      </c>
      <c r="DV11" s="11" t="s">
        <v>462</v>
      </c>
      <c r="DW11" s="11" t="s">
        <v>462</v>
      </c>
      <c r="DX11" s="11" t="s">
        <v>462</v>
      </c>
      <c r="DY11" s="33" t="s">
        <v>462</v>
      </c>
      <c r="DZ11" s="33" t="s">
        <v>462</v>
      </c>
      <c r="EA11" s="81" t="s">
        <v>462</v>
      </c>
      <c r="EB11" s="33" t="s">
        <v>462</v>
      </c>
      <c r="EC11" s="33" t="s">
        <v>462</v>
      </c>
      <c r="ED11" s="47" t="s">
        <v>463</v>
      </c>
      <c r="EE11" s="36" t="s">
        <v>463</v>
      </c>
      <c r="EF11" s="36" t="s">
        <v>463</v>
      </c>
      <c r="EG11" s="36" t="s">
        <v>463</v>
      </c>
      <c r="EH11" s="33" t="s">
        <v>463</v>
      </c>
      <c r="EI11" s="33" t="s">
        <v>463</v>
      </c>
      <c r="EJ11" s="33" t="s">
        <v>463</v>
      </c>
      <c r="EK11" s="33" t="s">
        <v>463</v>
      </c>
      <c r="EL11" s="11" t="s">
        <v>463</v>
      </c>
      <c r="EM11" s="11" t="s">
        <v>463</v>
      </c>
      <c r="EN11" s="11" t="s">
        <v>463</v>
      </c>
      <c r="EO11" s="11" t="s">
        <v>463</v>
      </c>
      <c r="EP11" s="81" t="s">
        <v>466</v>
      </c>
      <c r="EQ11" s="61" t="s">
        <v>466</v>
      </c>
      <c r="ER11" s="47" t="s">
        <v>293</v>
      </c>
      <c r="ES11" s="36" t="s">
        <v>293</v>
      </c>
      <c r="ET11" s="33" t="s">
        <v>293</v>
      </c>
      <c r="EU11" s="33" t="s">
        <v>293</v>
      </c>
      <c r="EV11" s="11" t="s">
        <v>293</v>
      </c>
      <c r="EW11" s="11" t="s">
        <v>293</v>
      </c>
    </row>
    <row r="12" spans="1:159" x14ac:dyDescent="0.2">
      <c r="C12" s="5"/>
      <c r="D12" s="5"/>
      <c r="E12" s="47" t="s">
        <v>138</v>
      </c>
      <c r="F12" s="36" t="s">
        <v>138</v>
      </c>
      <c r="G12" s="36" t="s">
        <v>138</v>
      </c>
      <c r="H12" s="36" t="s">
        <v>138</v>
      </c>
      <c r="I12" s="36" t="s">
        <v>138</v>
      </c>
      <c r="J12" s="36" t="s">
        <v>138</v>
      </c>
      <c r="K12" s="36" t="s">
        <v>138</v>
      </c>
      <c r="L12" s="19" t="s">
        <v>138</v>
      </c>
      <c r="M12" s="47" t="s">
        <v>138</v>
      </c>
      <c r="N12" s="33" t="s">
        <v>138</v>
      </c>
      <c r="O12" s="19" t="s">
        <v>138</v>
      </c>
      <c r="P12" s="36" t="s">
        <v>138</v>
      </c>
      <c r="Q12" s="19" t="s">
        <v>138</v>
      </c>
      <c r="R12" s="60" t="s">
        <v>138</v>
      </c>
      <c r="S12" s="33" t="s">
        <v>138</v>
      </c>
      <c r="T12" s="19" t="s">
        <v>138</v>
      </c>
      <c r="U12" s="149" t="s">
        <v>138</v>
      </c>
      <c r="V12" s="19" t="s">
        <v>138</v>
      </c>
      <c r="W12" s="36" t="s">
        <v>138</v>
      </c>
      <c r="X12" s="19" t="s">
        <v>138</v>
      </c>
      <c r="Y12" s="33" t="s">
        <v>138</v>
      </c>
      <c r="Z12" s="149" t="s">
        <v>138</v>
      </c>
      <c r="AA12" s="36" t="s">
        <v>138</v>
      </c>
      <c r="AB12" s="19" t="s">
        <v>138</v>
      </c>
      <c r="AC12" s="33" t="s">
        <v>138</v>
      </c>
      <c r="AD12" s="149" t="s">
        <v>138</v>
      </c>
      <c r="AE12" s="33" t="s">
        <v>138</v>
      </c>
      <c r="AF12" s="149" t="s">
        <v>138</v>
      </c>
      <c r="AG12" s="33" t="s">
        <v>138</v>
      </c>
      <c r="AH12" s="149" t="s">
        <v>460</v>
      </c>
      <c r="AI12" s="19" t="s">
        <v>460</v>
      </c>
      <c r="AJ12" s="19" t="s">
        <v>138</v>
      </c>
      <c r="AK12" s="19" t="s">
        <v>461</v>
      </c>
      <c r="AL12" s="19" t="s">
        <v>138</v>
      </c>
      <c r="AM12" s="19" t="s">
        <v>138</v>
      </c>
      <c r="AN12" s="19" t="s">
        <v>138</v>
      </c>
      <c r="AO12" s="19" t="s">
        <v>138</v>
      </c>
      <c r="AP12" s="19" t="s">
        <v>138</v>
      </c>
      <c r="AQ12" s="388" t="s">
        <v>460</v>
      </c>
      <c r="AR12" s="389" t="s">
        <v>460</v>
      </c>
      <c r="AS12" s="389" t="s">
        <v>138</v>
      </c>
      <c r="AT12" s="389" t="s">
        <v>461</v>
      </c>
      <c r="AU12" s="389" t="s">
        <v>138</v>
      </c>
      <c r="AV12" s="389" t="s">
        <v>138</v>
      </c>
      <c r="AW12" s="389" t="s">
        <v>138</v>
      </c>
      <c r="AX12" s="389" t="s">
        <v>138</v>
      </c>
      <c r="AY12" s="389" t="s">
        <v>138</v>
      </c>
      <c r="AZ12" s="19" t="s">
        <v>138</v>
      </c>
      <c r="BA12" s="47" t="s">
        <v>138</v>
      </c>
      <c r="BB12" s="11" t="s">
        <v>138</v>
      </c>
      <c r="BC12" s="11" t="s">
        <v>138</v>
      </c>
      <c r="BD12" s="33" t="s">
        <v>138</v>
      </c>
      <c r="BE12" s="47" t="s">
        <v>138</v>
      </c>
      <c r="BF12" s="33" t="s">
        <v>138</v>
      </c>
      <c r="BG12" s="19" t="s">
        <v>138</v>
      </c>
      <c r="BS12" s="141" t="s">
        <v>460</v>
      </c>
      <c r="BT12" s="33" t="s">
        <v>460</v>
      </c>
      <c r="BU12" s="33" t="s">
        <v>460</v>
      </c>
      <c r="CG12" s="124" t="s">
        <v>138</v>
      </c>
      <c r="CH12" s="33" t="s">
        <v>138</v>
      </c>
      <c r="CI12" s="33" t="s">
        <v>138</v>
      </c>
      <c r="CS12" s="47" t="s">
        <v>138</v>
      </c>
      <c r="CT12" s="36" t="s">
        <v>138</v>
      </c>
      <c r="CU12" s="33" t="s">
        <v>138</v>
      </c>
      <c r="CV12" s="33" t="s">
        <v>138</v>
      </c>
      <c r="CW12" s="19" t="s">
        <v>138</v>
      </c>
      <c r="CX12" s="19" t="s">
        <v>138</v>
      </c>
      <c r="CY12" s="47" t="s">
        <v>138</v>
      </c>
      <c r="CZ12" s="33" t="s">
        <v>138</v>
      </c>
      <c r="DA12" s="19" t="s">
        <v>138</v>
      </c>
      <c r="DE12" s="47" t="s">
        <v>460</v>
      </c>
      <c r="DF12" s="36" t="s">
        <v>460</v>
      </c>
      <c r="DG12" s="19" t="s">
        <v>460</v>
      </c>
      <c r="DH12" s="19" t="s">
        <v>460</v>
      </c>
      <c r="DI12" s="33" t="s">
        <v>460</v>
      </c>
      <c r="DJ12" s="19" t="s">
        <v>460</v>
      </c>
      <c r="DK12" s="149" t="s">
        <v>138</v>
      </c>
      <c r="DL12" s="19" t="s">
        <v>138</v>
      </c>
      <c r="DM12" s="19" t="s">
        <v>138</v>
      </c>
      <c r="DN12" s="19" t="s">
        <v>138</v>
      </c>
      <c r="DO12" s="19" t="s">
        <v>138</v>
      </c>
      <c r="DP12" s="19" t="s">
        <v>138</v>
      </c>
      <c r="DQ12" s="33" t="s">
        <v>138</v>
      </c>
      <c r="DR12" s="33" t="s">
        <v>138</v>
      </c>
      <c r="DS12" s="33" t="s">
        <v>138</v>
      </c>
      <c r="DT12" s="33" t="s">
        <v>138</v>
      </c>
      <c r="DU12" s="47" t="s">
        <v>138</v>
      </c>
      <c r="DV12" s="11" t="s">
        <v>138</v>
      </c>
      <c r="DW12" s="11" t="s">
        <v>138</v>
      </c>
      <c r="DX12" s="11" t="s">
        <v>138</v>
      </c>
      <c r="DY12" s="33" t="s">
        <v>138</v>
      </c>
      <c r="DZ12" s="33" t="s">
        <v>138</v>
      </c>
      <c r="EA12" s="81" t="s">
        <v>138</v>
      </c>
      <c r="EB12" s="33" t="s">
        <v>138</v>
      </c>
      <c r="EC12" s="33" t="s">
        <v>138</v>
      </c>
      <c r="ED12" s="47" t="s">
        <v>138</v>
      </c>
      <c r="EE12" s="36" t="s">
        <v>138</v>
      </c>
      <c r="EF12" s="36" t="s">
        <v>138</v>
      </c>
      <c r="EG12" s="36" t="s">
        <v>138</v>
      </c>
      <c r="EH12" s="33" t="s">
        <v>138</v>
      </c>
      <c r="EI12" s="33" t="s">
        <v>138</v>
      </c>
      <c r="EJ12" s="33" t="s">
        <v>138</v>
      </c>
      <c r="EK12" s="33" t="s">
        <v>138</v>
      </c>
      <c r="EL12" s="11" t="s">
        <v>138</v>
      </c>
      <c r="EM12" s="11" t="s">
        <v>138</v>
      </c>
      <c r="EN12" s="11" t="s">
        <v>138</v>
      </c>
      <c r="EO12" s="11" t="s">
        <v>138</v>
      </c>
      <c r="EP12" s="81" t="s">
        <v>138</v>
      </c>
      <c r="EQ12" s="61" t="s">
        <v>138</v>
      </c>
      <c r="ER12" s="47" t="s">
        <v>460</v>
      </c>
      <c r="ES12" s="36" t="s">
        <v>460</v>
      </c>
      <c r="ET12" s="33" t="s">
        <v>460</v>
      </c>
      <c r="EU12" s="33" t="s">
        <v>460</v>
      </c>
      <c r="EV12" s="11" t="s">
        <v>460</v>
      </c>
      <c r="EW12" s="11" t="s">
        <v>460</v>
      </c>
      <c r="EX12" s="47" t="s">
        <v>138</v>
      </c>
      <c r="EY12" s="33" t="s">
        <v>138</v>
      </c>
      <c r="EZ12" s="11" t="s">
        <v>138</v>
      </c>
    </row>
    <row r="13" spans="1:159" x14ac:dyDescent="0.2">
      <c r="C13" s="5"/>
      <c r="D13" s="5"/>
      <c r="DB13" s="47" t="s">
        <v>467</v>
      </c>
      <c r="DC13" s="33" t="s">
        <v>467</v>
      </c>
      <c r="DD13" s="19" t="s">
        <v>467</v>
      </c>
    </row>
    <row r="14" spans="1:159" x14ac:dyDescent="0.2">
      <c r="A14" s="207" t="s">
        <v>1077</v>
      </c>
      <c r="B14" s="207" t="s">
        <v>25</v>
      </c>
      <c r="C14" s="207" t="s">
        <v>4</v>
      </c>
      <c r="D14" s="207" t="s">
        <v>45</v>
      </c>
      <c r="E14" s="218" t="s">
        <v>360</v>
      </c>
      <c r="F14" s="191" t="s">
        <v>202</v>
      </c>
      <c r="G14" s="191" t="s">
        <v>201</v>
      </c>
      <c r="H14" s="191" t="s">
        <v>204</v>
      </c>
      <c r="I14" s="191" t="s">
        <v>542</v>
      </c>
      <c r="J14" s="191" t="s">
        <v>636</v>
      </c>
      <c r="K14" s="191" t="s">
        <v>551</v>
      </c>
      <c r="L14" s="196" t="s">
        <v>637</v>
      </c>
      <c r="M14" s="218" t="s">
        <v>948</v>
      </c>
      <c r="N14" s="197" t="s">
        <v>949</v>
      </c>
      <c r="O14" s="196" t="s">
        <v>954</v>
      </c>
      <c r="P14" s="191" t="s">
        <v>955</v>
      </c>
      <c r="Q14" s="196" t="s">
        <v>951</v>
      </c>
      <c r="R14" s="238" t="s">
        <v>952</v>
      </c>
      <c r="S14" s="197" t="s">
        <v>953</v>
      </c>
      <c r="T14" s="196" t="s">
        <v>950</v>
      </c>
      <c r="U14" s="223" t="s">
        <v>956</v>
      </c>
      <c r="V14" s="196" t="s">
        <v>957</v>
      </c>
      <c r="W14" s="191" t="s">
        <v>958</v>
      </c>
      <c r="X14" s="196" t="s">
        <v>959</v>
      </c>
      <c r="Y14" s="197" t="s">
        <v>960</v>
      </c>
      <c r="Z14" s="223" t="s">
        <v>961</v>
      </c>
      <c r="AA14" s="191" t="s">
        <v>962</v>
      </c>
      <c r="AB14" s="196" t="s">
        <v>963</v>
      </c>
      <c r="AC14" s="197" t="s">
        <v>964</v>
      </c>
      <c r="AD14" s="223" t="s">
        <v>965</v>
      </c>
      <c r="AE14" s="197" t="s">
        <v>966</v>
      </c>
      <c r="AF14" s="223" t="s">
        <v>967</v>
      </c>
      <c r="AG14" s="197" t="s">
        <v>968</v>
      </c>
      <c r="AH14" s="223" t="s">
        <v>975</v>
      </c>
      <c r="AI14" s="196" t="s">
        <v>976</v>
      </c>
      <c r="AJ14" s="196" t="s">
        <v>977</v>
      </c>
      <c r="AK14" s="196" t="s">
        <v>978</v>
      </c>
      <c r="AL14" s="196" t="s">
        <v>979</v>
      </c>
      <c r="AM14" s="196" t="s">
        <v>980</v>
      </c>
      <c r="AN14" s="196" t="s">
        <v>981</v>
      </c>
      <c r="AO14" s="196" t="s">
        <v>982</v>
      </c>
      <c r="AP14" s="196" t="s">
        <v>983</v>
      </c>
      <c r="AQ14" s="390" t="s">
        <v>985</v>
      </c>
      <c r="AR14" s="391" t="s">
        <v>986</v>
      </c>
      <c r="AS14" s="391" t="s">
        <v>987</v>
      </c>
      <c r="AT14" s="391" t="s">
        <v>988</v>
      </c>
      <c r="AU14" s="391" t="s">
        <v>989</v>
      </c>
      <c r="AV14" s="391" t="s">
        <v>990</v>
      </c>
      <c r="AW14" s="391" t="s">
        <v>991</v>
      </c>
      <c r="AX14" s="391" t="s">
        <v>992</v>
      </c>
      <c r="AY14" s="391" t="s">
        <v>993</v>
      </c>
      <c r="AZ14" s="196" t="s">
        <v>995</v>
      </c>
      <c r="BA14" s="218" t="s">
        <v>943</v>
      </c>
      <c r="BB14" s="196" t="s">
        <v>342</v>
      </c>
      <c r="BC14" s="196" t="s">
        <v>1023</v>
      </c>
      <c r="BD14" s="197" t="s">
        <v>1012</v>
      </c>
      <c r="BE14" s="218" t="s">
        <v>243</v>
      </c>
      <c r="BF14" s="197" t="s">
        <v>1011</v>
      </c>
      <c r="BG14" s="196" t="s">
        <v>1039</v>
      </c>
      <c r="BH14" s="218"/>
      <c r="BI14" s="191"/>
      <c r="BJ14" s="191"/>
      <c r="BK14" s="191"/>
      <c r="BL14" s="197"/>
      <c r="BM14" s="197"/>
      <c r="BN14" s="197"/>
      <c r="BO14" s="191"/>
      <c r="BP14" s="191"/>
      <c r="BQ14" s="218"/>
      <c r="BR14" s="191"/>
      <c r="BS14" s="196" t="s">
        <v>1199</v>
      </c>
      <c r="BT14" s="197" t="s">
        <v>1200</v>
      </c>
      <c r="BU14" s="197" t="s">
        <v>1201</v>
      </c>
      <c r="BV14" s="218"/>
      <c r="BW14" s="191"/>
      <c r="BX14" s="191"/>
      <c r="BY14" s="191"/>
      <c r="BZ14" s="197"/>
      <c r="CA14" s="197"/>
      <c r="CB14" s="197"/>
      <c r="CC14" s="191"/>
      <c r="CD14" s="196"/>
      <c r="CE14" s="218"/>
      <c r="CF14" s="191"/>
      <c r="CG14" s="196" t="s">
        <v>1202</v>
      </c>
      <c r="CH14" s="197" t="s">
        <v>1203</v>
      </c>
      <c r="CI14" s="197" t="s">
        <v>1204</v>
      </c>
      <c r="CJ14" s="218"/>
      <c r="CK14" s="191"/>
      <c r="CL14" s="191"/>
      <c r="CM14" s="191"/>
      <c r="CN14" s="191"/>
      <c r="CO14" s="191"/>
      <c r="CP14" s="191"/>
      <c r="CQ14" s="191"/>
      <c r="CR14" s="196"/>
      <c r="CS14" s="218" t="s">
        <v>281</v>
      </c>
      <c r="CT14" s="191" t="s">
        <v>532</v>
      </c>
      <c r="CU14" s="197" t="s">
        <v>999</v>
      </c>
      <c r="CV14" s="197" t="s">
        <v>1000</v>
      </c>
      <c r="CW14" s="196" t="s">
        <v>1037</v>
      </c>
      <c r="CX14" s="196" t="s">
        <v>1038</v>
      </c>
      <c r="CY14" s="218" t="s">
        <v>276</v>
      </c>
      <c r="CZ14" s="197" t="s">
        <v>1016</v>
      </c>
      <c r="DA14" s="196" t="s">
        <v>1040</v>
      </c>
      <c r="DB14" s="218" t="s">
        <v>260</v>
      </c>
      <c r="DC14" s="197" t="s">
        <v>1015</v>
      </c>
      <c r="DD14" s="196" t="s">
        <v>1041</v>
      </c>
      <c r="DE14" s="218" t="s">
        <v>244</v>
      </c>
      <c r="DF14" s="191" t="s">
        <v>1042</v>
      </c>
      <c r="DG14" s="196" t="s">
        <v>1044</v>
      </c>
      <c r="DH14" s="196" t="s">
        <v>1045</v>
      </c>
      <c r="DI14" s="197" t="s">
        <v>1013</v>
      </c>
      <c r="DJ14" s="196" t="s">
        <v>1043</v>
      </c>
      <c r="DK14" s="223" t="s">
        <v>1086</v>
      </c>
      <c r="DL14" s="196" t="s">
        <v>1087</v>
      </c>
      <c r="DM14" s="196" t="s">
        <v>1088</v>
      </c>
      <c r="DN14" s="196" t="s">
        <v>1089</v>
      </c>
      <c r="DO14" s="196" t="s">
        <v>1097</v>
      </c>
      <c r="DP14" s="196" t="s">
        <v>1096</v>
      </c>
      <c r="DQ14" s="197" t="s">
        <v>1092</v>
      </c>
      <c r="DR14" s="197" t="s">
        <v>1093</v>
      </c>
      <c r="DS14" s="197" t="s">
        <v>1090</v>
      </c>
      <c r="DT14" s="197" t="s">
        <v>1091</v>
      </c>
      <c r="DU14" s="218" t="s">
        <v>1117</v>
      </c>
      <c r="DV14" s="196" t="s">
        <v>1116</v>
      </c>
      <c r="DW14" s="196" t="s">
        <v>1112</v>
      </c>
      <c r="DX14" s="196" t="s">
        <v>1113</v>
      </c>
      <c r="DY14" s="197" t="s">
        <v>1105</v>
      </c>
      <c r="DZ14" s="197" t="s">
        <v>1104</v>
      </c>
      <c r="EA14" s="223" t="s">
        <v>1111</v>
      </c>
      <c r="EB14" s="197" t="s">
        <v>1108</v>
      </c>
      <c r="EC14" s="197" t="s">
        <v>1109</v>
      </c>
      <c r="ED14" s="218" t="s">
        <v>302</v>
      </c>
      <c r="EE14" s="191" t="s">
        <v>358</v>
      </c>
      <c r="EF14" s="191" t="s">
        <v>356</v>
      </c>
      <c r="EG14" s="191" t="s">
        <v>278</v>
      </c>
      <c r="EH14" s="197" t="s">
        <v>1129</v>
      </c>
      <c r="EI14" s="197" t="s">
        <v>1130</v>
      </c>
      <c r="EJ14" s="197" t="s">
        <v>1131</v>
      </c>
      <c r="EK14" s="197" t="s">
        <v>1132</v>
      </c>
      <c r="EL14" s="196" t="s">
        <v>1211</v>
      </c>
      <c r="EM14" s="196" t="s">
        <v>1133</v>
      </c>
      <c r="EN14" s="196" t="s">
        <v>1134</v>
      </c>
      <c r="EO14" s="196" t="s">
        <v>1135</v>
      </c>
      <c r="EP14" s="223" t="s">
        <v>1210</v>
      </c>
      <c r="EQ14" s="423" t="s">
        <v>1209</v>
      </c>
      <c r="ER14" s="218" t="s">
        <v>304</v>
      </c>
      <c r="ES14" s="191" t="s">
        <v>305</v>
      </c>
      <c r="ET14" s="197" t="s">
        <v>1018</v>
      </c>
      <c r="EU14" s="197" t="s">
        <v>1019</v>
      </c>
      <c r="EV14" s="196" t="s">
        <v>1048</v>
      </c>
      <c r="EW14" s="196" t="s">
        <v>1049</v>
      </c>
      <c r="EX14" s="218" t="s">
        <v>262</v>
      </c>
      <c r="EY14" s="197" t="s">
        <v>1020</v>
      </c>
      <c r="EZ14" s="196" t="s">
        <v>1050</v>
      </c>
      <c r="FA14" s="218" t="s">
        <v>1017</v>
      </c>
      <c r="FB14" s="197" t="s">
        <v>1052</v>
      </c>
      <c r="FC14" s="196" t="s">
        <v>1051</v>
      </c>
    </row>
    <row r="15" spans="1:159" x14ac:dyDescent="0.2">
      <c r="A15" t="s">
        <v>187</v>
      </c>
      <c r="B15" s="5" t="s">
        <v>26</v>
      </c>
      <c r="C15" s="5" t="s">
        <v>581</v>
      </c>
      <c r="D15" s="5"/>
      <c r="E15" s="47" t="str">
        <f>IFERROR(1/(1/IF($B15="&lt;01",ROUND(SUM(EID!$L:$L)/2,0),SUMIFS(HTS!$AM:$AM,HTS!$C:$C,$B15,HTS!$D:$D,$C15))),"")</f>
        <v/>
      </c>
      <c r="F15" s="36" t="str">
        <f>IFERROR(1/(1/IF($B15="&lt;01",ROUND(SUM(EID!$N:$N)/2,0),SUMIFS(Cascade!$AX:$AX,Cascade!$C:$C,$B15,Cascade!$D:$D,$C15))),"")</f>
        <v/>
      </c>
      <c r="G15" s="36" t="str">
        <f>IFERROR(1/(1/IF($B15="&lt;01",ROUND(SUM(EID!$P:$P)/2,0),SUMIFS(Cascade!$AP:$AP,Cascade!$C:$C,$B15,Cascade!$D:$D,$C15))),"")</f>
        <v/>
      </c>
      <c r="H15" s="36" t="str">
        <f>IFERROR(1/(1/IF($B15="&lt;01",ROUND(SUM(EID!$T:$T)/2,0),SUMIFS(Cascade!$BB:$BB,Cascade!$C:$C,$B15,Cascade!$D:$D,$C15))),"")</f>
        <v/>
      </c>
      <c r="I15" s="36" t="str">
        <f>IFERROR(1/(1/IF($B15="&lt;01",ROUND(SUM(EID!$V:$V)/2,0),SUMIFS(Cascade!$BE:$BE,Cascade!$C:$C,$B15,Cascade!$D:$D,$C15))),"")</f>
        <v/>
      </c>
      <c r="J15" s="36" t="str">
        <f>IFERROR(1/(1/SUMIFS(Cascade!$AJ:$AJ,Cascade!$C:$C,"="&amp;$B15,Cascade!$D:$D,$C15)),"")</f>
        <v/>
      </c>
      <c r="K15" s="36" t="str">
        <f>IFERROR(1/(1/SUMIFS(Cascade!$AQ:$AQ,Cascade!$C:$C,"="&amp;$B15,Cascade!$D:$D,$C15)),"")</f>
        <v/>
      </c>
      <c r="L15" s="19" t="str">
        <f>IF(SUM($J15)=0,"",SUM($K15)/$J15)</f>
        <v/>
      </c>
      <c r="M15" s="47" t="str">
        <f>IFERROR(1/(1/ROUND(SUMIFS(Spectrum!$N:$N,Spectrum!$Q:$Q,"="&amp;$B15,Spectrum!$K:$K,$C15,Spectrum!$G:$G,M$14,Spectrum!$M:$M,"CY2024Q3"),0)),"")</f>
        <v/>
      </c>
      <c r="N15" s="33" t="str">
        <f>IFERROR(1/(1/ROUND(SUMIFS(Spectrum!$N:$N,Spectrum!$Q:$Q,"="&amp;$B15,Spectrum!$K:$K,$C15,Spectrum!$G:$G,N$14,Spectrum!$M:$M,"CY2025Q3"),0)),IFERROR(1/(1/SUM($J15,$M15)),""))</f>
        <v/>
      </c>
      <c r="O15" s="19">
        <f>MAX(SUM($L15),90%)</f>
        <v>0.9</v>
      </c>
      <c r="P15" s="36" t="str">
        <f>IFERROR(1/(1/ROUND(IF(SUM($N15)=0,IF(SUM($J15)=0,SUM($G15)/SUM($O15),SUM($J15)),SUM($N15))*SUM($O15),0)),"")</f>
        <v/>
      </c>
      <c r="Q15" s="19">
        <f>IF(SUM($K15)=0,1,SUM($G15)/$K15)</f>
        <v>1</v>
      </c>
      <c r="R15" s="60" t="str">
        <f>IFERROR(1/(1/ROUND(SUM($P15)*SUM($Q15),0)),"")</f>
        <v/>
      </c>
      <c r="S15" s="33" t="str">
        <f>IFERROR(1/(1/IF(SUM($R15)=0,IF(SUM($P15)=0,SUM($K15),SUM($P15)),ROUND(SUM($R15)/IF(SUM($Q15)=0,1,SUM($Q15)),0))),"")</f>
        <v/>
      </c>
      <c r="T15" s="19" t="str">
        <f>IF(SUM($N15)=0,"",SUM($S15)/$N15)</f>
        <v/>
      </c>
      <c r="U15" s="149">
        <v>0.98</v>
      </c>
      <c r="V15" s="19">
        <v>0.98</v>
      </c>
      <c r="W15" s="36" t="str">
        <f>IF(OR(SUM($V15)=0,SUM($R15)=0),"",ROUND((SUM($R15)-(SUM($G15)*SUM($U15)))/$V15,0))</f>
        <v/>
      </c>
      <c r="X15" s="19">
        <v>1</v>
      </c>
      <c r="Y15" s="33" t="str">
        <f>IF(SUM($W15)=0,"",ROUND(SUM($W15)*SUM($X15),0))</f>
        <v/>
      </c>
      <c r="Z15" s="149">
        <v>0.7</v>
      </c>
      <c r="AA15" s="36" t="str">
        <f>IF(SUM($G15,$W15)=0,"",ROUND(SUM($G15)+(SUM($W15)*$Z15),0))</f>
        <v/>
      </c>
      <c r="AB15" s="19">
        <v>0.95</v>
      </c>
      <c r="AC15" s="33" t="str">
        <f>IF(SUM($AA15)=0,"",ROUND($AA15*$AB15,0))</f>
        <v/>
      </c>
      <c r="AD15" s="149">
        <v>0.95</v>
      </c>
      <c r="AE15" s="33" t="str">
        <f>IF(SUM($AC15)=0,"",ROUND($AD15*$AC15,0))</f>
        <v/>
      </c>
      <c r="AF15" s="149">
        <v>0.95</v>
      </c>
      <c r="AG15" s="33" t="str">
        <f>IF(SUM($Y15)=0,"",ROUND($Y15/$AF15,0))</f>
        <v/>
      </c>
      <c r="AH15" s="412"/>
      <c r="AI15" s="410"/>
      <c r="AJ15" s="410"/>
      <c r="AK15" s="410"/>
      <c r="AL15" s="410"/>
      <c r="AM15" s="410"/>
      <c r="AN15" s="410"/>
      <c r="AO15" s="410"/>
      <c r="AP15" s="410"/>
      <c r="AQ15" s="413"/>
      <c r="AR15" s="414"/>
      <c r="AS15" s="414"/>
      <c r="AT15" s="414"/>
      <c r="AU15" s="414"/>
      <c r="AV15" s="414"/>
      <c r="AW15" s="414"/>
      <c r="AX15" s="414"/>
      <c r="AY15" s="414"/>
      <c r="AZ15" s="410"/>
      <c r="BA15" s="411"/>
      <c r="BB15" s="415"/>
      <c r="BC15" s="415"/>
      <c r="BD15" s="417"/>
      <c r="BE15" s="411"/>
      <c r="BF15" s="417"/>
      <c r="BG15" s="410"/>
      <c r="BH15" s="411"/>
      <c r="BI15" s="409"/>
      <c r="BJ15" s="409"/>
      <c r="BK15" s="409"/>
      <c r="BL15" s="417"/>
      <c r="BM15" s="417"/>
      <c r="BN15" s="417"/>
      <c r="BO15" s="409"/>
      <c r="BP15" s="409"/>
      <c r="BQ15" s="411"/>
      <c r="BR15" s="409"/>
      <c r="BS15" s="435"/>
      <c r="BT15" s="417"/>
      <c r="BU15" s="417"/>
      <c r="BV15" s="411"/>
      <c r="BW15" s="409"/>
      <c r="BX15" s="409"/>
      <c r="BY15" s="409"/>
      <c r="BZ15" s="417"/>
      <c r="CA15" s="417"/>
      <c r="CB15" s="417"/>
      <c r="CC15" s="409"/>
      <c r="CD15" s="415"/>
      <c r="CE15" s="411"/>
      <c r="CF15" s="409"/>
      <c r="CG15" s="436"/>
      <c r="CH15" s="417"/>
      <c r="CI15" s="417"/>
      <c r="CJ15" s="411"/>
      <c r="CK15" s="409"/>
      <c r="CL15" s="409"/>
      <c r="CM15" s="409"/>
      <c r="CN15" s="409"/>
      <c r="CO15" s="409"/>
      <c r="CP15" s="409"/>
      <c r="CQ15" s="409"/>
      <c r="CR15" s="415"/>
      <c r="CS15" s="411"/>
      <c r="CT15" s="409"/>
      <c r="CU15" s="417"/>
      <c r="CV15" s="417"/>
      <c r="CW15" s="410"/>
      <c r="CX15" s="410"/>
      <c r="CY15" s="411"/>
      <c r="CZ15" s="417"/>
      <c r="DA15" s="410"/>
      <c r="DB15" s="411"/>
      <c r="DC15" s="417"/>
      <c r="DD15" s="410"/>
      <c r="DE15" s="411"/>
      <c r="DF15" s="409"/>
      <c r="DG15" s="410"/>
      <c r="DH15" s="410"/>
      <c r="DI15" s="417"/>
      <c r="DJ15" s="410"/>
      <c r="DK15" s="412"/>
      <c r="DL15" s="410"/>
      <c r="DM15" s="410"/>
      <c r="DN15" s="410"/>
      <c r="DO15" s="410"/>
      <c r="DP15" s="410"/>
      <c r="DQ15" s="417"/>
      <c r="DR15" s="417"/>
      <c r="DS15" s="417"/>
      <c r="DT15" s="417"/>
      <c r="DU15" s="411"/>
      <c r="DV15" s="415"/>
      <c r="DW15" s="415"/>
      <c r="DX15" s="415"/>
      <c r="DY15" s="417"/>
      <c r="DZ15" s="417"/>
      <c r="EA15" s="416"/>
      <c r="EB15" s="417"/>
      <c r="EC15" s="417"/>
      <c r="ED15" s="411"/>
      <c r="EE15" s="409"/>
      <c r="EF15" s="409"/>
      <c r="EG15" s="409"/>
      <c r="EH15" s="417"/>
      <c r="EI15" s="417"/>
      <c r="EJ15" s="417"/>
      <c r="EK15" s="417"/>
      <c r="EL15" s="415"/>
      <c r="EM15" s="415"/>
      <c r="EN15" s="415"/>
      <c r="EO15" s="415"/>
      <c r="EP15" s="416"/>
      <c r="EQ15" s="424"/>
      <c r="ER15" s="411"/>
      <c r="ES15" s="409"/>
      <c r="ET15" s="417"/>
      <c r="EU15" s="417"/>
      <c r="EV15" s="415"/>
      <c r="EW15" s="415"/>
      <c r="EX15" s="411"/>
      <c r="EY15" s="417"/>
      <c r="EZ15" s="415"/>
      <c r="FA15" s="411"/>
      <c r="FB15" s="417"/>
      <c r="FC15" s="419"/>
    </row>
    <row r="16" spans="1:159" x14ac:dyDescent="0.2">
      <c r="A16" t="s">
        <v>187</v>
      </c>
      <c r="B16" s="5" t="s">
        <v>26</v>
      </c>
      <c r="C16" t="s">
        <v>606</v>
      </c>
      <c r="E16" s="47" t="str">
        <f>IFERROR(1/(1/IF($B16="&lt;01",ROUND(SUM(EID!$L:$L)/2,0),SUMIFS(HTS!$AM:$AM,HTS!$C:$C,$B16,HTS!$D:$D,$C16))),"")</f>
        <v/>
      </c>
      <c r="F16" s="36" t="str">
        <f>IFERROR(1/(1/IF($B16="&lt;01",ROUND(SUM(EID!$N:$N)/2,0),SUMIFS(Cascade!$AX:$AX,Cascade!$C:$C,$B16,Cascade!$D:$D,$C16))),"")</f>
        <v/>
      </c>
      <c r="G16" s="36" t="str">
        <f>IFERROR(1/(1/IF($B16="&lt;01",ROUND(SUM(EID!$P:$P)/2,0),SUMIFS(Cascade!$AP:$AP,Cascade!$C:$C,$B16,Cascade!$D:$D,$C16))),"")</f>
        <v/>
      </c>
      <c r="H16" s="36" t="str">
        <f>IFERROR(1/(1/IF($B16="&lt;01",ROUND(SUM(EID!$T:$T)/2,0),SUMIFS(Cascade!$BB:$BB,Cascade!$C:$C,$B16,Cascade!$D:$D,$C16))),"")</f>
        <v/>
      </c>
      <c r="I16" s="36" t="str">
        <f>IFERROR(1/(1/IF($B16="&lt;01",ROUND(SUM(EID!$V:$V)/2,0),SUMIFS(Cascade!$BE:$BE,Cascade!$C:$C,$B16,Cascade!$D:$D,$C16))),"")</f>
        <v/>
      </c>
      <c r="J16" s="36" t="str">
        <f>IFERROR(1/(1/SUMIFS(Cascade!$AJ:$AJ,Cascade!$C:$C,"="&amp;$B16,Cascade!$D:$D,$C16)),"")</f>
        <v/>
      </c>
      <c r="K16" s="36" t="str">
        <f>IFERROR(1/(1/SUMIFS(Cascade!$AQ:$AQ,Cascade!$C:$C,"="&amp;$B16,Cascade!$D:$D,$C16)),"")</f>
        <v/>
      </c>
      <c r="L16" s="19" t="str">
        <f t="shared" ref="L16:L28" si="0">IF(SUM($J16)=0,"",SUM($K16)/$J16)</f>
        <v/>
      </c>
      <c r="M16" s="47" t="str">
        <f>IFERROR(1/(1/ROUND(SUMIFS(Spectrum!$N:$N,Spectrum!$Q:$Q,"="&amp;$B16,Spectrum!$K:$K,$C16,Spectrum!$G:$G,M$14,Spectrum!$M:$M,"CY2024Q3"),0)),"")</f>
        <v/>
      </c>
      <c r="N16" s="33" t="str">
        <f>IFERROR(1/(1/ROUND(SUMIFS(Spectrum!$N:$N,Spectrum!$Q:$Q,"="&amp;$B16,Spectrum!$K:$K,$C16,Spectrum!$G:$G,N$14,Spectrum!$M:$M,"CY2025Q3"),0)),IFERROR(1/(1/SUM($J16,$M16)),""))</f>
        <v/>
      </c>
      <c r="O16" s="19">
        <f t="shared" ref="O16:O33" si="1">MAX(SUM($L16),90%)</f>
        <v>0.9</v>
      </c>
      <c r="P16" s="36" t="str">
        <f t="shared" ref="P16:P33" si="2">IFERROR(1/(1/IF(SUM($N16)=0,SUM($G16),ROUND(SUM($N16)*SUM($O16),0))),"")</f>
        <v/>
      </c>
      <c r="Q16" s="19">
        <f t="shared" ref="Q16:Q33" si="3">IF(SUM($K16)=0,1,SUM($G16)/$K16)</f>
        <v>1</v>
      </c>
      <c r="R16" s="60" t="str">
        <f t="shared" ref="R16:R33" si="4">IFERROR(1/(1/ROUND(SUM($P16)*SUM($Q16),0)),"")</f>
        <v/>
      </c>
      <c r="S16" s="33" t="str">
        <f t="shared" ref="S16:S33" si="5">IFERROR(1/(1/IF(SUM($R16)=0,IF(SUM($P16)=0,SUM($K16),SUM($P16)),ROUND(SUM($R16)/IF(SUM($Q16)=0,1,SUM($Q16)),0))),"")</f>
        <v/>
      </c>
      <c r="T16" s="19" t="str">
        <f t="shared" ref="T16:T33" si="6">IF(SUM($N16)=0,"",SUM($S16)/$N16)</f>
        <v/>
      </c>
      <c r="U16" s="149">
        <v>0.98</v>
      </c>
      <c r="V16" s="19">
        <v>0.98</v>
      </c>
      <c r="W16" s="36" t="str">
        <f t="shared" ref="W16:W33" si="7">IF(OR(SUM($V16)=0,SUM($R16)=0),"",ROUND((SUM($R16)-(SUM($G16)*SUM($U16)))/$V16,0))</f>
        <v/>
      </c>
      <c r="X16" s="19">
        <v>1</v>
      </c>
      <c r="Y16" s="33" t="str">
        <f t="shared" ref="Y16:Y33" si="8">IF(SUM($W16)=0,"",ROUND(SUM($W16)*SUM($X16),0))</f>
        <v/>
      </c>
      <c r="Z16" s="149">
        <v>0.7</v>
      </c>
      <c r="AA16" s="36" t="str">
        <f t="shared" ref="AA16:AA33" si="9">IF(SUM($G16,$W16)=0,"",ROUND(SUM($G16)+(SUM($W16)*$Z16),0))</f>
        <v/>
      </c>
      <c r="AB16" s="19">
        <v>0.95</v>
      </c>
      <c r="AC16" s="33" t="str">
        <f t="shared" ref="AC16:AC33" si="10">IF(SUM($AA16)=0,"",ROUND($AA16*$AB16,0))</f>
        <v/>
      </c>
      <c r="AD16" s="149">
        <v>0.95</v>
      </c>
      <c r="AE16" s="33" t="str">
        <f t="shared" ref="AE16:AE33" si="11">IF(SUM($AC16)=0,"",ROUND($AD16*$AC16,0))</f>
        <v/>
      </c>
      <c r="AF16" s="149">
        <v>0.95</v>
      </c>
      <c r="AG16" s="33" t="str">
        <f t="shared" ref="AG16:AG33" si="12">IF(SUM($Y16)=0,"",ROUND($Y16/$AF16,0))</f>
        <v/>
      </c>
      <c r="AH16" s="412"/>
      <c r="AI16" s="410"/>
      <c r="AJ16" s="410"/>
      <c r="AK16" s="410"/>
      <c r="AL16" s="410"/>
      <c r="AM16" s="410"/>
      <c r="AN16" s="410"/>
      <c r="AO16" s="410"/>
      <c r="AP16" s="410"/>
      <c r="AQ16" s="413"/>
      <c r="AR16" s="414"/>
      <c r="AS16" s="414"/>
      <c r="AT16" s="414"/>
      <c r="AU16" s="414"/>
      <c r="AV16" s="414"/>
      <c r="AW16" s="414"/>
      <c r="AX16" s="414"/>
      <c r="AY16" s="414"/>
      <c r="AZ16" s="410"/>
      <c r="BA16" s="411"/>
      <c r="BB16" s="415"/>
      <c r="BC16" s="415"/>
      <c r="BD16" s="417"/>
      <c r="BE16" s="411"/>
      <c r="BF16" s="417"/>
      <c r="BG16" s="410"/>
      <c r="BH16" s="411"/>
      <c r="BI16" s="409"/>
      <c r="BJ16" s="409"/>
      <c r="BK16" s="409"/>
      <c r="BL16" s="417"/>
      <c r="BM16" s="417"/>
      <c r="BN16" s="417"/>
      <c r="BO16" s="409"/>
      <c r="BP16" s="409"/>
      <c r="BQ16" s="411"/>
      <c r="BR16" s="409"/>
      <c r="BS16" s="435"/>
      <c r="BT16" s="417"/>
      <c r="BU16" s="417"/>
      <c r="BV16" s="411"/>
      <c r="BW16" s="409"/>
      <c r="BX16" s="409"/>
      <c r="BY16" s="409"/>
      <c r="BZ16" s="417"/>
      <c r="CA16" s="417"/>
      <c r="CB16" s="417"/>
      <c r="CC16" s="409"/>
      <c r="CD16" s="415"/>
      <c r="CE16" s="411"/>
      <c r="CF16" s="409"/>
      <c r="CG16" s="436"/>
      <c r="CH16" s="417"/>
      <c r="CI16" s="417"/>
      <c r="CJ16" s="411"/>
      <c r="CK16" s="409"/>
      <c r="CL16" s="409"/>
      <c r="CM16" s="409"/>
      <c r="CN16" s="409"/>
      <c r="CO16" s="409"/>
      <c r="CP16" s="409"/>
      <c r="CQ16" s="409"/>
      <c r="CR16" s="415"/>
      <c r="CS16" s="411"/>
      <c r="CT16" s="409"/>
      <c r="CU16" s="417"/>
      <c r="CV16" s="417"/>
      <c r="CW16" s="410"/>
      <c r="CX16" s="410"/>
      <c r="CY16" s="411"/>
      <c r="CZ16" s="417"/>
      <c r="DA16" s="410"/>
      <c r="DB16" s="411"/>
      <c r="DC16" s="417"/>
      <c r="DD16" s="410"/>
      <c r="DE16" s="411"/>
      <c r="DF16" s="409"/>
      <c r="DG16" s="410"/>
      <c r="DH16" s="410"/>
      <c r="DI16" s="417"/>
      <c r="DJ16" s="410"/>
      <c r="DK16" s="412"/>
      <c r="DL16" s="410"/>
      <c r="DM16" s="410"/>
      <c r="DN16" s="410"/>
      <c r="DO16" s="410"/>
      <c r="DP16" s="410"/>
      <c r="DQ16" s="417"/>
      <c r="DR16" s="417"/>
      <c r="DS16" s="417"/>
      <c r="DT16" s="417"/>
      <c r="DU16" s="411"/>
      <c r="DV16" s="415"/>
      <c r="DW16" s="415"/>
      <c r="DX16" s="415"/>
      <c r="DY16" s="417"/>
      <c r="DZ16" s="417"/>
      <c r="EA16" s="416"/>
      <c r="EB16" s="417"/>
      <c r="EC16" s="417"/>
      <c r="ED16" s="411"/>
      <c r="EE16" s="409"/>
      <c r="EF16" s="409"/>
      <c r="EG16" s="409"/>
      <c r="EH16" s="417"/>
      <c r="EI16" s="417"/>
      <c r="EJ16" s="417"/>
      <c r="EK16" s="417"/>
      <c r="EL16" s="415"/>
      <c r="EM16" s="415"/>
      <c r="EN16" s="415"/>
      <c r="EO16" s="415"/>
      <c r="EP16" s="416"/>
      <c r="EQ16" s="424"/>
      <c r="ER16" s="411"/>
      <c r="ES16" s="409"/>
      <c r="ET16" s="417"/>
      <c r="EU16" s="417"/>
      <c r="EV16" s="415"/>
      <c r="EW16" s="415"/>
      <c r="EX16" s="411"/>
      <c r="EY16" s="417"/>
      <c r="EZ16" s="415"/>
      <c r="FA16" s="411"/>
      <c r="FB16" s="417"/>
      <c r="FC16" s="419"/>
    </row>
    <row r="17" spans="1:159" x14ac:dyDescent="0.2">
      <c r="A17" t="s">
        <v>187</v>
      </c>
      <c r="B17" s="176" t="s">
        <v>601</v>
      </c>
      <c r="C17" s="5" t="s">
        <v>581</v>
      </c>
      <c r="E17" s="47" t="str">
        <f>IFERROR(1/(1/IF($B17="&lt;01",ROUND(SUM(EID!$L:$L)/2,0),SUMIFS(HTS!$AM:$AM,HTS!$C:$C,$B17,HTS!$D:$D,$C17))),"")</f>
        <v/>
      </c>
      <c r="F17" s="36" t="str">
        <f>IFERROR(1/(1/IF($B17="&lt;01",ROUND(SUM(EID!$N:$N)/2,0),SUMIFS(Cascade!$AX:$AX,Cascade!$C:$C,$B17,Cascade!$D:$D,$C17))),"")</f>
        <v/>
      </c>
      <c r="G17" s="36" t="str">
        <f>IFERROR(1/(1/IF($B17="&lt;01",ROUND(SUM(EID!$P:$P)/2,0),SUMIFS(Cascade!$AP:$AP,Cascade!$C:$C,$B17,Cascade!$D:$D,$C17))),"")</f>
        <v/>
      </c>
      <c r="H17" s="36" t="str">
        <f>IFERROR(1/(1/IF($B17="&lt;01",ROUND(SUM(EID!$T:$T)/2,0),SUMIFS(Cascade!$BB:$BB,Cascade!$C:$C,$B17,Cascade!$D:$D,$C17))),"")</f>
        <v/>
      </c>
      <c r="I17" s="36" t="str">
        <f>IFERROR(1/(1/IF($B17="&lt;01",ROUND(SUM(EID!$V:$V)/2,0),SUMIFS(Cascade!$BE:$BE,Cascade!$C:$C,$B17,Cascade!$D:$D,$C17))),"")</f>
        <v/>
      </c>
      <c r="J17" s="36" t="str">
        <f>IFERROR(1/(1/SUMIFS(Cascade!$AJ:$AJ,Cascade!$C:$C,"="&amp;$B17,Cascade!$D:$D,$C17)),"")</f>
        <v/>
      </c>
      <c r="K17" s="36" t="str">
        <f>IFERROR(1/(1/SUMIFS(Cascade!$AQ:$AQ,Cascade!$C:$C,"="&amp;$B17,Cascade!$D:$D,$C17)),"")</f>
        <v/>
      </c>
      <c r="L17" s="19" t="str">
        <f t="shared" si="0"/>
        <v/>
      </c>
      <c r="M17" s="47" t="str">
        <f>IFERROR(1/(1/ROUND(SUMIFS(Spectrum!$N:$N,Spectrum!$Q:$Q,"="&amp;$B17,Spectrum!$K:$K,$C17,Spectrum!$G:$G,M$14,Spectrum!$M:$M,"CY2024Q3"),0)),"")</f>
        <v/>
      </c>
      <c r="N17" s="33" t="str">
        <f>IFERROR(1/(1/ROUND(SUMIFS(Spectrum!$N:$N,Spectrum!$Q:$Q,"="&amp;$B17,Spectrum!$K:$K,$C17,Spectrum!$G:$G,N$14,Spectrum!$M:$M,"CY2025Q3"),0)),IFERROR(1/(1/SUM($J17,$M17)),""))</f>
        <v/>
      </c>
      <c r="O17" s="19">
        <f t="shared" si="1"/>
        <v>0.9</v>
      </c>
      <c r="P17" s="36" t="str">
        <f t="shared" si="2"/>
        <v/>
      </c>
      <c r="Q17" s="19">
        <f t="shared" si="3"/>
        <v>1</v>
      </c>
      <c r="R17" s="60" t="str">
        <f t="shared" si="4"/>
        <v/>
      </c>
      <c r="S17" s="33" t="str">
        <f t="shared" si="5"/>
        <v/>
      </c>
      <c r="T17" s="19" t="str">
        <f t="shared" si="6"/>
        <v/>
      </c>
      <c r="U17" s="149">
        <v>0.98</v>
      </c>
      <c r="V17" s="19">
        <v>0.98</v>
      </c>
      <c r="W17" s="36" t="str">
        <f t="shared" si="7"/>
        <v/>
      </c>
      <c r="X17" s="19">
        <v>1</v>
      </c>
      <c r="Y17" s="33" t="str">
        <f t="shared" si="8"/>
        <v/>
      </c>
      <c r="Z17" s="149">
        <v>0.7</v>
      </c>
      <c r="AA17" s="36" t="str">
        <f t="shared" si="9"/>
        <v/>
      </c>
      <c r="AB17" s="19">
        <v>0.95</v>
      </c>
      <c r="AC17" s="33" t="str">
        <f t="shared" si="10"/>
        <v/>
      </c>
      <c r="AD17" s="149">
        <v>0.95</v>
      </c>
      <c r="AE17" s="33" t="str">
        <f t="shared" si="11"/>
        <v/>
      </c>
      <c r="AF17" s="149">
        <v>0.95</v>
      </c>
      <c r="AG17" s="33" t="str">
        <f t="shared" si="12"/>
        <v/>
      </c>
      <c r="AH17" s="412"/>
      <c r="AI17" s="410"/>
      <c r="AJ17" s="19" t="str">
        <f>IFERROR(1/(1/SUMIFS(TB!$P:$P,TB!$C:$C,$B17,TB!$D:$D,$C17))/SUM($E17),"")</f>
        <v/>
      </c>
      <c r="AK17" s="410"/>
      <c r="AL17" s="19" t="str">
        <f>IFERROR(1/(1/SUMIFS(HTS!$X:$X,HTS!$C:$C,$B17,HTS!$D:$D,$C17))/SUM($E17),"")</f>
        <v/>
      </c>
      <c r="AM17" s="19" t="str">
        <f>IFERROR(1/(1/SUMIFS(HTS!$AA:$AA,HTS!$C:$C,$B17,HTS!$D:$D,$C17))/SUM($E17),"")</f>
        <v/>
      </c>
      <c r="AN17" s="19" t="str">
        <f>IFERROR(1/(1/SUMIFS(HTS!$AD:$AD,HTS!$C:$C,$B17,HTS!$D:$D,$C17))/SUM($E17),"")</f>
        <v/>
      </c>
      <c r="AO17" s="19" t="str">
        <f>IFERROR(1/(1/SUMIFS(HTS!$AG:$AG,HTS!$C:$C,$B17,HTS!$D:$D,$C17))/SUM($E17),"")</f>
        <v/>
      </c>
      <c r="AP17" s="19" t="str">
        <f>IFERROR(1/(1/SUMIFS(HTS!$AJ:$AJ,HTS!$C:$C,$B17,HTS!$D:$D,$C17))/SUM($E17),"")</f>
        <v/>
      </c>
      <c r="AQ17" s="413"/>
      <c r="AR17" s="414"/>
      <c r="AS17" s="389" t="str">
        <f t="shared" ref="AS17:AS28" si="13">AJ17</f>
        <v/>
      </c>
      <c r="AT17" s="414"/>
      <c r="AU17" s="389" t="str">
        <f t="shared" ref="AU17:AU28" si="14">AL17</f>
        <v/>
      </c>
      <c r="AV17" s="389" t="str">
        <f t="shared" ref="AV17:AV28" si="15">AM17</f>
        <v/>
      </c>
      <c r="AW17" s="389" t="str">
        <f t="shared" ref="AW17:AW28" si="16">AN17</f>
        <v/>
      </c>
      <c r="AX17" s="389" t="str">
        <f t="shared" ref="AX17:AX28" si="17">AO17</f>
        <v/>
      </c>
      <c r="AY17" s="389" t="str">
        <f t="shared" ref="AY17:AY28" si="18">AP17</f>
        <v/>
      </c>
      <c r="AZ17" s="19" t="str">
        <f t="shared" ref="AZ17:AZ28" si="19">IFERROR(1/(1/SUM(AQ17:AY17)),"")</f>
        <v/>
      </c>
      <c r="BA17" s="411"/>
      <c r="BB17" s="415"/>
      <c r="BC17" s="415"/>
      <c r="BD17" s="417"/>
      <c r="BE17" s="411"/>
      <c r="BF17" s="417"/>
      <c r="BG17" s="410"/>
      <c r="BH17" s="411"/>
      <c r="BI17" s="409"/>
      <c r="BJ17" s="409"/>
      <c r="BK17" s="409"/>
      <c r="BL17" s="417"/>
      <c r="BM17" s="417"/>
      <c r="BN17" s="417"/>
      <c r="BO17" s="409"/>
      <c r="BP17" s="409"/>
      <c r="BQ17" s="411"/>
      <c r="BR17" s="409"/>
      <c r="BS17" s="435"/>
      <c r="BT17" s="417"/>
      <c r="BU17" s="417"/>
      <c r="BV17" s="411"/>
      <c r="BW17" s="409"/>
      <c r="BX17" s="409"/>
      <c r="BY17" s="409"/>
      <c r="BZ17" s="417"/>
      <c r="CA17" s="417"/>
      <c r="CB17" s="417"/>
      <c r="CC17" s="409"/>
      <c r="CD17" s="415"/>
      <c r="CE17" s="411"/>
      <c r="CF17" s="409"/>
      <c r="CG17" s="270">
        <f t="shared" ref="CG17:CG28" si="20">AF17</f>
        <v>0.95</v>
      </c>
      <c r="CI17" s="33" t="str">
        <f t="shared" ref="CI17:CI28" si="21">IF(SUM($AG17)=0,"",IF(AND($AS17="",SUM($AG17)&gt;0),"&lt;- Enter Linkage Rate",ROUND($AG17*$AS17*$CG17,0)))</f>
        <v/>
      </c>
      <c r="CS17" s="411"/>
      <c r="CT17" s="409"/>
      <c r="CU17" s="417"/>
      <c r="CV17" s="417"/>
      <c r="CW17" s="410"/>
      <c r="CX17" s="410"/>
      <c r="CY17" s="411"/>
      <c r="CZ17" s="417"/>
      <c r="DA17" s="410"/>
      <c r="DB17" s="411"/>
      <c r="DC17" s="417"/>
      <c r="DD17" s="410"/>
      <c r="DE17" s="411"/>
      <c r="DF17" s="409"/>
      <c r="DG17" s="410"/>
      <c r="DH17" s="410"/>
      <c r="DI17" s="417"/>
      <c r="DJ17" s="410"/>
      <c r="DK17" s="412"/>
      <c r="DL17" s="410"/>
      <c r="DM17" s="410"/>
      <c r="DN17" s="410"/>
      <c r="DO17" s="410"/>
      <c r="DP17" s="410"/>
      <c r="DQ17" s="417"/>
      <c r="DR17" s="417"/>
      <c r="DS17" s="417"/>
      <c r="DT17" s="417"/>
      <c r="DU17" s="411"/>
      <c r="DV17" s="415"/>
      <c r="DW17" s="415"/>
      <c r="DX17" s="415"/>
      <c r="DY17" s="417"/>
      <c r="DZ17" s="417"/>
      <c r="EA17" s="416"/>
      <c r="EB17" s="417"/>
      <c r="EC17" s="417"/>
      <c r="ED17" s="411"/>
      <c r="EE17" s="409"/>
      <c r="EF17" s="409"/>
      <c r="EG17" s="409"/>
      <c r="EH17" s="417"/>
      <c r="EI17" s="417"/>
      <c r="EJ17" s="417"/>
      <c r="EK17" s="417"/>
      <c r="EL17" s="415"/>
      <c r="EM17" s="415"/>
      <c r="EN17" s="415"/>
      <c r="EO17" s="415"/>
      <c r="EP17" s="416"/>
      <c r="EQ17" s="424"/>
      <c r="ER17" s="411"/>
      <c r="ES17" s="409"/>
      <c r="ET17" s="417"/>
      <c r="EU17" s="417"/>
      <c r="EV17" s="415"/>
      <c r="EW17" s="415"/>
      <c r="EX17" s="411"/>
      <c r="EY17" s="417"/>
      <c r="EZ17" s="415"/>
      <c r="FA17" s="411"/>
      <c r="FB17" s="417"/>
      <c r="FC17" s="419"/>
    </row>
    <row r="18" spans="1:159" x14ac:dyDescent="0.2">
      <c r="A18" t="s">
        <v>187</v>
      </c>
      <c r="B18" s="176" t="s">
        <v>601</v>
      </c>
      <c r="C18" t="s">
        <v>606</v>
      </c>
      <c r="E18" s="47" t="str">
        <f>IFERROR(1/(1/IF($B18="&lt;01",ROUND(SUM(EID!$L:$L)/2,0),SUMIFS(HTS!$AM:$AM,HTS!$C:$C,$B18,HTS!$D:$D,$C18))),"")</f>
        <v/>
      </c>
      <c r="F18" s="36" t="str">
        <f>IFERROR(1/(1/IF($B18="&lt;01",ROUND(SUM(EID!$N:$N)/2,0),SUMIFS(Cascade!$AX:$AX,Cascade!$C:$C,$B18,Cascade!$D:$D,$C18))),"")</f>
        <v/>
      </c>
      <c r="G18" s="36" t="str">
        <f>IFERROR(1/(1/IF($B18="&lt;01",ROUND(SUM(EID!$P:$P)/2,0),SUMIFS(Cascade!$AP:$AP,Cascade!$C:$C,$B18,Cascade!$D:$D,$C18))),"")</f>
        <v/>
      </c>
      <c r="H18" s="36" t="str">
        <f>IFERROR(1/(1/IF($B18="&lt;01",ROUND(SUM(EID!$T:$T)/2,0),SUMIFS(Cascade!$BB:$BB,Cascade!$C:$C,$B18,Cascade!$D:$D,$C18))),"")</f>
        <v/>
      </c>
      <c r="I18" s="36" t="str">
        <f>IFERROR(1/(1/IF($B18="&lt;01",ROUND(SUM(EID!$V:$V)/2,0),SUMIFS(Cascade!$BE:$BE,Cascade!$C:$C,$B18,Cascade!$D:$D,$C18))),"")</f>
        <v/>
      </c>
      <c r="J18" s="36" t="str">
        <f>IFERROR(1/(1/SUMIFS(Cascade!$AJ:$AJ,Cascade!$C:$C,"="&amp;$B18,Cascade!$D:$D,$C18)),"")</f>
        <v/>
      </c>
      <c r="K18" s="36" t="str">
        <f>IFERROR(1/(1/SUMIFS(Cascade!$AQ:$AQ,Cascade!$C:$C,"="&amp;$B18,Cascade!$D:$D,$C18)),"")</f>
        <v/>
      </c>
      <c r="L18" s="19" t="str">
        <f t="shared" si="0"/>
        <v/>
      </c>
      <c r="M18" s="47" t="str">
        <f>IFERROR(1/(1/ROUND(SUMIFS(Spectrum!$N:$N,Spectrum!$Q:$Q,"="&amp;$B18,Spectrum!$K:$K,$C18,Spectrum!$G:$G,M$14,Spectrum!$M:$M,"CY2024Q3"),0)),"")</f>
        <v/>
      </c>
      <c r="N18" s="33" t="str">
        <f>IFERROR(1/(1/ROUND(SUMIFS(Spectrum!$N:$N,Spectrum!$Q:$Q,"="&amp;$B18,Spectrum!$K:$K,$C18,Spectrum!$G:$G,N$14,Spectrum!$M:$M,"CY2025Q3"),0)),IFERROR(1/(1/SUM($J18,$M18)),""))</f>
        <v/>
      </c>
      <c r="O18" s="19">
        <f t="shared" si="1"/>
        <v>0.9</v>
      </c>
      <c r="P18" s="36" t="str">
        <f t="shared" si="2"/>
        <v/>
      </c>
      <c r="Q18" s="19">
        <f t="shared" si="3"/>
        <v>1</v>
      </c>
      <c r="R18" s="60" t="str">
        <f t="shared" si="4"/>
        <v/>
      </c>
      <c r="S18" s="33" t="str">
        <f t="shared" si="5"/>
        <v/>
      </c>
      <c r="T18" s="19" t="str">
        <f t="shared" si="6"/>
        <v/>
      </c>
      <c r="U18" s="149">
        <v>0.98</v>
      </c>
      <c r="V18" s="19">
        <v>0.98</v>
      </c>
      <c r="W18" s="36" t="str">
        <f t="shared" si="7"/>
        <v/>
      </c>
      <c r="X18" s="19">
        <v>1</v>
      </c>
      <c r="Y18" s="33" t="str">
        <f t="shared" si="8"/>
        <v/>
      </c>
      <c r="Z18" s="149">
        <v>0.7</v>
      </c>
      <c r="AA18" s="36" t="str">
        <f t="shared" si="9"/>
        <v/>
      </c>
      <c r="AB18" s="19">
        <v>0.95</v>
      </c>
      <c r="AC18" s="33" t="str">
        <f t="shared" si="10"/>
        <v/>
      </c>
      <c r="AD18" s="149">
        <v>0.95</v>
      </c>
      <c r="AE18" s="33" t="str">
        <f t="shared" si="11"/>
        <v/>
      </c>
      <c r="AF18" s="149">
        <v>0.95</v>
      </c>
      <c r="AG18" s="33" t="str">
        <f t="shared" si="12"/>
        <v/>
      </c>
      <c r="AH18" s="412"/>
      <c r="AI18" s="410"/>
      <c r="AJ18" s="19" t="str">
        <f>IFERROR(1/(1/SUMIFS(TB!$P:$P,TB!$C:$C,$B18,TB!$D:$D,$C18))/SUM($E18),"")</f>
        <v/>
      </c>
      <c r="AK18" s="410"/>
      <c r="AL18" s="19" t="str">
        <f>IFERROR(1/(1/SUMIFS(HTS!$X:$X,HTS!$C:$C,$B18,HTS!$D:$D,$C18))/SUM($E18),"")</f>
        <v/>
      </c>
      <c r="AM18" s="19" t="str">
        <f>IFERROR(1/(1/SUMIFS(HTS!$AA:$AA,HTS!$C:$C,$B18,HTS!$D:$D,$C18))/SUM($E18),"")</f>
        <v/>
      </c>
      <c r="AN18" s="19" t="str">
        <f>IFERROR(1/(1/SUMIFS(HTS!$AD:$AD,HTS!$C:$C,$B18,HTS!$D:$D,$C18))/SUM($E18),"")</f>
        <v/>
      </c>
      <c r="AO18" s="19" t="str">
        <f>IFERROR(1/(1/SUMIFS(HTS!$AG:$AG,HTS!$C:$C,$B18,HTS!$D:$D,$C18))/SUM($E18),"")</f>
        <v/>
      </c>
      <c r="AP18" s="19" t="str">
        <f>IFERROR(1/(1/SUMIFS(HTS!$AJ:$AJ,HTS!$C:$C,$B18,HTS!$D:$D,$C18))/SUM($E18),"")</f>
        <v/>
      </c>
      <c r="AQ18" s="413"/>
      <c r="AR18" s="414"/>
      <c r="AS18" s="389" t="str">
        <f t="shared" si="13"/>
        <v/>
      </c>
      <c r="AT18" s="414"/>
      <c r="AU18" s="389" t="str">
        <f t="shared" si="14"/>
        <v/>
      </c>
      <c r="AV18" s="389" t="str">
        <f t="shared" si="15"/>
        <v/>
      </c>
      <c r="AW18" s="389" t="str">
        <f t="shared" si="16"/>
        <v/>
      </c>
      <c r="AX18" s="389" t="str">
        <f t="shared" si="17"/>
        <v/>
      </c>
      <c r="AY18" s="389" t="str">
        <f t="shared" si="18"/>
        <v/>
      </c>
      <c r="AZ18" s="19" t="str">
        <f t="shared" si="19"/>
        <v/>
      </c>
      <c r="BA18" s="411"/>
      <c r="BB18" s="415"/>
      <c r="BC18" s="415"/>
      <c r="BD18" s="417"/>
      <c r="BE18" s="411"/>
      <c r="BF18" s="417"/>
      <c r="BG18" s="410"/>
      <c r="BH18" s="411"/>
      <c r="BI18" s="409"/>
      <c r="BJ18" s="409"/>
      <c r="BK18" s="409"/>
      <c r="BL18" s="417"/>
      <c r="BM18" s="417"/>
      <c r="BN18" s="417"/>
      <c r="BO18" s="409"/>
      <c r="BP18" s="409"/>
      <c r="BQ18" s="411"/>
      <c r="BR18" s="409"/>
      <c r="BS18" s="435"/>
      <c r="BT18" s="417"/>
      <c r="BU18" s="417"/>
      <c r="BV18" s="411"/>
      <c r="BW18" s="409"/>
      <c r="BX18" s="409"/>
      <c r="BY18" s="409"/>
      <c r="BZ18" s="417"/>
      <c r="CA18" s="417"/>
      <c r="CB18" s="417"/>
      <c r="CC18" s="409"/>
      <c r="CD18" s="415"/>
      <c r="CE18" s="411"/>
      <c r="CF18" s="409"/>
      <c r="CG18" s="270">
        <f t="shared" si="20"/>
        <v>0.95</v>
      </c>
      <c r="CI18" s="33" t="str">
        <f t="shared" si="21"/>
        <v/>
      </c>
      <c r="CS18" s="411"/>
      <c r="CT18" s="409"/>
      <c r="CU18" s="417"/>
      <c r="CV18" s="417"/>
      <c r="CW18" s="410"/>
      <c r="CX18" s="410"/>
      <c r="CY18" s="411"/>
      <c r="CZ18" s="417"/>
      <c r="DA18" s="410"/>
      <c r="DB18" s="411"/>
      <c r="DC18" s="417"/>
      <c r="DD18" s="410"/>
      <c r="DE18" s="411"/>
      <c r="DF18" s="409"/>
      <c r="DG18" s="410"/>
      <c r="DH18" s="410"/>
      <c r="DI18" s="417"/>
      <c r="DJ18" s="410"/>
      <c r="DK18" s="412"/>
      <c r="DL18" s="410"/>
      <c r="DM18" s="410"/>
      <c r="DN18" s="410"/>
      <c r="DO18" s="410"/>
      <c r="DP18" s="410"/>
      <c r="DQ18" s="417"/>
      <c r="DR18" s="417"/>
      <c r="DS18" s="417"/>
      <c r="DT18" s="417"/>
      <c r="DU18" s="411"/>
      <c r="DV18" s="415"/>
      <c r="DW18" s="415"/>
      <c r="DX18" s="415"/>
      <c r="DY18" s="417"/>
      <c r="DZ18" s="417"/>
      <c r="EA18" s="416"/>
      <c r="EB18" s="417"/>
      <c r="EC18" s="417"/>
      <c r="ED18" s="411"/>
      <c r="EE18" s="409"/>
      <c r="EF18" s="409"/>
      <c r="EG18" s="409"/>
      <c r="EH18" s="417"/>
      <c r="EI18" s="417"/>
      <c r="EJ18" s="417"/>
      <c r="EK18" s="417"/>
      <c r="EL18" s="415"/>
      <c r="EM18" s="415"/>
      <c r="EN18" s="415"/>
      <c r="EO18" s="415"/>
      <c r="EP18" s="416"/>
      <c r="EQ18" s="424"/>
      <c r="ER18" s="411"/>
      <c r="ES18" s="409"/>
      <c r="ET18" s="417"/>
      <c r="EU18" s="417"/>
      <c r="EV18" s="415"/>
      <c r="EW18" s="415"/>
      <c r="EX18" s="411"/>
      <c r="EY18" s="417"/>
      <c r="EZ18" s="415"/>
      <c r="FA18" s="411"/>
      <c r="FB18" s="417"/>
      <c r="FC18" s="419"/>
    </row>
    <row r="19" spans="1:159" x14ac:dyDescent="0.2">
      <c r="A19" t="s">
        <v>187</v>
      </c>
      <c r="B19" s="176" t="s">
        <v>602</v>
      </c>
      <c r="C19" s="5" t="s">
        <v>581</v>
      </c>
      <c r="E19" s="47" t="str">
        <f>IFERROR(1/(1/IF($B19="&lt;01",ROUND(SUM(EID!$L:$L)/2,0),SUMIFS(HTS!$AM:$AM,HTS!$C:$C,$B19,HTS!$D:$D,$C19))),"")</f>
        <v/>
      </c>
      <c r="F19" s="36" t="str">
        <f>IFERROR(1/(1/IF($B19="&lt;01",ROUND(SUM(EID!$N:$N)/2,0),SUMIFS(Cascade!$AX:$AX,Cascade!$C:$C,$B19,Cascade!$D:$D,$C19))),"")</f>
        <v/>
      </c>
      <c r="G19" s="36" t="str">
        <f>IFERROR(1/(1/IF($B19="&lt;01",ROUND(SUM(EID!$P:$P)/2,0),SUMIFS(Cascade!$AP:$AP,Cascade!$C:$C,$B19,Cascade!$D:$D,$C19))),"")</f>
        <v/>
      </c>
      <c r="H19" s="36" t="str">
        <f>IFERROR(1/(1/IF($B19="&lt;01",ROUND(SUM(EID!$T:$T)/2,0),SUMIFS(Cascade!$BB:$BB,Cascade!$C:$C,$B19,Cascade!$D:$D,$C19))),"")</f>
        <v/>
      </c>
      <c r="I19" s="36" t="str">
        <f>IFERROR(1/(1/IF($B19="&lt;01",ROUND(SUM(EID!$V:$V)/2,0),SUMIFS(Cascade!$BE:$BE,Cascade!$C:$C,$B19,Cascade!$D:$D,$C19))),"")</f>
        <v/>
      </c>
      <c r="J19" s="36" t="str">
        <f>IFERROR(1/(1/SUMIFS(Cascade!$AJ:$AJ,Cascade!$C:$C,"="&amp;$B19,Cascade!$D:$D,$C19)),"")</f>
        <v/>
      </c>
      <c r="K19" s="36" t="str">
        <f>IFERROR(1/(1/SUMIFS(Cascade!$AQ:$AQ,Cascade!$C:$C,"="&amp;$B19,Cascade!$D:$D,$C19)),"")</f>
        <v/>
      </c>
      <c r="L19" s="19" t="str">
        <f t="shared" si="0"/>
        <v/>
      </c>
      <c r="M19" s="47" t="str">
        <f>IFERROR(1/(1/ROUND(SUMIFS(Spectrum!$N:$N,Spectrum!$Q:$Q,"="&amp;$B19,Spectrum!$K:$K,$C19,Spectrum!$G:$G,M$14,Spectrum!$M:$M,"CY2024Q3"),0)),"")</f>
        <v/>
      </c>
      <c r="N19" s="33" t="str">
        <f>IFERROR(1/(1/ROUND(SUMIFS(Spectrum!$N:$N,Spectrum!$Q:$Q,"="&amp;$B19,Spectrum!$K:$K,$C19,Spectrum!$G:$G,N$14,Spectrum!$M:$M,"CY2025Q3"),0)),IFERROR(1/(1/SUM($J19,$M19)),""))</f>
        <v/>
      </c>
      <c r="O19" s="19">
        <f t="shared" si="1"/>
        <v>0.9</v>
      </c>
      <c r="P19" s="36" t="str">
        <f t="shared" si="2"/>
        <v/>
      </c>
      <c r="Q19" s="19">
        <f t="shared" si="3"/>
        <v>1</v>
      </c>
      <c r="R19" s="60" t="str">
        <f t="shared" si="4"/>
        <v/>
      </c>
      <c r="S19" s="33" t="str">
        <f t="shared" si="5"/>
        <v/>
      </c>
      <c r="T19" s="19" t="str">
        <f t="shared" si="6"/>
        <v/>
      </c>
      <c r="U19" s="149">
        <v>0.98</v>
      </c>
      <c r="V19" s="19">
        <v>0.98</v>
      </c>
      <c r="W19" s="36" t="str">
        <f t="shared" si="7"/>
        <v/>
      </c>
      <c r="X19" s="19">
        <v>1</v>
      </c>
      <c r="Y19" s="33" t="str">
        <f t="shared" si="8"/>
        <v/>
      </c>
      <c r="Z19" s="149">
        <v>0.7</v>
      </c>
      <c r="AA19" s="36" t="str">
        <f t="shared" si="9"/>
        <v/>
      </c>
      <c r="AB19" s="19">
        <v>0.95</v>
      </c>
      <c r="AC19" s="33" t="str">
        <f t="shared" si="10"/>
        <v/>
      </c>
      <c r="AD19" s="149">
        <v>0.95</v>
      </c>
      <c r="AE19" s="33" t="str">
        <f t="shared" si="11"/>
        <v/>
      </c>
      <c r="AF19" s="149">
        <v>0.95</v>
      </c>
      <c r="AG19" s="33" t="str">
        <f t="shared" si="12"/>
        <v/>
      </c>
      <c r="AH19" s="149" t="str">
        <f>IFERROR(1/(1/SUMIFS(PMTCT!$AC:$AC,PMTCT!$C:$C,$B19,PMTCT!$D:$D,$C19))/SUM($E19),"")</f>
        <v/>
      </c>
      <c r="AI19" s="19" t="str">
        <f>IFERROR(1/(1/SUMIFS(PMTCT!$AS:$AS,PMTCT!$C:$C,$B19,PMTCT!$D:$D,$C19))/SUM($E19),"")</f>
        <v/>
      </c>
      <c r="AJ19" s="19" t="str">
        <f>IFERROR(1/(1/SUMIFS(TB!$P:$P,TB!$C:$C,$B19,TB!$D:$D,$C19))/SUM($E19),"")</f>
        <v/>
      </c>
      <c r="AK19" s="410"/>
      <c r="AL19" s="19" t="str">
        <f>IFERROR(1/(1/SUMIFS(HTS!$X:$X,HTS!$C:$C,$B19,HTS!$D:$D,$C19))/SUM($E19),"")</f>
        <v/>
      </c>
      <c r="AM19" s="19" t="str">
        <f>IFERROR(1/(1/SUMIFS(HTS!$AA:$AA,HTS!$C:$C,$B19,HTS!$D:$D,$C19))/SUM($E19),"")</f>
        <v/>
      </c>
      <c r="AN19" s="19" t="str">
        <f>IFERROR(1/(1/SUMIFS(HTS!$AD:$AD,HTS!$C:$C,$B19,HTS!$D:$D,$C19))/SUM($E19),"")</f>
        <v/>
      </c>
      <c r="AO19" s="19" t="str">
        <f>IFERROR(1/(1/SUMIFS(HTS!$AG:$AG,HTS!$C:$C,$B19,HTS!$D:$D,$C19))/SUM($E19),"")</f>
        <v/>
      </c>
      <c r="AP19" s="19" t="str">
        <f>IFERROR(1/(1/SUMIFS(HTS!$AJ:$AJ,HTS!$C:$C,$B19,HTS!$D:$D,$C19))/SUM($E19),"")</f>
        <v/>
      </c>
      <c r="AQ19" s="388" t="str">
        <f t="shared" ref="AQ19:AQ27" si="22">AH19</f>
        <v/>
      </c>
      <c r="AR19" s="389" t="str">
        <f t="shared" ref="AR19:AR27" si="23">AI19</f>
        <v/>
      </c>
      <c r="AS19" s="389" t="str">
        <f t="shared" si="13"/>
        <v/>
      </c>
      <c r="AT19" s="414"/>
      <c r="AU19" s="389" t="str">
        <f t="shared" si="14"/>
        <v/>
      </c>
      <c r="AV19" s="389" t="str">
        <f t="shared" si="15"/>
        <v/>
      </c>
      <c r="AW19" s="389" t="str">
        <f t="shared" si="16"/>
        <v/>
      </c>
      <c r="AX19" s="389" t="str">
        <f t="shared" si="17"/>
        <v/>
      </c>
      <c r="AY19" s="389" t="str">
        <f t="shared" si="18"/>
        <v/>
      </c>
      <c r="AZ19" s="19" t="str">
        <f t="shared" si="19"/>
        <v/>
      </c>
      <c r="BA19" s="411"/>
      <c r="BB19" s="415"/>
      <c r="BC19" s="415"/>
      <c r="BD19" s="417"/>
      <c r="BE19" s="47" t="str">
        <f>IFERROR(1/(1/SUMIFS(HTS!$AY:$AY,HTS!$C:$C,$B19,HTS!$D:$D,$C19)),"")</f>
        <v/>
      </c>
      <c r="BF19" s="33" t="str">
        <f>BE19</f>
        <v/>
      </c>
      <c r="BG19" s="19" t="str">
        <f t="shared" ref="BG19:BG33" si="24">IF(SUM($BE19)=0,"",(SUM($BF19)-$BE19)/$BE19)</f>
        <v/>
      </c>
      <c r="BK19" s="36">
        <f>SUM(BH19:BJ19)</f>
        <v>0</v>
      </c>
      <c r="BM19" s="33">
        <f>ROUND(SUM(AQ$19)*SUM(AG$19),0)</f>
        <v>0</v>
      </c>
      <c r="BO19" s="36">
        <f>SUM(BL19:BN19)</f>
        <v>0</v>
      </c>
      <c r="BS19" s="366">
        <f>$AF19</f>
        <v>0.95</v>
      </c>
      <c r="BU19" s="33" t="str">
        <f>IF(SUM($AG19)=0,"",IF(AND($AH19="",SUM($AG19)&gt;0),"&lt;- Enter Linkage Rate",ROUND($AG19*$AH19*$BS19,0)))</f>
        <v/>
      </c>
      <c r="CG19" s="270">
        <f t="shared" si="20"/>
        <v>0.95</v>
      </c>
      <c r="CI19" s="33" t="str">
        <f t="shared" si="21"/>
        <v/>
      </c>
      <c r="CS19" s="411"/>
      <c r="CT19" s="409"/>
      <c r="CU19" s="417"/>
      <c r="CV19" s="417"/>
      <c r="CW19" s="410"/>
      <c r="CX19" s="410"/>
      <c r="CY19" s="47" t="str">
        <f>IFERROR(1/(1/SUMIFS(PP!$H:$H,PP!$C:$C,$B19,PP!$D:$D,$C19)),"")</f>
        <v/>
      </c>
      <c r="CZ19" s="33" t="str">
        <f>CY19</f>
        <v/>
      </c>
      <c r="DA19" s="19" t="str">
        <f>IF(SUM($CY19)=0,"",(SUM($CZ19)-$CY19)/$CY19)</f>
        <v/>
      </c>
      <c r="DB19" s="411"/>
      <c r="DC19" s="417"/>
      <c r="DD19" s="410"/>
      <c r="DE19" s="411"/>
      <c r="DF19" s="409"/>
      <c r="DG19" s="410"/>
      <c r="DH19" s="410"/>
      <c r="DI19" s="417"/>
      <c r="DJ19" s="410"/>
      <c r="DK19" s="412"/>
      <c r="DL19" s="410"/>
      <c r="DM19" s="410"/>
      <c r="DN19" s="410"/>
      <c r="DO19" s="410"/>
      <c r="DP19" s="410"/>
      <c r="DQ19" s="417"/>
      <c r="DR19" s="417"/>
      <c r="DS19" s="417"/>
      <c r="DT19" s="417"/>
      <c r="DU19" s="411"/>
      <c r="DV19" s="415"/>
      <c r="DW19" s="415"/>
      <c r="DX19" s="415"/>
      <c r="DY19" s="417"/>
      <c r="DZ19" s="417"/>
      <c r="EA19" s="416"/>
      <c r="EB19" s="417"/>
      <c r="EC19" s="417"/>
      <c r="ED19" s="411"/>
      <c r="EE19" s="409"/>
      <c r="EF19" s="409"/>
      <c r="EG19" s="409"/>
      <c r="EH19" s="417"/>
      <c r="EI19" s="417"/>
      <c r="EJ19" s="417"/>
      <c r="EK19" s="417"/>
      <c r="EL19" s="415"/>
      <c r="EM19" s="415"/>
      <c r="EN19" s="415"/>
      <c r="EO19" s="415"/>
      <c r="EP19" s="416"/>
      <c r="EQ19" s="424"/>
      <c r="ER19" s="411"/>
      <c r="ES19" s="409"/>
      <c r="ET19" s="417"/>
      <c r="EU19" s="417"/>
      <c r="EV19" s="415"/>
      <c r="EW19" s="415"/>
      <c r="EX19" s="411"/>
      <c r="EY19" s="417"/>
      <c r="EZ19" s="415"/>
      <c r="FA19" s="411"/>
      <c r="FB19" s="417"/>
      <c r="FC19" s="419"/>
    </row>
    <row r="20" spans="1:159" x14ac:dyDescent="0.2">
      <c r="A20" t="s">
        <v>187</v>
      </c>
      <c r="B20" s="176" t="s">
        <v>602</v>
      </c>
      <c r="C20" t="s">
        <v>606</v>
      </c>
      <c r="E20" s="47" t="str">
        <f>IFERROR(1/(1/IF($B20="&lt;01",ROUND(SUM(EID!$L:$L)/2,0),SUMIFS(HTS!$AM:$AM,HTS!$C:$C,$B20,HTS!$D:$D,$C20))),"")</f>
        <v/>
      </c>
      <c r="F20" s="36" t="str">
        <f>IFERROR(1/(1/IF($B20="&lt;01",ROUND(SUM(EID!$N:$N)/2,0),SUMIFS(Cascade!$AX:$AX,Cascade!$C:$C,$B20,Cascade!$D:$D,$C20))),"")</f>
        <v/>
      </c>
      <c r="G20" s="36" t="str">
        <f>IFERROR(1/(1/IF($B20="&lt;01",ROUND(SUM(EID!$P:$P)/2,0),SUMIFS(Cascade!$AP:$AP,Cascade!$C:$C,$B20,Cascade!$D:$D,$C20))),"")</f>
        <v/>
      </c>
      <c r="H20" s="36" t="str">
        <f>IFERROR(1/(1/IF($B20="&lt;01",ROUND(SUM(EID!$T:$T)/2,0),SUMIFS(Cascade!$BB:$BB,Cascade!$C:$C,$B20,Cascade!$D:$D,$C20))),"")</f>
        <v/>
      </c>
      <c r="I20" s="36" t="str">
        <f>IFERROR(1/(1/IF($B20="&lt;01",ROUND(SUM(EID!$V:$V)/2,0),SUMIFS(Cascade!$BE:$BE,Cascade!$C:$C,$B20,Cascade!$D:$D,$C20))),"")</f>
        <v/>
      </c>
      <c r="J20" s="36" t="str">
        <f>IFERROR(1/(1/SUMIFS(Cascade!$AJ:$AJ,Cascade!$C:$C,"="&amp;$B20,Cascade!$D:$D,$C20)),"")</f>
        <v/>
      </c>
      <c r="K20" s="36" t="str">
        <f>IFERROR(1/(1/SUMIFS(Cascade!$AQ:$AQ,Cascade!$C:$C,"="&amp;$B20,Cascade!$D:$D,$C20)),"")</f>
        <v/>
      </c>
      <c r="L20" s="19" t="str">
        <f t="shared" si="0"/>
        <v/>
      </c>
      <c r="M20" s="47" t="str">
        <f>IFERROR(1/(1/ROUND(SUMIFS(Spectrum!$N:$N,Spectrum!$Q:$Q,"="&amp;$B20,Spectrum!$K:$K,$C20,Spectrum!$G:$G,M$14,Spectrum!$M:$M,"CY2024Q3"),0)),"")</f>
        <v/>
      </c>
      <c r="N20" s="33" t="str">
        <f>IFERROR(1/(1/ROUND(SUMIFS(Spectrum!$N:$N,Spectrum!$Q:$Q,"="&amp;$B20,Spectrum!$K:$K,$C20,Spectrum!$G:$G,N$14,Spectrum!$M:$M,"CY2025Q3"),0)),IFERROR(1/(1/SUM($J20,$M20)),""))</f>
        <v/>
      </c>
      <c r="O20" s="19">
        <f t="shared" si="1"/>
        <v>0.9</v>
      </c>
      <c r="P20" s="36" t="str">
        <f t="shared" si="2"/>
        <v/>
      </c>
      <c r="Q20" s="19">
        <f t="shared" si="3"/>
        <v>1</v>
      </c>
      <c r="R20" s="60" t="str">
        <f t="shared" si="4"/>
        <v/>
      </c>
      <c r="S20" s="33" t="str">
        <f t="shared" si="5"/>
        <v/>
      </c>
      <c r="T20" s="19" t="str">
        <f t="shared" si="6"/>
        <v/>
      </c>
      <c r="U20" s="149">
        <v>0.98</v>
      </c>
      <c r="V20" s="19">
        <v>0.98</v>
      </c>
      <c r="W20" s="36" t="str">
        <f t="shared" si="7"/>
        <v/>
      </c>
      <c r="X20" s="19">
        <v>1</v>
      </c>
      <c r="Y20" s="33" t="str">
        <f t="shared" si="8"/>
        <v/>
      </c>
      <c r="Z20" s="149">
        <v>0.7</v>
      </c>
      <c r="AA20" s="36" t="str">
        <f t="shared" si="9"/>
        <v/>
      </c>
      <c r="AB20" s="19">
        <v>0.95</v>
      </c>
      <c r="AC20" s="33" t="str">
        <f t="shared" si="10"/>
        <v/>
      </c>
      <c r="AD20" s="149">
        <v>0.95</v>
      </c>
      <c r="AE20" s="33" t="str">
        <f t="shared" si="11"/>
        <v/>
      </c>
      <c r="AF20" s="149">
        <v>0.95</v>
      </c>
      <c r="AG20" s="33" t="str">
        <f t="shared" si="12"/>
        <v/>
      </c>
      <c r="AH20" s="412"/>
      <c r="AI20" s="410"/>
      <c r="AJ20" s="19" t="str">
        <f>IFERROR(1/(1/SUMIFS(TB!$P:$P,TB!$C:$C,$B20,TB!$D:$D,$C20))/SUM($E20),"")</f>
        <v/>
      </c>
      <c r="AK20" s="410"/>
      <c r="AL20" s="19" t="str">
        <f>IFERROR(1/(1/SUMIFS(HTS!$X:$X,HTS!$C:$C,$B20,HTS!$D:$D,$C20))/SUM($E20),"")</f>
        <v/>
      </c>
      <c r="AM20" s="19" t="str">
        <f>IFERROR(1/(1/SUMIFS(HTS!$AA:$AA,HTS!$C:$C,$B20,HTS!$D:$D,$C20))/SUM($E20),"")</f>
        <v/>
      </c>
      <c r="AN20" s="19" t="str">
        <f>IFERROR(1/(1/SUMIFS(HTS!$AD:$AD,HTS!$C:$C,$B20,HTS!$D:$D,$C20))/SUM($E20),"")</f>
        <v/>
      </c>
      <c r="AO20" s="19" t="str">
        <f>IFERROR(1/(1/SUMIFS(HTS!$AG:$AG,HTS!$C:$C,$B20,HTS!$D:$D,$C20))/SUM($E20),"")</f>
        <v/>
      </c>
      <c r="AP20" s="19" t="str">
        <f>IFERROR(1/(1/SUMIFS(HTS!$AJ:$AJ,HTS!$C:$C,$B20,HTS!$D:$D,$C20))/SUM($E20),"")</f>
        <v/>
      </c>
      <c r="AQ20" s="413"/>
      <c r="AR20" s="414"/>
      <c r="AS20" s="389" t="str">
        <f t="shared" si="13"/>
        <v/>
      </c>
      <c r="AT20" s="414"/>
      <c r="AU20" s="389" t="str">
        <f t="shared" si="14"/>
        <v/>
      </c>
      <c r="AV20" s="389" t="str">
        <f t="shared" si="15"/>
        <v/>
      </c>
      <c r="AW20" s="389" t="str">
        <f t="shared" si="16"/>
        <v/>
      </c>
      <c r="AX20" s="389" t="str">
        <f t="shared" si="17"/>
        <v/>
      </c>
      <c r="AY20" s="389" t="str">
        <f t="shared" si="18"/>
        <v/>
      </c>
      <c r="AZ20" s="19" t="str">
        <f t="shared" si="19"/>
        <v/>
      </c>
      <c r="BA20" s="411"/>
      <c r="BB20" s="415"/>
      <c r="BC20" s="415"/>
      <c r="BD20" s="417"/>
      <c r="BE20" s="47" t="str">
        <f>IFERROR(1/(1/SUMIFS(HTS!$AY:$AY,HTS!$C:$C,$B20,HTS!$D:$D,$C20)),"")</f>
        <v/>
      </c>
      <c r="BF20" s="33" t="str">
        <f t="shared" ref="BF20:BF33" si="25">BE20</f>
        <v/>
      </c>
      <c r="BG20" s="19" t="str">
        <f t="shared" si="24"/>
        <v/>
      </c>
      <c r="BS20" s="435"/>
      <c r="BT20" s="417"/>
      <c r="BU20" s="417"/>
      <c r="BV20" s="411"/>
      <c r="BW20" s="409"/>
      <c r="BX20" s="409"/>
      <c r="BY20" s="409"/>
      <c r="BZ20" s="417"/>
      <c r="CA20" s="417"/>
      <c r="CB20" s="417"/>
      <c r="CC20" s="409"/>
      <c r="CD20" s="415"/>
      <c r="CE20" s="411"/>
      <c r="CF20" s="409"/>
      <c r="CG20" s="270">
        <f t="shared" si="20"/>
        <v>0.95</v>
      </c>
      <c r="CI20" s="33" t="str">
        <f t="shared" si="21"/>
        <v/>
      </c>
      <c r="CS20" s="411"/>
      <c r="CT20" s="409"/>
      <c r="CU20" s="417"/>
      <c r="CV20" s="417"/>
      <c r="CW20" s="410"/>
      <c r="CX20" s="410"/>
      <c r="CY20" s="47" t="str">
        <f>IFERROR(1/(1/SUMIFS(PP!$H:$H,PP!$C:$C,$B20,PP!$D:$D,$C20)),"")</f>
        <v/>
      </c>
      <c r="CZ20" s="33" t="str">
        <f t="shared" ref="CZ20:CZ28" si="26">CY20</f>
        <v/>
      </c>
      <c r="DA20" s="19" t="str">
        <f t="shared" ref="DA20:DA28" si="27">IF(SUM($CY20)=0,"",(SUM($CZ20)-$CY20)/$CY20)</f>
        <v/>
      </c>
      <c r="DB20" s="411"/>
      <c r="DC20" s="417"/>
      <c r="DD20" s="410"/>
      <c r="DE20" s="411"/>
      <c r="DF20" s="409"/>
      <c r="DG20" s="410"/>
      <c r="DH20" s="410"/>
      <c r="DI20" s="417"/>
      <c r="DJ20" s="410"/>
      <c r="DK20" s="412"/>
      <c r="DL20" s="410"/>
      <c r="DM20" s="410"/>
      <c r="DN20" s="410"/>
      <c r="DO20" s="410"/>
      <c r="DP20" s="410"/>
      <c r="DQ20" s="417"/>
      <c r="DR20" s="417"/>
      <c r="DS20" s="417"/>
      <c r="DT20" s="417"/>
      <c r="DU20" s="411"/>
      <c r="DV20" s="415"/>
      <c r="DW20" s="415"/>
      <c r="DX20" s="415"/>
      <c r="DY20" s="417"/>
      <c r="DZ20" s="417"/>
      <c r="EA20" s="416"/>
      <c r="EB20" s="417"/>
      <c r="EC20" s="417"/>
      <c r="ED20" s="411"/>
      <c r="EE20" s="409"/>
      <c r="EF20" s="409"/>
      <c r="EG20" s="409"/>
      <c r="EH20" s="417"/>
      <c r="EI20" s="417"/>
      <c r="EJ20" s="417"/>
      <c r="EK20" s="417"/>
      <c r="EL20" s="415"/>
      <c r="EM20" s="415"/>
      <c r="EN20" s="415"/>
      <c r="EO20" s="415"/>
      <c r="EP20" s="416"/>
      <c r="EQ20" s="424"/>
      <c r="ER20" s="411"/>
      <c r="ES20" s="409"/>
      <c r="ET20" s="417"/>
      <c r="EU20" s="417"/>
      <c r="EV20" s="415"/>
      <c r="EW20" s="415"/>
      <c r="EX20" s="411"/>
      <c r="EY20" s="417"/>
      <c r="EZ20" s="415"/>
      <c r="FA20" s="411"/>
      <c r="FB20" s="417"/>
      <c r="FC20" s="419"/>
    </row>
    <row r="21" spans="1:159" x14ac:dyDescent="0.2">
      <c r="A21" t="s">
        <v>187</v>
      </c>
      <c r="B21" s="176" t="s">
        <v>603</v>
      </c>
      <c r="C21" s="5" t="s">
        <v>581</v>
      </c>
      <c r="E21" s="47" t="str">
        <f>IFERROR(1/(1/IF($B21="&lt;01",ROUND(SUM(EID!$L:$L)/2,0),SUMIFS(HTS!$AM:$AM,HTS!$C:$C,$B21,HTS!$D:$D,$C21))),"")</f>
        <v/>
      </c>
      <c r="F21" s="36" t="str">
        <f>IFERROR(1/(1/IF($B21="&lt;01",ROUND(SUM(EID!$N:$N)/2,0),SUMIFS(Cascade!$AX:$AX,Cascade!$C:$C,$B21,Cascade!$D:$D,$C21))),"")</f>
        <v/>
      </c>
      <c r="G21" s="36" t="str">
        <f>IFERROR(1/(1/IF($B21="&lt;01",ROUND(SUM(EID!$P:$P)/2,0),SUMIFS(Cascade!$AP:$AP,Cascade!$C:$C,$B21,Cascade!$D:$D,$C21))),"")</f>
        <v/>
      </c>
      <c r="H21" s="36" t="str">
        <f>IFERROR(1/(1/IF($B21="&lt;01",ROUND(SUM(EID!$T:$T)/2,0),SUMIFS(Cascade!$BB:$BB,Cascade!$C:$C,$B21,Cascade!$D:$D,$C21))),"")</f>
        <v/>
      </c>
      <c r="I21" s="36" t="str">
        <f>IFERROR(1/(1/IF($B21="&lt;01",ROUND(SUM(EID!$V:$V)/2,0),SUMIFS(Cascade!$BE:$BE,Cascade!$C:$C,$B21,Cascade!$D:$D,$C21))),"")</f>
        <v/>
      </c>
      <c r="J21" s="36" t="str">
        <f>IFERROR(1/(1/SUMIFS(Cascade!$AJ:$AJ,Cascade!$C:$C,"="&amp;$B21,Cascade!$D:$D,$C21)),"")</f>
        <v/>
      </c>
      <c r="K21" s="36" t="str">
        <f>IFERROR(1/(1/SUMIFS(Cascade!$AQ:$AQ,Cascade!$C:$C,"="&amp;$B21,Cascade!$D:$D,$C21)),"")</f>
        <v/>
      </c>
      <c r="L21" s="19" t="str">
        <f t="shared" si="0"/>
        <v/>
      </c>
      <c r="M21" s="47" t="str">
        <f>IFERROR(1/(1/ROUND(SUMIFS(Spectrum!$N:$N,Spectrum!$Q:$Q,"="&amp;$B21,Spectrum!$K:$K,$C21,Spectrum!$G:$G,M$14,Spectrum!$M:$M,"CY2024Q3"),0)),"")</f>
        <v/>
      </c>
      <c r="N21" s="33" t="str">
        <f>IFERROR(1/(1/ROUND(SUMIFS(Spectrum!$N:$N,Spectrum!$Q:$Q,"="&amp;$B21,Spectrum!$K:$K,$C21,Spectrum!$G:$G,N$14,Spectrum!$M:$M,"CY2025Q3"),0)),IFERROR(1/(1/SUM($J21,$M21)),""))</f>
        <v/>
      </c>
      <c r="O21" s="19">
        <f t="shared" si="1"/>
        <v>0.9</v>
      </c>
      <c r="P21" s="36" t="str">
        <f t="shared" si="2"/>
        <v/>
      </c>
      <c r="Q21" s="19">
        <f t="shared" si="3"/>
        <v>1</v>
      </c>
      <c r="R21" s="60" t="str">
        <f t="shared" si="4"/>
        <v/>
      </c>
      <c r="S21" s="33" t="str">
        <f t="shared" si="5"/>
        <v/>
      </c>
      <c r="T21" s="19" t="str">
        <f t="shared" si="6"/>
        <v/>
      </c>
      <c r="U21" s="149">
        <v>0.98</v>
      </c>
      <c r="V21" s="19">
        <v>0.98</v>
      </c>
      <c r="W21" s="36" t="str">
        <f t="shared" si="7"/>
        <v/>
      </c>
      <c r="X21" s="19">
        <v>1</v>
      </c>
      <c r="Y21" s="33" t="str">
        <f t="shared" si="8"/>
        <v/>
      </c>
      <c r="Z21" s="149">
        <v>0.7</v>
      </c>
      <c r="AA21" s="36" t="str">
        <f t="shared" si="9"/>
        <v/>
      </c>
      <c r="AB21" s="19">
        <v>0.95</v>
      </c>
      <c r="AC21" s="33" t="str">
        <f t="shared" si="10"/>
        <v/>
      </c>
      <c r="AD21" s="149">
        <v>0.95</v>
      </c>
      <c r="AE21" s="33" t="str">
        <f t="shared" si="11"/>
        <v/>
      </c>
      <c r="AF21" s="149">
        <v>0.95</v>
      </c>
      <c r="AG21" s="33" t="str">
        <f t="shared" si="12"/>
        <v/>
      </c>
      <c r="AH21" s="149" t="str">
        <f>IFERROR(1/(1/SUMIFS(PMTCT!$AC:$AC,PMTCT!$C:$C,$B21,PMTCT!$D:$D,$C21))/SUM($E21),"")</f>
        <v/>
      </c>
      <c r="AI21" s="19" t="str">
        <f>IFERROR(1/(1/SUMIFS(PMTCT!$AS:$AS,PMTCT!$C:$C,$B21,PMTCT!$D:$D,$C21))/SUM($E21),"")</f>
        <v/>
      </c>
      <c r="AJ21" s="19" t="str">
        <f>IFERROR(1/(1/SUMIFS(TB!$P:$P,TB!$C:$C,$B21,TB!$D:$D,$C21))/SUM($E21),"")</f>
        <v/>
      </c>
      <c r="AK21" s="410"/>
      <c r="AL21" s="19" t="str">
        <f>IFERROR(1/(1/SUMIFS(HTS!$X:$X,HTS!$C:$C,$B21,HTS!$D:$D,$C21))/SUM($E21),"")</f>
        <v/>
      </c>
      <c r="AM21" s="19" t="str">
        <f>IFERROR(1/(1/SUMIFS(HTS!$AA:$AA,HTS!$C:$C,$B21,HTS!$D:$D,$C21))/SUM($E21),"")</f>
        <v/>
      </c>
      <c r="AN21" s="19" t="str">
        <f>IFERROR(1/(1/SUMIFS(HTS!$AD:$AD,HTS!$C:$C,$B21,HTS!$D:$D,$C21))/SUM($E21),"")</f>
        <v/>
      </c>
      <c r="AO21" s="19" t="str">
        <f>IFERROR(1/(1/SUMIFS(HTS!$AG:$AG,HTS!$C:$C,$B21,HTS!$D:$D,$C21))/SUM($E21),"")</f>
        <v/>
      </c>
      <c r="AP21" s="19" t="str">
        <f>IFERROR(1/(1/SUMIFS(HTS!$AJ:$AJ,HTS!$C:$C,$B21,HTS!$D:$D,$C21))/SUM($E21),"")</f>
        <v/>
      </c>
      <c r="AQ21" s="388" t="str">
        <f t="shared" si="22"/>
        <v/>
      </c>
      <c r="AR21" s="389" t="str">
        <f t="shared" si="23"/>
        <v/>
      </c>
      <c r="AS21" s="389" t="str">
        <f t="shared" si="13"/>
        <v/>
      </c>
      <c r="AT21" s="414"/>
      <c r="AU21" s="389" t="str">
        <f t="shared" si="14"/>
        <v/>
      </c>
      <c r="AV21" s="389" t="str">
        <f t="shared" si="15"/>
        <v/>
      </c>
      <c r="AW21" s="389" t="str">
        <f t="shared" si="16"/>
        <v/>
      </c>
      <c r="AX21" s="389" t="str">
        <f t="shared" si="17"/>
        <v/>
      </c>
      <c r="AY21" s="389" t="str">
        <f t="shared" si="18"/>
        <v/>
      </c>
      <c r="AZ21" s="19" t="str">
        <f t="shared" si="19"/>
        <v/>
      </c>
      <c r="BA21" s="47" t="str">
        <f>IFERROR(1/(1/SUMIFS(HTS!$BA:$BA,HTS!$C:$C,$B21,HTS!$D:$D,$C21)),"")</f>
        <v/>
      </c>
      <c r="BB21" s="11" t="str">
        <f t="shared" ref="BB21:BB33" si="28">IF(SUM($E21)=0,"",SUM($BA21)/SUM($E21))</f>
        <v/>
      </c>
      <c r="BC21" s="11" t="str">
        <f t="shared" ref="BC21:BC33" si="29">$BB21</f>
        <v/>
      </c>
      <c r="BD21" s="33" t="str">
        <f t="shared" ref="BD21:BD33" si="30">IF(SUM($AG21)=0,"",ROUND(SUM($BC21)*SUM($AG21),0))</f>
        <v/>
      </c>
      <c r="BE21" s="47" t="str">
        <f>IFERROR(1/(1/SUMIFS(HTS!$AY:$AY,HTS!$C:$C,$B21,HTS!$D:$D,$C21)),"")</f>
        <v/>
      </c>
      <c r="BF21" s="33" t="str">
        <f t="shared" si="25"/>
        <v/>
      </c>
      <c r="BG21" s="19" t="str">
        <f t="shared" si="24"/>
        <v/>
      </c>
      <c r="BS21" s="366">
        <f>$AF21</f>
        <v>0.95</v>
      </c>
      <c r="BU21" s="33" t="str">
        <f>IF(SUM($AG21)=0,"",IF(AND($AH21="",SUM($AG21)&gt;0),"&lt;- Enter Linkage Rate",ROUND($AG21*$AH21*$BS21,0)))</f>
        <v/>
      </c>
      <c r="CG21" s="270">
        <f t="shared" si="20"/>
        <v>0.95</v>
      </c>
      <c r="CI21" s="33" t="str">
        <f t="shared" si="21"/>
        <v/>
      </c>
      <c r="CS21" s="47" t="str">
        <f>IFERROR(1/(1/SUMIFS(PrEP!$L:$L,PrEP!$C:$C,$B21,PrEP!$D:$D,$C21)),"")</f>
        <v/>
      </c>
      <c r="CT21" s="36" t="str">
        <f>IFERROR(1/(1/SUMIFS(PrEP!$O:$O,PrEP!$C:$C,$B21,PrEP!$D:$D,$C21)),"")</f>
        <v/>
      </c>
      <c r="CU21" s="33" t="str">
        <f t="shared" ref="CU21:CU28" si="31">CS21</f>
        <v/>
      </c>
      <c r="CV21" s="33" t="str">
        <f t="shared" ref="CV21:CV28" si="32">CT21</f>
        <v/>
      </c>
      <c r="CW21" s="19" t="str">
        <f t="shared" ref="CW21:CW33" si="33">IF(SUM($CS21)=0,"",(SUM($CU21)-$CS21)/$CS21)</f>
        <v/>
      </c>
      <c r="CX21" s="19" t="str">
        <f t="shared" ref="CX21:CX33" si="34">IF(SUM($CT21)=0,"",(SUM($CV21)-$CT21)/$CT21)</f>
        <v/>
      </c>
      <c r="CY21" s="47" t="str">
        <f>IFERROR(1/(1/SUMIFS(PP!$H:$H,PP!$C:$C,$B21,PP!$D:$D,$C21)),"")</f>
        <v/>
      </c>
      <c r="CZ21" s="33" t="str">
        <f t="shared" si="26"/>
        <v/>
      </c>
      <c r="DA21" s="19" t="str">
        <f t="shared" si="27"/>
        <v/>
      </c>
      <c r="DB21" s="411"/>
      <c r="DC21" s="417"/>
      <c r="DD21" s="414"/>
      <c r="DE21" s="411"/>
      <c r="DF21" s="409"/>
      <c r="DG21" s="410"/>
      <c r="DH21" s="410"/>
      <c r="DI21" s="417"/>
      <c r="DJ21" s="410"/>
      <c r="DK21" s="412"/>
      <c r="DL21" s="410"/>
      <c r="DM21" s="410"/>
      <c r="DN21" s="410"/>
      <c r="DO21" s="410"/>
      <c r="DP21" s="410"/>
      <c r="DQ21" s="417"/>
      <c r="DR21" s="417"/>
      <c r="DS21" s="417"/>
      <c r="DT21" s="417"/>
      <c r="DU21" s="411"/>
      <c r="DV21" s="415"/>
      <c r="DW21" s="415"/>
      <c r="DX21" s="415"/>
      <c r="DY21" s="417"/>
      <c r="DZ21" s="417"/>
      <c r="EA21" s="416"/>
      <c r="EB21" s="417"/>
      <c r="EC21" s="417"/>
      <c r="ED21" s="411"/>
      <c r="EE21" s="409"/>
      <c r="EF21" s="409"/>
      <c r="EG21" s="409"/>
      <c r="EH21" s="417"/>
      <c r="EI21" s="417"/>
      <c r="EJ21" s="417"/>
      <c r="EK21" s="417"/>
      <c r="EL21" s="415"/>
      <c r="EM21" s="415"/>
      <c r="EN21" s="415"/>
      <c r="EO21" s="415"/>
      <c r="EP21" s="416"/>
      <c r="EQ21" s="424"/>
      <c r="ER21" s="411"/>
      <c r="ES21" s="409"/>
      <c r="ET21" s="417"/>
      <c r="EU21" s="417"/>
      <c r="EV21" s="415"/>
      <c r="EW21" s="415"/>
      <c r="EX21" s="411"/>
      <c r="EY21" s="417"/>
      <c r="EZ21" s="415"/>
      <c r="FA21" s="411"/>
      <c r="FB21" s="417"/>
      <c r="FC21" s="419"/>
    </row>
    <row r="22" spans="1:159" x14ac:dyDescent="0.2">
      <c r="A22" t="s">
        <v>187</v>
      </c>
      <c r="B22" s="176" t="s">
        <v>603</v>
      </c>
      <c r="C22" t="s">
        <v>606</v>
      </c>
      <c r="E22" s="47" t="str">
        <f>IFERROR(1/(1/IF($B22="&lt;01",ROUND(SUM(EID!$L:$L)/2,0),SUMIFS(HTS!$AM:$AM,HTS!$C:$C,$B22,HTS!$D:$D,$C22))),"")</f>
        <v/>
      </c>
      <c r="F22" s="36" t="str">
        <f>IFERROR(1/(1/IF($B22="&lt;01",ROUND(SUM(EID!$N:$N)/2,0),SUMIFS(Cascade!$AX:$AX,Cascade!$C:$C,$B22,Cascade!$D:$D,$C22))),"")</f>
        <v/>
      </c>
      <c r="G22" s="36" t="str">
        <f>IFERROR(1/(1/IF($B22="&lt;01",ROUND(SUM(EID!$P:$P)/2,0),SUMIFS(Cascade!$AP:$AP,Cascade!$C:$C,$B22,Cascade!$D:$D,$C22))),"")</f>
        <v/>
      </c>
      <c r="H22" s="36" t="str">
        <f>IFERROR(1/(1/IF($B22="&lt;01",ROUND(SUM(EID!$T:$T)/2,0),SUMIFS(Cascade!$BB:$BB,Cascade!$C:$C,$B22,Cascade!$D:$D,$C22))),"")</f>
        <v/>
      </c>
      <c r="I22" s="36" t="str">
        <f>IFERROR(1/(1/IF($B22="&lt;01",ROUND(SUM(EID!$V:$V)/2,0),SUMIFS(Cascade!$BE:$BE,Cascade!$C:$C,$B22,Cascade!$D:$D,$C22))),"")</f>
        <v/>
      </c>
      <c r="J22" s="36" t="str">
        <f>IFERROR(1/(1/SUMIFS(Cascade!$AJ:$AJ,Cascade!$C:$C,"="&amp;$B22,Cascade!$D:$D,$C22)),"")</f>
        <v/>
      </c>
      <c r="K22" s="36" t="str">
        <f>IFERROR(1/(1/SUMIFS(Cascade!$AQ:$AQ,Cascade!$C:$C,"="&amp;$B22,Cascade!$D:$D,$C22)),"")</f>
        <v/>
      </c>
      <c r="L22" s="19" t="str">
        <f t="shared" si="0"/>
        <v/>
      </c>
      <c r="M22" s="47" t="str">
        <f>IFERROR(1/(1/ROUND(SUMIFS(Spectrum!$N:$N,Spectrum!$Q:$Q,"="&amp;$B22,Spectrum!$K:$K,$C22,Spectrum!$G:$G,M$14,Spectrum!$M:$M,"CY2024Q3"),0)),"")</f>
        <v/>
      </c>
      <c r="N22" s="33" t="str">
        <f>IFERROR(1/(1/ROUND(SUMIFS(Spectrum!$N:$N,Spectrum!$Q:$Q,"="&amp;$B22,Spectrum!$K:$K,$C22,Spectrum!$G:$G,N$14,Spectrum!$M:$M,"CY2025Q3"),0)),IFERROR(1/(1/SUM($J22,$M22)),""))</f>
        <v/>
      </c>
      <c r="O22" s="19">
        <f t="shared" si="1"/>
        <v>0.9</v>
      </c>
      <c r="P22" s="36" t="str">
        <f t="shared" si="2"/>
        <v/>
      </c>
      <c r="Q22" s="19">
        <f t="shared" si="3"/>
        <v>1</v>
      </c>
      <c r="R22" s="60" t="str">
        <f t="shared" si="4"/>
        <v/>
      </c>
      <c r="S22" s="33" t="str">
        <f t="shared" si="5"/>
        <v/>
      </c>
      <c r="T22" s="19" t="str">
        <f t="shared" si="6"/>
        <v/>
      </c>
      <c r="U22" s="149">
        <v>0.98</v>
      </c>
      <c r="V22" s="19">
        <v>0.98</v>
      </c>
      <c r="W22" s="36" t="str">
        <f t="shared" si="7"/>
        <v/>
      </c>
      <c r="X22" s="19">
        <v>1</v>
      </c>
      <c r="Y22" s="33" t="str">
        <f t="shared" si="8"/>
        <v/>
      </c>
      <c r="Z22" s="149">
        <v>0.7</v>
      </c>
      <c r="AA22" s="36" t="str">
        <f t="shared" si="9"/>
        <v/>
      </c>
      <c r="AB22" s="19">
        <v>0.95</v>
      </c>
      <c r="AC22" s="33" t="str">
        <f t="shared" si="10"/>
        <v/>
      </c>
      <c r="AD22" s="149">
        <v>0.95</v>
      </c>
      <c r="AE22" s="33" t="str">
        <f t="shared" si="11"/>
        <v/>
      </c>
      <c r="AF22" s="149">
        <v>0.95</v>
      </c>
      <c r="AG22" s="33" t="str">
        <f t="shared" si="12"/>
        <v/>
      </c>
      <c r="AH22" s="412"/>
      <c r="AI22" s="410"/>
      <c r="AJ22" s="19" t="str">
        <f>IFERROR(1/(1/SUMIFS(TB!$P:$P,TB!$C:$C,$B22,TB!$D:$D,$C22))/SUM($E22),"")</f>
        <v/>
      </c>
      <c r="AK22" s="19" t="str">
        <f>IFERROR(1/(1/SUMIFS(VMMC!$AA:$AA,VMMC!$C:$C,$B22,VMMC!$D:$D,$C22))/SUM($E22),"")</f>
        <v/>
      </c>
      <c r="AL22" s="19" t="str">
        <f>IFERROR(1/(1/SUMIFS(HTS!$X:$X,HTS!$C:$C,$B22,HTS!$D:$D,$C22))/SUM($E22),"")</f>
        <v/>
      </c>
      <c r="AM22" s="19" t="str">
        <f>IFERROR(1/(1/SUMIFS(HTS!$AA:$AA,HTS!$C:$C,$B22,HTS!$D:$D,$C22))/SUM($E22),"")</f>
        <v/>
      </c>
      <c r="AN22" s="19" t="str">
        <f>IFERROR(1/(1/SUMIFS(HTS!$AD:$AD,HTS!$C:$C,$B22,HTS!$D:$D,$C22))/SUM($E22),"")</f>
        <v/>
      </c>
      <c r="AO22" s="19" t="str">
        <f>IFERROR(1/(1/SUMIFS(HTS!$AG:$AG,HTS!$C:$C,$B22,HTS!$D:$D,$C22))/SUM($E22),"")</f>
        <v/>
      </c>
      <c r="AP22" s="19" t="str">
        <f>IFERROR(1/(1/SUMIFS(HTS!$AJ:$AJ,HTS!$C:$C,$B22,HTS!$D:$D,$C22))/SUM($E22),"")</f>
        <v/>
      </c>
      <c r="AQ22" s="413"/>
      <c r="AR22" s="414"/>
      <c r="AS22" s="389" t="str">
        <f t="shared" si="13"/>
        <v/>
      </c>
      <c r="AT22" s="389" t="str">
        <f t="shared" ref="AT22:AT28" si="35">AK22</f>
        <v/>
      </c>
      <c r="AU22" s="389" t="str">
        <f t="shared" si="14"/>
        <v/>
      </c>
      <c r="AV22" s="389" t="str">
        <f t="shared" si="15"/>
        <v/>
      </c>
      <c r="AW22" s="389" t="str">
        <f t="shared" si="16"/>
        <v/>
      </c>
      <c r="AX22" s="389" t="str">
        <f t="shared" si="17"/>
        <v/>
      </c>
      <c r="AY22" s="389" t="str">
        <f t="shared" si="18"/>
        <v/>
      </c>
      <c r="AZ22" s="19" t="str">
        <f t="shared" si="19"/>
        <v/>
      </c>
      <c r="BA22" s="47" t="str">
        <f>IFERROR(1/(1/SUMIFS(HTS!$BA:$BA,HTS!$C:$C,$B22,HTS!$D:$D,$C22)),"")</f>
        <v/>
      </c>
      <c r="BB22" s="11" t="str">
        <f t="shared" si="28"/>
        <v/>
      </c>
      <c r="BC22" s="11" t="str">
        <f t="shared" si="29"/>
        <v/>
      </c>
      <c r="BD22" s="33" t="str">
        <f t="shared" si="30"/>
        <v/>
      </c>
      <c r="BE22" s="47" t="str">
        <f>IFERROR(1/(1/SUMIFS(HTS!$AY:$AY,HTS!$C:$C,$B22,HTS!$D:$D,$C22)),"")</f>
        <v/>
      </c>
      <c r="BF22" s="33" t="str">
        <f t="shared" si="25"/>
        <v/>
      </c>
      <c r="BG22" s="19" t="str">
        <f t="shared" si="24"/>
        <v/>
      </c>
      <c r="BS22" s="435"/>
      <c r="BT22" s="417"/>
      <c r="BU22" s="417"/>
      <c r="BV22" s="411"/>
      <c r="BW22" s="409"/>
      <c r="BX22" s="409"/>
      <c r="BY22" s="409"/>
      <c r="BZ22" s="417"/>
      <c r="CA22" s="417"/>
      <c r="CB22" s="417"/>
      <c r="CC22" s="409"/>
      <c r="CD22" s="415"/>
      <c r="CE22" s="411"/>
      <c r="CF22" s="409"/>
      <c r="CG22" s="270">
        <f t="shared" si="20"/>
        <v>0.95</v>
      </c>
      <c r="CI22" s="33" t="str">
        <f t="shared" si="21"/>
        <v/>
      </c>
      <c r="CS22" s="47" t="str">
        <f>IFERROR(1/(1/SUMIFS(PrEP!$L:$L,PrEP!$C:$C,$B22,PrEP!$D:$D,$C22)),"")</f>
        <v/>
      </c>
      <c r="CT22" s="36" t="str">
        <f>IFERROR(1/(1/SUMIFS(PrEP!$O:$O,PrEP!$C:$C,$B22,PrEP!$D:$D,$C22)),"")</f>
        <v/>
      </c>
      <c r="CU22" s="33" t="str">
        <f t="shared" si="31"/>
        <v/>
      </c>
      <c r="CV22" s="33" t="str">
        <f t="shared" si="32"/>
        <v/>
      </c>
      <c r="CW22" s="19" t="str">
        <f t="shared" si="33"/>
        <v/>
      </c>
      <c r="CX22" s="19" t="str">
        <f t="shared" si="34"/>
        <v/>
      </c>
      <c r="CY22" s="47" t="str">
        <f>IFERROR(1/(1/SUMIFS(PP!$H:$H,PP!$C:$C,$B22,PP!$D:$D,$C22)),"")</f>
        <v/>
      </c>
      <c r="CZ22" s="33" t="str">
        <f t="shared" si="26"/>
        <v/>
      </c>
      <c r="DA22" s="19" t="str">
        <f t="shared" si="27"/>
        <v/>
      </c>
      <c r="DB22" s="411"/>
      <c r="DC22" s="417"/>
      <c r="DD22" s="414"/>
      <c r="DE22" s="411"/>
      <c r="DF22" s="409"/>
      <c r="DG22" s="410"/>
      <c r="DH22" s="410"/>
      <c r="DI22" s="417"/>
      <c r="DJ22" s="410"/>
      <c r="DK22" s="412"/>
      <c r="DL22" s="410"/>
      <c r="DM22" s="410"/>
      <c r="DN22" s="410"/>
      <c r="DO22" s="410"/>
      <c r="DP22" s="410"/>
      <c r="DQ22" s="417"/>
      <c r="DR22" s="417"/>
      <c r="DS22" s="417"/>
      <c r="DT22" s="417"/>
      <c r="DU22" s="411"/>
      <c r="DV22" s="415"/>
      <c r="DW22" s="415"/>
      <c r="DX22" s="415"/>
      <c r="DY22" s="417"/>
      <c r="DZ22" s="417"/>
      <c r="EA22" s="416"/>
      <c r="EB22" s="417"/>
      <c r="EC22" s="417"/>
      <c r="ED22" s="411"/>
      <c r="EE22" s="409"/>
      <c r="EF22" s="409"/>
      <c r="EG22" s="409"/>
      <c r="EH22" s="417"/>
      <c r="EI22" s="417"/>
      <c r="EJ22" s="417"/>
      <c r="EK22" s="417"/>
      <c r="EL22" s="415"/>
      <c r="EM22" s="415"/>
      <c r="EN22" s="415"/>
      <c r="EO22" s="415"/>
      <c r="EP22" s="416"/>
      <c r="EQ22" s="424"/>
      <c r="ER22" s="411"/>
      <c r="ES22" s="409"/>
      <c r="ET22" s="417"/>
      <c r="EU22" s="417"/>
      <c r="EV22" s="415"/>
      <c r="EW22" s="415"/>
      <c r="EX22" s="411"/>
      <c r="EY22" s="417"/>
      <c r="EZ22" s="415"/>
      <c r="FA22" s="411"/>
      <c r="FB22" s="417"/>
      <c r="FC22" s="419"/>
    </row>
    <row r="23" spans="1:159" x14ac:dyDescent="0.2">
      <c r="A23" t="s">
        <v>187</v>
      </c>
      <c r="B23" s="176" t="s">
        <v>1212</v>
      </c>
      <c r="C23" s="5" t="s">
        <v>581</v>
      </c>
      <c r="E23" s="47" t="str">
        <f>IFERROR(1/(1/IF($B23="&lt;01",ROUND(SUM(EID!$L:$L)/2,0),SUMIFS(HTS!$AM:$AM,HTS!$C:$C,$B23,HTS!$D:$D,$C23))),"")</f>
        <v/>
      </c>
      <c r="F23" s="36" t="str">
        <f>IFERROR(1/(1/IF($B23="&lt;01",ROUND(SUM(EID!$N:$N)/2,0),SUMIFS(Cascade!$AX:$AX,Cascade!$C:$C,$B23,Cascade!$D:$D,$C23))),"")</f>
        <v/>
      </c>
      <c r="G23" s="36" t="str">
        <f>IFERROR(1/(1/IF($B23="&lt;01",ROUND(SUM(EID!$P:$P)/2,0),SUMIFS(Cascade!$AP:$AP,Cascade!$C:$C,$B23,Cascade!$D:$D,$C23))),"")</f>
        <v/>
      </c>
      <c r="H23" s="36" t="str">
        <f>IFERROR(1/(1/IF($B23="&lt;01",ROUND(SUM(EID!$T:$T)/2,0),SUMIFS(Cascade!$BB:$BB,Cascade!$C:$C,$B23,Cascade!$D:$D,$C23))),"")</f>
        <v/>
      </c>
      <c r="I23" s="36" t="str">
        <f>IFERROR(1/(1/IF($B23="&lt;01",ROUND(SUM(EID!$V:$V)/2,0),SUMIFS(Cascade!$BE:$BE,Cascade!$C:$C,$B23,Cascade!$D:$D,$C23))),"")</f>
        <v/>
      </c>
      <c r="J23" s="36" t="str">
        <f>IFERROR(1/(1/SUMIFS(Cascade!$AJ:$AJ,Cascade!$C:$C,"="&amp;$B23,Cascade!$D:$D,$C23)),"")</f>
        <v/>
      </c>
      <c r="K23" s="36" t="str">
        <f>IFERROR(1/(1/SUMIFS(Cascade!$AQ:$AQ,Cascade!$C:$C,"="&amp;$B23,Cascade!$D:$D,$C23)),"")</f>
        <v/>
      </c>
      <c r="L23" s="19" t="str">
        <f t="shared" si="0"/>
        <v/>
      </c>
      <c r="M23" s="47" t="str">
        <f>IFERROR(1/(1/ROUND(SUMIFS(Spectrum!$N:$N,Spectrum!$Q:$Q,"="&amp;$B23,Spectrum!$K:$K,$C23,Spectrum!$G:$G,M$14,Spectrum!$M:$M,"CY2024Q3"),0)),"")</f>
        <v/>
      </c>
      <c r="N23" s="33" t="str">
        <f>IFERROR(1/(1/ROUND(SUMIFS(Spectrum!$N:$N,Spectrum!$Q:$Q,"="&amp;$B23,Spectrum!$K:$K,$C23,Spectrum!$G:$G,N$14,Spectrum!$M:$M,"CY2025Q3"),0)),IFERROR(1/(1/SUM($J23,$M23)),""))</f>
        <v/>
      </c>
      <c r="O23" s="19">
        <f t="shared" si="1"/>
        <v>0.9</v>
      </c>
      <c r="P23" s="36" t="str">
        <f t="shared" si="2"/>
        <v/>
      </c>
      <c r="Q23" s="19">
        <f t="shared" si="3"/>
        <v>1</v>
      </c>
      <c r="R23" s="60" t="str">
        <f t="shared" si="4"/>
        <v/>
      </c>
      <c r="S23" s="33" t="str">
        <f t="shared" si="5"/>
        <v/>
      </c>
      <c r="T23" s="19" t="str">
        <f t="shared" si="6"/>
        <v/>
      </c>
      <c r="U23" s="149">
        <v>0.98</v>
      </c>
      <c r="V23" s="19">
        <v>0.98</v>
      </c>
      <c r="W23" s="36" t="str">
        <f t="shared" si="7"/>
        <v/>
      </c>
      <c r="X23" s="19">
        <v>1</v>
      </c>
      <c r="Y23" s="33" t="str">
        <f t="shared" si="8"/>
        <v/>
      </c>
      <c r="Z23" s="149">
        <v>0.7</v>
      </c>
      <c r="AA23" s="36" t="str">
        <f t="shared" si="9"/>
        <v/>
      </c>
      <c r="AB23" s="19">
        <v>0.95</v>
      </c>
      <c r="AC23" s="33" t="str">
        <f t="shared" si="10"/>
        <v/>
      </c>
      <c r="AD23" s="149">
        <v>0.95</v>
      </c>
      <c r="AE23" s="33" t="str">
        <f t="shared" si="11"/>
        <v/>
      </c>
      <c r="AF23" s="149">
        <v>0.95</v>
      </c>
      <c r="AG23" s="33" t="str">
        <f t="shared" si="12"/>
        <v/>
      </c>
      <c r="AH23" s="149" t="str">
        <f>IFERROR(1/(1/SUMIFS(PMTCT!$AC:$AC,PMTCT!$C:$C,$B23,PMTCT!$D:$D,$C23))/SUM($E23),"")</f>
        <v/>
      </c>
      <c r="AI23" s="19" t="str">
        <f>IFERROR(1/(1/SUMIFS(PMTCT!$AS:$AS,PMTCT!$C:$C,$B23,PMTCT!$D:$D,$C23))/SUM($E23),"")</f>
        <v/>
      </c>
      <c r="AJ23" s="19" t="str">
        <f>IFERROR(1/(1/SUMIFS(TB!$P:$P,TB!$C:$C,$B23,TB!$D:$D,$C23))/SUM($E23),"")</f>
        <v/>
      </c>
      <c r="AK23" s="410"/>
      <c r="AL23" s="19" t="str">
        <f>IFERROR(1/(1/SUMIFS(HTS!$X:$X,HTS!$C:$C,$B23,HTS!$D:$D,$C23))/SUM($E23),"")</f>
        <v/>
      </c>
      <c r="AM23" s="19" t="str">
        <f>IFERROR(1/(1/SUMIFS(HTS!$AA:$AA,HTS!$C:$C,$B23,HTS!$D:$D,$C23))/SUM($E23),"")</f>
        <v/>
      </c>
      <c r="AN23" s="19" t="str">
        <f>IFERROR(1/(1/SUMIFS(HTS!$AD:$AD,HTS!$C:$C,$B23,HTS!$D:$D,$C23))/SUM($E23),"")</f>
        <v/>
      </c>
      <c r="AO23" s="19" t="str">
        <f>IFERROR(1/(1/SUMIFS(HTS!$AG:$AG,HTS!$C:$C,$B23,HTS!$D:$D,$C23))/SUM($E23),"")</f>
        <v/>
      </c>
      <c r="AP23" s="19" t="str">
        <f>IFERROR(1/(1/SUMIFS(HTS!$AJ:$AJ,HTS!$C:$C,$B23,HTS!$D:$D,$C23))/SUM($E23),"")</f>
        <v/>
      </c>
      <c r="AQ23" s="388" t="str">
        <f t="shared" si="22"/>
        <v/>
      </c>
      <c r="AR23" s="389" t="str">
        <f t="shared" si="23"/>
        <v/>
      </c>
      <c r="AS23" s="389" t="str">
        <f t="shared" si="13"/>
        <v/>
      </c>
      <c r="AT23" s="414"/>
      <c r="AU23" s="389" t="str">
        <f t="shared" si="14"/>
        <v/>
      </c>
      <c r="AV23" s="389" t="str">
        <f t="shared" si="15"/>
        <v/>
      </c>
      <c r="AW23" s="389" t="str">
        <f t="shared" si="16"/>
        <v/>
      </c>
      <c r="AX23" s="389" t="str">
        <f t="shared" si="17"/>
        <v/>
      </c>
      <c r="AY23" s="389" t="str">
        <f t="shared" si="18"/>
        <v/>
      </c>
      <c r="AZ23" s="19" t="str">
        <f t="shared" si="19"/>
        <v/>
      </c>
      <c r="BA23" s="47" t="str">
        <f>IFERROR(1/(1/SUMIFS(HTS!$BA:$BA,HTS!$C:$C,$B23,HTS!$D:$D,$C23)),"")</f>
        <v/>
      </c>
      <c r="BB23" s="11" t="str">
        <f t="shared" si="28"/>
        <v/>
      </c>
      <c r="BC23" s="11" t="str">
        <f t="shared" si="29"/>
        <v/>
      </c>
      <c r="BD23" s="33" t="str">
        <f t="shared" si="30"/>
        <v/>
      </c>
      <c r="BE23" s="47" t="str">
        <f>IFERROR(1/(1/SUMIFS(HTS!$AY:$AY,HTS!$C:$C,$B23,HTS!$D:$D,$C23)),"")</f>
        <v/>
      </c>
      <c r="BF23" s="33" t="str">
        <f t="shared" si="25"/>
        <v/>
      </c>
      <c r="BG23" s="19" t="str">
        <f t="shared" si="24"/>
        <v/>
      </c>
      <c r="BS23" s="366">
        <f>$AF23</f>
        <v>0.95</v>
      </c>
      <c r="BU23" s="33" t="str">
        <f>IF(SUM($AG23)=0,"",IF(AND($AH23="",SUM($AG23)&gt;0),"&lt;- Enter Linkage Rate",ROUND($AG23*$AH23*$BS23,0)))</f>
        <v/>
      </c>
      <c r="CG23" s="270">
        <f t="shared" si="20"/>
        <v>0.95</v>
      </c>
      <c r="CI23" s="33" t="str">
        <f t="shared" si="21"/>
        <v/>
      </c>
      <c r="CS23" s="47" t="str">
        <f>IFERROR(1/(1/SUMIFS(PrEP!$L:$L,PrEP!$C:$C,$B23,PrEP!$D:$D,$C23)),"")</f>
        <v/>
      </c>
      <c r="CT23" s="36" t="str">
        <f>IFERROR(1/(1/SUMIFS(PrEP!$O:$O,PrEP!$C:$C,$B23,PrEP!$D:$D,$C23)),"")</f>
        <v/>
      </c>
      <c r="CU23" s="33" t="str">
        <f t="shared" si="31"/>
        <v/>
      </c>
      <c r="CV23" s="33" t="str">
        <f t="shared" si="32"/>
        <v/>
      </c>
      <c r="CW23" s="19" t="str">
        <f t="shared" si="33"/>
        <v/>
      </c>
      <c r="CX23" s="19" t="str">
        <f t="shared" si="34"/>
        <v/>
      </c>
      <c r="CY23" s="47" t="str">
        <f>IFERROR(1/(1/SUMIFS(PP!$H:$H,PP!$C:$C,$B23,PP!$D:$D,$C23)),"")</f>
        <v/>
      </c>
      <c r="CZ23" s="33" t="str">
        <f t="shared" si="26"/>
        <v/>
      </c>
      <c r="DA23" s="19" t="str">
        <f t="shared" si="27"/>
        <v/>
      </c>
      <c r="DB23" s="411"/>
      <c r="DC23" s="417"/>
      <c r="DD23" s="414"/>
      <c r="DE23" s="47" t="str">
        <f>IFERROR(1/(1/SUMIFS(CXCA!$M:$M,CXCA!$C:$C,$B23,CXCA!$D:$D,$C23)),"")</f>
        <v/>
      </c>
      <c r="DF23" s="36" t="str">
        <f>IF(SUM($DE23)=0,"",$DE23/SUM(SUMIFS(CXCA!$H:$H,CXCA!$C:$C,$B23,CXCA!$D:$D,$C23),SUMIFS(CXCA!$I:$I,CXCA!$C:$C,$B23,CXCA!$D:$D,$C23)))</f>
        <v/>
      </c>
      <c r="DG23" s="19">
        <v>0.33</v>
      </c>
      <c r="DH23" s="19">
        <v>1</v>
      </c>
      <c r="DI23" s="33" t="str">
        <f>IF(SUM($G23)=0,"",ROUND($G23*$DG23+$W23*$DH23,0))</f>
        <v/>
      </c>
      <c r="DJ23" s="19" t="str">
        <f>IF(SUM($DI23)=0,"",SUM($DI23)/(SUM($G23)+SUM($W23)))</f>
        <v/>
      </c>
      <c r="DK23" s="412"/>
      <c r="DL23" s="410"/>
      <c r="DM23" s="410"/>
      <c r="DN23" s="410"/>
      <c r="DO23" s="410"/>
      <c r="DP23" s="410"/>
      <c r="DQ23" s="417"/>
      <c r="DR23" s="417"/>
      <c r="DS23" s="417"/>
      <c r="DT23" s="417"/>
      <c r="DU23" s="411"/>
      <c r="DV23" s="415"/>
      <c r="DW23" s="415"/>
      <c r="DX23" s="415"/>
      <c r="DY23" s="417"/>
      <c r="DZ23" s="417"/>
      <c r="EA23" s="416"/>
      <c r="EB23" s="417"/>
      <c r="EC23" s="417"/>
      <c r="ED23" s="411"/>
      <c r="EE23" s="409"/>
      <c r="EF23" s="409"/>
      <c r="EG23" s="409"/>
      <c r="EH23" s="417"/>
      <c r="EI23" s="417"/>
      <c r="EJ23" s="417"/>
      <c r="EK23" s="417"/>
      <c r="EL23" s="415"/>
      <c r="EM23" s="415"/>
      <c r="EN23" s="415"/>
      <c r="EO23" s="415"/>
      <c r="EP23" s="416"/>
      <c r="EQ23" s="424"/>
      <c r="ER23" s="411"/>
      <c r="ES23" s="409"/>
      <c r="ET23" s="417"/>
      <c r="EU23" s="417"/>
      <c r="EV23" s="415"/>
      <c r="EW23" s="415"/>
      <c r="EX23" s="411"/>
      <c r="EY23" s="417"/>
      <c r="EZ23" s="415"/>
      <c r="FA23" s="411"/>
      <c r="FB23" s="417"/>
      <c r="FC23" s="419"/>
    </row>
    <row r="24" spans="1:159" x14ac:dyDescent="0.2">
      <c r="A24" t="s">
        <v>187</v>
      </c>
      <c r="B24" s="176" t="s">
        <v>1212</v>
      </c>
      <c r="C24" t="s">
        <v>606</v>
      </c>
      <c r="E24" s="47" t="str">
        <f>IFERROR(1/(1/IF($B24="&lt;01",ROUND(SUM(EID!$L:$L)/2,0),SUMIFS(HTS!$AM:$AM,HTS!$C:$C,$B24,HTS!$D:$D,$C24))),"")</f>
        <v/>
      </c>
      <c r="F24" s="36" t="str">
        <f>IFERROR(1/(1/IF($B24="&lt;01",ROUND(SUM(EID!$N:$N)/2,0),SUMIFS(Cascade!$AX:$AX,Cascade!$C:$C,$B24,Cascade!$D:$D,$C24))),"")</f>
        <v/>
      </c>
      <c r="G24" s="36" t="str">
        <f>IFERROR(1/(1/IF($B24="&lt;01",ROUND(SUM(EID!$P:$P)/2,0),SUMIFS(Cascade!$AP:$AP,Cascade!$C:$C,$B24,Cascade!$D:$D,$C24))),"")</f>
        <v/>
      </c>
      <c r="H24" s="36" t="str">
        <f>IFERROR(1/(1/IF($B24="&lt;01",ROUND(SUM(EID!$T:$T)/2,0),SUMIFS(Cascade!$BB:$BB,Cascade!$C:$C,$B24,Cascade!$D:$D,$C24))),"")</f>
        <v/>
      </c>
      <c r="I24" s="36" t="str">
        <f>IFERROR(1/(1/IF($B24="&lt;01",ROUND(SUM(EID!$V:$V)/2,0),SUMIFS(Cascade!$BE:$BE,Cascade!$C:$C,$B24,Cascade!$D:$D,$C24))),"")</f>
        <v/>
      </c>
      <c r="J24" s="36" t="str">
        <f>IFERROR(1/(1/SUMIFS(Cascade!$AJ:$AJ,Cascade!$C:$C,"="&amp;$B24,Cascade!$D:$D,$C24)),"")</f>
        <v/>
      </c>
      <c r="K24" s="36" t="str">
        <f>IFERROR(1/(1/SUMIFS(Cascade!$AQ:$AQ,Cascade!$C:$C,"="&amp;$B24,Cascade!$D:$D,$C24)),"")</f>
        <v/>
      </c>
      <c r="L24" s="19" t="str">
        <f t="shared" si="0"/>
        <v/>
      </c>
      <c r="M24" s="47" t="str">
        <f>IFERROR(1/(1/ROUND(SUMIFS(Spectrum!$N:$N,Spectrum!$Q:$Q,"="&amp;$B24,Spectrum!$K:$K,$C24,Spectrum!$G:$G,M$14,Spectrum!$M:$M,"CY2024Q3"),0)),"")</f>
        <v/>
      </c>
      <c r="N24" s="33" t="str">
        <f>IFERROR(1/(1/ROUND(SUMIFS(Spectrum!$N:$N,Spectrum!$Q:$Q,"="&amp;$B24,Spectrum!$K:$K,$C24,Spectrum!$G:$G,N$14,Spectrum!$M:$M,"CY2025Q3"),0)),IFERROR(1/(1/SUM($J24,$M24)),""))</f>
        <v/>
      </c>
      <c r="O24" s="19">
        <f t="shared" si="1"/>
        <v>0.9</v>
      </c>
      <c r="P24" s="36" t="str">
        <f t="shared" si="2"/>
        <v/>
      </c>
      <c r="Q24" s="19">
        <f t="shared" si="3"/>
        <v>1</v>
      </c>
      <c r="R24" s="60" t="str">
        <f t="shared" si="4"/>
        <v/>
      </c>
      <c r="S24" s="33" t="str">
        <f t="shared" si="5"/>
        <v/>
      </c>
      <c r="T24" s="19" t="str">
        <f t="shared" si="6"/>
        <v/>
      </c>
      <c r="U24" s="149">
        <v>0.98</v>
      </c>
      <c r="V24" s="19">
        <v>0.98</v>
      </c>
      <c r="W24" s="36" t="str">
        <f t="shared" si="7"/>
        <v/>
      </c>
      <c r="X24" s="19">
        <v>1</v>
      </c>
      <c r="Y24" s="33" t="str">
        <f t="shared" si="8"/>
        <v/>
      </c>
      <c r="Z24" s="149">
        <v>0.7</v>
      </c>
      <c r="AA24" s="36" t="str">
        <f t="shared" si="9"/>
        <v/>
      </c>
      <c r="AB24" s="19">
        <v>0.95</v>
      </c>
      <c r="AC24" s="33" t="str">
        <f t="shared" si="10"/>
        <v/>
      </c>
      <c r="AD24" s="149">
        <v>0.95</v>
      </c>
      <c r="AE24" s="33" t="str">
        <f t="shared" si="11"/>
        <v/>
      </c>
      <c r="AF24" s="149">
        <v>0.95</v>
      </c>
      <c r="AG24" s="33" t="str">
        <f t="shared" si="12"/>
        <v/>
      </c>
      <c r="AH24" s="412"/>
      <c r="AI24" s="410"/>
      <c r="AJ24" s="19" t="str">
        <f>IFERROR(1/(1/SUMIFS(TB!$P:$P,TB!$C:$C,$B24,TB!$D:$D,$C24))/SUM($E24),"")</f>
        <v/>
      </c>
      <c r="AK24" s="19" t="str">
        <f>IFERROR(1/(1/SUMIFS(VMMC!$AA:$AA,VMMC!$C:$C,$B24,VMMC!$D:$D,$C24))/SUM($E24),"")</f>
        <v/>
      </c>
      <c r="AL24" s="19" t="str">
        <f>IFERROR(1/(1/SUMIFS(HTS!$X:$X,HTS!$C:$C,$B24,HTS!$D:$D,$C24))/SUM($E24),"")</f>
        <v/>
      </c>
      <c r="AM24" s="19" t="str">
        <f>IFERROR(1/(1/SUMIFS(HTS!$AA:$AA,HTS!$C:$C,$B24,HTS!$D:$D,$C24))/SUM($E24),"")</f>
        <v/>
      </c>
      <c r="AN24" s="19" t="str">
        <f>IFERROR(1/(1/SUMIFS(HTS!$AD:$AD,HTS!$C:$C,$B24,HTS!$D:$D,$C24))/SUM($E24),"")</f>
        <v/>
      </c>
      <c r="AO24" s="19" t="str">
        <f>IFERROR(1/(1/SUMIFS(HTS!$AG:$AG,HTS!$C:$C,$B24,HTS!$D:$D,$C24))/SUM($E24),"")</f>
        <v/>
      </c>
      <c r="AP24" s="19" t="str">
        <f>IFERROR(1/(1/SUMIFS(HTS!$AJ:$AJ,HTS!$C:$C,$B24,HTS!$D:$D,$C24))/SUM($E24),"")</f>
        <v/>
      </c>
      <c r="AQ24" s="413"/>
      <c r="AR24" s="414"/>
      <c r="AS24" s="389" t="str">
        <f t="shared" si="13"/>
        <v/>
      </c>
      <c r="AT24" s="389" t="str">
        <f t="shared" si="35"/>
        <v/>
      </c>
      <c r="AU24" s="389" t="str">
        <f t="shared" si="14"/>
        <v/>
      </c>
      <c r="AV24" s="389" t="str">
        <f t="shared" si="15"/>
        <v/>
      </c>
      <c r="AW24" s="389" t="str">
        <f t="shared" si="16"/>
        <v/>
      </c>
      <c r="AX24" s="389" t="str">
        <f t="shared" si="17"/>
        <v/>
      </c>
      <c r="AY24" s="389" t="str">
        <f t="shared" si="18"/>
        <v/>
      </c>
      <c r="AZ24" s="19" t="str">
        <f t="shared" si="19"/>
        <v/>
      </c>
      <c r="BA24" s="47" t="str">
        <f>IFERROR(1/(1/SUMIFS(HTS!$BA:$BA,HTS!$C:$C,$B24,HTS!$D:$D,$C24)),"")</f>
        <v/>
      </c>
      <c r="BB24" s="11" t="str">
        <f t="shared" si="28"/>
        <v/>
      </c>
      <c r="BC24" s="11" t="str">
        <f t="shared" si="29"/>
        <v/>
      </c>
      <c r="BD24" s="33" t="str">
        <f t="shared" si="30"/>
        <v/>
      </c>
      <c r="BE24" s="47" t="str">
        <f>IFERROR(1/(1/SUMIFS(HTS!$AY:$AY,HTS!$C:$C,$B24,HTS!$D:$D,$C24)),"")</f>
        <v/>
      </c>
      <c r="BF24" s="33" t="str">
        <f t="shared" si="25"/>
        <v/>
      </c>
      <c r="BG24" s="19" t="str">
        <f t="shared" si="24"/>
        <v/>
      </c>
      <c r="BS24" s="435"/>
      <c r="BT24" s="417"/>
      <c r="BU24" s="417"/>
      <c r="BV24" s="411"/>
      <c r="BW24" s="409"/>
      <c r="BX24" s="409"/>
      <c r="BY24" s="409"/>
      <c r="BZ24" s="417"/>
      <c r="CA24" s="417"/>
      <c r="CB24" s="417"/>
      <c r="CC24" s="409"/>
      <c r="CD24" s="415"/>
      <c r="CE24" s="411"/>
      <c r="CF24" s="409"/>
      <c r="CG24" s="270">
        <f t="shared" si="20"/>
        <v>0.95</v>
      </c>
      <c r="CI24" s="33" t="str">
        <f t="shared" si="21"/>
        <v/>
      </c>
      <c r="CS24" s="47" t="str">
        <f>IFERROR(1/(1/SUMIFS(PrEP!$L:$L,PrEP!$C:$C,$B24,PrEP!$D:$D,$C24)),"")</f>
        <v/>
      </c>
      <c r="CT24" s="36" t="str">
        <f>IFERROR(1/(1/SUMIFS(PrEP!$O:$O,PrEP!$C:$C,$B24,PrEP!$D:$D,$C24)),"")</f>
        <v/>
      </c>
      <c r="CU24" s="33" t="str">
        <f t="shared" si="31"/>
        <v/>
      </c>
      <c r="CV24" s="33" t="str">
        <f t="shared" si="32"/>
        <v/>
      </c>
      <c r="CW24" s="19" t="str">
        <f t="shared" si="33"/>
        <v/>
      </c>
      <c r="CX24" s="19" t="str">
        <f t="shared" si="34"/>
        <v/>
      </c>
      <c r="CY24" s="47" t="str">
        <f>IFERROR(1/(1/SUMIFS(PP!$H:$H,PP!$C:$C,$B24,PP!$D:$D,$C24)),"")</f>
        <v/>
      </c>
      <c r="CZ24" s="33" t="str">
        <f t="shared" si="26"/>
        <v/>
      </c>
      <c r="DA24" s="19" t="str">
        <f t="shared" si="27"/>
        <v/>
      </c>
      <c r="DB24" s="411"/>
      <c r="DC24" s="417"/>
      <c r="DD24" s="414"/>
      <c r="DE24" s="411"/>
      <c r="DF24" s="409"/>
      <c r="DG24" s="410"/>
      <c r="DH24" s="410"/>
      <c r="DI24" s="417"/>
      <c r="DJ24" s="410"/>
      <c r="DK24" s="412"/>
      <c r="DL24" s="410"/>
      <c r="DM24" s="410"/>
      <c r="DN24" s="410"/>
      <c r="DO24" s="410"/>
      <c r="DP24" s="410"/>
      <c r="DQ24" s="417"/>
      <c r="DR24" s="417"/>
      <c r="DS24" s="417"/>
      <c r="DT24" s="417"/>
      <c r="DU24" s="411"/>
      <c r="DV24" s="415"/>
      <c r="DW24" s="415"/>
      <c r="DX24" s="415"/>
      <c r="DY24" s="417"/>
      <c r="DZ24" s="417"/>
      <c r="EA24" s="416"/>
      <c r="EB24" s="417"/>
      <c r="EC24" s="417"/>
      <c r="ED24" s="411"/>
      <c r="EE24" s="409"/>
      <c r="EF24" s="409"/>
      <c r="EG24" s="409"/>
      <c r="EH24" s="417"/>
      <c r="EI24" s="417"/>
      <c r="EJ24" s="417"/>
      <c r="EK24" s="417"/>
      <c r="EL24" s="415"/>
      <c r="EM24" s="415"/>
      <c r="EN24" s="415"/>
      <c r="EO24" s="415"/>
      <c r="EP24" s="416"/>
      <c r="EQ24" s="424"/>
      <c r="ER24" s="411"/>
      <c r="ES24" s="409"/>
      <c r="ET24" s="417"/>
      <c r="EU24" s="417"/>
      <c r="EV24" s="415"/>
      <c r="EW24" s="415"/>
      <c r="EX24" s="411"/>
      <c r="EY24" s="417"/>
      <c r="EZ24" s="415"/>
      <c r="FA24" s="411"/>
      <c r="FB24" s="417"/>
      <c r="FC24" s="419"/>
    </row>
    <row r="25" spans="1:159" x14ac:dyDescent="0.2">
      <c r="A25" t="s">
        <v>187</v>
      </c>
      <c r="B25" s="176" t="s">
        <v>604</v>
      </c>
      <c r="C25" s="5" t="s">
        <v>581</v>
      </c>
      <c r="E25" s="47" t="str">
        <f>IFERROR(1/(1/IF($B25="&lt;01",ROUND(SUM(EID!$L:$L)/2,0),SUMIFS(HTS!$AM:$AM,HTS!$C:$C,$B25,HTS!$D:$D,$C25))),"")</f>
        <v/>
      </c>
      <c r="F25" s="36" t="str">
        <f>IFERROR(1/(1/IF($B25="&lt;01",ROUND(SUM(EID!$N:$N)/2,0),SUMIFS(Cascade!$AX:$AX,Cascade!$C:$C,$B25,Cascade!$D:$D,$C25))),"")</f>
        <v/>
      </c>
      <c r="G25" s="36" t="str">
        <f>IFERROR(1/(1/IF($B25="&lt;01",ROUND(SUM(EID!$P:$P)/2,0),SUMIFS(Cascade!$AP:$AP,Cascade!$C:$C,$B25,Cascade!$D:$D,$C25))),"")</f>
        <v/>
      </c>
      <c r="H25" s="36" t="str">
        <f>IFERROR(1/(1/IF($B25="&lt;01",ROUND(SUM(EID!$T:$T)/2,0),SUMIFS(Cascade!$BB:$BB,Cascade!$C:$C,$B25,Cascade!$D:$D,$C25))),"")</f>
        <v/>
      </c>
      <c r="I25" s="36" t="str">
        <f>IFERROR(1/(1/IF($B25="&lt;01",ROUND(SUM(EID!$V:$V)/2,0),SUMIFS(Cascade!$BE:$BE,Cascade!$C:$C,$B25,Cascade!$D:$D,$C25))),"")</f>
        <v/>
      </c>
      <c r="J25" s="36" t="str">
        <f>IFERROR(1/(1/SUMIFS(Cascade!$AJ:$AJ,Cascade!$C:$C,"="&amp;$B25,Cascade!$D:$D,$C25)),"")</f>
        <v/>
      </c>
      <c r="K25" s="36" t="str">
        <f>IFERROR(1/(1/SUMIFS(Cascade!$AQ:$AQ,Cascade!$C:$C,"="&amp;$B25,Cascade!$D:$D,$C25)),"")</f>
        <v/>
      </c>
      <c r="L25" s="19" t="str">
        <f t="shared" si="0"/>
        <v/>
      </c>
      <c r="M25" s="47" t="str">
        <f>IFERROR(1/(1/ROUND(SUMIFS(Spectrum!$N:$N,Spectrum!$Q:$Q,"="&amp;$B25,Spectrum!$K:$K,$C25,Spectrum!$G:$G,M$14,Spectrum!$M:$M,"CY2024Q3"),0)),"")</f>
        <v/>
      </c>
      <c r="N25" s="33" t="str">
        <f>IFERROR(1/(1/ROUND(SUMIFS(Spectrum!$N:$N,Spectrum!$Q:$Q,"="&amp;$B25,Spectrum!$K:$K,$C25,Spectrum!$G:$G,N$14,Spectrum!$M:$M,"CY2025Q3"),0)),IFERROR(1/(1/SUM($J25,$M25)),""))</f>
        <v/>
      </c>
      <c r="O25" s="19">
        <f t="shared" si="1"/>
        <v>0.9</v>
      </c>
      <c r="P25" s="36" t="str">
        <f t="shared" si="2"/>
        <v/>
      </c>
      <c r="Q25" s="19">
        <f t="shared" si="3"/>
        <v>1</v>
      </c>
      <c r="R25" s="60" t="str">
        <f t="shared" si="4"/>
        <v/>
      </c>
      <c r="S25" s="33" t="str">
        <f t="shared" si="5"/>
        <v/>
      </c>
      <c r="T25" s="19" t="str">
        <f t="shared" si="6"/>
        <v/>
      </c>
      <c r="U25" s="149">
        <v>0.98</v>
      </c>
      <c r="V25" s="19">
        <v>0.98</v>
      </c>
      <c r="W25" s="36" t="str">
        <f t="shared" si="7"/>
        <v/>
      </c>
      <c r="X25" s="19">
        <v>1</v>
      </c>
      <c r="Y25" s="33" t="str">
        <f t="shared" si="8"/>
        <v/>
      </c>
      <c r="Z25" s="149">
        <v>0.7</v>
      </c>
      <c r="AA25" s="36" t="str">
        <f t="shared" si="9"/>
        <v/>
      </c>
      <c r="AB25" s="19">
        <v>0.95</v>
      </c>
      <c r="AC25" s="33" t="str">
        <f t="shared" si="10"/>
        <v/>
      </c>
      <c r="AD25" s="149">
        <v>0.95</v>
      </c>
      <c r="AE25" s="33" t="str">
        <f t="shared" si="11"/>
        <v/>
      </c>
      <c r="AF25" s="149">
        <v>0.95</v>
      </c>
      <c r="AG25" s="33" t="str">
        <f t="shared" si="12"/>
        <v/>
      </c>
      <c r="AH25" s="149" t="str">
        <f>IFERROR(1/(1/SUMIFS(PMTCT!$AC:$AC,PMTCT!$C:$C,$B25,PMTCT!$D:$D,$C25))/SUM($E25),"")</f>
        <v/>
      </c>
      <c r="AI25" s="19" t="str">
        <f>IFERROR(1/(1/SUMIFS(PMTCT!$AS:$AS,PMTCT!$C:$C,$B25,PMTCT!$D:$D,$C25))/SUM($E25),"")</f>
        <v/>
      </c>
      <c r="AJ25" s="19" t="str">
        <f>IFERROR(1/(1/SUMIFS(TB!$P:$P,TB!$C:$C,$B25,TB!$D:$D,$C25))/SUM($E25),"")</f>
        <v/>
      </c>
      <c r="AK25" s="410"/>
      <c r="AL25" s="19" t="str">
        <f>IFERROR(1/(1/SUMIFS(HTS!$X:$X,HTS!$C:$C,$B25,HTS!$D:$D,$C25))/SUM($E25),"")</f>
        <v/>
      </c>
      <c r="AM25" s="19" t="str">
        <f>IFERROR(1/(1/SUMIFS(HTS!$AA:$AA,HTS!$C:$C,$B25,HTS!$D:$D,$C25))/SUM($E25),"")</f>
        <v/>
      </c>
      <c r="AN25" s="19" t="str">
        <f>IFERROR(1/(1/SUMIFS(HTS!$AD:$AD,HTS!$C:$C,$B25,HTS!$D:$D,$C25))/SUM($E25),"")</f>
        <v/>
      </c>
      <c r="AO25" s="19" t="str">
        <f>IFERROR(1/(1/SUMIFS(HTS!$AG:$AG,HTS!$C:$C,$B25,HTS!$D:$D,$C25))/SUM($E25),"")</f>
        <v/>
      </c>
      <c r="AP25" s="19" t="str">
        <f>IFERROR(1/(1/SUMIFS(HTS!$AJ:$AJ,HTS!$C:$C,$B25,HTS!$D:$D,$C25))/SUM($E25),"")</f>
        <v/>
      </c>
      <c r="AQ25" s="388" t="str">
        <f t="shared" si="22"/>
        <v/>
      </c>
      <c r="AR25" s="389" t="str">
        <f t="shared" si="23"/>
        <v/>
      </c>
      <c r="AS25" s="389" t="str">
        <f t="shared" si="13"/>
        <v/>
      </c>
      <c r="AT25" s="414"/>
      <c r="AU25" s="389" t="str">
        <f t="shared" si="14"/>
        <v/>
      </c>
      <c r="AV25" s="389" t="str">
        <f t="shared" si="15"/>
        <v/>
      </c>
      <c r="AW25" s="389" t="str">
        <f t="shared" si="16"/>
        <v/>
      </c>
      <c r="AX25" s="389" t="str">
        <f t="shared" si="17"/>
        <v/>
      </c>
      <c r="AY25" s="389" t="str">
        <f t="shared" si="18"/>
        <v/>
      </c>
      <c r="AZ25" s="19" t="str">
        <f t="shared" si="19"/>
        <v/>
      </c>
      <c r="BA25" s="47" t="str">
        <f>IFERROR(1/(1/SUMIFS(HTS!$BA:$BA,HTS!$C:$C,$B25,HTS!$D:$D,$C25)),"")</f>
        <v/>
      </c>
      <c r="BB25" s="11" t="str">
        <f t="shared" si="28"/>
        <v/>
      </c>
      <c r="BC25" s="11" t="str">
        <f t="shared" si="29"/>
        <v/>
      </c>
      <c r="BD25" s="33" t="str">
        <f t="shared" si="30"/>
        <v/>
      </c>
      <c r="BE25" s="47" t="str">
        <f>IFERROR(1/(1/SUMIFS(HTS!$AY:$AY,HTS!$C:$C,$B25,HTS!$D:$D,$C25)),"")</f>
        <v/>
      </c>
      <c r="BF25" s="33" t="str">
        <f t="shared" si="25"/>
        <v/>
      </c>
      <c r="BG25" s="19" t="str">
        <f t="shared" si="24"/>
        <v/>
      </c>
      <c r="BS25" s="366">
        <f>$AF25</f>
        <v>0.95</v>
      </c>
      <c r="BU25" s="33" t="str">
        <f>IF(SUM($AG25)=0,"",IF(AND($AH25="",SUM($AG25)&gt;0),"&lt;- Enter Linkage Rate",ROUND($AG25*$AH25*$BS25,0)))</f>
        <v/>
      </c>
      <c r="CG25" s="270">
        <f t="shared" si="20"/>
        <v>0.95</v>
      </c>
      <c r="CI25" s="33" t="str">
        <f t="shared" si="21"/>
        <v/>
      </c>
      <c r="CS25" s="47" t="str">
        <f>IFERROR(1/(1/SUMIFS(PrEP!$L:$L,PrEP!$C:$C,$B25,PrEP!$D:$D,$C25)),"")</f>
        <v/>
      </c>
      <c r="CT25" s="36" t="str">
        <f>IFERROR(1/(1/SUMIFS(PrEP!$O:$O,PrEP!$C:$C,$B25,PrEP!$D:$D,$C25)),"")</f>
        <v/>
      </c>
      <c r="CU25" s="33" t="str">
        <f t="shared" si="31"/>
        <v/>
      </c>
      <c r="CV25" s="33" t="str">
        <f t="shared" si="32"/>
        <v/>
      </c>
      <c r="CW25" s="19" t="str">
        <f t="shared" si="33"/>
        <v/>
      </c>
      <c r="CX25" s="19" t="str">
        <f t="shared" si="34"/>
        <v/>
      </c>
      <c r="CY25" s="47" t="str">
        <f>IFERROR(1/(1/SUMIFS(PP!$H:$H,PP!$C:$C,$B25,PP!$D:$D,$C25)),"")</f>
        <v/>
      </c>
      <c r="CZ25" s="33" t="str">
        <f t="shared" si="26"/>
        <v/>
      </c>
      <c r="DA25" s="19" t="str">
        <f t="shared" si="27"/>
        <v/>
      </c>
      <c r="DB25" s="411"/>
      <c r="DC25" s="417"/>
      <c r="DD25" s="414"/>
      <c r="DE25" s="47" t="str">
        <f>IFERROR(1/(1/SUMIFS(CXCA!$M:$M,CXCA!$C:$C,$B25,CXCA!$D:$D,$C25)),"")</f>
        <v/>
      </c>
      <c r="DF25" s="36" t="str">
        <f>IF(SUM($DE25)=0,"",$DE25/SUM(SUMIFS(CXCA!$H:$H,CXCA!$C:$C,$B25,CXCA!$D:$D,$C25),SUMIFS(CXCA!$I:$I,CXCA!$C:$C,$B25,CXCA!$D:$D,$C25)))</f>
        <v/>
      </c>
      <c r="DG25" s="19">
        <v>0.33</v>
      </c>
      <c r="DH25" s="19">
        <v>1</v>
      </c>
      <c r="DI25" s="33" t="str">
        <f>IF(SUM($G25)=0,"",ROUND($G25*$DG25+$W25*$DH25,0))</f>
        <v/>
      </c>
      <c r="DJ25" s="19" t="str">
        <f>IF(SUM($DI25)=0,"",SUM($DI25)/(SUM($G25)+SUM($W25)))</f>
        <v/>
      </c>
      <c r="DK25" s="412"/>
      <c r="DL25" s="410"/>
      <c r="DM25" s="410"/>
      <c r="DN25" s="410"/>
      <c r="DO25" s="410"/>
      <c r="DP25" s="410"/>
      <c r="DQ25" s="417"/>
      <c r="DR25" s="417"/>
      <c r="DS25" s="417"/>
      <c r="DT25" s="417"/>
      <c r="DU25" s="411"/>
      <c r="DV25" s="415"/>
      <c r="DW25" s="415"/>
      <c r="DX25" s="415"/>
      <c r="DY25" s="417"/>
      <c r="DZ25" s="417"/>
      <c r="EA25" s="416"/>
      <c r="EB25" s="417"/>
      <c r="EC25" s="417"/>
      <c r="ED25" s="411"/>
      <c r="EE25" s="409"/>
      <c r="EF25" s="409"/>
      <c r="EG25" s="409"/>
      <c r="EH25" s="417"/>
      <c r="EI25" s="417"/>
      <c r="EJ25" s="417"/>
      <c r="EK25" s="417"/>
      <c r="EL25" s="415"/>
      <c r="EM25" s="415"/>
      <c r="EN25" s="415"/>
      <c r="EO25" s="415"/>
      <c r="EP25" s="416"/>
      <c r="EQ25" s="424"/>
      <c r="ER25" s="411"/>
      <c r="ES25" s="409"/>
      <c r="ET25" s="417"/>
      <c r="EU25" s="417"/>
      <c r="EV25" s="415"/>
      <c r="EW25" s="415"/>
      <c r="EX25" s="411"/>
      <c r="EY25" s="417"/>
      <c r="EZ25" s="415"/>
      <c r="FA25" s="411"/>
      <c r="FB25" s="417"/>
      <c r="FC25" s="419"/>
    </row>
    <row r="26" spans="1:159" x14ac:dyDescent="0.2">
      <c r="A26" t="s">
        <v>187</v>
      </c>
      <c r="B26" s="176" t="s">
        <v>604</v>
      </c>
      <c r="C26" t="s">
        <v>606</v>
      </c>
      <c r="E26" s="47" t="str">
        <f>IFERROR(1/(1/IF($B26="&lt;01",ROUND(SUM(EID!$L:$L)/2,0),SUMIFS(HTS!$AM:$AM,HTS!$C:$C,$B26,HTS!$D:$D,$C26))),"")</f>
        <v/>
      </c>
      <c r="F26" s="36" t="str">
        <f>IFERROR(1/(1/IF($B26="&lt;01",ROUND(SUM(EID!$N:$N)/2,0),SUMIFS(Cascade!$AX:$AX,Cascade!$C:$C,$B26,Cascade!$D:$D,$C26))),"")</f>
        <v/>
      </c>
      <c r="G26" s="36" t="str">
        <f>IFERROR(1/(1/IF($B26="&lt;01",ROUND(SUM(EID!$P:$P)/2,0),SUMIFS(Cascade!$AP:$AP,Cascade!$C:$C,$B26,Cascade!$D:$D,$C26))),"")</f>
        <v/>
      </c>
      <c r="H26" s="36" t="str">
        <f>IFERROR(1/(1/IF($B26="&lt;01",ROUND(SUM(EID!$T:$T)/2,0),SUMIFS(Cascade!$BB:$BB,Cascade!$C:$C,$B26,Cascade!$D:$D,$C26))),"")</f>
        <v/>
      </c>
      <c r="I26" s="36" t="str">
        <f>IFERROR(1/(1/IF($B26="&lt;01",ROUND(SUM(EID!$V:$V)/2,0),SUMIFS(Cascade!$BE:$BE,Cascade!$C:$C,$B26,Cascade!$D:$D,$C26))),"")</f>
        <v/>
      </c>
      <c r="J26" s="36" t="str">
        <f>IFERROR(1/(1/SUMIFS(Cascade!$AJ:$AJ,Cascade!$C:$C,"="&amp;$B26,Cascade!$D:$D,$C26)),"")</f>
        <v/>
      </c>
      <c r="K26" s="36" t="str">
        <f>IFERROR(1/(1/SUMIFS(Cascade!$AQ:$AQ,Cascade!$C:$C,"="&amp;$B26,Cascade!$D:$D,$C26)),"")</f>
        <v/>
      </c>
      <c r="L26" s="19" t="str">
        <f t="shared" si="0"/>
        <v/>
      </c>
      <c r="M26" s="47" t="str">
        <f>IFERROR(1/(1/ROUND(SUMIFS(Spectrum!$N:$N,Spectrum!$Q:$Q,"="&amp;$B26,Spectrum!$K:$K,$C26,Spectrum!$G:$G,M$14,Spectrum!$M:$M,"CY2024Q3"),0)),"")</f>
        <v/>
      </c>
      <c r="N26" s="33" t="str">
        <f>IFERROR(1/(1/ROUND(SUMIFS(Spectrum!$N:$N,Spectrum!$Q:$Q,"="&amp;$B26,Spectrum!$K:$K,$C26,Spectrum!$G:$G,N$14,Spectrum!$M:$M,"CY2025Q3"),0)),IFERROR(1/(1/SUM($J26,$M26)),""))</f>
        <v/>
      </c>
      <c r="O26" s="19">
        <f t="shared" si="1"/>
        <v>0.9</v>
      </c>
      <c r="P26" s="36" t="str">
        <f t="shared" si="2"/>
        <v/>
      </c>
      <c r="Q26" s="19">
        <f t="shared" si="3"/>
        <v>1</v>
      </c>
      <c r="R26" s="60" t="str">
        <f t="shared" si="4"/>
        <v/>
      </c>
      <c r="S26" s="33" t="str">
        <f t="shared" si="5"/>
        <v/>
      </c>
      <c r="T26" s="19" t="str">
        <f t="shared" si="6"/>
        <v/>
      </c>
      <c r="U26" s="149">
        <v>0.98</v>
      </c>
      <c r="V26" s="19">
        <v>0.98</v>
      </c>
      <c r="W26" s="36" t="str">
        <f t="shared" si="7"/>
        <v/>
      </c>
      <c r="X26" s="19">
        <v>1</v>
      </c>
      <c r="Y26" s="33" t="str">
        <f t="shared" si="8"/>
        <v/>
      </c>
      <c r="Z26" s="149">
        <v>0.7</v>
      </c>
      <c r="AA26" s="36" t="str">
        <f t="shared" si="9"/>
        <v/>
      </c>
      <c r="AB26" s="19">
        <v>0.95</v>
      </c>
      <c r="AC26" s="33" t="str">
        <f t="shared" si="10"/>
        <v/>
      </c>
      <c r="AD26" s="149">
        <v>0.95</v>
      </c>
      <c r="AE26" s="33" t="str">
        <f t="shared" si="11"/>
        <v/>
      </c>
      <c r="AF26" s="149">
        <v>0.95</v>
      </c>
      <c r="AG26" s="33" t="str">
        <f t="shared" si="12"/>
        <v/>
      </c>
      <c r="AH26" s="412"/>
      <c r="AI26" s="410"/>
      <c r="AJ26" s="19" t="str">
        <f>IFERROR(1/(1/SUMIFS(TB!$P:$P,TB!$C:$C,$B26,TB!$D:$D,$C26))/SUM($E26),"")</f>
        <v/>
      </c>
      <c r="AK26" s="19" t="str">
        <f>IFERROR(1/(1/SUMIFS(VMMC!$AA:$AA,VMMC!$C:$C,$B26,VMMC!$D:$D,$C26))/SUM($E26),"")</f>
        <v/>
      </c>
      <c r="AL26" s="19" t="str">
        <f>IFERROR(1/(1/SUMIFS(HTS!$X:$X,HTS!$C:$C,$B26,HTS!$D:$D,$C26))/SUM($E26),"")</f>
        <v/>
      </c>
      <c r="AM26" s="19" t="str">
        <f>IFERROR(1/(1/SUMIFS(HTS!$AA:$AA,HTS!$C:$C,$B26,HTS!$D:$D,$C26))/SUM($E26),"")</f>
        <v/>
      </c>
      <c r="AN26" s="19" t="str">
        <f>IFERROR(1/(1/SUMIFS(HTS!$AD:$AD,HTS!$C:$C,$B26,HTS!$D:$D,$C26))/SUM($E26),"")</f>
        <v/>
      </c>
      <c r="AO26" s="19" t="str">
        <f>IFERROR(1/(1/SUMIFS(HTS!$AG:$AG,HTS!$C:$C,$B26,HTS!$D:$D,$C26))/SUM($E26),"")</f>
        <v/>
      </c>
      <c r="AP26" s="19" t="str">
        <f>IFERROR(1/(1/SUMIFS(HTS!$AJ:$AJ,HTS!$C:$C,$B26,HTS!$D:$D,$C26))/SUM($E26),"")</f>
        <v/>
      </c>
      <c r="AQ26" s="413"/>
      <c r="AR26" s="414"/>
      <c r="AS26" s="389" t="str">
        <f t="shared" si="13"/>
        <v/>
      </c>
      <c r="AT26" s="389" t="str">
        <f t="shared" si="35"/>
        <v/>
      </c>
      <c r="AU26" s="389" t="str">
        <f t="shared" si="14"/>
        <v/>
      </c>
      <c r="AV26" s="389" t="str">
        <f t="shared" si="15"/>
        <v/>
      </c>
      <c r="AW26" s="389" t="str">
        <f t="shared" si="16"/>
        <v/>
      </c>
      <c r="AX26" s="389" t="str">
        <f t="shared" si="17"/>
        <v/>
      </c>
      <c r="AY26" s="389" t="str">
        <f t="shared" si="18"/>
        <v/>
      </c>
      <c r="AZ26" s="19" t="str">
        <f t="shared" si="19"/>
        <v/>
      </c>
      <c r="BA26" s="47" t="str">
        <f>IFERROR(1/(1/SUMIFS(HTS!$BA:$BA,HTS!$C:$C,$B26,HTS!$D:$D,$C26)),"")</f>
        <v/>
      </c>
      <c r="BB26" s="11" t="str">
        <f t="shared" si="28"/>
        <v/>
      </c>
      <c r="BC26" s="11" t="str">
        <f t="shared" si="29"/>
        <v/>
      </c>
      <c r="BD26" s="33" t="str">
        <f t="shared" si="30"/>
        <v/>
      </c>
      <c r="BE26" s="47" t="str">
        <f>IFERROR(1/(1/SUMIFS(HTS!$AY:$AY,HTS!$C:$C,$B26,HTS!$D:$D,$C26)),"")</f>
        <v/>
      </c>
      <c r="BF26" s="33" t="str">
        <f t="shared" si="25"/>
        <v/>
      </c>
      <c r="BG26" s="19" t="str">
        <f t="shared" si="24"/>
        <v/>
      </c>
      <c r="BS26" s="435"/>
      <c r="BT26" s="417"/>
      <c r="BU26" s="417"/>
      <c r="BV26" s="411"/>
      <c r="BW26" s="409"/>
      <c r="BX26" s="409"/>
      <c r="BY26" s="409"/>
      <c r="BZ26" s="417"/>
      <c r="CA26" s="417"/>
      <c r="CB26" s="417"/>
      <c r="CC26" s="409"/>
      <c r="CD26" s="415"/>
      <c r="CE26" s="411"/>
      <c r="CF26" s="409"/>
      <c r="CG26" s="270">
        <f t="shared" si="20"/>
        <v>0.95</v>
      </c>
      <c r="CI26" s="33" t="str">
        <f t="shared" si="21"/>
        <v/>
      </c>
      <c r="CS26" s="47" t="str">
        <f>IFERROR(1/(1/SUMIFS(PrEP!$L:$L,PrEP!$C:$C,$B26,PrEP!$D:$D,$C26)),"")</f>
        <v/>
      </c>
      <c r="CT26" s="36" t="str">
        <f>IFERROR(1/(1/SUMIFS(PrEP!$O:$O,PrEP!$C:$C,$B26,PrEP!$D:$D,$C26)),"")</f>
        <v/>
      </c>
      <c r="CU26" s="33" t="str">
        <f t="shared" si="31"/>
        <v/>
      </c>
      <c r="CV26" s="33" t="str">
        <f t="shared" si="32"/>
        <v/>
      </c>
      <c r="CW26" s="19" t="str">
        <f t="shared" si="33"/>
        <v/>
      </c>
      <c r="CX26" s="19" t="str">
        <f t="shared" si="34"/>
        <v/>
      </c>
      <c r="CY26" s="47" t="str">
        <f>IFERROR(1/(1/SUMIFS(PP!$H:$H,PP!$C:$C,$B26,PP!$D:$D,$C26)),"")</f>
        <v/>
      </c>
      <c r="CZ26" s="33" t="str">
        <f t="shared" si="26"/>
        <v/>
      </c>
      <c r="DA26" s="19" t="str">
        <f t="shared" si="27"/>
        <v/>
      </c>
      <c r="DB26" s="411"/>
      <c r="DC26" s="417"/>
      <c r="DD26" s="414"/>
      <c r="DE26" s="411"/>
      <c r="DF26" s="409"/>
      <c r="DG26" s="410"/>
      <c r="DH26" s="410"/>
      <c r="DI26" s="417"/>
      <c r="DJ26" s="410"/>
      <c r="DK26" s="412"/>
      <c r="DL26" s="410"/>
      <c r="DM26" s="410"/>
      <c r="DN26" s="410"/>
      <c r="DO26" s="410"/>
      <c r="DP26" s="410"/>
      <c r="DQ26" s="417"/>
      <c r="DR26" s="417"/>
      <c r="DS26" s="417"/>
      <c r="DT26" s="417"/>
      <c r="DU26" s="411"/>
      <c r="DV26" s="415"/>
      <c r="DW26" s="415"/>
      <c r="DX26" s="415"/>
      <c r="DY26" s="417"/>
      <c r="DZ26" s="417"/>
      <c r="EA26" s="416"/>
      <c r="EB26" s="417"/>
      <c r="EC26" s="417"/>
      <c r="ED26" s="411"/>
      <c r="EE26" s="409"/>
      <c r="EF26" s="409"/>
      <c r="EG26" s="409"/>
      <c r="EH26" s="417"/>
      <c r="EI26" s="417"/>
      <c r="EJ26" s="417"/>
      <c r="EK26" s="417"/>
      <c r="EL26" s="415"/>
      <c r="EM26" s="415"/>
      <c r="EN26" s="415"/>
      <c r="EO26" s="415"/>
      <c r="EP26" s="416"/>
      <c r="EQ26" s="424"/>
      <c r="ER26" s="411"/>
      <c r="ES26" s="409"/>
      <c r="ET26" s="417"/>
      <c r="EU26" s="417"/>
      <c r="EV26" s="415"/>
      <c r="EW26" s="415"/>
      <c r="EX26" s="411"/>
      <c r="EY26" s="417"/>
      <c r="EZ26" s="415"/>
      <c r="FA26" s="411"/>
      <c r="FB26" s="417"/>
      <c r="FC26" s="419"/>
    </row>
    <row r="27" spans="1:159" x14ac:dyDescent="0.2">
      <c r="A27" t="s">
        <v>187</v>
      </c>
      <c r="B27" s="176" t="s">
        <v>605</v>
      </c>
      <c r="C27" s="5" t="s">
        <v>581</v>
      </c>
      <c r="E27" s="47" t="str">
        <f>IFERROR(1/(1/IF($B27="&lt;01",ROUND(SUM(EID!$L:$L)/2,0),SUMIFS(HTS!$AM:$AM,HTS!$C:$C,$B27,HTS!$D:$D,$C27))),"")</f>
        <v/>
      </c>
      <c r="F27" s="36" t="str">
        <f>IFERROR(1/(1/IF($B27="&lt;01",ROUND(SUM(EID!$N:$N)/2,0),SUMIFS(Cascade!$AX:$AX,Cascade!$C:$C,$B27,Cascade!$D:$D,$C27))),"")</f>
        <v/>
      </c>
      <c r="G27" s="36" t="str">
        <f>IFERROR(1/(1/IF($B27="&lt;01",ROUND(SUM(EID!$P:$P)/2,0),SUMIFS(Cascade!$AP:$AP,Cascade!$C:$C,$B27,Cascade!$D:$D,$C27))),"")</f>
        <v/>
      </c>
      <c r="H27" s="36" t="str">
        <f>IFERROR(1/(1/IF($B27="&lt;01",ROUND(SUM(EID!$T:$T)/2,0),SUMIFS(Cascade!$BB:$BB,Cascade!$C:$C,$B27,Cascade!$D:$D,$C27))),"")</f>
        <v/>
      </c>
      <c r="I27" s="36" t="str">
        <f>IFERROR(1/(1/IF($B27="&lt;01",ROUND(SUM(EID!$V:$V)/2,0),SUMIFS(Cascade!$BE:$BE,Cascade!$C:$C,$B27,Cascade!$D:$D,$C27))),"")</f>
        <v/>
      </c>
      <c r="J27" s="36" t="str">
        <f>IFERROR(1/(1/SUMIFS(Cascade!$AJ:$AJ,Cascade!$C:$C,"="&amp;$B27,Cascade!$D:$D,$C27)),"")</f>
        <v/>
      </c>
      <c r="K27" s="36" t="str">
        <f>IFERROR(1/(1/SUMIFS(Cascade!$AQ:$AQ,Cascade!$C:$C,"="&amp;$B27,Cascade!$D:$D,$C27)),"")</f>
        <v/>
      </c>
      <c r="L27" s="19" t="str">
        <f t="shared" si="0"/>
        <v/>
      </c>
      <c r="M27" s="47" t="str">
        <f>IFERROR(1/(1/ROUND(SUMIFS(Spectrum!$N:$N,Spectrum!$Q:$Q,"="&amp;$B27,Spectrum!$K:$K,$C27,Spectrum!$G:$G,M$14,Spectrum!$M:$M,"CY2024Q3"),0)),"")</f>
        <v/>
      </c>
      <c r="N27" s="33" t="str">
        <f>IFERROR(1/(1/ROUND(SUMIFS(Spectrum!$N:$N,Spectrum!$Q:$Q,"="&amp;$B27,Spectrum!$K:$K,$C27,Spectrum!$G:$G,N$14,Spectrum!$M:$M,"CY2025Q3"),0)),IFERROR(1/(1/SUM($J27,$M27)),""))</f>
        <v/>
      </c>
      <c r="O27" s="19">
        <f t="shared" si="1"/>
        <v>0.9</v>
      </c>
      <c r="P27" s="36" t="str">
        <f t="shared" si="2"/>
        <v/>
      </c>
      <c r="Q27" s="19">
        <f t="shared" si="3"/>
        <v>1</v>
      </c>
      <c r="R27" s="60" t="str">
        <f t="shared" si="4"/>
        <v/>
      </c>
      <c r="S27" s="33" t="str">
        <f t="shared" si="5"/>
        <v/>
      </c>
      <c r="T27" s="19" t="str">
        <f t="shared" si="6"/>
        <v/>
      </c>
      <c r="U27" s="149">
        <v>0.98</v>
      </c>
      <c r="V27" s="19">
        <v>0.98</v>
      </c>
      <c r="W27" s="36" t="str">
        <f t="shared" si="7"/>
        <v/>
      </c>
      <c r="X27" s="19">
        <v>1</v>
      </c>
      <c r="Y27" s="33" t="str">
        <f t="shared" si="8"/>
        <v/>
      </c>
      <c r="Z27" s="149">
        <v>0.7</v>
      </c>
      <c r="AA27" s="36" t="str">
        <f t="shared" si="9"/>
        <v/>
      </c>
      <c r="AB27" s="19">
        <v>0.95</v>
      </c>
      <c r="AC27" s="33" t="str">
        <f t="shared" si="10"/>
        <v/>
      </c>
      <c r="AD27" s="149">
        <v>0.95</v>
      </c>
      <c r="AE27" s="33" t="str">
        <f t="shared" si="11"/>
        <v/>
      </c>
      <c r="AF27" s="149">
        <v>0.95</v>
      </c>
      <c r="AG27" s="33" t="str">
        <f t="shared" si="12"/>
        <v/>
      </c>
      <c r="AH27" s="149" t="str">
        <f>IFERROR(1/(1/SUMIFS(PMTCT!$AC:$AC,PMTCT!$C:$C,$B27,PMTCT!$D:$D,$C27))/SUM($E27),"")</f>
        <v/>
      </c>
      <c r="AI27" s="19" t="str">
        <f>IFERROR(1/(1/SUMIFS(PMTCT!$AS:$AS,PMTCT!$C:$C,$B27,PMTCT!$D:$D,$C27))/SUM($E27),"")</f>
        <v/>
      </c>
      <c r="AJ27" s="19" t="str">
        <f>IFERROR(1/(1/SUMIFS(TB!$P:$P,TB!$C:$C,$B27,TB!$D:$D,$C27))/SUM($E27),"")</f>
        <v/>
      </c>
      <c r="AK27" s="410"/>
      <c r="AL27" s="19" t="str">
        <f>IFERROR(1/(1/SUMIFS(HTS!$X:$X,HTS!$C:$C,$B27,HTS!$D:$D,$C27))/SUM($E27),"")</f>
        <v/>
      </c>
      <c r="AM27" s="19" t="str">
        <f>IFERROR(1/(1/SUMIFS(HTS!$AA:$AA,HTS!$C:$C,$B27,HTS!$D:$D,$C27))/SUM($E27),"")</f>
        <v/>
      </c>
      <c r="AN27" s="19" t="str">
        <f>IFERROR(1/(1/SUMIFS(HTS!$AD:$AD,HTS!$C:$C,$B27,HTS!$D:$D,$C27))/SUM($E27),"")</f>
        <v/>
      </c>
      <c r="AO27" s="19" t="str">
        <f>IFERROR(1/(1/SUMIFS(HTS!$AG:$AG,HTS!$C:$C,$B27,HTS!$D:$D,$C27))/SUM($E27),"")</f>
        <v/>
      </c>
      <c r="AP27" s="19" t="str">
        <f>IFERROR(1/(1/SUMIFS(HTS!$AJ:$AJ,HTS!$C:$C,$B27,HTS!$D:$D,$C27))/SUM($E27),"")</f>
        <v/>
      </c>
      <c r="AQ27" s="388" t="str">
        <f t="shared" si="22"/>
        <v/>
      </c>
      <c r="AR27" s="389" t="str">
        <f t="shared" si="23"/>
        <v/>
      </c>
      <c r="AS27" s="389" t="str">
        <f t="shared" si="13"/>
        <v/>
      </c>
      <c r="AT27" s="414"/>
      <c r="AU27" s="389" t="str">
        <f t="shared" si="14"/>
        <v/>
      </c>
      <c r="AV27" s="389" t="str">
        <f t="shared" si="15"/>
        <v/>
      </c>
      <c r="AW27" s="389" t="str">
        <f t="shared" si="16"/>
        <v/>
      </c>
      <c r="AX27" s="389" t="str">
        <f t="shared" si="17"/>
        <v/>
      </c>
      <c r="AY27" s="389" t="str">
        <f t="shared" si="18"/>
        <v/>
      </c>
      <c r="AZ27" s="19" t="str">
        <f t="shared" si="19"/>
        <v/>
      </c>
      <c r="BA27" s="47" t="str">
        <f>IFERROR(1/(1/SUMIFS(HTS!$BA:$BA,HTS!$C:$C,$B27,HTS!$D:$D,$C27)),"")</f>
        <v/>
      </c>
      <c r="BB27" s="11" t="str">
        <f t="shared" si="28"/>
        <v/>
      </c>
      <c r="BC27" s="11" t="str">
        <f t="shared" si="29"/>
        <v/>
      </c>
      <c r="BD27" s="33" t="str">
        <f t="shared" si="30"/>
        <v/>
      </c>
      <c r="BE27" s="47" t="str">
        <f>IFERROR(1/(1/SUMIFS(HTS!$AY:$AY,HTS!$C:$C,$B27,HTS!$D:$D,$C27)),"")</f>
        <v/>
      </c>
      <c r="BF27" s="33" t="str">
        <f t="shared" si="25"/>
        <v/>
      </c>
      <c r="BG27" s="19" t="str">
        <f t="shared" si="24"/>
        <v/>
      </c>
      <c r="BS27" s="366">
        <f>$AF27</f>
        <v>0.95</v>
      </c>
      <c r="BU27" s="33" t="str">
        <f>IF(SUM($AG27)=0,"",IF(AND($AH27="",SUM($AG27)&gt;0),"&lt;- Enter Linkage Rate",ROUND($AG27*$AH27*$BS27,0)))</f>
        <v/>
      </c>
      <c r="CG27" s="270">
        <f t="shared" si="20"/>
        <v>0.95</v>
      </c>
      <c r="CI27" s="33" t="str">
        <f t="shared" si="21"/>
        <v/>
      </c>
      <c r="CS27" s="47" t="str">
        <f>IFERROR(1/(1/SUMIFS(PrEP!$L:$L,PrEP!$C:$C,$B27,PrEP!$D:$D,$C27)),"")</f>
        <v/>
      </c>
      <c r="CT27" s="36" t="str">
        <f>IFERROR(1/(1/SUMIFS(PrEP!$O:$O,PrEP!$C:$C,$B27,PrEP!$D:$D,$C27)),"")</f>
        <v/>
      </c>
      <c r="CU27" s="33" t="str">
        <f t="shared" si="31"/>
        <v/>
      </c>
      <c r="CV27" s="33" t="str">
        <f t="shared" si="32"/>
        <v/>
      </c>
      <c r="CW27" s="19" t="str">
        <f t="shared" si="33"/>
        <v/>
      </c>
      <c r="CX27" s="19" t="str">
        <f t="shared" si="34"/>
        <v/>
      </c>
      <c r="CY27" s="47" t="str">
        <f>IFERROR(1/(1/SUMIFS(PP!$H:$H,PP!$C:$C,$B27,PP!$D:$D,$C27)),"")</f>
        <v/>
      </c>
      <c r="CZ27" s="33" t="str">
        <f t="shared" si="26"/>
        <v/>
      </c>
      <c r="DA27" s="19" t="str">
        <f t="shared" si="27"/>
        <v/>
      </c>
      <c r="DB27" s="411"/>
      <c r="DC27" s="417"/>
      <c r="DD27" s="414"/>
      <c r="DE27" s="411"/>
      <c r="DF27" s="409"/>
      <c r="DG27" s="410"/>
      <c r="DH27" s="410"/>
      <c r="DI27" s="417"/>
      <c r="DJ27" s="410"/>
      <c r="DK27" s="412"/>
      <c r="DL27" s="410"/>
      <c r="DM27" s="410"/>
      <c r="DN27" s="410"/>
      <c r="DO27" s="410"/>
      <c r="DP27" s="410"/>
      <c r="DQ27" s="417"/>
      <c r="DR27" s="417"/>
      <c r="DS27" s="417"/>
      <c r="DT27" s="417"/>
      <c r="DU27" s="411"/>
      <c r="DV27" s="415"/>
      <c r="DW27" s="415"/>
      <c r="DX27" s="415"/>
      <c r="DY27" s="417"/>
      <c r="DZ27" s="417"/>
      <c r="EA27" s="416"/>
      <c r="EB27" s="417"/>
      <c r="EC27" s="417"/>
      <c r="ED27" s="411"/>
      <c r="EE27" s="409"/>
      <c r="EF27" s="409"/>
      <c r="EG27" s="409"/>
      <c r="EH27" s="417"/>
      <c r="EI27" s="417"/>
      <c r="EJ27" s="417"/>
      <c r="EK27" s="417"/>
      <c r="EL27" s="415"/>
      <c r="EM27" s="415"/>
      <c r="EN27" s="415"/>
      <c r="EO27" s="415"/>
      <c r="EP27" s="416"/>
      <c r="EQ27" s="424"/>
      <c r="ER27" s="411"/>
      <c r="ES27" s="409"/>
      <c r="ET27" s="417"/>
      <c r="EU27" s="417"/>
      <c r="EV27" s="415"/>
      <c r="EW27" s="415"/>
      <c r="EX27" s="411"/>
      <c r="EY27" s="417"/>
      <c r="EZ27" s="415"/>
      <c r="FA27" s="411"/>
      <c r="FB27" s="417"/>
      <c r="FC27" s="419"/>
    </row>
    <row r="28" spans="1:159" x14ac:dyDescent="0.2">
      <c r="A28" t="s">
        <v>187</v>
      </c>
      <c r="B28" s="176" t="s">
        <v>605</v>
      </c>
      <c r="C28" t="s">
        <v>606</v>
      </c>
      <c r="E28" s="47" t="str">
        <f>IFERROR(1/(1/IF($B28="&lt;01",ROUND(SUM(EID!$L:$L)/2,0),SUMIFS(HTS!$AM:$AM,HTS!$C:$C,$B28,HTS!$D:$D,$C28))),"")</f>
        <v/>
      </c>
      <c r="F28" s="36" t="str">
        <f>IFERROR(1/(1/IF($B28="&lt;01",ROUND(SUM(EID!$N:$N)/2,0),SUMIFS(Cascade!$AX:$AX,Cascade!$C:$C,$B28,Cascade!$D:$D,$C28))),"")</f>
        <v/>
      </c>
      <c r="G28" s="36" t="str">
        <f>IFERROR(1/(1/IF($B28="&lt;01",ROUND(SUM(EID!$P:$P)/2,0),SUMIFS(Cascade!$AP:$AP,Cascade!$C:$C,$B28,Cascade!$D:$D,$C28))),"")</f>
        <v/>
      </c>
      <c r="H28" s="36" t="str">
        <f>IFERROR(1/(1/IF($B28="&lt;01",ROUND(SUM(EID!$T:$T)/2,0),SUMIFS(Cascade!$BB:$BB,Cascade!$C:$C,$B28,Cascade!$D:$D,$C28))),"")</f>
        <v/>
      </c>
      <c r="I28" s="36" t="str">
        <f>IFERROR(1/(1/IF($B28="&lt;01",ROUND(SUM(EID!$V:$V)/2,0),SUMIFS(Cascade!$BE:$BE,Cascade!$C:$C,$B28,Cascade!$D:$D,$C28))),"")</f>
        <v/>
      </c>
      <c r="J28" s="36" t="str">
        <f>IFERROR(1/(1/SUMIFS(Cascade!$AJ:$AJ,Cascade!$C:$C,"="&amp;$B28,Cascade!$D:$D,$C28)),"")</f>
        <v/>
      </c>
      <c r="K28" s="36" t="str">
        <f>IFERROR(1/(1/SUMIFS(Cascade!$AQ:$AQ,Cascade!$C:$C,"="&amp;$B28,Cascade!$D:$D,$C28)),"")</f>
        <v/>
      </c>
      <c r="L28" s="19" t="str">
        <f t="shared" si="0"/>
        <v/>
      </c>
      <c r="M28" s="47" t="str">
        <f>IFERROR(1/(1/ROUND(SUMIFS(Spectrum!$N:$N,Spectrum!$Q:$Q,"="&amp;$B28,Spectrum!$K:$K,$C28,Spectrum!$G:$G,M$14,Spectrum!$M:$M,"CY2024Q3"),0)),"")</f>
        <v/>
      </c>
      <c r="N28" s="33" t="str">
        <f>IFERROR(1/(1/ROUND(SUMIFS(Spectrum!$N:$N,Spectrum!$Q:$Q,"="&amp;$B28,Spectrum!$K:$K,$C28,Spectrum!$G:$G,N$14,Spectrum!$M:$M,"CY2025Q3"),0)),IFERROR(1/(1/SUM($J28,$M28)),""))</f>
        <v/>
      </c>
      <c r="O28" s="19">
        <f t="shared" si="1"/>
        <v>0.9</v>
      </c>
      <c r="P28" s="36" t="str">
        <f>IFERROR(1/(1/IF(SUM($N28)=0,SUM($G28),ROUND(SUM($N28)*SUM($O28),0))),"")</f>
        <v/>
      </c>
      <c r="Q28" s="19">
        <f t="shared" si="3"/>
        <v>1</v>
      </c>
      <c r="R28" s="60" t="str">
        <f t="shared" si="4"/>
        <v/>
      </c>
      <c r="S28" s="33" t="str">
        <f t="shared" si="5"/>
        <v/>
      </c>
      <c r="T28" s="19" t="str">
        <f t="shared" si="6"/>
        <v/>
      </c>
      <c r="U28" s="149">
        <v>0.98</v>
      </c>
      <c r="V28" s="19">
        <v>0.98</v>
      </c>
      <c r="W28" s="36" t="str">
        <f t="shared" si="7"/>
        <v/>
      </c>
      <c r="X28" s="19">
        <v>1</v>
      </c>
      <c r="Y28" s="33" t="str">
        <f t="shared" si="8"/>
        <v/>
      </c>
      <c r="Z28" s="149">
        <v>0.7</v>
      </c>
      <c r="AA28" s="36" t="str">
        <f t="shared" si="9"/>
        <v/>
      </c>
      <c r="AB28" s="19">
        <v>0.95</v>
      </c>
      <c r="AC28" s="33" t="str">
        <f t="shared" si="10"/>
        <v/>
      </c>
      <c r="AD28" s="149">
        <v>0.95</v>
      </c>
      <c r="AE28" s="33" t="str">
        <f t="shared" si="11"/>
        <v/>
      </c>
      <c r="AF28" s="149">
        <v>0.95</v>
      </c>
      <c r="AG28" s="33" t="str">
        <f t="shared" si="12"/>
        <v/>
      </c>
      <c r="AH28" s="412"/>
      <c r="AI28" s="410"/>
      <c r="AJ28" s="19" t="str">
        <f>IFERROR(1/(1/SUMIFS(TB!$P:$P,TB!$C:$C,$B28,TB!$D:$D,$C28))/SUM($E28),"")</f>
        <v/>
      </c>
      <c r="AK28" s="19" t="str">
        <f>IFERROR(1/(1/SUMIFS(VMMC!$AA:$AA,VMMC!$C:$C,$B28,VMMC!$D:$D,$C28))/SUM($E28),"")</f>
        <v/>
      </c>
      <c r="AL28" s="19" t="str">
        <f>IFERROR(1/(1/SUMIFS(HTS!$X:$X,HTS!$C:$C,$B28,HTS!$D:$D,$C28))/SUM($E28),"")</f>
        <v/>
      </c>
      <c r="AM28" s="19" t="str">
        <f>IFERROR(1/(1/SUMIFS(HTS!$AA:$AA,HTS!$C:$C,$B28,HTS!$D:$D,$C28))/SUM($E28),"")</f>
        <v/>
      </c>
      <c r="AN28" s="19" t="str">
        <f>IFERROR(1/(1/SUMIFS(HTS!$AD:$AD,HTS!$C:$C,$B28,HTS!$D:$D,$C28))/SUM($E28),"")</f>
        <v/>
      </c>
      <c r="AO28" s="19" t="str">
        <f>IFERROR(1/(1/SUMIFS(HTS!$AG:$AG,HTS!$C:$C,$B28,HTS!$D:$D,$C28))/SUM($E28),"")</f>
        <v/>
      </c>
      <c r="AP28" s="19" t="str">
        <f>IFERROR(1/(1/SUMIFS(HTS!$AJ:$AJ,HTS!$C:$C,$B28,HTS!$D:$D,$C28))/SUM($E28),"")</f>
        <v/>
      </c>
      <c r="AQ28" s="413"/>
      <c r="AR28" s="414"/>
      <c r="AS28" s="389" t="str">
        <f t="shared" si="13"/>
        <v/>
      </c>
      <c r="AT28" s="389" t="str">
        <f t="shared" si="35"/>
        <v/>
      </c>
      <c r="AU28" s="389" t="str">
        <f t="shared" si="14"/>
        <v/>
      </c>
      <c r="AV28" s="389" t="str">
        <f t="shared" si="15"/>
        <v/>
      </c>
      <c r="AW28" s="389" t="str">
        <f t="shared" si="16"/>
        <v/>
      </c>
      <c r="AX28" s="389" t="str">
        <f t="shared" si="17"/>
        <v/>
      </c>
      <c r="AY28" s="389" t="str">
        <f t="shared" si="18"/>
        <v/>
      </c>
      <c r="AZ28" s="19" t="str">
        <f t="shared" si="19"/>
        <v/>
      </c>
      <c r="BA28" s="47" t="str">
        <f>IFERROR(1/(1/SUMIFS(HTS!$BA:$BA,HTS!$C:$C,$B28,HTS!$D:$D,$C28)),"")</f>
        <v/>
      </c>
      <c r="BB28" s="11" t="str">
        <f t="shared" si="28"/>
        <v/>
      </c>
      <c r="BC28" s="11" t="str">
        <f t="shared" si="29"/>
        <v/>
      </c>
      <c r="BD28" s="33" t="str">
        <f t="shared" si="30"/>
        <v/>
      </c>
      <c r="BE28" s="47" t="str">
        <f>IFERROR(1/(1/SUMIFS(HTS!$AY:$AY,HTS!$C:$C,$B28,HTS!$D:$D,$C28)),"")</f>
        <v/>
      </c>
      <c r="BF28" s="33" t="str">
        <f t="shared" si="25"/>
        <v/>
      </c>
      <c r="BG28" s="19" t="str">
        <f t="shared" si="24"/>
        <v/>
      </c>
      <c r="BS28" s="435"/>
      <c r="BT28" s="417"/>
      <c r="BU28" s="417"/>
      <c r="BV28" s="411"/>
      <c r="BW28" s="409"/>
      <c r="BX28" s="409"/>
      <c r="BY28" s="409"/>
      <c r="BZ28" s="417"/>
      <c r="CA28" s="417"/>
      <c r="CB28" s="417"/>
      <c r="CC28" s="409"/>
      <c r="CD28" s="415"/>
      <c r="CE28" s="411"/>
      <c r="CF28" s="409"/>
      <c r="CG28" s="270">
        <f t="shared" si="20"/>
        <v>0.95</v>
      </c>
      <c r="CI28" s="33" t="str">
        <f t="shared" si="21"/>
        <v/>
      </c>
      <c r="CS28" s="47" t="str">
        <f>IFERROR(1/(1/SUMIFS(PrEP!$L:$L,PrEP!$C:$C,$B28,PrEP!$D:$D,$C28)),"")</f>
        <v/>
      </c>
      <c r="CT28" s="36" t="str">
        <f>IFERROR(1/(1/SUMIFS(PrEP!$O:$O,PrEP!$C:$C,$B28,PrEP!$D:$D,$C28)),"")</f>
        <v/>
      </c>
      <c r="CU28" s="33" t="str">
        <f t="shared" si="31"/>
        <v/>
      </c>
      <c r="CV28" s="33" t="str">
        <f t="shared" si="32"/>
        <v/>
      </c>
      <c r="CW28" s="19" t="str">
        <f t="shared" si="33"/>
        <v/>
      </c>
      <c r="CX28" s="19" t="str">
        <f t="shared" si="34"/>
        <v/>
      </c>
      <c r="CY28" s="47" t="str">
        <f>IFERROR(1/(1/SUMIFS(PP!$H:$H,PP!$C:$C,$B28,PP!$D:$D,$C28)),"")</f>
        <v/>
      </c>
      <c r="CZ28" s="33" t="str">
        <f t="shared" si="26"/>
        <v/>
      </c>
      <c r="DA28" s="19" t="str">
        <f t="shared" si="27"/>
        <v/>
      </c>
      <c r="DB28" s="411"/>
      <c r="DC28" s="417"/>
      <c r="DD28" s="414"/>
      <c r="DE28" s="411"/>
      <c r="DF28" s="409"/>
      <c r="DG28" s="410"/>
      <c r="DH28" s="410"/>
      <c r="DI28" s="417"/>
      <c r="DJ28" s="410"/>
      <c r="DK28" s="412"/>
      <c r="DL28" s="410"/>
      <c r="DM28" s="410"/>
      <c r="DN28" s="410"/>
      <c r="DO28" s="410"/>
      <c r="DP28" s="410"/>
      <c r="DQ28" s="417"/>
      <c r="DR28" s="417"/>
      <c r="DS28" s="417"/>
      <c r="DT28" s="417"/>
      <c r="DU28" s="411"/>
      <c r="DV28" s="415"/>
      <c r="DW28" s="415"/>
      <c r="DX28" s="415"/>
      <c r="DY28" s="417"/>
      <c r="DZ28" s="417"/>
      <c r="EA28" s="416"/>
      <c r="EB28" s="417"/>
      <c r="EC28" s="417"/>
      <c r="ED28" s="411"/>
      <c r="EE28" s="409"/>
      <c r="EF28" s="409"/>
      <c r="EG28" s="409"/>
      <c r="EH28" s="417"/>
      <c r="EI28" s="417"/>
      <c r="EJ28" s="417"/>
      <c r="EK28" s="417"/>
      <c r="EL28" s="415"/>
      <c r="EM28" s="415"/>
      <c r="EN28" s="415"/>
      <c r="EO28" s="415"/>
      <c r="EP28" s="416"/>
      <c r="EQ28" s="424"/>
      <c r="ER28" s="411"/>
      <c r="ES28" s="409"/>
      <c r="ET28" s="417"/>
      <c r="EU28" s="417"/>
      <c r="EV28" s="415"/>
      <c r="EW28" s="415"/>
      <c r="EX28" s="411"/>
      <c r="EY28" s="417"/>
      <c r="EZ28" s="415"/>
      <c r="FA28" s="411"/>
      <c r="FB28" s="417"/>
      <c r="FC28" s="419"/>
    </row>
    <row r="29" spans="1:159" x14ac:dyDescent="0.2">
      <c r="A29" t="s">
        <v>288</v>
      </c>
      <c r="D29" t="s">
        <v>372</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9"/>
      <c r="L29" s="410"/>
      <c r="N29" s="33" t="str">
        <f t="shared" ref="N29:N33" si="36">IFERROR(1/(1/SUM($J29)+SUM($M29)),"")</f>
        <v/>
      </c>
      <c r="O29" s="19">
        <f t="shared" si="1"/>
        <v>0.9</v>
      </c>
      <c r="P29" s="36" t="str">
        <f>IFERROR(1/(1/IF(SUM($N29)=0,SUM($G29),ROUND(SUM($N29)*SUM($O29),0))),"")</f>
        <v/>
      </c>
      <c r="Q29" s="19">
        <f>IF(SUM($K29)=0,1,SUM($G29)/$K29)</f>
        <v>1</v>
      </c>
      <c r="R29" s="60" t="str">
        <f t="shared" si="4"/>
        <v/>
      </c>
      <c r="S29" s="33" t="str">
        <f t="shared" si="5"/>
        <v/>
      </c>
      <c r="T29" s="19" t="str">
        <f>IF(SUM($N29)=0,"",SUM($S29)/$N29)</f>
        <v/>
      </c>
      <c r="U29" s="149">
        <v>0.98</v>
      </c>
      <c r="V29" s="19">
        <v>0.98</v>
      </c>
      <c r="W29" s="36" t="str">
        <f t="shared" si="7"/>
        <v/>
      </c>
      <c r="X29" s="19">
        <v>1</v>
      </c>
      <c r="Y29" s="33" t="str">
        <f t="shared" si="8"/>
        <v/>
      </c>
      <c r="Z29" s="149">
        <v>0.7</v>
      </c>
      <c r="AA29" s="36" t="str">
        <f t="shared" si="9"/>
        <v/>
      </c>
      <c r="AB29" s="19">
        <v>0.95</v>
      </c>
      <c r="AC29" s="33" t="str">
        <f t="shared" si="10"/>
        <v/>
      </c>
      <c r="AD29" s="149">
        <v>0.95</v>
      </c>
      <c r="AE29" s="33" t="str">
        <f t="shared" si="11"/>
        <v/>
      </c>
      <c r="AF29" s="149">
        <v>0.95</v>
      </c>
      <c r="AG29" s="33" t="str">
        <f t="shared" si="12"/>
        <v/>
      </c>
      <c r="AH29" s="412"/>
      <c r="AI29" s="410"/>
      <c r="AJ29" s="410"/>
      <c r="AK29" s="410"/>
      <c r="AL29" s="410"/>
      <c r="AM29" s="410"/>
      <c r="AN29" s="410"/>
      <c r="AO29" s="410"/>
      <c r="AP29" s="410"/>
      <c r="AQ29" s="413"/>
      <c r="AR29" s="414"/>
      <c r="AS29" s="414"/>
      <c r="AT29" s="414"/>
      <c r="AU29" s="414"/>
      <c r="AV29" s="414"/>
      <c r="AW29" s="414"/>
      <c r="AX29" s="414"/>
      <c r="AY29" s="414"/>
      <c r="AZ29" s="410"/>
      <c r="BA29" s="47" t="str">
        <f>IFERROR(1/(1/SUMIFS(KP!$AN:$AN,KP!$C:$C,$D29)),"")</f>
        <v/>
      </c>
      <c r="BB29" s="11" t="str">
        <f t="shared" si="28"/>
        <v/>
      </c>
      <c r="BC29" s="11" t="str">
        <f t="shared" si="29"/>
        <v/>
      </c>
      <c r="BD29" s="33" t="str">
        <f t="shared" si="30"/>
        <v/>
      </c>
      <c r="BE29" s="47" t="str">
        <f>IFERROR(1/(1/SUMIFS(KP!$AP:$AP,KP!$C:$C,$D29)),"")</f>
        <v/>
      </c>
      <c r="BF29" s="33" t="str">
        <f t="shared" si="25"/>
        <v/>
      </c>
      <c r="BG29" s="19" t="str">
        <f t="shared" si="24"/>
        <v/>
      </c>
      <c r="BS29" s="435"/>
      <c r="BT29" s="417"/>
      <c r="BU29" s="417"/>
      <c r="BV29" s="411"/>
      <c r="BW29" s="409"/>
      <c r="BX29" s="409"/>
      <c r="BY29" s="409"/>
      <c r="BZ29" s="417"/>
      <c r="CA29" s="417"/>
      <c r="CB29" s="417"/>
      <c r="CC29" s="409"/>
      <c r="CD29" s="415"/>
      <c r="CE29" s="411"/>
      <c r="CF29" s="409"/>
      <c r="CG29" s="436"/>
      <c r="CH29" s="417"/>
      <c r="CI29" s="417"/>
      <c r="CJ29" s="411"/>
      <c r="CK29" s="409"/>
      <c r="CL29" s="409"/>
      <c r="CM29" s="409"/>
      <c r="CN29" s="409"/>
      <c r="CO29" s="409"/>
      <c r="CP29" s="409"/>
      <c r="CQ29" s="409"/>
      <c r="CR29" s="415"/>
      <c r="CS29" s="47" t="str">
        <f>IFERROR(1/(1/SUMIFS(KP!$K:$K,KP!$C:$C,$D29)),"")</f>
        <v/>
      </c>
      <c r="CT29" s="36" t="str">
        <f>IFERROR(1/(1/SUMIFS(KP!$I:$I,KP!$C:$C,$D29)),"")</f>
        <v/>
      </c>
      <c r="CU29" s="33" t="str">
        <f t="shared" ref="CU29:CU33" si="37">CS29</f>
        <v/>
      </c>
      <c r="CV29" s="33" t="str">
        <f t="shared" ref="CV29:CV33" si="38">CT29</f>
        <v/>
      </c>
      <c r="CW29" s="19" t="str">
        <f t="shared" si="33"/>
        <v/>
      </c>
      <c r="CX29" s="19" t="str">
        <f t="shared" si="34"/>
        <v/>
      </c>
      <c r="CY29" s="411"/>
      <c r="CZ29" s="417"/>
      <c r="DA29" s="410"/>
      <c r="DB29" s="47" t="str">
        <f>IFERROR(1/(1/SUMIFS(KP!$M:$M,KP!$C:$C,$D29)),"")</f>
        <v/>
      </c>
      <c r="DC29" s="33" t="str">
        <f>DB29</f>
        <v/>
      </c>
      <c r="DD29" s="19" t="str">
        <f>IF(SUM($DB29)=0,"",(SUM($DC29)-$DB29)/$DB29)</f>
        <v/>
      </c>
      <c r="DE29" s="411"/>
      <c r="DF29" s="409"/>
      <c r="DG29" s="410"/>
      <c r="DH29" s="410"/>
      <c r="DI29" s="417"/>
      <c r="DJ29" s="410"/>
      <c r="DK29" s="412"/>
      <c r="DL29" s="410"/>
      <c r="DM29" s="410"/>
      <c r="DN29" s="410"/>
      <c r="DO29" s="410"/>
      <c r="DP29" s="410"/>
      <c r="DQ29" s="417"/>
      <c r="DR29" s="417"/>
      <c r="DS29" s="417"/>
      <c r="DT29" s="417"/>
      <c r="DU29" s="411"/>
      <c r="DV29" s="415"/>
      <c r="DW29" s="415"/>
      <c r="DX29" s="415"/>
      <c r="DY29" s="417"/>
      <c r="DZ29" s="417"/>
      <c r="EA29" s="416"/>
      <c r="EB29" s="417"/>
      <c r="EC29" s="417"/>
      <c r="ED29" s="411"/>
      <c r="EE29" s="409"/>
      <c r="EF29" s="409"/>
      <c r="EG29" s="409"/>
      <c r="EH29" s="417"/>
      <c r="EI29" s="417"/>
      <c r="EJ29" s="417"/>
      <c r="EK29" s="417"/>
      <c r="EL29" s="415"/>
      <c r="EM29" s="415"/>
      <c r="EN29" s="415"/>
      <c r="EO29" s="415"/>
      <c r="EP29" s="416"/>
      <c r="EQ29" s="424"/>
      <c r="ER29" s="411"/>
      <c r="ES29" s="409"/>
      <c r="ET29" s="417"/>
      <c r="EU29" s="417"/>
      <c r="EV29" s="415"/>
      <c r="EW29" s="415"/>
      <c r="EX29" s="411"/>
      <c r="EY29" s="417"/>
      <c r="EZ29" s="415"/>
      <c r="FA29" s="411"/>
      <c r="FB29" s="417"/>
      <c r="FC29" s="419"/>
    </row>
    <row r="30" spans="1:159" x14ac:dyDescent="0.2">
      <c r="A30" t="s">
        <v>288</v>
      </c>
      <c r="D30" t="s">
        <v>373</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9"/>
      <c r="L30" s="410"/>
      <c r="N30" s="33" t="str">
        <f t="shared" si="36"/>
        <v/>
      </c>
      <c r="O30" s="19">
        <f t="shared" si="1"/>
        <v>0.9</v>
      </c>
      <c r="P30" s="36" t="str">
        <f t="shared" si="2"/>
        <v/>
      </c>
      <c r="Q30" s="19">
        <f t="shared" si="3"/>
        <v>1</v>
      </c>
      <c r="R30" s="60" t="str">
        <f t="shared" si="4"/>
        <v/>
      </c>
      <c r="S30" s="33" t="str">
        <f t="shared" si="5"/>
        <v/>
      </c>
      <c r="T30" s="19" t="str">
        <f t="shared" si="6"/>
        <v/>
      </c>
      <c r="U30" s="149">
        <v>0.98</v>
      </c>
      <c r="V30" s="19">
        <v>0.98</v>
      </c>
      <c r="W30" s="36" t="str">
        <f t="shared" si="7"/>
        <v/>
      </c>
      <c r="X30" s="19">
        <v>1</v>
      </c>
      <c r="Y30" s="33" t="str">
        <f t="shared" si="8"/>
        <v/>
      </c>
      <c r="Z30" s="149">
        <v>0.7</v>
      </c>
      <c r="AA30" s="36" t="str">
        <f t="shared" si="9"/>
        <v/>
      </c>
      <c r="AB30" s="19">
        <v>0.95</v>
      </c>
      <c r="AC30" s="33" t="str">
        <f t="shared" si="10"/>
        <v/>
      </c>
      <c r="AD30" s="149">
        <v>0.95</v>
      </c>
      <c r="AE30" s="33" t="str">
        <f t="shared" si="11"/>
        <v/>
      </c>
      <c r="AF30" s="149">
        <v>0.95</v>
      </c>
      <c r="AG30" s="33" t="str">
        <f t="shared" si="12"/>
        <v/>
      </c>
      <c r="AH30" s="412"/>
      <c r="AI30" s="410"/>
      <c r="AJ30" s="410"/>
      <c r="AK30" s="410"/>
      <c r="AL30" s="410"/>
      <c r="AM30" s="410"/>
      <c r="AN30" s="410"/>
      <c r="AO30" s="410"/>
      <c r="AP30" s="410"/>
      <c r="AQ30" s="413"/>
      <c r="AR30" s="414"/>
      <c r="AS30" s="414"/>
      <c r="AT30" s="414"/>
      <c r="AU30" s="414"/>
      <c r="AV30" s="414"/>
      <c r="AW30" s="414"/>
      <c r="AX30" s="414"/>
      <c r="AY30" s="414"/>
      <c r="AZ30" s="410"/>
      <c r="BA30" s="47" t="str">
        <f>IFERROR(1/(1/SUMIFS(KP!$AN:$AN,KP!$C:$C,$D30)),"")</f>
        <v/>
      </c>
      <c r="BB30" s="11" t="str">
        <f t="shared" si="28"/>
        <v/>
      </c>
      <c r="BC30" s="11" t="str">
        <f t="shared" si="29"/>
        <v/>
      </c>
      <c r="BD30" s="33" t="str">
        <f t="shared" si="30"/>
        <v/>
      </c>
      <c r="BE30" s="47" t="str">
        <f>IFERROR(1/(1/SUMIFS(KP!$AP:$AP,KP!$C:$C,$D30)),"")</f>
        <v/>
      </c>
      <c r="BF30" s="33" t="str">
        <f t="shared" si="25"/>
        <v/>
      </c>
      <c r="BG30" s="19" t="str">
        <f t="shared" si="24"/>
        <v/>
      </c>
      <c r="BS30" s="435"/>
      <c r="BT30" s="417"/>
      <c r="BU30" s="417"/>
      <c r="BV30" s="411"/>
      <c r="BW30" s="409"/>
      <c r="BX30" s="409"/>
      <c r="BY30" s="409"/>
      <c r="BZ30" s="417"/>
      <c r="CA30" s="417"/>
      <c r="CB30" s="417"/>
      <c r="CC30" s="409"/>
      <c r="CD30" s="415"/>
      <c r="CE30" s="411"/>
      <c r="CF30" s="409"/>
      <c r="CG30" s="436"/>
      <c r="CH30" s="417"/>
      <c r="CI30" s="417"/>
      <c r="CJ30" s="411"/>
      <c r="CK30" s="409"/>
      <c r="CL30" s="409"/>
      <c r="CM30" s="409"/>
      <c r="CN30" s="409"/>
      <c r="CO30" s="409"/>
      <c r="CP30" s="409"/>
      <c r="CQ30" s="409"/>
      <c r="CR30" s="415"/>
      <c r="CS30" s="47" t="str">
        <f>IFERROR(1/(1/SUMIFS(KP!$K:$K,KP!$C:$C,$D30)),"")</f>
        <v/>
      </c>
      <c r="CT30" s="36" t="str">
        <f>IFERROR(1/(1/SUMIFS(KP!$I:$I,KP!$C:$C,$D30)),"")</f>
        <v/>
      </c>
      <c r="CU30" s="33" t="str">
        <f t="shared" si="37"/>
        <v/>
      </c>
      <c r="CV30" s="33" t="str">
        <f t="shared" si="38"/>
        <v/>
      </c>
      <c r="CW30" s="19" t="str">
        <f t="shared" si="33"/>
        <v/>
      </c>
      <c r="CX30" s="19" t="str">
        <f t="shared" si="34"/>
        <v/>
      </c>
      <c r="CY30" s="411"/>
      <c r="CZ30" s="417"/>
      <c r="DA30" s="410"/>
      <c r="DB30" s="47" t="str">
        <f>IFERROR(1/(1/SUMIFS(KP!$M:$M,KP!$C:$C,$D30)),"")</f>
        <v/>
      </c>
      <c r="DC30" s="33" t="str">
        <f t="shared" ref="DC30:DC33" si="39">DB30</f>
        <v/>
      </c>
      <c r="DD30" s="19" t="str">
        <f>IF(SUM($DB30)=0,"",(SUM($DC30)-$DB30)/$DB30)</f>
        <v/>
      </c>
      <c r="DE30" s="411"/>
      <c r="DF30" s="409"/>
      <c r="DG30" s="410"/>
      <c r="DH30" s="410"/>
      <c r="DI30" s="417"/>
      <c r="DJ30" s="410"/>
      <c r="DK30" s="412"/>
      <c r="DL30" s="410"/>
      <c r="DM30" s="410"/>
      <c r="DN30" s="410"/>
      <c r="DO30" s="410"/>
      <c r="DP30" s="410"/>
      <c r="DQ30" s="417"/>
      <c r="DR30" s="417"/>
      <c r="DS30" s="417"/>
      <c r="DT30" s="417"/>
      <c r="DU30" s="411"/>
      <c r="DV30" s="415"/>
      <c r="DW30" s="415"/>
      <c r="DX30" s="415"/>
      <c r="DY30" s="417"/>
      <c r="DZ30" s="417"/>
      <c r="EA30" s="416"/>
      <c r="EB30" s="417"/>
      <c r="EC30" s="417"/>
      <c r="ED30" s="411"/>
      <c r="EE30" s="409"/>
      <c r="EF30" s="409"/>
      <c r="EG30" s="409"/>
      <c r="EH30" s="417"/>
      <c r="EI30" s="417"/>
      <c r="EJ30" s="417"/>
      <c r="EK30" s="417"/>
      <c r="EL30" s="415"/>
      <c r="EM30" s="415"/>
      <c r="EN30" s="415"/>
      <c r="EO30" s="415"/>
      <c r="EP30" s="416"/>
      <c r="EQ30" s="424"/>
      <c r="ER30" s="411"/>
      <c r="ES30" s="409"/>
      <c r="ET30" s="417"/>
      <c r="EU30" s="417"/>
      <c r="EV30" s="415"/>
      <c r="EW30" s="415"/>
      <c r="EX30" s="411"/>
      <c r="EY30" s="417"/>
      <c r="EZ30" s="415"/>
      <c r="FA30" s="411"/>
      <c r="FB30" s="417"/>
      <c r="FC30" s="419"/>
    </row>
    <row r="31" spans="1:159" x14ac:dyDescent="0.2">
      <c r="A31" t="s">
        <v>288</v>
      </c>
      <c r="D31" t="s">
        <v>376</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9"/>
      <c r="L31" s="410"/>
      <c r="N31" s="33" t="str">
        <f t="shared" si="36"/>
        <v/>
      </c>
      <c r="O31" s="19">
        <f t="shared" si="1"/>
        <v>0.9</v>
      </c>
      <c r="P31" s="36" t="str">
        <f t="shared" si="2"/>
        <v/>
      </c>
      <c r="Q31" s="19">
        <f t="shared" si="3"/>
        <v>1</v>
      </c>
      <c r="R31" s="60" t="str">
        <f t="shared" si="4"/>
        <v/>
      </c>
      <c r="S31" s="33" t="str">
        <f t="shared" si="5"/>
        <v/>
      </c>
      <c r="T31" s="19" t="str">
        <f t="shared" si="6"/>
        <v/>
      </c>
      <c r="U31" s="149">
        <v>0.98</v>
      </c>
      <c r="V31" s="19">
        <v>0.98</v>
      </c>
      <c r="W31" s="36" t="str">
        <f t="shared" si="7"/>
        <v/>
      </c>
      <c r="X31" s="19">
        <v>1</v>
      </c>
      <c r="Y31" s="33" t="str">
        <f t="shared" si="8"/>
        <v/>
      </c>
      <c r="Z31" s="149">
        <v>0.7</v>
      </c>
      <c r="AA31" s="36" t="str">
        <f t="shared" si="9"/>
        <v/>
      </c>
      <c r="AB31" s="19">
        <v>0.95</v>
      </c>
      <c r="AC31" s="33" t="str">
        <f t="shared" si="10"/>
        <v/>
      </c>
      <c r="AD31" s="149">
        <v>0.95</v>
      </c>
      <c r="AE31" s="33" t="str">
        <f t="shared" si="11"/>
        <v/>
      </c>
      <c r="AF31" s="149">
        <v>0.95</v>
      </c>
      <c r="AG31" s="33" t="str">
        <f t="shared" si="12"/>
        <v/>
      </c>
      <c r="AH31" s="412"/>
      <c r="AI31" s="410"/>
      <c r="AJ31" s="410"/>
      <c r="AK31" s="410"/>
      <c r="AL31" s="410"/>
      <c r="AM31" s="410"/>
      <c r="AN31" s="410"/>
      <c r="AO31" s="410"/>
      <c r="AP31" s="410"/>
      <c r="AQ31" s="413"/>
      <c r="AR31" s="414"/>
      <c r="AS31" s="414"/>
      <c r="AT31" s="414"/>
      <c r="AU31" s="414"/>
      <c r="AV31" s="414"/>
      <c r="AW31" s="414"/>
      <c r="AX31" s="414"/>
      <c r="AY31" s="414"/>
      <c r="AZ31" s="410"/>
      <c r="BA31" s="47" t="str">
        <f>IFERROR(1/(1/SUMIFS(KP!$AN:$AN,KP!$C:$C,$D31)),"")</f>
        <v/>
      </c>
      <c r="BB31" s="11" t="str">
        <f t="shared" si="28"/>
        <v/>
      </c>
      <c r="BC31" s="11" t="str">
        <f t="shared" si="29"/>
        <v/>
      </c>
      <c r="BD31" s="33" t="str">
        <f t="shared" si="30"/>
        <v/>
      </c>
      <c r="BE31" s="47" t="str">
        <f>IFERROR(1/(1/SUMIFS(KP!$AP:$AP,KP!$C:$C,$D31)),"")</f>
        <v/>
      </c>
      <c r="BF31" s="33" t="str">
        <f t="shared" si="25"/>
        <v/>
      </c>
      <c r="BG31" s="19" t="str">
        <f t="shared" si="24"/>
        <v/>
      </c>
      <c r="BS31" s="435"/>
      <c r="BT31" s="417"/>
      <c r="BU31" s="417"/>
      <c r="BV31" s="411"/>
      <c r="BW31" s="409"/>
      <c r="BX31" s="409"/>
      <c r="BY31" s="409"/>
      <c r="BZ31" s="417"/>
      <c r="CA31" s="417"/>
      <c r="CB31" s="417"/>
      <c r="CC31" s="409"/>
      <c r="CD31" s="415"/>
      <c r="CE31" s="411"/>
      <c r="CF31" s="409"/>
      <c r="CG31" s="436"/>
      <c r="CH31" s="417"/>
      <c r="CI31" s="417"/>
      <c r="CJ31" s="411"/>
      <c r="CK31" s="409"/>
      <c r="CL31" s="409"/>
      <c r="CM31" s="409"/>
      <c r="CN31" s="409"/>
      <c r="CO31" s="409"/>
      <c r="CP31" s="409"/>
      <c r="CQ31" s="409"/>
      <c r="CR31" s="415"/>
      <c r="CS31" s="47" t="str">
        <f>IFERROR(1/(1/SUMIFS(KP!$K:$K,KP!$C:$C,$D31)),"")</f>
        <v/>
      </c>
      <c r="CT31" s="36" t="str">
        <f>IFERROR(1/(1/SUMIFS(KP!$I:$I,KP!$C:$C,$D31)),"")</f>
        <v/>
      </c>
      <c r="CU31" s="33" t="str">
        <f t="shared" si="37"/>
        <v/>
      </c>
      <c r="CV31" s="33" t="str">
        <f t="shared" si="38"/>
        <v/>
      </c>
      <c r="CW31" s="19" t="str">
        <f t="shared" si="33"/>
        <v/>
      </c>
      <c r="CX31" s="19" t="str">
        <f t="shared" si="34"/>
        <v/>
      </c>
      <c r="CY31" s="411"/>
      <c r="CZ31" s="417"/>
      <c r="DA31" s="410"/>
      <c r="DB31" s="47" t="str">
        <f>IFERROR(1/(1/SUMIFS(KP!$M:$M,KP!$C:$C,$D31)),"")</f>
        <v/>
      </c>
      <c r="DC31" s="33" t="str">
        <f t="shared" si="39"/>
        <v/>
      </c>
      <c r="DD31" s="19" t="str">
        <f>IF(SUM($DB31)=0,"",(SUM($DC31)-$DB31)/$DB31)</f>
        <v/>
      </c>
      <c r="DE31" s="411"/>
      <c r="DF31" s="409"/>
      <c r="DG31" s="410"/>
      <c r="DH31" s="410"/>
      <c r="DI31" s="417"/>
      <c r="DJ31" s="410"/>
      <c r="DK31" s="412"/>
      <c r="DL31" s="410"/>
      <c r="DM31" s="410"/>
      <c r="DN31" s="410"/>
      <c r="DO31" s="410"/>
      <c r="DP31" s="410"/>
      <c r="DQ31" s="417"/>
      <c r="DR31" s="417"/>
      <c r="DS31" s="417"/>
      <c r="DT31" s="417"/>
      <c r="DU31" s="411"/>
      <c r="DV31" s="415"/>
      <c r="DW31" s="415"/>
      <c r="DX31" s="415"/>
      <c r="DY31" s="417"/>
      <c r="DZ31" s="417"/>
      <c r="EA31" s="416"/>
      <c r="EB31" s="417"/>
      <c r="EC31" s="417"/>
      <c r="ED31" s="411"/>
      <c r="EE31" s="409"/>
      <c r="EF31" s="409"/>
      <c r="EG31" s="409"/>
      <c r="EH31" s="417"/>
      <c r="EI31" s="417"/>
      <c r="EJ31" s="417"/>
      <c r="EK31" s="417"/>
      <c r="EL31" s="415"/>
      <c r="EM31" s="415"/>
      <c r="EN31" s="415"/>
      <c r="EO31" s="415"/>
      <c r="EP31" s="416"/>
      <c r="EQ31" s="424"/>
      <c r="ER31" s="411"/>
      <c r="ES31" s="409"/>
      <c r="ET31" s="417"/>
      <c r="EU31" s="417"/>
      <c r="EV31" s="415"/>
      <c r="EW31" s="415"/>
      <c r="EX31" s="411"/>
      <c r="EY31" s="417"/>
      <c r="EZ31" s="415"/>
      <c r="FA31" s="411"/>
      <c r="FB31" s="417"/>
      <c r="FC31" s="419"/>
    </row>
    <row r="32" spans="1:159" x14ac:dyDescent="0.2">
      <c r="A32" t="s">
        <v>288</v>
      </c>
      <c r="D32" t="s">
        <v>374</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9"/>
      <c r="L32" s="410"/>
      <c r="N32" s="33" t="str">
        <f t="shared" si="36"/>
        <v/>
      </c>
      <c r="O32" s="19">
        <f t="shared" si="1"/>
        <v>0.9</v>
      </c>
      <c r="P32" s="36" t="str">
        <f t="shared" si="2"/>
        <v/>
      </c>
      <c r="Q32" s="19">
        <f t="shared" si="3"/>
        <v>1</v>
      </c>
      <c r="R32" s="60" t="str">
        <f t="shared" si="4"/>
        <v/>
      </c>
      <c r="S32" s="33" t="str">
        <f t="shared" si="5"/>
        <v/>
      </c>
      <c r="T32" s="19" t="str">
        <f t="shared" si="6"/>
        <v/>
      </c>
      <c r="U32" s="149">
        <v>0.98</v>
      </c>
      <c r="V32" s="19">
        <v>0.98</v>
      </c>
      <c r="W32" s="36" t="str">
        <f t="shared" si="7"/>
        <v/>
      </c>
      <c r="X32" s="19">
        <v>1</v>
      </c>
      <c r="Y32" s="33" t="str">
        <f t="shared" si="8"/>
        <v/>
      </c>
      <c r="Z32" s="149">
        <v>0.7</v>
      </c>
      <c r="AA32" s="36" t="str">
        <f t="shared" si="9"/>
        <v/>
      </c>
      <c r="AB32" s="19">
        <v>0.95</v>
      </c>
      <c r="AC32" s="33" t="str">
        <f t="shared" si="10"/>
        <v/>
      </c>
      <c r="AD32" s="149">
        <v>0.95</v>
      </c>
      <c r="AE32" s="33" t="str">
        <f t="shared" si="11"/>
        <v/>
      </c>
      <c r="AF32" s="149">
        <v>0.95</v>
      </c>
      <c r="AG32" s="33" t="str">
        <f t="shared" si="12"/>
        <v/>
      </c>
      <c r="AH32" s="412"/>
      <c r="AI32" s="410"/>
      <c r="AJ32" s="410"/>
      <c r="AK32" s="410"/>
      <c r="AL32" s="410"/>
      <c r="AM32" s="410"/>
      <c r="AN32" s="410"/>
      <c r="AO32" s="410"/>
      <c r="AP32" s="410"/>
      <c r="AQ32" s="413"/>
      <c r="AR32" s="414"/>
      <c r="AS32" s="414"/>
      <c r="AT32" s="414"/>
      <c r="AU32" s="414"/>
      <c r="AV32" s="414"/>
      <c r="AW32" s="414"/>
      <c r="AX32" s="414"/>
      <c r="AY32" s="414"/>
      <c r="AZ32" s="410"/>
      <c r="BA32" s="47" t="str">
        <f>IFERROR(1/(1/SUMIFS(KP!$AN:$AN,KP!$C:$C,$D32)),"")</f>
        <v/>
      </c>
      <c r="BB32" s="11" t="str">
        <f t="shared" si="28"/>
        <v/>
      </c>
      <c r="BC32" s="11" t="str">
        <f t="shared" si="29"/>
        <v/>
      </c>
      <c r="BD32" s="33" t="str">
        <f t="shared" si="30"/>
        <v/>
      </c>
      <c r="BE32" s="47" t="str">
        <f>IFERROR(1/(1/SUMIFS(KP!$AP:$AP,KP!$C:$C,$D32)),"")</f>
        <v/>
      </c>
      <c r="BF32" s="33" t="str">
        <f t="shared" si="25"/>
        <v/>
      </c>
      <c r="BG32" s="19" t="str">
        <f t="shared" si="24"/>
        <v/>
      </c>
      <c r="BS32" s="435"/>
      <c r="BT32" s="417"/>
      <c r="BU32" s="417"/>
      <c r="BV32" s="411"/>
      <c r="BW32" s="409"/>
      <c r="BX32" s="409"/>
      <c r="BY32" s="409"/>
      <c r="BZ32" s="417"/>
      <c r="CA32" s="417"/>
      <c r="CB32" s="417"/>
      <c r="CC32" s="409"/>
      <c r="CD32" s="415"/>
      <c r="CE32" s="411"/>
      <c r="CF32" s="409"/>
      <c r="CG32" s="436"/>
      <c r="CH32" s="417"/>
      <c r="CI32" s="417"/>
      <c r="CJ32" s="411"/>
      <c r="CK32" s="409"/>
      <c r="CL32" s="409"/>
      <c r="CM32" s="409"/>
      <c r="CN32" s="409"/>
      <c r="CO32" s="409"/>
      <c r="CP32" s="409"/>
      <c r="CQ32" s="409"/>
      <c r="CR32" s="415"/>
      <c r="CS32" s="47" t="str">
        <f>IFERROR(1/(1/SUMIFS(KP!$K:$K,KP!$C:$C,$D32)),"")</f>
        <v/>
      </c>
      <c r="CT32" s="36" t="str">
        <f>IFERROR(1/(1/SUMIFS(KP!$I:$I,KP!$C:$C,$D32)),"")</f>
        <v/>
      </c>
      <c r="CU32" s="33" t="str">
        <f t="shared" si="37"/>
        <v/>
      </c>
      <c r="CV32" s="33" t="str">
        <f t="shared" si="38"/>
        <v/>
      </c>
      <c r="CW32" s="19" t="str">
        <f t="shared" si="33"/>
        <v/>
      </c>
      <c r="CX32" s="19" t="str">
        <f t="shared" si="34"/>
        <v/>
      </c>
      <c r="CY32" s="411"/>
      <c r="CZ32" s="417"/>
      <c r="DA32" s="410"/>
      <c r="DB32" s="47" t="str">
        <f>IFERROR(1/(1/SUMIFS(KP!$M:$M,KP!$C:$C,$D32)),"")</f>
        <v/>
      </c>
      <c r="DC32" s="33" t="str">
        <f t="shared" si="39"/>
        <v/>
      </c>
      <c r="DD32" s="19" t="str">
        <f>IF(SUM($DB32)=0,"",(SUM($DC32)-$DB32)/$DB32)</f>
        <v/>
      </c>
      <c r="DE32" s="411"/>
      <c r="DF32" s="409"/>
      <c r="DG32" s="410"/>
      <c r="DH32" s="410"/>
      <c r="DI32" s="417"/>
      <c r="DJ32" s="410"/>
      <c r="DK32" s="412"/>
      <c r="DL32" s="410"/>
      <c r="DM32" s="410"/>
      <c r="DN32" s="410"/>
      <c r="DO32" s="410"/>
      <c r="DP32" s="410"/>
      <c r="DQ32" s="417"/>
      <c r="DR32" s="417"/>
      <c r="DS32" s="417"/>
      <c r="DT32" s="417"/>
      <c r="DU32" s="411"/>
      <c r="DV32" s="415"/>
      <c r="DW32" s="415"/>
      <c r="DX32" s="415"/>
      <c r="DY32" s="417"/>
      <c r="DZ32" s="417"/>
      <c r="EA32" s="416"/>
      <c r="EB32" s="417"/>
      <c r="EC32" s="417"/>
      <c r="ED32" s="411"/>
      <c r="EE32" s="409"/>
      <c r="EF32" s="409"/>
      <c r="EG32" s="409"/>
      <c r="EH32" s="417"/>
      <c r="EI32" s="417"/>
      <c r="EJ32" s="417"/>
      <c r="EK32" s="417"/>
      <c r="EL32" s="415"/>
      <c r="EM32" s="415"/>
      <c r="EN32" s="415"/>
      <c r="EO32" s="415"/>
      <c r="EP32" s="416"/>
      <c r="EQ32" s="424"/>
      <c r="ER32" s="411"/>
      <c r="ES32" s="409"/>
      <c r="ET32" s="417"/>
      <c r="EU32" s="417"/>
      <c r="EV32" s="415"/>
      <c r="EW32" s="415"/>
      <c r="EX32" s="411"/>
      <c r="EY32" s="417"/>
      <c r="EZ32" s="415"/>
      <c r="FA32" s="411"/>
      <c r="FB32" s="417"/>
      <c r="FC32" s="419"/>
    </row>
    <row r="33" spans="1:159" x14ac:dyDescent="0.2">
      <c r="A33" t="s">
        <v>288</v>
      </c>
      <c r="D33" t="s">
        <v>375</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9"/>
      <c r="L33" s="410"/>
      <c r="N33" s="33" t="str">
        <f t="shared" si="36"/>
        <v/>
      </c>
      <c r="O33" s="19">
        <f t="shared" si="1"/>
        <v>0.9</v>
      </c>
      <c r="P33" s="36" t="str">
        <f t="shared" si="2"/>
        <v/>
      </c>
      <c r="Q33" s="19">
        <f t="shared" si="3"/>
        <v>1</v>
      </c>
      <c r="R33" s="60" t="str">
        <f t="shared" si="4"/>
        <v/>
      </c>
      <c r="S33" s="33" t="str">
        <f t="shared" si="5"/>
        <v/>
      </c>
      <c r="T33" s="19" t="str">
        <f t="shared" si="6"/>
        <v/>
      </c>
      <c r="U33" s="149">
        <v>0.98</v>
      </c>
      <c r="V33" s="19">
        <v>0.98</v>
      </c>
      <c r="W33" s="36" t="str">
        <f t="shared" si="7"/>
        <v/>
      </c>
      <c r="X33" s="19">
        <v>1</v>
      </c>
      <c r="Y33" s="33" t="str">
        <f t="shared" si="8"/>
        <v/>
      </c>
      <c r="Z33" s="149">
        <v>0.7</v>
      </c>
      <c r="AA33" s="36" t="str">
        <f t="shared" si="9"/>
        <v/>
      </c>
      <c r="AB33" s="19">
        <v>0.95</v>
      </c>
      <c r="AC33" s="33" t="str">
        <f t="shared" si="10"/>
        <v/>
      </c>
      <c r="AD33" s="149">
        <v>0.95</v>
      </c>
      <c r="AE33" s="33" t="str">
        <f t="shared" si="11"/>
        <v/>
      </c>
      <c r="AF33" s="149">
        <v>0.95</v>
      </c>
      <c r="AG33" s="33" t="str">
        <f t="shared" si="12"/>
        <v/>
      </c>
      <c r="AH33" s="412"/>
      <c r="AI33" s="410"/>
      <c r="AJ33" s="410"/>
      <c r="AK33" s="410"/>
      <c r="AL33" s="410"/>
      <c r="AM33" s="410"/>
      <c r="AN33" s="410"/>
      <c r="AO33" s="410"/>
      <c r="AP33" s="410"/>
      <c r="AQ33" s="413"/>
      <c r="AR33" s="414"/>
      <c r="AS33" s="414"/>
      <c r="AT33" s="414"/>
      <c r="AU33" s="414"/>
      <c r="AV33" s="414"/>
      <c r="AW33" s="414"/>
      <c r="AX33" s="414"/>
      <c r="AY33" s="414"/>
      <c r="AZ33" s="410"/>
      <c r="BA33" s="47" t="str">
        <f>IFERROR(1/(1/SUMIFS(KP!$AN:$AN,KP!$C:$C,$D33)),"")</f>
        <v/>
      </c>
      <c r="BB33" s="11" t="str">
        <f t="shared" si="28"/>
        <v/>
      </c>
      <c r="BC33" s="11" t="str">
        <f t="shared" si="29"/>
        <v/>
      </c>
      <c r="BD33" s="33" t="str">
        <f t="shared" si="30"/>
        <v/>
      </c>
      <c r="BE33" s="47" t="str">
        <f>IFERROR(1/(1/SUMIFS(KP!$AP:$AP,KP!$C:$C,$D33)),"")</f>
        <v/>
      </c>
      <c r="BF33" s="33" t="str">
        <f t="shared" si="25"/>
        <v/>
      </c>
      <c r="BG33" s="19" t="str">
        <f t="shared" si="24"/>
        <v/>
      </c>
      <c r="BS33" s="435"/>
      <c r="BT33" s="417"/>
      <c r="BU33" s="417"/>
      <c r="BV33" s="411"/>
      <c r="BW33" s="409"/>
      <c r="BX33" s="409"/>
      <c r="BY33" s="409"/>
      <c r="BZ33" s="417"/>
      <c r="CA33" s="417"/>
      <c r="CB33" s="417"/>
      <c r="CC33" s="409"/>
      <c r="CD33" s="415"/>
      <c r="CE33" s="411"/>
      <c r="CF33" s="409"/>
      <c r="CG33" s="436"/>
      <c r="CH33" s="417"/>
      <c r="CI33" s="417"/>
      <c r="CJ33" s="411"/>
      <c r="CK33" s="409"/>
      <c r="CL33" s="409"/>
      <c r="CM33" s="409"/>
      <c r="CN33" s="409"/>
      <c r="CO33" s="409"/>
      <c r="CP33" s="409"/>
      <c r="CQ33" s="409"/>
      <c r="CR33" s="415"/>
      <c r="CS33" s="47" t="str">
        <f>IFERROR(1/(1/SUMIFS(KP!$K:$K,KP!$C:$C,$D33)),"")</f>
        <v/>
      </c>
      <c r="CT33" s="36" t="str">
        <f>IFERROR(1/(1/SUMIFS(KP!$I:$I,KP!$C:$C,$D33)),"")</f>
        <v/>
      </c>
      <c r="CU33" s="33" t="str">
        <f t="shared" si="37"/>
        <v/>
      </c>
      <c r="CV33" s="33" t="str">
        <f t="shared" si="38"/>
        <v/>
      </c>
      <c r="CW33" s="19" t="str">
        <f t="shared" si="33"/>
        <v/>
      </c>
      <c r="CX33" s="19" t="str">
        <f t="shared" si="34"/>
        <v/>
      </c>
      <c r="CY33" s="411"/>
      <c r="CZ33" s="417"/>
      <c r="DA33" s="410"/>
      <c r="DB33" s="47" t="str">
        <f>IFERROR(1/(1/SUMIFS(KP!$M:$M,KP!$C:$C,$D33)),"")</f>
        <v/>
      </c>
      <c r="DC33" s="33" t="str">
        <f t="shared" si="39"/>
        <v/>
      </c>
      <c r="DD33" s="19" t="str">
        <f>IF(SUM($DB33)=0,"",(SUM($DC33)-$DB33)/$DB33)</f>
        <v/>
      </c>
      <c r="DE33" s="411"/>
      <c r="DF33" s="409"/>
      <c r="DG33" s="410"/>
      <c r="DH33" s="410"/>
      <c r="DI33" s="417"/>
      <c r="DJ33" s="410"/>
      <c r="DK33" s="412"/>
      <c r="DL33" s="410"/>
      <c r="DM33" s="410"/>
      <c r="DN33" s="410"/>
      <c r="DO33" s="410"/>
      <c r="DP33" s="410"/>
      <c r="DQ33" s="417"/>
      <c r="DR33" s="417"/>
      <c r="DS33" s="417"/>
      <c r="DT33" s="417"/>
      <c r="DU33" s="411"/>
      <c r="DV33" s="415"/>
      <c r="DW33" s="415"/>
      <c r="DX33" s="415"/>
      <c r="DY33" s="417"/>
      <c r="DZ33" s="417"/>
      <c r="EA33" s="416"/>
      <c r="EB33" s="417"/>
      <c r="EC33" s="417"/>
      <c r="ED33" s="411"/>
      <c r="EE33" s="409"/>
      <c r="EF33" s="409"/>
      <c r="EG33" s="409"/>
      <c r="EH33" s="417"/>
      <c r="EI33" s="417"/>
      <c r="EJ33" s="417"/>
      <c r="EK33" s="417"/>
      <c r="EL33" s="415"/>
      <c r="EM33" s="415"/>
      <c r="EN33" s="415"/>
      <c r="EO33" s="415"/>
      <c r="EP33" s="416"/>
      <c r="EQ33" s="424"/>
      <c r="ER33" s="411"/>
      <c r="ES33" s="409"/>
      <c r="ET33" s="417"/>
      <c r="EU33" s="417"/>
      <c r="EV33" s="415"/>
      <c r="EW33" s="415"/>
      <c r="EX33" s="411"/>
      <c r="EY33" s="417"/>
      <c r="EZ33" s="415"/>
      <c r="FA33" s="411"/>
      <c r="FB33" s="417"/>
      <c r="FC33" s="419"/>
    </row>
    <row r="34" spans="1:159" x14ac:dyDescent="0.2">
      <c r="A34" t="s">
        <v>1078</v>
      </c>
      <c r="B34" s="5" t="s">
        <v>1067</v>
      </c>
      <c r="C34" t="s">
        <v>581</v>
      </c>
      <c r="E34" s="409"/>
      <c r="F34" s="409"/>
      <c r="G34" s="409"/>
      <c r="H34" s="409"/>
      <c r="I34" s="409"/>
      <c r="J34" s="409"/>
      <c r="K34" s="409"/>
      <c r="L34" s="409"/>
      <c r="M34" s="411"/>
      <c r="N34" s="409"/>
      <c r="O34" s="409"/>
      <c r="P34" s="409"/>
      <c r="Q34" s="409"/>
      <c r="R34" s="411"/>
      <c r="S34" s="409"/>
      <c r="T34" s="409"/>
      <c r="U34" s="411"/>
      <c r="V34" s="409"/>
      <c r="W34" s="409"/>
      <c r="X34" s="409"/>
      <c r="Y34" s="409"/>
      <c r="Z34" s="411"/>
      <c r="AA34" s="409"/>
      <c r="AB34" s="409"/>
      <c r="AC34" s="409"/>
      <c r="AD34" s="411"/>
      <c r="AE34" s="409"/>
      <c r="AF34" s="411"/>
      <c r="AG34" s="409"/>
      <c r="AH34" s="412"/>
      <c r="AI34" s="410"/>
      <c r="AJ34" s="410"/>
      <c r="AK34" s="410"/>
      <c r="AL34" s="410"/>
      <c r="AM34" s="410"/>
      <c r="AN34" s="410"/>
      <c r="AO34" s="410"/>
      <c r="AP34" s="410"/>
      <c r="AQ34" s="413"/>
      <c r="AR34" s="414"/>
      <c r="AS34" s="414"/>
      <c r="AT34" s="414"/>
      <c r="AU34" s="414"/>
      <c r="AV34" s="414"/>
      <c r="AW34" s="414"/>
      <c r="AX34" s="414"/>
      <c r="AY34" s="414"/>
      <c r="AZ34" s="410"/>
      <c r="BA34" s="411"/>
      <c r="BB34" s="415"/>
      <c r="BC34" s="415"/>
      <c r="BD34" s="409"/>
      <c r="BE34" s="411"/>
      <c r="BF34" s="409"/>
      <c r="BG34" s="409"/>
      <c r="BH34" s="411"/>
      <c r="BI34" s="409"/>
      <c r="BJ34" s="409"/>
      <c r="BK34" s="409"/>
      <c r="BL34" s="417"/>
      <c r="BM34" s="417"/>
      <c r="BN34" s="417"/>
      <c r="BO34" s="409"/>
      <c r="BP34" s="409"/>
      <c r="BQ34" s="411"/>
      <c r="BR34" s="409"/>
      <c r="BS34" s="435"/>
      <c r="BT34" s="409"/>
      <c r="BU34" s="409"/>
      <c r="BV34" s="411"/>
      <c r="BW34" s="409"/>
      <c r="BX34" s="409"/>
      <c r="BY34" s="409"/>
      <c r="BZ34" s="409"/>
      <c r="CA34" s="409"/>
      <c r="CB34" s="409"/>
      <c r="CC34" s="409"/>
      <c r="CD34" s="415"/>
      <c r="CE34" s="411"/>
      <c r="CF34" s="409"/>
      <c r="CG34" s="436"/>
      <c r="CH34" s="409"/>
      <c r="CI34" s="409"/>
      <c r="CJ34" s="411"/>
      <c r="CK34" s="409"/>
      <c r="CL34" s="409"/>
      <c r="CM34" s="409"/>
      <c r="CN34" s="409"/>
      <c r="CO34" s="409"/>
      <c r="CP34" s="409"/>
      <c r="CQ34" s="409"/>
      <c r="CR34" s="415"/>
      <c r="CS34" s="411"/>
      <c r="CT34" s="409"/>
      <c r="CU34" s="409"/>
      <c r="CV34" s="409"/>
      <c r="CW34" s="409"/>
      <c r="CX34" s="409"/>
      <c r="CY34" s="411"/>
      <c r="CZ34" s="417"/>
      <c r="DA34" s="410"/>
      <c r="DB34" s="411"/>
      <c r="DC34" s="409"/>
      <c r="DD34" s="409"/>
      <c r="DE34" s="411"/>
      <c r="DF34" s="409"/>
      <c r="DG34" s="410"/>
      <c r="DH34" s="410"/>
      <c r="DI34" s="417"/>
      <c r="DJ34" s="410"/>
      <c r="DK34" s="149" t="str">
        <f>IFERROR(SUM(SUMIFS(TX_TB_PREV!$N:$N,TX_TB_PREV!$C:$C,"="&amp;$B34,TX_TB_PREV!$D:$D,$C34),SUMIFS(TX_TB_PREV!$O:$O,TX_TB_PREV!$C:$C,"="&amp;$B34,TX_TB_PREV!$D:$D,$C34))/SUMIFS(TX_TB_PREV!$G:$G,TX_TB_PREV!$C:$C,"="&amp;$B34,TX_TB_PREV!$D:$D,$C34),"")</f>
        <v/>
      </c>
      <c r="DL34" s="19" t="str">
        <f>IFERROR(SUM(SUMIFS(TX_TB_PREV!$L:$L,TX_TB_PREV!$C:$C,"="&amp;$B34,TX_TB_PREV!$D:$D,$C34),SUMIFS(TX_TB_PREV!$M:$M,TX_TB_PREV!$C:$C,"="&amp;$B34,TX_TB_PREV!$D:$D,$C34))/SUMIFS(TX_TB_PREV!$F:$F,TX_TB_PREV!$C:$C,"="&amp;$B34,TX_TB_PREV!$D:$D,$C34),"")</f>
        <v/>
      </c>
      <c r="DM34" s="19">
        <v>1</v>
      </c>
      <c r="DN34" s="19">
        <v>1</v>
      </c>
      <c r="DO34" s="19" t="str">
        <f>IFERROR(SUMIFS(TX_TB_PREV!$N:$N,TX_TB_PREV!$C:$C,"="&amp;$B34,TX_TB_PREV!$D:$D,$C34)/SUM(SUMIFS(TX_TB_PREV!$N:$N,TX_TB_PREV!$C:$C,"="&amp;$B34,TX_TB_PREV!$D:$D,$C34),SUMIFS(TX_TB_PREV!$O:$O,TX_TB_PREV!$C:$C,"="&amp;$B34,TX_TB_PREV!$D:$D,$C34)),"")</f>
        <v/>
      </c>
      <c r="DP34" s="19" t="str">
        <f>IFERROR(SUMIFS(TX_TB_PREV!$L:$L,TX_TB_PREV!$C:$C,"="&amp;$B34,TX_TB_PREV!$D:$D,$C34)/SUM(SUMIFS(TX_TB_PREV!$L:$L,TX_TB_PREV!$C:$C,"="&amp;$B34,TX_TB_PREV!$D:$D,$C34),SUMIFS(TX_TB_PREV!$M:$M,TX_TB_PREV!$C:$C,"="&amp;$B34,TX_TB_PREV!$D:$D,$C34)),"")</f>
        <v/>
      </c>
      <c r="DQ34" s="33" t="str" cm="1">
        <f t="array" ref="DQ34">IFERROR(ROUND(SUM(SUMIFS($G:$G,$B:$B,IF($B34="&lt;15",{"&lt;01","01-09","10-14"},{"15-24","24-34","35-49","50+"}),$C:$C,$C34))*$DM34*$DO34,0),"")</f>
        <v/>
      </c>
      <c r="DR34" s="33" t="str" cm="1">
        <f t="array" ref="DR34">IFERROR(ROUND(SUM(SUMIFS($G:$G,$B:$B,IF($B34="&lt;15",{"&lt;01","01-09","10-14"},{"15-24","24-34","35-49","50+"}),$C:$C,$C34))*$DM34,0)-$DQ34,"")</f>
        <v/>
      </c>
      <c r="DS34" s="33" t="str" cm="1">
        <f t="array" ref="DS34">IFERROR(ROUND(SUM(SUMIFS($W:$W,$B:$B,IF($B34="&lt;15",{"&lt;01","01-09","10-14"},{"15-24","24-34","35-49","50+"}),$C:$C,$C34))*$DN34*$DP34,0),"")</f>
        <v/>
      </c>
      <c r="DT34" s="33" t="str" cm="1">
        <f t="array" ref="DT34">IFERROR(ROUND(SUM(SUMIFS($W:$W,$B:$B,IF($B34="&lt;15",{"&lt;01","01-09","10-14"},{"15-24","24-34","35-49","50+"}),$C:$C,$C34))*$DN34,0)-$DS34,"")</f>
        <v/>
      </c>
      <c r="DU34" s="47" t="str">
        <f>IFERROR(1/(1/SUM(SUMIFS(TX_TB_PREV!$S:$S,TX_TB_PREV!$C:$C,"="&amp;$B34,TX_TB_PREV!$D:$D,$C34),SUMIFS(TX_TB_PREV!$Z:$Z,TX_TB_PREV!$C:$C,"="&amp;$B34,TX_TB_PREV!$D:$D,$C34),SUMIFS(TX_TB_PREV!$AA:$AA,TX_TB_PREV!$C:$C,"="&amp;$B34,TX_TB_PREV!$D:$D,$C34))),"")</f>
        <v/>
      </c>
      <c r="DV34" s="11" t="str" cm="1">
        <f t="array" ref="DV34">IFERROR(MIN($DU34/SUM(SUMIFS($G:$G,$B:$B,IF($B34="&lt;15",{"&lt;01","01-09","10-14"},{"15-24","24-34","35-49","50+"}),$C:$C,$C34)),1),"")</f>
        <v/>
      </c>
      <c r="DW34" s="11">
        <v>1</v>
      </c>
      <c r="DX34" s="11">
        <v>1</v>
      </c>
      <c r="DY34" s="33" t="str">
        <f>IF(SUM($DR34)=0,"",IF($DV34="","ENTER ELIGIBILITY RATE",IF($DW34 = "","ENTER INITIATION RATE",ROUND($DR34*$DV34*$DW34,0))))</f>
        <v/>
      </c>
      <c r="DZ34" s="33" t="str">
        <f>IF(SUM($DT34)=0,"",IF($DX34="","ENTER INITIATION RATE",ROUND($DT34*$DX34,0)))</f>
        <v/>
      </c>
      <c r="EA34" s="81">
        <v>0.9</v>
      </c>
      <c r="EB34" s="33" t="str">
        <f>IF(SUM($DY34)=0,"",IF($EA34="","ENTER COMPLETION RATE",ROUND($DY34*$EA34,0)))</f>
        <v/>
      </c>
      <c r="EC34" s="33" t="str">
        <f>IF(SUM($DZ34)=0,"",IF($EA34="","ENTER COMPLETION RATE",ROUND($DZ34*$EA34,0)))</f>
        <v/>
      </c>
      <c r="ED34" s="411"/>
      <c r="EE34" s="409"/>
      <c r="EF34" s="409"/>
      <c r="EG34" s="409"/>
      <c r="EH34" s="417"/>
      <c r="EI34" s="417"/>
      <c r="EJ34" s="417"/>
      <c r="EK34" s="417"/>
      <c r="EL34" s="415"/>
      <c r="EM34" s="415"/>
      <c r="EN34" s="415"/>
      <c r="EO34" s="415"/>
      <c r="EP34" s="416"/>
      <c r="EQ34" s="424"/>
      <c r="ER34" s="411"/>
      <c r="ES34" s="409"/>
      <c r="ET34" s="417"/>
      <c r="EU34" s="417"/>
      <c r="EV34" s="415"/>
      <c r="EW34" s="415"/>
      <c r="EX34" s="411"/>
      <c r="EY34" s="417"/>
      <c r="EZ34" s="415"/>
      <c r="FA34" s="411"/>
      <c r="FB34" s="417"/>
      <c r="FC34" s="419"/>
    </row>
    <row r="35" spans="1:159" x14ac:dyDescent="0.2">
      <c r="A35" t="s">
        <v>1078</v>
      </c>
      <c r="B35" s="5" t="s">
        <v>1067</v>
      </c>
      <c r="C35" t="s">
        <v>606</v>
      </c>
      <c r="E35" s="409"/>
      <c r="F35" s="409"/>
      <c r="G35" s="409"/>
      <c r="H35" s="409"/>
      <c r="I35" s="409"/>
      <c r="J35" s="409"/>
      <c r="K35" s="409"/>
      <c r="L35" s="409"/>
      <c r="M35" s="411"/>
      <c r="N35" s="409"/>
      <c r="O35" s="409"/>
      <c r="P35" s="409"/>
      <c r="Q35" s="409"/>
      <c r="R35" s="411"/>
      <c r="S35" s="409"/>
      <c r="T35" s="409"/>
      <c r="U35" s="411"/>
      <c r="V35" s="409"/>
      <c r="W35" s="409"/>
      <c r="X35" s="409"/>
      <c r="Y35" s="409"/>
      <c r="Z35" s="411"/>
      <c r="AA35" s="409"/>
      <c r="AB35" s="409"/>
      <c r="AC35" s="409"/>
      <c r="AD35" s="411"/>
      <c r="AE35" s="409"/>
      <c r="AF35" s="411"/>
      <c r="AG35" s="409"/>
      <c r="AH35" s="412"/>
      <c r="AI35" s="410"/>
      <c r="AJ35" s="410"/>
      <c r="AK35" s="410"/>
      <c r="AL35" s="410"/>
      <c r="AM35" s="410"/>
      <c r="AN35" s="410"/>
      <c r="AO35" s="410"/>
      <c r="AP35" s="410"/>
      <c r="AQ35" s="413"/>
      <c r="AR35" s="414"/>
      <c r="AS35" s="414"/>
      <c r="AT35" s="414"/>
      <c r="AU35" s="414"/>
      <c r="AV35" s="414"/>
      <c r="AW35" s="414"/>
      <c r="AX35" s="414"/>
      <c r="AY35" s="414"/>
      <c r="AZ35" s="410"/>
      <c r="BA35" s="411"/>
      <c r="BB35" s="415"/>
      <c r="BC35" s="415"/>
      <c r="BD35" s="409"/>
      <c r="BE35" s="411"/>
      <c r="BF35" s="409"/>
      <c r="BG35" s="409"/>
      <c r="BH35" s="411"/>
      <c r="BI35" s="409"/>
      <c r="BJ35" s="409"/>
      <c r="BK35" s="409"/>
      <c r="BL35" s="417"/>
      <c r="BM35" s="417"/>
      <c r="BN35" s="417"/>
      <c r="BO35" s="409"/>
      <c r="BP35" s="409"/>
      <c r="BQ35" s="411"/>
      <c r="BR35" s="409"/>
      <c r="BS35" s="435"/>
      <c r="BT35" s="409"/>
      <c r="BU35" s="409"/>
      <c r="BV35" s="411"/>
      <c r="BW35" s="409"/>
      <c r="BX35" s="409"/>
      <c r="BY35" s="409"/>
      <c r="BZ35" s="409"/>
      <c r="CA35" s="409"/>
      <c r="CB35" s="409"/>
      <c r="CC35" s="409"/>
      <c r="CD35" s="415"/>
      <c r="CE35" s="411"/>
      <c r="CF35" s="409"/>
      <c r="CG35" s="436"/>
      <c r="CH35" s="409"/>
      <c r="CI35" s="409"/>
      <c r="CJ35" s="411"/>
      <c r="CK35" s="409"/>
      <c r="CL35" s="409"/>
      <c r="CM35" s="409"/>
      <c r="CN35" s="409"/>
      <c r="CO35" s="409"/>
      <c r="CP35" s="409"/>
      <c r="CQ35" s="409"/>
      <c r="CR35" s="415"/>
      <c r="CS35" s="411"/>
      <c r="CT35" s="409"/>
      <c r="CU35" s="409"/>
      <c r="CV35" s="409"/>
      <c r="CW35" s="409"/>
      <c r="CX35" s="409"/>
      <c r="CY35" s="411"/>
      <c r="CZ35" s="417"/>
      <c r="DA35" s="410"/>
      <c r="DB35" s="411"/>
      <c r="DC35" s="409"/>
      <c r="DD35" s="409"/>
      <c r="DE35" s="411"/>
      <c r="DF35" s="409"/>
      <c r="DG35" s="410"/>
      <c r="DH35" s="410"/>
      <c r="DI35" s="417"/>
      <c r="DJ35" s="410"/>
      <c r="DK35" s="149" t="str">
        <f>IFERROR(SUM(SUMIFS(TX_TB_PREV!$N:$N,TX_TB_PREV!$C:$C,"="&amp;$B35,TX_TB_PREV!$D:$D,$C35),SUMIFS(TX_TB_PREV!$O:$O,TX_TB_PREV!$C:$C,"="&amp;$B35,TX_TB_PREV!$D:$D,$C35))/SUMIFS(TX_TB_PREV!$G:$G,TX_TB_PREV!$C:$C,"="&amp;$B35,TX_TB_PREV!$D:$D,$C35),"")</f>
        <v/>
      </c>
      <c r="DL35" s="19" t="str">
        <f>IFERROR(SUM(SUMIFS(TX_TB_PREV!$L:$L,TX_TB_PREV!$C:$C,"="&amp;$B35,TX_TB_PREV!$D:$D,$C35),SUMIFS(TX_TB_PREV!$M:$M,TX_TB_PREV!$C:$C,"="&amp;$B35,TX_TB_PREV!$D:$D,$C35))/SUMIFS(TX_TB_PREV!$F:$F,TX_TB_PREV!$C:$C,"="&amp;$B35,TX_TB_PREV!$D:$D,$C35),"")</f>
        <v/>
      </c>
      <c r="DM35" s="19">
        <v>1</v>
      </c>
      <c r="DN35" s="19">
        <v>1</v>
      </c>
      <c r="DO35" s="19" t="str">
        <f>IFERROR(SUMIFS(TX_TB_PREV!$N:$N,TX_TB_PREV!$C:$C,"="&amp;$B35,TX_TB_PREV!$D:$D,$C35)/SUM(SUMIFS(TX_TB_PREV!$N:$N,TX_TB_PREV!$C:$C,"="&amp;$B35,TX_TB_PREV!$D:$D,$C35),SUMIFS(TX_TB_PREV!$O:$O,TX_TB_PREV!$C:$C,"="&amp;$B35,TX_TB_PREV!$D:$D,$C35)),"")</f>
        <v/>
      </c>
      <c r="DP35" s="19" t="str">
        <f>IFERROR(SUMIFS(TX_TB_PREV!$L:$L,TX_TB_PREV!$C:$C,"="&amp;$B35,TX_TB_PREV!$D:$D,$C35)/SUM(SUMIFS(TX_TB_PREV!$L:$L,TX_TB_PREV!$C:$C,"="&amp;$B35,TX_TB_PREV!$D:$D,$C35),SUMIFS(TX_TB_PREV!$M:$M,TX_TB_PREV!$C:$C,"="&amp;$B35,TX_TB_PREV!$D:$D,$C35)),"")</f>
        <v/>
      </c>
      <c r="DQ35" s="33" t="str" cm="1">
        <f t="array" ref="DQ35">IFERROR(ROUND(SUM(SUMIFS($G:$G,$B:$B,IF($B35="&lt;15",{"&lt;01","01-09","10-14"},{"15-24","24-34","35-49","50+"}),$C:$C,$C35))*$DM35*$DO35,0),"")</f>
        <v/>
      </c>
      <c r="DR35" s="33" t="str" cm="1">
        <f t="array" ref="DR35">IFERROR(ROUND(SUM(SUMIFS($G:$G,$B:$B,IF($B35="&lt;15",{"&lt;01","01-09","10-14"},{"15-24","24-34","35-49","50+"}),$C:$C,$C35))*$DM35,0)-$DQ35,"")</f>
        <v/>
      </c>
      <c r="DS35" s="33" t="str" cm="1">
        <f t="array" ref="DS35">IFERROR(ROUND(SUM(SUMIFS($G:$G,$B:$B,IF($B35="&lt;15",{"&lt;01","01-09","10-14"},{"15-24","24-34","35-49","50+"}),$C:$C,$C35))*$DM35,0)-$DQ35,"")</f>
        <v/>
      </c>
      <c r="DT35" s="33" t="str" cm="1">
        <f t="array" ref="DT35">IFERROR(ROUND(SUM(SUMIFS($W:$W,$B:$B,IF($B35="&lt;15",{"&lt;01","01-09","10-14"},{"15-24","24-34","35-49","50+"}),$C:$C,$C35))*$DN35,0)-$DS35,"")</f>
        <v/>
      </c>
      <c r="DU35" s="47" t="str">
        <f>IFERROR(1/(1/SUM(SUMIFS(TX_TB_PREV!$S:$S,TX_TB_PREV!$C:$C,"="&amp;$B35,TX_TB_PREV!$D:$D,$C35),SUMIFS(TX_TB_PREV!$Z:$Z,TX_TB_PREV!$C:$C,"="&amp;$B35,TX_TB_PREV!$D:$D,$C35),SUMIFS(TX_TB_PREV!$AA:$AA,TX_TB_PREV!$C:$C,"="&amp;$B35,TX_TB_PREV!$D:$D,$C35))),"")</f>
        <v/>
      </c>
      <c r="DV35" s="11" t="str" cm="1">
        <f t="array" ref="DV35">IFERROR(MIN($DU35/SUM(SUMIFS($G:$G,$B:$B,IF($B35="&lt;15",{"&lt;01","01-09","10-14"},{"15-24","24-34","35-49","50+"}),$C:$C,$C35)),1),"")</f>
        <v/>
      </c>
      <c r="DW35" s="11">
        <v>1</v>
      </c>
      <c r="DX35" s="11">
        <v>1</v>
      </c>
      <c r="DY35" s="33" t="str">
        <f t="shared" ref="DY35:DY37" si="40">IF(SUM($DR35)=0,"",IF($DV35="","ENTER ELIGIBILITY RATE",IF($DW35 = "","ENTER INITIATION RATE",ROUND($DR35*$DV35*$DW35,0))))</f>
        <v/>
      </c>
      <c r="DZ35" s="33" t="str">
        <f t="shared" ref="DZ35:DZ37" si="41">IF(SUM($DT35)=0,"",IF($DX35="","ENTER INITIATION RATE",ROUND($DT35*$DX35,0)))</f>
        <v/>
      </c>
      <c r="EA35" s="81">
        <v>0.9</v>
      </c>
      <c r="EB35" s="33" t="str">
        <f>IF(SUM($DY35)=0,"",IF($EA35="","ENTER COMPLETION RATE",ROUND($DY35*$EA35,0)))</f>
        <v/>
      </c>
      <c r="EC35" s="33" t="str">
        <f>IF(SUM($DZ35)=0,"",IF($EA35="","ENTER COMPLETION RATE",ROUND($DZ35*$EA35,0)))</f>
        <v/>
      </c>
      <c r="ED35" s="411"/>
      <c r="EE35" s="409"/>
      <c r="EF35" s="409"/>
      <c r="EG35" s="409"/>
      <c r="EH35" s="417"/>
      <c r="EI35" s="417"/>
      <c r="EJ35" s="417"/>
      <c r="EK35" s="417"/>
      <c r="EL35" s="415"/>
      <c r="EM35" s="415"/>
      <c r="EN35" s="415"/>
      <c r="EO35" s="415"/>
      <c r="EP35" s="416"/>
      <c r="EQ35" s="424"/>
      <c r="ER35" s="411"/>
      <c r="ES35" s="409"/>
      <c r="ET35" s="417"/>
      <c r="EU35" s="417"/>
      <c r="EV35" s="415"/>
      <c r="EW35" s="415"/>
      <c r="EX35" s="411"/>
      <c r="EY35" s="417"/>
      <c r="EZ35" s="415"/>
      <c r="FA35" s="411"/>
      <c r="FB35" s="417"/>
      <c r="FC35" s="419"/>
    </row>
    <row r="36" spans="1:159" x14ac:dyDescent="0.2">
      <c r="A36" t="s">
        <v>1078</v>
      </c>
      <c r="B36" s="5" t="s">
        <v>1068</v>
      </c>
      <c r="C36" t="s">
        <v>581</v>
      </c>
      <c r="E36" s="409"/>
      <c r="F36" s="409"/>
      <c r="G36" s="409"/>
      <c r="H36" s="409"/>
      <c r="I36" s="409"/>
      <c r="J36" s="409"/>
      <c r="K36" s="409"/>
      <c r="L36" s="409"/>
      <c r="M36" s="411"/>
      <c r="N36" s="409"/>
      <c r="O36" s="409"/>
      <c r="P36" s="409"/>
      <c r="Q36" s="409"/>
      <c r="R36" s="411"/>
      <c r="S36" s="409"/>
      <c r="T36" s="409"/>
      <c r="U36" s="411"/>
      <c r="V36" s="409"/>
      <c r="W36" s="409"/>
      <c r="X36" s="409"/>
      <c r="Y36" s="409"/>
      <c r="Z36" s="411"/>
      <c r="AA36" s="409"/>
      <c r="AB36" s="409"/>
      <c r="AC36" s="409"/>
      <c r="AD36" s="411"/>
      <c r="AE36" s="409"/>
      <c r="AF36" s="411"/>
      <c r="AG36" s="409"/>
      <c r="AH36" s="412"/>
      <c r="AI36" s="410"/>
      <c r="AJ36" s="410"/>
      <c r="AK36" s="410"/>
      <c r="AL36" s="410"/>
      <c r="AM36" s="410"/>
      <c r="AN36" s="410"/>
      <c r="AO36" s="410"/>
      <c r="AP36" s="410"/>
      <c r="AQ36" s="413"/>
      <c r="AR36" s="414"/>
      <c r="AS36" s="414"/>
      <c r="AT36" s="414"/>
      <c r="AU36" s="414"/>
      <c r="AV36" s="414"/>
      <c r="AW36" s="414"/>
      <c r="AX36" s="414"/>
      <c r="AY36" s="414"/>
      <c r="AZ36" s="410"/>
      <c r="BA36" s="411"/>
      <c r="BB36" s="415"/>
      <c r="BC36" s="415"/>
      <c r="BD36" s="409"/>
      <c r="BE36" s="411"/>
      <c r="BF36" s="409"/>
      <c r="BG36" s="409"/>
      <c r="BH36" s="411"/>
      <c r="BI36" s="409"/>
      <c r="BJ36" s="409"/>
      <c r="BK36" s="409"/>
      <c r="BL36" s="417"/>
      <c r="BM36" s="417"/>
      <c r="BN36" s="417"/>
      <c r="BO36" s="409"/>
      <c r="BP36" s="409"/>
      <c r="BQ36" s="411"/>
      <c r="BR36" s="409"/>
      <c r="BS36" s="435"/>
      <c r="BT36" s="409"/>
      <c r="BU36" s="409"/>
      <c r="BV36" s="411"/>
      <c r="BW36" s="409"/>
      <c r="BX36" s="409"/>
      <c r="BY36" s="409"/>
      <c r="BZ36" s="409"/>
      <c r="CA36" s="409"/>
      <c r="CB36" s="409"/>
      <c r="CC36" s="409"/>
      <c r="CD36" s="415"/>
      <c r="CE36" s="411"/>
      <c r="CF36" s="409"/>
      <c r="CG36" s="436"/>
      <c r="CH36" s="409"/>
      <c r="CI36" s="409"/>
      <c r="CJ36" s="411"/>
      <c r="CK36" s="409"/>
      <c r="CL36" s="409"/>
      <c r="CM36" s="409"/>
      <c r="CN36" s="409"/>
      <c r="CO36" s="409"/>
      <c r="CP36" s="409"/>
      <c r="CQ36" s="409"/>
      <c r="CR36" s="415"/>
      <c r="CS36" s="411"/>
      <c r="CT36" s="409"/>
      <c r="CU36" s="409"/>
      <c r="CV36" s="409"/>
      <c r="CW36" s="409"/>
      <c r="CX36" s="409"/>
      <c r="CY36" s="411"/>
      <c r="CZ36" s="417"/>
      <c r="DA36" s="410"/>
      <c r="DB36" s="411"/>
      <c r="DC36" s="409"/>
      <c r="DD36" s="409"/>
      <c r="DE36" s="411"/>
      <c r="DF36" s="409"/>
      <c r="DG36" s="410"/>
      <c r="DH36" s="410"/>
      <c r="DI36" s="417"/>
      <c r="DJ36" s="410"/>
      <c r="DK36" s="149" t="str">
        <f>IFERROR(SUM(SUMIFS(TX_TB_PREV!$N:$N,TX_TB_PREV!$C:$C,"="&amp;$B36,TX_TB_PREV!$D:$D,$C36),SUMIFS(TX_TB_PREV!$O:$O,TX_TB_PREV!$C:$C,"="&amp;$B36,TX_TB_PREV!$D:$D,$C36))/SUMIFS(TX_TB_PREV!$G:$G,TX_TB_PREV!$C:$C,"="&amp;$B36,TX_TB_PREV!$D:$D,$C36),"")</f>
        <v/>
      </c>
      <c r="DL36" s="19" t="str">
        <f>IFERROR(SUM(SUMIFS(TX_TB_PREV!$L:$L,TX_TB_PREV!$C:$C,"="&amp;$B36,TX_TB_PREV!$D:$D,$C36),SUMIFS(TX_TB_PREV!$M:$M,TX_TB_PREV!$C:$C,"="&amp;$B36,TX_TB_PREV!$D:$D,$C36))/SUMIFS(TX_TB_PREV!$F:$F,TX_TB_PREV!$C:$C,"="&amp;$B36,TX_TB_PREV!$D:$D,$C36),"")</f>
        <v/>
      </c>
      <c r="DM36" s="19">
        <v>1</v>
      </c>
      <c r="DN36" s="19">
        <v>1</v>
      </c>
      <c r="DO36" s="19" t="str">
        <f>IFERROR(SUMIFS(TX_TB_PREV!$N:$N,TX_TB_PREV!$C:$C,"="&amp;$B36,TX_TB_PREV!$D:$D,$C36)/SUM(SUMIFS(TX_TB_PREV!$N:$N,TX_TB_PREV!$C:$C,"="&amp;$B36,TX_TB_PREV!$D:$D,$C36),SUMIFS(TX_TB_PREV!$O:$O,TX_TB_PREV!$C:$C,"="&amp;$B36,TX_TB_PREV!$D:$D,$C36)),"")</f>
        <v/>
      </c>
      <c r="DP36" s="19" t="str">
        <f>IFERROR(SUMIFS(TX_TB_PREV!$L:$L,TX_TB_PREV!$C:$C,"="&amp;$B36,TX_TB_PREV!$D:$D,$C36)/SUM(SUMIFS(TX_TB_PREV!$L:$L,TX_TB_PREV!$C:$C,"="&amp;$B36,TX_TB_PREV!$D:$D,$C36),SUMIFS(TX_TB_PREV!$M:$M,TX_TB_PREV!$C:$C,"="&amp;$B36,TX_TB_PREV!$D:$D,$C36)),"")</f>
        <v/>
      </c>
      <c r="DQ36" s="33" t="str" cm="1">
        <f t="array" ref="DQ36">IFERROR(ROUND(SUM(SUMIFS($G:$G,$B:$B,IF($B36="&lt;15",{"&lt;01","01-09","10-14"},{"15-24","24-34","35-49","50+"}),$C:$C,$C36))*$DM36*$DO36,0),"")</f>
        <v/>
      </c>
      <c r="DR36" s="33" t="str" cm="1">
        <f t="array" ref="DR36">IFERROR(ROUND(SUM(SUMIFS($G:$G,$B:$B,IF($B36="&lt;15",{"&lt;01","01-09","10-14"},{"15-24","24-34","35-49","50+"}),$C:$C,$C36))*$DM36,0)-$DQ36,"")</f>
        <v/>
      </c>
      <c r="DS36" s="33" t="str" cm="1">
        <f t="array" ref="DS36">IFERROR(ROUND(SUM(SUMIFS($G:$G,$B:$B,IF($B36="&lt;15",{"&lt;01","01-09","10-14"},{"15-24","24-34","35-49","50+"}),$C:$C,$C36))*$DM36,0)-$DQ36,"")</f>
        <v/>
      </c>
      <c r="DT36" s="33" t="str" cm="1">
        <f t="array" ref="DT36">IFERROR(ROUND(SUM(SUMIFS($W:$W,$B:$B,IF($B36="&lt;15",{"&lt;01","01-09","10-14"},{"15-24","24-34","35-49","50+"}),$C:$C,$C36))*$DN36,0)-$DS36,"")</f>
        <v/>
      </c>
      <c r="DU36" s="47" t="str">
        <f>IFERROR(1/(1/SUM(SUMIFS(TX_TB_PREV!$S:$S,TX_TB_PREV!$C:$C,"="&amp;$B36,TX_TB_PREV!$D:$D,$C36),SUMIFS(TX_TB_PREV!$Z:$Z,TX_TB_PREV!$C:$C,"="&amp;$B36,TX_TB_PREV!$D:$D,$C36),SUMIFS(TX_TB_PREV!$AA:$AA,TX_TB_PREV!$C:$C,"="&amp;$B36,TX_TB_PREV!$D:$D,$C36))),"")</f>
        <v/>
      </c>
      <c r="DV36" s="11" t="str" cm="1">
        <f t="array" ref="DV36">IFERROR(MIN($DU36/SUM(SUMIFS($G:$G,$B:$B,IF($B36="&lt;15",{"&lt;01","01-09","10-14"},{"15-24","24-34","35-49","50+"}),$C:$C,$C36)),1),"")</f>
        <v/>
      </c>
      <c r="DW36" s="11">
        <v>1</v>
      </c>
      <c r="DX36" s="11">
        <v>1</v>
      </c>
      <c r="DY36" s="33" t="str">
        <f t="shared" si="40"/>
        <v/>
      </c>
      <c r="DZ36" s="33" t="str">
        <f t="shared" si="41"/>
        <v/>
      </c>
      <c r="EA36" s="81">
        <v>0.9</v>
      </c>
      <c r="EB36" s="33" t="str">
        <f>IF(SUM($DY36)=0,"",IF($EA36="","ENTER COMPLETION RATE",ROUND($DY36*$EA36,0)))</f>
        <v/>
      </c>
      <c r="EC36" s="33" t="str">
        <f>IF(SUM($DZ36)=0,"",IF($EA36="","ENTER COMPLETION RATE",ROUND($DZ36*$EA36,0)))</f>
        <v/>
      </c>
      <c r="ED36" s="411"/>
      <c r="EE36" s="409"/>
      <c r="EF36" s="409"/>
      <c r="EG36" s="409"/>
      <c r="EH36" s="417"/>
      <c r="EI36" s="417"/>
      <c r="EJ36" s="417"/>
      <c r="EK36" s="417"/>
      <c r="EL36" s="415"/>
      <c r="EM36" s="415"/>
      <c r="EN36" s="415"/>
      <c r="EO36" s="415"/>
      <c r="EP36" s="416"/>
      <c r="EQ36" s="424"/>
      <c r="ER36" s="411"/>
      <c r="ES36" s="409"/>
      <c r="ET36" s="417"/>
      <c r="EU36" s="417"/>
      <c r="EV36" s="415"/>
      <c r="EW36" s="415"/>
      <c r="EX36" s="411"/>
      <c r="EY36" s="417"/>
      <c r="EZ36" s="415"/>
      <c r="FA36" s="411"/>
      <c r="FB36" s="417"/>
      <c r="FC36" s="419"/>
    </row>
    <row r="37" spans="1:159" x14ac:dyDescent="0.2">
      <c r="A37" t="s">
        <v>1078</v>
      </c>
      <c r="B37" s="5" t="s">
        <v>1068</v>
      </c>
      <c r="C37" t="s">
        <v>606</v>
      </c>
      <c r="E37" s="409"/>
      <c r="F37" s="409"/>
      <c r="G37" s="409"/>
      <c r="H37" s="409"/>
      <c r="I37" s="409"/>
      <c r="J37" s="409"/>
      <c r="K37" s="409"/>
      <c r="L37" s="409"/>
      <c r="M37" s="411"/>
      <c r="N37" s="409"/>
      <c r="O37" s="409"/>
      <c r="P37" s="409"/>
      <c r="Q37" s="409"/>
      <c r="R37" s="411"/>
      <c r="S37" s="409"/>
      <c r="T37" s="409"/>
      <c r="U37" s="411"/>
      <c r="V37" s="409"/>
      <c r="W37" s="409"/>
      <c r="X37" s="409"/>
      <c r="Y37" s="409"/>
      <c r="Z37" s="411"/>
      <c r="AA37" s="409"/>
      <c r="AB37" s="409"/>
      <c r="AC37" s="409"/>
      <c r="AD37" s="411"/>
      <c r="AE37" s="409"/>
      <c r="AF37" s="411"/>
      <c r="AG37" s="409"/>
      <c r="AH37" s="412"/>
      <c r="AI37" s="410"/>
      <c r="AJ37" s="410"/>
      <c r="AK37" s="410"/>
      <c r="AL37" s="410"/>
      <c r="AM37" s="410"/>
      <c r="AN37" s="410"/>
      <c r="AO37" s="410"/>
      <c r="AP37" s="410"/>
      <c r="AQ37" s="413"/>
      <c r="AR37" s="414"/>
      <c r="AS37" s="414"/>
      <c r="AT37" s="414"/>
      <c r="AU37" s="414"/>
      <c r="AV37" s="414"/>
      <c r="AW37" s="414"/>
      <c r="AX37" s="414"/>
      <c r="AY37" s="414"/>
      <c r="AZ37" s="410"/>
      <c r="BA37" s="411"/>
      <c r="BB37" s="415"/>
      <c r="BC37" s="415"/>
      <c r="BD37" s="409"/>
      <c r="BE37" s="411"/>
      <c r="BF37" s="409"/>
      <c r="BG37" s="409"/>
      <c r="BH37" s="411"/>
      <c r="BI37" s="409"/>
      <c r="BJ37" s="409"/>
      <c r="BK37" s="409"/>
      <c r="BL37" s="417"/>
      <c r="BM37" s="417"/>
      <c r="BN37" s="417"/>
      <c r="BO37" s="409"/>
      <c r="BP37" s="409"/>
      <c r="BQ37" s="411"/>
      <c r="BR37" s="409"/>
      <c r="BS37" s="435"/>
      <c r="BT37" s="409"/>
      <c r="BU37" s="409"/>
      <c r="BV37" s="411"/>
      <c r="BW37" s="409"/>
      <c r="BX37" s="409"/>
      <c r="BY37" s="409"/>
      <c r="BZ37" s="409"/>
      <c r="CA37" s="409"/>
      <c r="CB37" s="409"/>
      <c r="CC37" s="409"/>
      <c r="CD37" s="415"/>
      <c r="CE37" s="411"/>
      <c r="CF37" s="409"/>
      <c r="CG37" s="436"/>
      <c r="CH37" s="409"/>
      <c r="CI37" s="409"/>
      <c r="CJ37" s="411"/>
      <c r="CK37" s="409"/>
      <c r="CL37" s="409"/>
      <c r="CM37" s="409"/>
      <c r="CN37" s="409"/>
      <c r="CO37" s="409"/>
      <c r="CP37" s="409"/>
      <c r="CQ37" s="409"/>
      <c r="CR37" s="415"/>
      <c r="CS37" s="411"/>
      <c r="CT37" s="409"/>
      <c r="CU37" s="409"/>
      <c r="CV37" s="409"/>
      <c r="CW37" s="409"/>
      <c r="CX37" s="409"/>
      <c r="CY37" s="411"/>
      <c r="CZ37" s="417"/>
      <c r="DA37" s="410"/>
      <c r="DB37" s="411"/>
      <c r="DC37" s="409"/>
      <c r="DD37" s="409"/>
      <c r="DE37" s="411"/>
      <c r="DF37" s="409"/>
      <c r="DG37" s="410"/>
      <c r="DH37" s="410"/>
      <c r="DI37" s="417"/>
      <c r="DJ37" s="410"/>
      <c r="DK37" s="149" t="str">
        <f>IFERROR(SUM(SUMIFS(TX_TB_PREV!$N:$N,TX_TB_PREV!$C:$C,"="&amp;$B37,TX_TB_PREV!$D:$D,$C37),SUMIFS(TX_TB_PREV!$O:$O,TX_TB_PREV!$C:$C,"="&amp;$B37,TX_TB_PREV!$D:$D,$C37))/SUMIFS(TX_TB_PREV!$G:$G,TX_TB_PREV!$C:$C,"="&amp;$B37,TX_TB_PREV!$D:$D,$C37),"")</f>
        <v/>
      </c>
      <c r="DL37" s="19" t="str">
        <f>IFERROR(SUM(SUMIFS(TX_TB_PREV!$L:$L,TX_TB_PREV!$C:$C,"="&amp;$B37,TX_TB_PREV!$D:$D,$C37),SUMIFS(TX_TB_PREV!$M:$M,TX_TB_PREV!$C:$C,"="&amp;$B37,TX_TB_PREV!$D:$D,$C37))/SUMIFS(TX_TB_PREV!$F:$F,TX_TB_PREV!$C:$C,"="&amp;$B37,TX_TB_PREV!$D:$D,$C37),"")</f>
        <v/>
      </c>
      <c r="DM37" s="19">
        <v>1</v>
      </c>
      <c r="DN37" s="19">
        <v>1</v>
      </c>
      <c r="DO37" s="19" t="str">
        <f>IFERROR(SUMIFS(TX_TB_PREV!$N:$N,TX_TB_PREV!$C:$C,"="&amp;$B37,TX_TB_PREV!$D:$D,$C37)/SUM(SUMIFS(TX_TB_PREV!$N:$N,TX_TB_PREV!$C:$C,"="&amp;$B37,TX_TB_PREV!$D:$D,$C37),SUMIFS(TX_TB_PREV!$O:$O,TX_TB_PREV!$C:$C,"="&amp;$B37,TX_TB_PREV!$D:$D,$C37)),"")</f>
        <v/>
      </c>
      <c r="DP37" s="19" t="str">
        <f>IFERROR(SUMIFS(TX_TB_PREV!$L:$L,TX_TB_PREV!$C:$C,"="&amp;$B37,TX_TB_PREV!$D:$D,$C37)/SUM(SUMIFS(TX_TB_PREV!$L:$L,TX_TB_PREV!$C:$C,"="&amp;$B37,TX_TB_PREV!$D:$D,$C37),SUMIFS(TX_TB_PREV!$M:$M,TX_TB_PREV!$C:$C,"="&amp;$B37,TX_TB_PREV!$D:$D,$C37)),"")</f>
        <v/>
      </c>
      <c r="DQ37" s="33" t="str" cm="1">
        <f t="array" ref="DQ37">IFERROR(ROUND(SUM(SUMIFS($G:$G,$B:$B,IF($B37="&lt;15",{"&lt;01","01-09","10-14"},{"15-24","24-34","35-49","50+"}),$C:$C,$C37))*$DM37*$DO37,0),"")</f>
        <v/>
      </c>
      <c r="DR37" s="33" t="str" cm="1">
        <f t="array" ref="DR37">IFERROR(ROUND(SUM(SUMIFS($G:$G,$B:$B,IF($B37="&lt;15",{"&lt;01","01-09","10-14"},{"15-24","24-34","35-49","50+"}),$C:$C,$C37))*$DM37,0)-$DQ37,"")</f>
        <v/>
      </c>
      <c r="DS37" s="33" t="str" cm="1">
        <f t="array" ref="DS37">IFERROR(ROUND(SUM(SUMIFS($G:$G,$B:$B,IF($B37="&lt;15",{"&lt;01","01-09","10-14"},{"15-24","24-34","35-49","50+"}),$C:$C,$C37))*$DM37,0)-$DQ37,"")</f>
        <v/>
      </c>
      <c r="DT37" s="33" t="str" cm="1">
        <f t="array" ref="DT37">IFERROR(ROUND(SUM(SUMIFS($W:$W,$B:$B,IF($B37="&lt;15",{"&lt;01","01-09","10-14"},{"15-24","24-34","35-49","50+"}),$C:$C,$C37))*$DN37,0)-$DS37,"")</f>
        <v/>
      </c>
      <c r="DU37" s="47" t="str">
        <f>IFERROR(1/(1/SUM(SUMIFS(TX_TB_PREV!$S:$S,TX_TB_PREV!$C:$C,"="&amp;$B37,TX_TB_PREV!$D:$D,$C37),SUMIFS(TX_TB_PREV!$Z:$Z,TX_TB_PREV!$C:$C,"="&amp;$B37,TX_TB_PREV!$D:$D,$C37),SUMIFS(TX_TB_PREV!$AA:$AA,TX_TB_PREV!$C:$C,"="&amp;$B37,TX_TB_PREV!$D:$D,$C37))),"")</f>
        <v/>
      </c>
      <c r="DV37" s="11" t="str" cm="1">
        <f t="array" ref="DV37">IFERROR(MIN($DU37/SUM(SUMIFS($G:$G,$B:$B,IF($B37="&lt;15",{"&lt;01","01-09","10-14"},{"15-24","24-34","35-49","50+"}),$C:$C,$C37)),1),"")</f>
        <v/>
      </c>
      <c r="DW37" s="11">
        <v>1</v>
      </c>
      <c r="DX37" s="11">
        <v>1</v>
      </c>
      <c r="DY37" s="33" t="str">
        <f t="shared" si="40"/>
        <v/>
      </c>
      <c r="DZ37" s="33" t="str">
        <f t="shared" si="41"/>
        <v/>
      </c>
      <c r="EA37" s="81">
        <v>0.9</v>
      </c>
      <c r="EB37" s="33" t="str">
        <f>IF(SUM($DY37)=0,"",IF($EA37="","ENTER COMPLETION RATE",ROUND($DY37*$EA37,0)))</f>
        <v/>
      </c>
      <c r="EC37" s="33" t="str">
        <f>IF(SUM($DZ37)=0,"",IF($EA37="","ENTER COMPLETION RATE",ROUND($DZ37*$EA37,0)))</f>
        <v/>
      </c>
      <c r="ED37" s="411"/>
      <c r="EE37" s="409"/>
      <c r="EF37" s="409"/>
      <c r="EG37" s="409"/>
      <c r="EH37" s="417"/>
      <c r="EI37" s="417"/>
      <c r="EJ37" s="417"/>
      <c r="EK37" s="417"/>
      <c r="EL37" s="415"/>
      <c r="EM37" s="415"/>
      <c r="EN37" s="415"/>
      <c r="EO37" s="415"/>
      <c r="EP37" s="416"/>
      <c r="EQ37" s="424"/>
      <c r="ER37" s="411"/>
      <c r="ES37" s="409"/>
      <c r="ET37" s="417"/>
      <c r="EU37" s="417"/>
      <c r="EV37" s="415"/>
      <c r="EW37" s="415"/>
      <c r="EX37" s="411"/>
      <c r="EY37" s="417"/>
      <c r="EZ37" s="415"/>
      <c r="FA37" s="411"/>
      <c r="FB37" s="417"/>
      <c r="FC37" s="419"/>
    </row>
    <row r="38" spans="1:159" x14ac:dyDescent="0.2">
      <c r="A38" t="s">
        <v>8</v>
      </c>
      <c r="B38" s="5" t="s">
        <v>26</v>
      </c>
      <c r="C38" t="s">
        <v>581</v>
      </c>
      <c r="E38" s="409"/>
      <c r="F38" s="409"/>
      <c r="G38" s="409"/>
      <c r="H38" s="409"/>
      <c r="I38" s="409"/>
      <c r="J38" s="409"/>
      <c r="K38" s="409"/>
      <c r="L38" s="409"/>
      <c r="M38" s="411"/>
      <c r="N38" s="409"/>
      <c r="O38" s="409"/>
      <c r="P38" s="409"/>
      <c r="Q38" s="409"/>
      <c r="R38" s="411"/>
      <c r="S38" s="409"/>
      <c r="T38" s="409"/>
      <c r="U38" s="411"/>
      <c r="V38" s="409"/>
      <c r="W38" s="409"/>
      <c r="X38" s="409"/>
      <c r="Y38" s="409"/>
      <c r="Z38" s="411"/>
      <c r="AA38" s="409"/>
      <c r="AB38" s="409"/>
      <c r="AC38" s="409"/>
      <c r="AD38" s="411"/>
      <c r="AE38" s="409"/>
      <c r="AF38" s="411"/>
      <c r="AG38" s="409"/>
      <c r="AH38" s="412"/>
      <c r="AI38" s="410"/>
      <c r="AJ38" s="410"/>
      <c r="AK38" s="410"/>
      <c r="AL38" s="410"/>
      <c r="AM38" s="410"/>
      <c r="AN38" s="410"/>
      <c r="AO38" s="410"/>
      <c r="AP38" s="410"/>
      <c r="AQ38" s="413"/>
      <c r="AR38" s="414"/>
      <c r="AS38" s="414"/>
      <c r="AT38" s="414"/>
      <c r="AU38" s="414"/>
      <c r="AV38" s="414"/>
      <c r="AW38" s="414"/>
      <c r="AX38" s="414"/>
      <c r="AY38" s="414"/>
      <c r="AZ38" s="410"/>
      <c r="BA38" s="411"/>
      <c r="BB38" s="415"/>
      <c r="BC38" s="415"/>
      <c r="BD38" s="409"/>
      <c r="BE38" s="411"/>
      <c r="BF38" s="409"/>
      <c r="BG38" s="409"/>
      <c r="BH38" s="411"/>
      <c r="BI38" s="409"/>
      <c r="BJ38" s="409"/>
      <c r="BK38" s="409"/>
      <c r="BL38" s="417"/>
      <c r="BM38" s="417"/>
      <c r="BN38" s="417"/>
      <c r="BO38" s="409"/>
      <c r="BP38" s="409"/>
      <c r="BQ38" s="411"/>
      <c r="BR38" s="409"/>
      <c r="BS38" s="435"/>
      <c r="BT38" s="409"/>
      <c r="BU38" s="409"/>
      <c r="BV38" s="411"/>
      <c r="BW38" s="409"/>
      <c r="BX38" s="409"/>
      <c r="BY38" s="409"/>
      <c r="BZ38" s="409"/>
      <c r="CA38" s="409"/>
      <c r="CB38" s="409"/>
      <c r="CC38" s="409"/>
      <c r="CD38" s="415"/>
      <c r="CE38" s="411"/>
      <c r="CF38" s="409"/>
      <c r="CG38" s="436"/>
      <c r="CH38" s="409"/>
      <c r="CI38" s="409"/>
      <c r="CJ38" s="411"/>
      <c r="CK38" s="409"/>
      <c r="CL38" s="409"/>
      <c r="CM38" s="409"/>
      <c r="CN38" s="409"/>
      <c r="CO38" s="409"/>
      <c r="CP38" s="409"/>
      <c r="CQ38" s="409"/>
      <c r="CR38" s="415"/>
      <c r="CS38" s="411"/>
      <c r="CT38" s="409"/>
      <c r="CU38" s="409"/>
      <c r="CV38" s="409"/>
      <c r="CW38" s="409"/>
      <c r="CX38" s="409"/>
      <c r="CY38" s="411"/>
      <c r="CZ38" s="417"/>
      <c r="DA38" s="410"/>
      <c r="DB38" s="411"/>
      <c r="DC38" s="409"/>
      <c r="DD38" s="409"/>
      <c r="DE38" s="411"/>
      <c r="DF38" s="409"/>
      <c r="DG38" s="410"/>
      <c r="DH38" s="410"/>
      <c r="DI38" s="417"/>
      <c r="DJ38" s="410"/>
      <c r="DK38" s="411"/>
      <c r="DL38" s="409"/>
      <c r="DM38" s="409"/>
      <c r="DN38" s="409"/>
      <c r="DO38" s="409"/>
      <c r="DP38" s="409"/>
      <c r="DQ38" s="409"/>
      <c r="DR38" s="409"/>
      <c r="DS38" s="409"/>
      <c r="DT38" s="409"/>
      <c r="DU38" s="411"/>
      <c r="DV38" s="415"/>
      <c r="DW38" s="415"/>
      <c r="DX38" s="415"/>
      <c r="DY38" s="409"/>
      <c r="DZ38" s="409"/>
      <c r="EA38" s="416"/>
      <c r="EB38" s="409"/>
      <c r="EC38" s="409"/>
      <c r="ED38" s="47" t="str">
        <f>IFERROR(1/(1/SUMIFS(OVC!$O:$O,OVC!$C:$C,"="&amp;$B38,OVC!$D:$D,$C38)),"")</f>
        <v/>
      </c>
      <c r="EE38" s="36" t="str">
        <f>IFERROR(1/(1/SUMIFS(OVC!$P:$P,OVC!$C:$C,"="&amp;$B38,OVC!$D:$D,$C38)),"")</f>
        <v/>
      </c>
      <c r="EF38" s="36" t="str">
        <f>IFERROR(1/(1/SUMIFS(OVC!$Q:$Q,OVC!$C:$C,"="&amp;$B38,OVC!$D:$D,$C38)),"")</f>
        <v/>
      </c>
      <c r="EG38" s="36" t="str">
        <f>IFERROR(1/(1/SUMIFS(OVC!$R:$R,OVC!$C:$C,"="&amp;$B38,OVC!$D:$D,$C38)),"")</f>
        <v/>
      </c>
      <c r="EH38" s="33" t="str">
        <f>$ED38</f>
        <v/>
      </c>
      <c r="EI38" s="33" t="str">
        <f>$EE38</f>
        <v/>
      </c>
      <c r="EJ38" s="33" t="str">
        <f>$EF38</f>
        <v/>
      </c>
      <c r="EK38" s="33" t="str">
        <f>$EG38</f>
        <v/>
      </c>
      <c r="EL38" s="144" t="str">
        <f>IF(SUM($ED38)=0,"",(SUM($EH38)-$ED38)/$ED38)</f>
        <v/>
      </c>
      <c r="EM38" s="144" t="str">
        <f>IF(SUM($EE38)=0,"",(SUM($EI38)-$EE38)/$EE38)</f>
        <v/>
      </c>
      <c r="EN38" s="144" t="str">
        <f>IF(SUM($EF38)=0,"",(SUM($EJ38)-$EF38)/$EF38)</f>
        <v/>
      </c>
      <c r="EO38" s="144" t="str">
        <f>IF(SUM($EG38)=0,"",(SUM($EK38)-$EG38)/$EG38)</f>
        <v/>
      </c>
      <c r="EP38" s="143" t="str">
        <f t="shared" ref="EP38:EP47" si="42">IF(OR($B38="18+",$B38="18-20",SUM($EJ38,$EK38)=0),"",100%)</f>
        <v/>
      </c>
      <c r="EQ38" s="425" t="str">
        <f t="shared" ref="EQ38:EQ47" si="43">IF(OR($C38="18+",$C38="18-20",SUM($EJ38,$EK38)=0),"",ROUND(SUM($EJ38,$EK38)*$EP38,0))</f>
        <v/>
      </c>
      <c r="ER38" s="411"/>
      <c r="ES38" s="409"/>
      <c r="ET38" s="417"/>
      <c r="EU38" s="417"/>
      <c r="EV38" s="415"/>
      <c r="EW38" s="415"/>
      <c r="EX38" s="411"/>
      <c r="EY38" s="417"/>
      <c r="EZ38" s="415"/>
      <c r="FA38" s="411"/>
      <c r="FB38" s="417"/>
      <c r="FC38" s="419"/>
    </row>
    <row r="39" spans="1:159" x14ac:dyDescent="0.2">
      <c r="A39" t="s">
        <v>8</v>
      </c>
      <c r="B39" s="5" t="s">
        <v>26</v>
      </c>
      <c r="C39" t="s">
        <v>606</v>
      </c>
      <c r="E39" s="409"/>
      <c r="F39" s="409"/>
      <c r="G39" s="409"/>
      <c r="H39" s="409"/>
      <c r="I39" s="409"/>
      <c r="J39" s="409"/>
      <c r="K39" s="409"/>
      <c r="L39" s="409"/>
      <c r="M39" s="411"/>
      <c r="N39" s="409"/>
      <c r="O39" s="409"/>
      <c r="P39" s="409"/>
      <c r="Q39" s="409"/>
      <c r="R39" s="411"/>
      <c r="S39" s="409"/>
      <c r="T39" s="409"/>
      <c r="U39" s="411"/>
      <c r="V39" s="409"/>
      <c r="W39" s="409"/>
      <c r="X39" s="409"/>
      <c r="Y39" s="409"/>
      <c r="Z39" s="411"/>
      <c r="AA39" s="409"/>
      <c r="AB39" s="409"/>
      <c r="AC39" s="409"/>
      <c r="AD39" s="411"/>
      <c r="AE39" s="409"/>
      <c r="AF39" s="411"/>
      <c r="AG39" s="409"/>
      <c r="AH39" s="412"/>
      <c r="AI39" s="410"/>
      <c r="AJ39" s="410"/>
      <c r="AK39" s="410"/>
      <c r="AL39" s="410"/>
      <c r="AM39" s="410"/>
      <c r="AN39" s="410"/>
      <c r="AO39" s="410"/>
      <c r="AP39" s="410"/>
      <c r="AQ39" s="413"/>
      <c r="AR39" s="414"/>
      <c r="AS39" s="414"/>
      <c r="AT39" s="414"/>
      <c r="AU39" s="414"/>
      <c r="AV39" s="414"/>
      <c r="AW39" s="414"/>
      <c r="AX39" s="414"/>
      <c r="AY39" s="414"/>
      <c r="AZ39" s="410"/>
      <c r="BA39" s="411"/>
      <c r="BB39" s="415"/>
      <c r="BC39" s="415"/>
      <c r="BD39" s="409"/>
      <c r="BE39" s="411"/>
      <c r="BF39" s="409"/>
      <c r="BG39" s="409"/>
      <c r="BH39" s="411"/>
      <c r="BI39" s="409"/>
      <c r="BJ39" s="409"/>
      <c r="BK39" s="409"/>
      <c r="BL39" s="417"/>
      <c r="BM39" s="417"/>
      <c r="BN39" s="417"/>
      <c r="BO39" s="409"/>
      <c r="BP39" s="409"/>
      <c r="BQ39" s="411"/>
      <c r="BR39" s="409"/>
      <c r="BS39" s="435"/>
      <c r="BT39" s="409"/>
      <c r="BU39" s="409"/>
      <c r="BV39" s="411"/>
      <c r="BW39" s="409"/>
      <c r="BX39" s="409"/>
      <c r="BY39" s="409"/>
      <c r="BZ39" s="409"/>
      <c r="CA39" s="409"/>
      <c r="CB39" s="409"/>
      <c r="CC39" s="409"/>
      <c r="CD39" s="415"/>
      <c r="CE39" s="411"/>
      <c r="CF39" s="409"/>
      <c r="CG39" s="436"/>
      <c r="CH39" s="409"/>
      <c r="CI39" s="409"/>
      <c r="CJ39" s="411"/>
      <c r="CK39" s="409"/>
      <c r="CL39" s="409"/>
      <c r="CM39" s="409"/>
      <c r="CN39" s="409"/>
      <c r="CO39" s="409"/>
      <c r="CP39" s="409"/>
      <c r="CQ39" s="409"/>
      <c r="CR39" s="415"/>
      <c r="CS39" s="411"/>
      <c r="CT39" s="409"/>
      <c r="CU39" s="409"/>
      <c r="CV39" s="409"/>
      <c r="CW39" s="409"/>
      <c r="CX39" s="409"/>
      <c r="CY39" s="411"/>
      <c r="CZ39" s="417"/>
      <c r="DA39" s="410"/>
      <c r="DB39" s="411"/>
      <c r="DC39" s="409"/>
      <c r="DD39" s="409"/>
      <c r="DE39" s="411"/>
      <c r="DF39" s="409"/>
      <c r="DG39" s="410"/>
      <c r="DH39" s="410"/>
      <c r="DI39" s="417"/>
      <c r="DJ39" s="410"/>
      <c r="DK39" s="411"/>
      <c r="DL39" s="409"/>
      <c r="DM39" s="409"/>
      <c r="DN39" s="409"/>
      <c r="DO39" s="409"/>
      <c r="DP39" s="409"/>
      <c r="DQ39" s="409"/>
      <c r="DR39" s="409"/>
      <c r="DS39" s="409"/>
      <c r="DT39" s="409"/>
      <c r="DU39" s="411"/>
      <c r="DV39" s="415"/>
      <c r="DW39" s="415"/>
      <c r="DX39" s="415"/>
      <c r="DY39" s="409"/>
      <c r="DZ39" s="409"/>
      <c r="EA39" s="416"/>
      <c r="EB39" s="409"/>
      <c r="EC39" s="409"/>
      <c r="ED39" s="47" t="str">
        <f>IFERROR(1/(1/SUMIFS(OVC!$O:$O,OVC!$C:$C,"="&amp;$B39,OVC!$D:$D,$C39)),"")</f>
        <v/>
      </c>
      <c r="EE39" s="36" t="str">
        <f>IFERROR(1/(1/SUMIFS(OVC!$P:$P,OVC!$C:$C,"="&amp;$B39,OVC!$D:$D,$C39)),"")</f>
        <v/>
      </c>
      <c r="EF39" s="36" t="str">
        <f>IFERROR(1/(1/SUMIFS(OVC!$Q:$Q,OVC!$C:$C,"="&amp;$B39,OVC!$D:$D,$C39)),"")</f>
        <v/>
      </c>
      <c r="EG39" s="36" t="str">
        <f>IFERROR(1/(1/SUMIFS(OVC!$R:$R,OVC!$C:$C,"="&amp;$B39,OVC!$D:$D,$C39)),"")</f>
        <v/>
      </c>
      <c r="EH39" s="33" t="str">
        <f t="shared" ref="EH39:EH51" si="44">$ED39</f>
        <v/>
      </c>
      <c r="EI39" s="33" t="str">
        <f t="shared" ref="EI39:EI51" si="45">$EE39</f>
        <v/>
      </c>
      <c r="EJ39" s="33" t="str">
        <f t="shared" ref="EJ39:EJ51" si="46">$EF39</f>
        <v/>
      </c>
      <c r="EK39" s="33" t="str">
        <f t="shared" ref="EK39:EK51" si="47">$EG39</f>
        <v/>
      </c>
      <c r="EL39" s="144" t="str">
        <f t="shared" ref="EL39:EL51" si="48">IF(SUM($ED39)=0,"",(SUM($EH39)-$ED39)/$ED39)</f>
        <v/>
      </c>
      <c r="EM39" s="144" t="str">
        <f t="shared" ref="EM39:EM51" si="49">IF(SUM($EE39)=0,"",(SUM($EI39)-$EE39)/$EE39)</f>
        <v/>
      </c>
      <c r="EN39" s="144" t="str">
        <f t="shared" ref="EN39:EN51" si="50">IF(SUM($EF39)=0,"",(SUM($EJ39)-$EF39)/$EF39)</f>
        <v/>
      </c>
      <c r="EO39" s="144" t="str">
        <f t="shared" ref="EO39:EO51" si="51">IF(SUM($EG39)=0,"",(SUM($EK39)-$EG39)/$EG39)</f>
        <v/>
      </c>
      <c r="EP39" s="143" t="str">
        <f t="shared" si="42"/>
        <v/>
      </c>
      <c r="EQ39" s="425" t="str">
        <f t="shared" si="43"/>
        <v/>
      </c>
      <c r="ER39" s="411"/>
      <c r="ES39" s="409"/>
      <c r="ET39" s="417"/>
      <c r="EU39" s="417"/>
      <c r="EV39" s="415"/>
      <c r="EW39" s="415"/>
      <c r="EX39" s="411"/>
      <c r="EY39" s="417"/>
      <c r="EZ39" s="415"/>
      <c r="FA39" s="411"/>
      <c r="FB39" s="417"/>
      <c r="FC39" s="419"/>
    </row>
    <row r="40" spans="1:159" x14ac:dyDescent="0.2">
      <c r="A40" t="s">
        <v>8</v>
      </c>
      <c r="B40" s="5" t="s">
        <v>1069</v>
      </c>
      <c r="C40" t="s">
        <v>581</v>
      </c>
      <c r="E40" s="409"/>
      <c r="F40" s="409"/>
      <c r="G40" s="409"/>
      <c r="H40" s="409"/>
      <c r="I40" s="409"/>
      <c r="J40" s="409"/>
      <c r="K40" s="409"/>
      <c r="L40" s="409"/>
      <c r="M40" s="411"/>
      <c r="N40" s="409"/>
      <c r="O40" s="409"/>
      <c r="P40" s="409"/>
      <c r="Q40" s="409"/>
      <c r="R40" s="411"/>
      <c r="S40" s="409"/>
      <c r="T40" s="409"/>
      <c r="U40" s="411"/>
      <c r="V40" s="409"/>
      <c r="W40" s="409"/>
      <c r="X40" s="409"/>
      <c r="Y40" s="409"/>
      <c r="Z40" s="411"/>
      <c r="AA40" s="409"/>
      <c r="AB40" s="409"/>
      <c r="AC40" s="409"/>
      <c r="AD40" s="411"/>
      <c r="AE40" s="409"/>
      <c r="AF40" s="411"/>
      <c r="AG40" s="409"/>
      <c r="AH40" s="412"/>
      <c r="AI40" s="410"/>
      <c r="AJ40" s="410"/>
      <c r="AK40" s="410"/>
      <c r="AL40" s="410"/>
      <c r="AM40" s="410"/>
      <c r="AN40" s="410"/>
      <c r="AO40" s="410"/>
      <c r="AP40" s="410"/>
      <c r="AQ40" s="413"/>
      <c r="AR40" s="414"/>
      <c r="AS40" s="414"/>
      <c r="AT40" s="414"/>
      <c r="AU40" s="414"/>
      <c r="AV40" s="414"/>
      <c r="AW40" s="414"/>
      <c r="AX40" s="414"/>
      <c r="AY40" s="414"/>
      <c r="AZ40" s="410"/>
      <c r="BA40" s="411"/>
      <c r="BB40" s="415"/>
      <c r="BC40" s="415"/>
      <c r="BD40" s="409"/>
      <c r="BE40" s="411"/>
      <c r="BF40" s="409"/>
      <c r="BG40" s="409"/>
      <c r="BH40" s="411"/>
      <c r="BI40" s="409"/>
      <c r="BJ40" s="409"/>
      <c r="BK40" s="409"/>
      <c r="BL40" s="417"/>
      <c r="BM40" s="417"/>
      <c r="BN40" s="417"/>
      <c r="BO40" s="409"/>
      <c r="BP40" s="409"/>
      <c r="BQ40" s="411"/>
      <c r="BR40" s="409"/>
      <c r="BS40" s="435"/>
      <c r="BT40" s="409"/>
      <c r="BU40" s="409"/>
      <c r="BV40" s="411"/>
      <c r="BW40" s="409"/>
      <c r="BX40" s="409"/>
      <c r="BY40" s="409"/>
      <c r="BZ40" s="409"/>
      <c r="CA40" s="409"/>
      <c r="CB40" s="409"/>
      <c r="CC40" s="409"/>
      <c r="CD40" s="415"/>
      <c r="CE40" s="411"/>
      <c r="CF40" s="409"/>
      <c r="CG40" s="436"/>
      <c r="CH40" s="409"/>
      <c r="CI40" s="409"/>
      <c r="CJ40" s="411"/>
      <c r="CK40" s="409"/>
      <c r="CL40" s="409"/>
      <c r="CM40" s="409"/>
      <c r="CN40" s="409"/>
      <c r="CO40" s="409"/>
      <c r="CP40" s="409"/>
      <c r="CQ40" s="409"/>
      <c r="CR40" s="415"/>
      <c r="CS40" s="411"/>
      <c r="CT40" s="409"/>
      <c r="CU40" s="409"/>
      <c r="CV40" s="409"/>
      <c r="CW40" s="409"/>
      <c r="CX40" s="409"/>
      <c r="CY40" s="411"/>
      <c r="CZ40" s="417"/>
      <c r="DA40" s="410"/>
      <c r="DB40" s="411"/>
      <c r="DC40" s="409"/>
      <c r="DD40" s="409"/>
      <c r="DE40" s="411"/>
      <c r="DF40" s="409"/>
      <c r="DG40" s="410"/>
      <c r="DH40" s="410"/>
      <c r="DI40" s="417"/>
      <c r="DJ40" s="410"/>
      <c r="DK40" s="411"/>
      <c r="DL40" s="409"/>
      <c r="DM40" s="409"/>
      <c r="DN40" s="409"/>
      <c r="DO40" s="409"/>
      <c r="DP40" s="409"/>
      <c r="DQ40" s="409"/>
      <c r="DR40" s="409"/>
      <c r="DS40" s="409"/>
      <c r="DT40" s="409"/>
      <c r="DU40" s="411"/>
      <c r="DV40" s="415"/>
      <c r="DW40" s="415"/>
      <c r="DX40" s="415"/>
      <c r="DY40" s="409"/>
      <c r="DZ40" s="409"/>
      <c r="EA40" s="416"/>
      <c r="EB40" s="409"/>
      <c r="EC40" s="409"/>
      <c r="ED40" s="47" t="str">
        <f>IFERROR(1/(1/SUMIFS(OVC!$O:$O,OVC!$C:$C,"="&amp;$B40,OVC!$D:$D,$C40)),"")</f>
        <v/>
      </c>
      <c r="EE40" s="36" t="str">
        <f>IFERROR(1/(1/SUMIFS(OVC!$P:$P,OVC!$C:$C,"="&amp;$B40,OVC!$D:$D,$C40)),"")</f>
        <v/>
      </c>
      <c r="EF40" s="36" t="str">
        <f>IFERROR(1/(1/SUMIFS(OVC!$Q:$Q,OVC!$C:$C,"="&amp;$B40,OVC!$D:$D,$C40)),"")</f>
        <v/>
      </c>
      <c r="EG40" s="36" t="str">
        <f>IFERROR(1/(1/SUMIFS(OVC!$R:$R,OVC!$C:$C,"="&amp;$B40,OVC!$D:$D,$C40)),"")</f>
        <v/>
      </c>
      <c r="EH40" s="33" t="str">
        <f t="shared" si="44"/>
        <v/>
      </c>
      <c r="EI40" s="33" t="str">
        <f t="shared" si="45"/>
        <v/>
      </c>
      <c r="EJ40" s="33" t="str">
        <f t="shared" si="46"/>
        <v/>
      </c>
      <c r="EK40" s="33" t="str">
        <f t="shared" si="47"/>
        <v/>
      </c>
      <c r="EL40" s="144" t="str">
        <f t="shared" si="48"/>
        <v/>
      </c>
      <c r="EM40" s="144" t="str">
        <f t="shared" si="49"/>
        <v/>
      </c>
      <c r="EN40" s="144" t="str">
        <f t="shared" si="50"/>
        <v/>
      </c>
      <c r="EO40" s="144" t="str">
        <f t="shared" si="51"/>
        <v/>
      </c>
      <c r="EP40" s="143" t="str">
        <f t="shared" si="42"/>
        <v/>
      </c>
      <c r="EQ40" s="425" t="str">
        <f t="shared" si="43"/>
        <v/>
      </c>
      <c r="ER40" s="411"/>
      <c r="ES40" s="409"/>
      <c r="ET40" s="417"/>
      <c r="EU40" s="417"/>
      <c r="EV40" s="415"/>
      <c r="EW40" s="415"/>
      <c r="EX40" s="411"/>
      <c r="EY40" s="417"/>
      <c r="EZ40" s="415"/>
      <c r="FA40" s="411"/>
      <c r="FB40" s="417"/>
      <c r="FC40" s="419"/>
    </row>
    <row r="41" spans="1:159" x14ac:dyDescent="0.2">
      <c r="A41" t="s">
        <v>8</v>
      </c>
      <c r="B41" s="5" t="s">
        <v>1069</v>
      </c>
      <c r="C41" t="s">
        <v>606</v>
      </c>
      <c r="E41" s="409"/>
      <c r="F41" s="409"/>
      <c r="G41" s="409"/>
      <c r="H41" s="409"/>
      <c r="I41" s="409"/>
      <c r="J41" s="409"/>
      <c r="K41" s="409"/>
      <c r="L41" s="409"/>
      <c r="M41" s="411"/>
      <c r="N41" s="409"/>
      <c r="O41" s="409"/>
      <c r="P41" s="409"/>
      <c r="Q41" s="409"/>
      <c r="R41" s="411"/>
      <c r="S41" s="409"/>
      <c r="T41" s="409"/>
      <c r="U41" s="411"/>
      <c r="V41" s="409"/>
      <c r="W41" s="409"/>
      <c r="X41" s="409"/>
      <c r="Y41" s="409"/>
      <c r="Z41" s="411"/>
      <c r="AA41" s="409"/>
      <c r="AB41" s="409"/>
      <c r="AC41" s="409"/>
      <c r="AD41" s="411"/>
      <c r="AE41" s="409"/>
      <c r="AF41" s="411"/>
      <c r="AG41" s="409"/>
      <c r="AH41" s="412"/>
      <c r="AI41" s="410"/>
      <c r="AJ41" s="410"/>
      <c r="AK41" s="410"/>
      <c r="AL41" s="410"/>
      <c r="AM41" s="410"/>
      <c r="AN41" s="410"/>
      <c r="AO41" s="410"/>
      <c r="AP41" s="410"/>
      <c r="AQ41" s="413"/>
      <c r="AR41" s="414"/>
      <c r="AS41" s="414"/>
      <c r="AT41" s="414"/>
      <c r="AU41" s="414"/>
      <c r="AV41" s="414"/>
      <c r="AW41" s="414"/>
      <c r="AX41" s="414"/>
      <c r="AY41" s="414"/>
      <c r="AZ41" s="410"/>
      <c r="BA41" s="411"/>
      <c r="BB41" s="415"/>
      <c r="BC41" s="415"/>
      <c r="BD41" s="409"/>
      <c r="BE41" s="411"/>
      <c r="BF41" s="409"/>
      <c r="BG41" s="409"/>
      <c r="BH41" s="411"/>
      <c r="BI41" s="409"/>
      <c r="BJ41" s="409"/>
      <c r="BK41" s="409"/>
      <c r="BL41" s="417"/>
      <c r="BM41" s="417"/>
      <c r="BN41" s="417"/>
      <c r="BO41" s="409"/>
      <c r="BP41" s="409"/>
      <c r="BQ41" s="411"/>
      <c r="BR41" s="409"/>
      <c r="BS41" s="435"/>
      <c r="BT41" s="409"/>
      <c r="BU41" s="409"/>
      <c r="BV41" s="411"/>
      <c r="BW41" s="409"/>
      <c r="BX41" s="409"/>
      <c r="BY41" s="409"/>
      <c r="BZ41" s="409"/>
      <c r="CA41" s="409"/>
      <c r="CB41" s="409"/>
      <c r="CC41" s="409"/>
      <c r="CD41" s="415"/>
      <c r="CE41" s="411"/>
      <c r="CF41" s="409"/>
      <c r="CG41" s="436"/>
      <c r="CH41" s="409"/>
      <c r="CI41" s="409"/>
      <c r="CJ41" s="411"/>
      <c r="CK41" s="409"/>
      <c r="CL41" s="409"/>
      <c r="CM41" s="409"/>
      <c r="CN41" s="409"/>
      <c r="CO41" s="409"/>
      <c r="CP41" s="409"/>
      <c r="CQ41" s="409"/>
      <c r="CR41" s="415"/>
      <c r="CS41" s="411"/>
      <c r="CT41" s="409"/>
      <c r="CU41" s="409"/>
      <c r="CV41" s="409"/>
      <c r="CW41" s="409"/>
      <c r="CX41" s="409"/>
      <c r="CY41" s="411"/>
      <c r="CZ41" s="417"/>
      <c r="DA41" s="410"/>
      <c r="DB41" s="411"/>
      <c r="DC41" s="409"/>
      <c r="DD41" s="409"/>
      <c r="DE41" s="411"/>
      <c r="DF41" s="409"/>
      <c r="DG41" s="410"/>
      <c r="DH41" s="410"/>
      <c r="DI41" s="417"/>
      <c r="DJ41" s="410"/>
      <c r="DK41" s="411"/>
      <c r="DL41" s="409"/>
      <c r="DM41" s="409"/>
      <c r="DN41" s="409"/>
      <c r="DO41" s="409"/>
      <c r="DP41" s="409"/>
      <c r="DQ41" s="409"/>
      <c r="DR41" s="409"/>
      <c r="DS41" s="409"/>
      <c r="DT41" s="409"/>
      <c r="DU41" s="411"/>
      <c r="DV41" s="415"/>
      <c r="DW41" s="415"/>
      <c r="DX41" s="415"/>
      <c r="DY41" s="409"/>
      <c r="DZ41" s="409"/>
      <c r="EA41" s="416"/>
      <c r="EB41" s="409"/>
      <c r="EC41" s="409"/>
      <c r="ED41" s="47" t="str">
        <f>IFERROR(1/(1/SUMIFS(OVC!$O:$O,OVC!$C:$C,"="&amp;$B41,OVC!$D:$D,$C41)),"")</f>
        <v/>
      </c>
      <c r="EE41" s="36" t="str">
        <f>IFERROR(1/(1/SUMIFS(OVC!$P:$P,OVC!$C:$C,"="&amp;$B41,OVC!$D:$D,$C41)),"")</f>
        <v/>
      </c>
      <c r="EF41" s="36" t="str">
        <f>IFERROR(1/(1/SUMIFS(OVC!$Q:$Q,OVC!$C:$C,"="&amp;$B41,OVC!$D:$D,$C41)),"")</f>
        <v/>
      </c>
      <c r="EG41" s="36" t="str">
        <f>IFERROR(1/(1/SUMIFS(OVC!$R:$R,OVC!$C:$C,"="&amp;$B41,OVC!$D:$D,$C41)),"")</f>
        <v/>
      </c>
      <c r="EH41" s="33" t="str">
        <f t="shared" si="44"/>
        <v/>
      </c>
      <c r="EI41" s="33" t="str">
        <f t="shared" si="45"/>
        <v/>
      </c>
      <c r="EJ41" s="33" t="str">
        <f t="shared" si="46"/>
        <v/>
      </c>
      <c r="EK41" s="33" t="str">
        <f t="shared" si="47"/>
        <v/>
      </c>
      <c r="EL41" s="144" t="str">
        <f t="shared" si="48"/>
        <v/>
      </c>
      <c r="EM41" s="144" t="str">
        <f t="shared" si="49"/>
        <v/>
      </c>
      <c r="EN41" s="144" t="str">
        <f t="shared" si="50"/>
        <v/>
      </c>
      <c r="EO41" s="144" t="str">
        <f t="shared" si="51"/>
        <v/>
      </c>
      <c r="EP41" s="143" t="str">
        <f t="shared" si="42"/>
        <v/>
      </c>
      <c r="EQ41" s="425" t="str">
        <f t="shared" si="43"/>
        <v/>
      </c>
      <c r="ER41" s="411"/>
      <c r="ES41" s="409"/>
      <c r="ET41" s="417"/>
      <c r="EU41" s="417"/>
      <c r="EV41" s="415"/>
      <c r="EW41" s="415"/>
      <c r="EX41" s="411"/>
      <c r="EY41" s="417"/>
      <c r="EZ41" s="415"/>
      <c r="FA41" s="411"/>
      <c r="FB41" s="417"/>
      <c r="FC41" s="419"/>
    </row>
    <row r="42" spans="1:159" x14ac:dyDescent="0.2">
      <c r="A42" t="s">
        <v>8</v>
      </c>
      <c r="B42" s="5" t="s">
        <v>1070</v>
      </c>
      <c r="C42" t="s">
        <v>581</v>
      </c>
      <c r="E42" s="409"/>
      <c r="F42" s="409"/>
      <c r="G42" s="409"/>
      <c r="H42" s="409"/>
      <c r="I42" s="409"/>
      <c r="J42" s="409"/>
      <c r="K42" s="409"/>
      <c r="L42" s="409"/>
      <c r="M42" s="411"/>
      <c r="N42" s="409"/>
      <c r="O42" s="409"/>
      <c r="P42" s="409"/>
      <c r="Q42" s="409"/>
      <c r="R42" s="411"/>
      <c r="S42" s="409"/>
      <c r="T42" s="409"/>
      <c r="U42" s="411"/>
      <c r="V42" s="409"/>
      <c r="W42" s="409"/>
      <c r="X42" s="409"/>
      <c r="Y42" s="409"/>
      <c r="Z42" s="411"/>
      <c r="AA42" s="409"/>
      <c r="AB42" s="409"/>
      <c r="AC42" s="409"/>
      <c r="AD42" s="411"/>
      <c r="AE42" s="409"/>
      <c r="AF42" s="411"/>
      <c r="AG42" s="409"/>
      <c r="AH42" s="412"/>
      <c r="AI42" s="410"/>
      <c r="AJ42" s="410"/>
      <c r="AK42" s="410"/>
      <c r="AL42" s="410"/>
      <c r="AM42" s="410"/>
      <c r="AN42" s="410"/>
      <c r="AO42" s="410"/>
      <c r="AP42" s="410"/>
      <c r="AQ42" s="413"/>
      <c r="AR42" s="414"/>
      <c r="AS42" s="414"/>
      <c r="AT42" s="414"/>
      <c r="AU42" s="414"/>
      <c r="AV42" s="414"/>
      <c r="AW42" s="414"/>
      <c r="AX42" s="414"/>
      <c r="AY42" s="414"/>
      <c r="AZ42" s="410"/>
      <c r="BA42" s="411"/>
      <c r="BB42" s="415"/>
      <c r="BC42" s="415"/>
      <c r="BD42" s="409"/>
      <c r="BE42" s="411"/>
      <c r="BF42" s="409"/>
      <c r="BG42" s="409"/>
      <c r="BH42" s="411"/>
      <c r="BI42" s="409"/>
      <c r="BJ42" s="409"/>
      <c r="BK42" s="409"/>
      <c r="BL42" s="417"/>
      <c r="BM42" s="417"/>
      <c r="BN42" s="417"/>
      <c r="BO42" s="409"/>
      <c r="BP42" s="409"/>
      <c r="BQ42" s="411"/>
      <c r="BR42" s="409"/>
      <c r="BS42" s="435"/>
      <c r="BT42" s="409"/>
      <c r="BU42" s="409"/>
      <c r="BV42" s="411"/>
      <c r="BW42" s="409"/>
      <c r="BX42" s="409"/>
      <c r="BY42" s="409"/>
      <c r="BZ42" s="409"/>
      <c r="CA42" s="409"/>
      <c r="CB42" s="409"/>
      <c r="CC42" s="409"/>
      <c r="CD42" s="415"/>
      <c r="CE42" s="411"/>
      <c r="CF42" s="409"/>
      <c r="CG42" s="436"/>
      <c r="CH42" s="409"/>
      <c r="CI42" s="409"/>
      <c r="CJ42" s="411"/>
      <c r="CK42" s="409"/>
      <c r="CL42" s="409"/>
      <c r="CM42" s="409"/>
      <c r="CN42" s="409"/>
      <c r="CO42" s="409"/>
      <c r="CP42" s="409"/>
      <c r="CQ42" s="409"/>
      <c r="CR42" s="415"/>
      <c r="CS42" s="411"/>
      <c r="CT42" s="409"/>
      <c r="CU42" s="409"/>
      <c r="CV42" s="409"/>
      <c r="CW42" s="409"/>
      <c r="CX42" s="409"/>
      <c r="CY42" s="411"/>
      <c r="CZ42" s="417"/>
      <c r="DA42" s="410"/>
      <c r="DB42" s="411"/>
      <c r="DC42" s="409"/>
      <c r="DD42" s="409"/>
      <c r="DE42" s="411"/>
      <c r="DF42" s="409"/>
      <c r="DG42" s="410"/>
      <c r="DH42" s="410"/>
      <c r="DI42" s="417"/>
      <c r="DJ42" s="410"/>
      <c r="DK42" s="411"/>
      <c r="DL42" s="409"/>
      <c r="DM42" s="409"/>
      <c r="DN42" s="409"/>
      <c r="DO42" s="409"/>
      <c r="DP42" s="409"/>
      <c r="DQ42" s="409"/>
      <c r="DR42" s="409"/>
      <c r="DS42" s="409"/>
      <c r="DT42" s="409"/>
      <c r="DU42" s="411"/>
      <c r="DV42" s="415"/>
      <c r="DW42" s="415"/>
      <c r="DX42" s="415"/>
      <c r="DY42" s="409"/>
      <c r="DZ42" s="409"/>
      <c r="EA42" s="416"/>
      <c r="EB42" s="409"/>
      <c r="EC42" s="409"/>
      <c r="ED42" s="47" t="str">
        <f>IFERROR(1/(1/SUMIFS(OVC!$O:$O,OVC!$C:$C,"="&amp;$B42,OVC!$D:$D,$C42)),"")</f>
        <v/>
      </c>
      <c r="EE42" s="36" t="str">
        <f>IFERROR(1/(1/SUMIFS(OVC!$P:$P,OVC!$C:$C,"="&amp;$B42,OVC!$D:$D,$C42)),"")</f>
        <v/>
      </c>
      <c r="EF42" s="36" t="str">
        <f>IFERROR(1/(1/SUMIFS(OVC!$Q:$Q,OVC!$C:$C,"="&amp;$B42,OVC!$D:$D,$C42)),"")</f>
        <v/>
      </c>
      <c r="EG42" s="36" t="str">
        <f>IFERROR(1/(1/SUMIFS(OVC!$R:$R,OVC!$C:$C,"="&amp;$B42,OVC!$D:$D,$C42)),"")</f>
        <v/>
      </c>
      <c r="EH42" s="33" t="str">
        <f t="shared" si="44"/>
        <v/>
      </c>
      <c r="EI42" s="33" t="str">
        <f t="shared" si="45"/>
        <v/>
      </c>
      <c r="EJ42" s="33" t="str">
        <f t="shared" si="46"/>
        <v/>
      </c>
      <c r="EK42" s="33" t="str">
        <f t="shared" si="47"/>
        <v/>
      </c>
      <c r="EL42" s="144" t="str">
        <f t="shared" si="48"/>
        <v/>
      </c>
      <c r="EM42" s="144" t="str">
        <f t="shared" si="49"/>
        <v/>
      </c>
      <c r="EN42" s="144" t="str">
        <f t="shared" si="50"/>
        <v/>
      </c>
      <c r="EO42" s="144" t="str">
        <f t="shared" si="51"/>
        <v/>
      </c>
      <c r="EP42" s="143" t="str">
        <f t="shared" si="42"/>
        <v/>
      </c>
      <c r="EQ42" s="425" t="str">
        <f t="shared" si="43"/>
        <v/>
      </c>
      <c r="ER42" s="411"/>
      <c r="ES42" s="409"/>
      <c r="ET42" s="417"/>
      <c r="EU42" s="417"/>
      <c r="EV42" s="415"/>
      <c r="EW42" s="415"/>
      <c r="EX42" s="411"/>
      <c r="EY42" s="417"/>
      <c r="EZ42" s="415"/>
      <c r="FA42" s="411"/>
      <c r="FB42" s="417"/>
      <c r="FC42" s="419"/>
    </row>
    <row r="43" spans="1:159" x14ac:dyDescent="0.2">
      <c r="A43" t="s">
        <v>8</v>
      </c>
      <c r="B43" s="5" t="s">
        <v>1070</v>
      </c>
      <c r="C43" t="s">
        <v>606</v>
      </c>
      <c r="E43" s="409"/>
      <c r="F43" s="409"/>
      <c r="G43" s="409"/>
      <c r="H43" s="409"/>
      <c r="I43" s="409"/>
      <c r="J43" s="409"/>
      <c r="K43" s="409"/>
      <c r="L43" s="409"/>
      <c r="M43" s="411"/>
      <c r="N43" s="409"/>
      <c r="O43" s="409"/>
      <c r="P43" s="409"/>
      <c r="Q43" s="409"/>
      <c r="R43" s="411"/>
      <c r="S43" s="409"/>
      <c r="T43" s="409"/>
      <c r="U43" s="411"/>
      <c r="V43" s="409"/>
      <c r="W43" s="409"/>
      <c r="X43" s="409"/>
      <c r="Y43" s="409"/>
      <c r="Z43" s="411"/>
      <c r="AA43" s="409"/>
      <c r="AB43" s="409"/>
      <c r="AC43" s="409"/>
      <c r="AD43" s="411"/>
      <c r="AE43" s="409"/>
      <c r="AF43" s="411"/>
      <c r="AG43" s="409"/>
      <c r="AH43" s="412"/>
      <c r="AI43" s="410"/>
      <c r="AJ43" s="410"/>
      <c r="AK43" s="410"/>
      <c r="AL43" s="410"/>
      <c r="AM43" s="410"/>
      <c r="AN43" s="410"/>
      <c r="AO43" s="410"/>
      <c r="AP43" s="410"/>
      <c r="AQ43" s="413"/>
      <c r="AR43" s="414"/>
      <c r="AS43" s="414"/>
      <c r="AT43" s="414"/>
      <c r="AU43" s="414"/>
      <c r="AV43" s="414"/>
      <c r="AW43" s="414"/>
      <c r="AX43" s="414"/>
      <c r="AY43" s="414"/>
      <c r="AZ43" s="410"/>
      <c r="BA43" s="411"/>
      <c r="BB43" s="415"/>
      <c r="BC43" s="415"/>
      <c r="BD43" s="409"/>
      <c r="BE43" s="411"/>
      <c r="BF43" s="409"/>
      <c r="BG43" s="409"/>
      <c r="BH43" s="411"/>
      <c r="BI43" s="409"/>
      <c r="BJ43" s="409"/>
      <c r="BK43" s="409"/>
      <c r="BL43" s="417"/>
      <c r="BM43" s="417"/>
      <c r="BN43" s="417"/>
      <c r="BO43" s="409"/>
      <c r="BP43" s="409"/>
      <c r="BQ43" s="411"/>
      <c r="BR43" s="409"/>
      <c r="BS43" s="435"/>
      <c r="BT43" s="409"/>
      <c r="BU43" s="409"/>
      <c r="BV43" s="411"/>
      <c r="BW43" s="409"/>
      <c r="BX43" s="409"/>
      <c r="BY43" s="409"/>
      <c r="BZ43" s="409"/>
      <c r="CA43" s="409"/>
      <c r="CB43" s="409"/>
      <c r="CC43" s="409"/>
      <c r="CD43" s="415"/>
      <c r="CE43" s="411"/>
      <c r="CF43" s="409"/>
      <c r="CG43" s="436"/>
      <c r="CH43" s="409"/>
      <c r="CI43" s="409"/>
      <c r="CJ43" s="411"/>
      <c r="CK43" s="409"/>
      <c r="CL43" s="409"/>
      <c r="CM43" s="409"/>
      <c r="CN43" s="409"/>
      <c r="CO43" s="409"/>
      <c r="CP43" s="409"/>
      <c r="CQ43" s="409"/>
      <c r="CR43" s="415"/>
      <c r="CS43" s="411"/>
      <c r="CT43" s="409"/>
      <c r="CU43" s="409"/>
      <c r="CV43" s="409"/>
      <c r="CW43" s="409"/>
      <c r="CX43" s="409"/>
      <c r="CY43" s="411"/>
      <c r="CZ43" s="417"/>
      <c r="DA43" s="410"/>
      <c r="DB43" s="411"/>
      <c r="DC43" s="409"/>
      <c r="DD43" s="409"/>
      <c r="DE43" s="411"/>
      <c r="DF43" s="409"/>
      <c r="DG43" s="410"/>
      <c r="DH43" s="410"/>
      <c r="DI43" s="417"/>
      <c r="DJ43" s="410"/>
      <c r="DK43" s="411"/>
      <c r="DL43" s="409"/>
      <c r="DM43" s="409"/>
      <c r="DN43" s="409"/>
      <c r="DO43" s="409"/>
      <c r="DP43" s="409"/>
      <c r="DQ43" s="409"/>
      <c r="DR43" s="409"/>
      <c r="DS43" s="409"/>
      <c r="DT43" s="409"/>
      <c r="DU43" s="411"/>
      <c r="DV43" s="415"/>
      <c r="DW43" s="415"/>
      <c r="DX43" s="415"/>
      <c r="DY43" s="409"/>
      <c r="DZ43" s="409"/>
      <c r="EA43" s="416"/>
      <c r="EB43" s="409"/>
      <c r="EC43" s="409"/>
      <c r="ED43" s="47" t="str">
        <f>IFERROR(1/(1/SUMIFS(OVC!$O:$O,OVC!$C:$C,"="&amp;$B43,OVC!$D:$D,$C43)),"")</f>
        <v/>
      </c>
      <c r="EE43" s="36" t="str">
        <f>IFERROR(1/(1/SUMIFS(OVC!$P:$P,OVC!$C:$C,"="&amp;$B43,OVC!$D:$D,$C43)),"")</f>
        <v/>
      </c>
      <c r="EF43" s="36" t="str">
        <f>IFERROR(1/(1/SUMIFS(OVC!$Q:$Q,OVC!$C:$C,"="&amp;$B43,OVC!$D:$D,$C43)),"")</f>
        <v/>
      </c>
      <c r="EG43" s="36" t="str">
        <f>IFERROR(1/(1/SUMIFS(OVC!$R:$R,OVC!$C:$C,"="&amp;$B43,OVC!$D:$D,$C43)),"")</f>
        <v/>
      </c>
      <c r="EH43" s="33" t="str">
        <f t="shared" si="44"/>
        <v/>
      </c>
      <c r="EI43" s="33" t="str">
        <f t="shared" si="45"/>
        <v/>
      </c>
      <c r="EJ43" s="33" t="str">
        <f t="shared" si="46"/>
        <v/>
      </c>
      <c r="EK43" s="33" t="str">
        <f t="shared" si="47"/>
        <v/>
      </c>
      <c r="EL43" s="144" t="str">
        <f t="shared" si="48"/>
        <v/>
      </c>
      <c r="EM43" s="144" t="str">
        <f t="shared" si="49"/>
        <v/>
      </c>
      <c r="EN43" s="144" t="str">
        <f t="shared" si="50"/>
        <v/>
      </c>
      <c r="EO43" s="144" t="str">
        <f t="shared" si="51"/>
        <v/>
      </c>
      <c r="EP43" s="143" t="str">
        <f t="shared" si="42"/>
        <v/>
      </c>
      <c r="EQ43" s="425" t="str">
        <f t="shared" si="43"/>
        <v/>
      </c>
      <c r="ER43" s="411"/>
      <c r="ES43" s="409"/>
      <c r="ET43" s="417"/>
      <c r="EU43" s="417"/>
      <c r="EV43" s="415"/>
      <c r="EW43" s="415"/>
      <c r="EX43" s="411"/>
      <c r="EY43" s="417"/>
      <c r="EZ43" s="415"/>
      <c r="FA43" s="411"/>
      <c r="FB43" s="417"/>
      <c r="FC43" s="419"/>
    </row>
    <row r="44" spans="1:159" x14ac:dyDescent="0.2">
      <c r="A44" t="s">
        <v>8</v>
      </c>
      <c r="B44" s="5" t="s">
        <v>602</v>
      </c>
      <c r="C44" t="s">
        <v>581</v>
      </c>
      <c r="E44" s="409"/>
      <c r="F44" s="409"/>
      <c r="G44" s="409"/>
      <c r="H44" s="409"/>
      <c r="I44" s="409"/>
      <c r="J44" s="409"/>
      <c r="K44" s="409"/>
      <c r="L44" s="409"/>
      <c r="M44" s="411"/>
      <c r="N44" s="409"/>
      <c r="O44" s="409"/>
      <c r="P44" s="409"/>
      <c r="Q44" s="409"/>
      <c r="R44" s="411"/>
      <c r="S44" s="409"/>
      <c r="T44" s="409"/>
      <c r="U44" s="411"/>
      <c r="V44" s="409"/>
      <c r="W44" s="409"/>
      <c r="X44" s="409"/>
      <c r="Y44" s="409"/>
      <c r="Z44" s="411"/>
      <c r="AA44" s="409"/>
      <c r="AB44" s="409"/>
      <c r="AC44" s="409"/>
      <c r="AD44" s="411"/>
      <c r="AE44" s="409"/>
      <c r="AF44" s="411"/>
      <c r="AG44" s="409"/>
      <c r="AH44" s="412"/>
      <c r="AI44" s="410"/>
      <c r="AJ44" s="410"/>
      <c r="AK44" s="410"/>
      <c r="AL44" s="410"/>
      <c r="AM44" s="410"/>
      <c r="AN44" s="410"/>
      <c r="AO44" s="410"/>
      <c r="AP44" s="410"/>
      <c r="AQ44" s="413"/>
      <c r="AR44" s="414"/>
      <c r="AS44" s="414"/>
      <c r="AT44" s="414"/>
      <c r="AU44" s="414"/>
      <c r="AV44" s="414"/>
      <c r="AW44" s="414"/>
      <c r="AX44" s="414"/>
      <c r="AY44" s="414"/>
      <c r="AZ44" s="410"/>
      <c r="BA44" s="411"/>
      <c r="BB44" s="415"/>
      <c r="BC44" s="415"/>
      <c r="BD44" s="409"/>
      <c r="BE44" s="411"/>
      <c r="BF44" s="409"/>
      <c r="BG44" s="409"/>
      <c r="BH44" s="411"/>
      <c r="BI44" s="409"/>
      <c r="BJ44" s="409"/>
      <c r="BK44" s="409"/>
      <c r="BL44" s="417"/>
      <c r="BM44" s="417"/>
      <c r="BN44" s="417"/>
      <c r="BO44" s="409"/>
      <c r="BP44" s="409"/>
      <c r="BQ44" s="411"/>
      <c r="BR44" s="409"/>
      <c r="BS44" s="435"/>
      <c r="BT44" s="409"/>
      <c r="BU44" s="409"/>
      <c r="BV44" s="411"/>
      <c r="BW44" s="409"/>
      <c r="BX44" s="409"/>
      <c r="BY44" s="409"/>
      <c r="BZ44" s="409"/>
      <c r="CA44" s="409"/>
      <c r="CB44" s="409"/>
      <c r="CC44" s="409"/>
      <c r="CD44" s="415"/>
      <c r="CE44" s="411"/>
      <c r="CF44" s="409"/>
      <c r="CG44" s="436"/>
      <c r="CH44" s="409"/>
      <c r="CI44" s="409"/>
      <c r="CJ44" s="411"/>
      <c r="CK44" s="409"/>
      <c r="CL44" s="409"/>
      <c r="CM44" s="409"/>
      <c r="CN44" s="409"/>
      <c r="CO44" s="409"/>
      <c r="CP44" s="409"/>
      <c r="CQ44" s="409"/>
      <c r="CR44" s="415"/>
      <c r="CS44" s="411"/>
      <c r="CT44" s="409"/>
      <c r="CU44" s="409"/>
      <c r="CV44" s="409"/>
      <c r="CW44" s="409"/>
      <c r="CX44" s="409"/>
      <c r="CY44" s="411"/>
      <c r="CZ44" s="417"/>
      <c r="DA44" s="410"/>
      <c r="DB44" s="411"/>
      <c r="DC44" s="409"/>
      <c r="DD44" s="409"/>
      <c r="DE44" s="411"/>
      <c r="DF44" s="409"/>
      <c r="DG44" s="410"/>
      <c r="DH44" s="410"/>
      <c r="DI44" s="417"/>
      <c r="DJ44" s="410"/>
      <c r="DK44" s="411"/>
      <c r="DL44" s="409"/>
      <c r="DM44" s="409"/>
      <c r="DN44" s="409"/>
      <c r="DO44" s="409"/>
      <c r="DP44" s="409"/>
      <c r="DQ44" s="409"/>
      <c r="DR44" s="409"/>
      <c r="DS44" s="409"/>
      <c r="DT44" s="409"/>
      <c r="DU44" s="411"/>
      <c r="DV44" s="415"/>
      <c r="DW44" s="415"/>
      <c r="DX44" s="415"/>
      <c r="DY44" s="409"/>
      <c r="DZ44" s="409"/>
      <c r="EA44" s="416"/>
      <c r="EB44" s="409"/>
      <c r="EC44" s="409"/>
      <c r="ED44" s="47" t="str">
        <f>IFERROR(1/(1/SUMIFS(OVC!$O:$O,OVC!$C:$C,"="&amp;$B44,OVC!$D:$D,$C44)),"")</f>
        <v/>
      </c>
      <c r="EE44" s="36" t="str">
        <f>IFERROR(1/(1/SUMIFS(OVC!$P:$P,OVC!$C:$C,"="&amp;$B44,OVC!$D:$D,$C44)),"")</f>
        <v/>
      </c>
      <c r="EF44" s="36" t="str">
        <f>IFERROR(1/(1/SUMIFS(OVC!$Q:$Q,OVC!$C:$C,"="&amp;$B44,OVC!$D:$D,$C44)),"")</f>
        <v/>
      </c>
      <c r="EG44" s="36" t="str">
        <f>IFERROR(1/(1/SUMIFS(OVC!$R:$R,OVC!$C:$C,"="&amp;$B44,OVC!$D:$D,$C44)),"")</f>
        <v/>
      </c>
      <c r="EH44" s="33" t="str">
        <f t="shared" si="44"/>
        <v/>
      </c>
      <c r="EI44" s="33" t="str">
        <f t="shared" si="45"/>
        <v/>
      </c>
      <c r="EJ44" s="33" t="str">
        <f t="shared" si="46"/>
        <v/>
      </c>
      <c r="EK44" s="33" t="str">
        <f t="shared" si="47"/>
        <v/>
      </c>
      <c r="EL44" s="144" t="str">
        <f t="shared" si="48"/>
        <v/>
      </c>
      <c r="EM44" s="144" t="str">
        <f t="shared" si="49"/>
        <v/>
      </c>
      <c r="EN44" s="144" t="str">
        <f t="shared" si="50"/>
        <v/>
      </c>
      <c r="EO44" s="144" t="str">
        <f t="shared" si="51"/>
        <v/>
      </c>
      <c r="EP44" s="143" t="str">
        <f t="shared" si="42"/>
        <v/>
      </c>
      <c r="EQ44" s="425" t="str">
        <f t="shared" si="43"/>
        <v/>
      </c>
      <c r="ER44" s="411"/>
      <c r="ES44" s="409"/>
      <c r="ET44" s="417"/>
      <c r="EU44" s="417"/>
      <c r="EV44" s="415"/>
      <c r="EW44" s="415"/>
      <c r="EX44" s="411"/>
      <c r="EY44" s="417"/>
      <c r="EZ44" s="415"/>
      <c r="FA44" s="411"/>
      <c r="FB44" s="417"/>
      <c r="FC44" s="419"/>
    </row>
    <row r="45" spans="1:159" x14ac:dyDescent="0.2">
      <c r="A45" t="s">
        <v>8</v>
      </c>
      <c r="B45" s="5" t="s">
        <v>602</v>
      </c>
      <c r="C45" t="s">
        <v>606</v>
      </c>
      <c r="E45" s="409"/>
      <c r="F45" s="409"/>
      <c r="G45" s="409"/>
      <c r="H45" s="409"/>
      <c r="I45" s="409"/>
      <c r="J45" s="409"/>
      <c r="K45" s="409"/>
      <c r="L45" s="409"/>
      <c r="M45" s="411"/>
      <c r="N45" s="409"/>
      <c r="O45" s="409"/>
      <c r="P45" s="409"/>
      <c r="Q45" s="409"/>
      <c r="R45" s="411"/>
      <c r="S45" s="409"/>
      <c r="T45" s="409"/>
      <c r="U45" s="411"/>
      <c r="V45" s="409"/>
      <c r="W45" s="409"/>
      <c r="X45" s="409"/>
      <c r="Y45" s="409"/>
      <c r="Z45" s="411"/>
      <c r="AA45" s="409"/>
      <c r="AB45" s="409"/>
      <c r="AC45" s="409"/>
      <c r="AD45" s="411"/>
      <c r="AE45" s="409"/>
      <c r="AF45" s="411"/>
      <c r="AG45" s="409"/>
      <c r="AH45" s="412"/>
      <c r="AI45" s="410"/>
      <c r="AJ45" s="410"/>
      <c r="AK45" s="410"/>
      <c r="AL45" s="410"/>
      <c r="AM45" s="410"/>
      <c r="AN45" s="410"/>
      <c r="AO45" s="410"/>
      <c r="AP45" s="410"/>
      <c r="AQ45" s="413"/>
      <c r="AR45" s="414"/>
      <c r="AS45" s="414"/>
      <c r="AT45" s="414"/>
      <c r="AU45" s="414"/>
      <c r="AV45" s="414"/>
      <c r="AW45" s="414"/>
      <c r="AX45" s="414"/>
      <c r="AY45" s="414"/>
      <c r="AZ45" s="410"/>
      <c r="BA45" s="411"/>
      <c r="BB45" s="415"/>
      <c r="BC45" s="415"/>
      <c r="BD45" s="409"/>
      <c r="BE45" s="411"/>
      <c r="BF45" s="409"/>
      <c r="BG45" s="409"/>
      <c r="BH45" s="411"/>
      <c r="BI45" s="409"/>
      <c r="BJ45" s="409"/>
      <c r="BK45" s="409"/>
      <c r="BL45" s="417"/>
      <c r="BM45" s="417"/>
      <c r="BN45" s="417"/>
      <c r="BO45" s="409"/>
      <c r="BP45" s="409"/>
      <c r="BQ45" s="411"/>
      <c r="BR45" s="409"/>
      <c r="BS45" s="435"/>
      <c r="BT45" s="409"/>
      <c r="BU45" s="409"/>
      <c r="BV45" s="411"/>
      <c r="BW45" s="409"/>
      <c r="BX45" s="409"/>
      <c r="BY45" s="409"/>
      <c r="BZ45" s="409"/>
      <c r="CA45" s="409"/>
      <c r="CB45" s="409"/>
      <c r="CC45" s="409"/>
      <c r="CD45" s="415"/>
      <c r="CE45" s="411"/>
      <c r="CF45" s="409"/>
      <c r="CG45" s="436"/>
      <c r="CH45" s="409"/>
      <c r="CI45" s="409"/>
      <c r="CJ45" s="411"/>
      <c r="CK45" s="409"/>
      <c r="CL45" s="409"/>
      <c r="CM45" s="409"/>
      <c r="CN45" s="409"/>
      <c r="CO45" s="409"/>
      <c r="CP45" s="409"/>
      <c r="CQ45" s="409"/>
      <c r="CR45" s="415"/>
      <c r="CS45" s="411"/>
      <c r="CT45" s="409"/>
      <c r="CU45" s="409"/>
      <c r="CV45" s="409"/>
      <c r="CW45" s="409"/>
      <c r="CX45" s="409"/>
      <c r="CY45" s="411"/>
      <c r="CZ45" s="417"/>
      <c r="DA45" s="410"/>
      <c r="DB45" s="411"/>
      <c r="DC45" s="409"/>
      <c r="DD45" s="409"/>
      <c r="DE45" s="411"/>
      <c r="DF45" s="409"/>
      <c r="DG45" s="410"/>
      <c r="DH45" s="410"/>
      <c r="DI45" s="417"/>
      <c r="DJ45" s="410"/>
      <c r="DK45" s="411"/>
      <c r="DL45" s="409"/>
      <c r="DM45" s="409"/>
      <c r="DN45" s="409"/>
      <c r="DO45" s="409"/>
      <c r="DP45" s="409"/>
      <c r="DQ45" s="409"/>
      <c r="DR45" s="409"/>
      <c r="DS45" s="409"/>
      <c r="DT45" s="409"/>
      <c r="DU45" s="411"/>
      <c r="DV45" s="415"/>
      <c r="DW45" s="415"/>
      <c r="DX45" s="415"/>
      <c r="DY45" s="409"/>
      <c r="DZ45" s="409"/>
      <c r="EA45" s="416"/>
      <c r="EB45" s="409"/>
      <c r="EC45" s="409"/>
      <c r="ED45" s="47" t="str">
        <f>IFERROR(1/(1/SUMIFS(OVC!$O:$O,OVC!$C:$C,"="&amp;$B45,OVC!$D:$D,$C45)),"")</f>
        <v/>
      </c>
      <c r="EE45" s="36" t="str">
        <f>IFERROR(1/(1/SUMIFS(OVC!$P:$P,OVC!$C:$C,"="&amp;$B45,OVC!$D:$D,$C45)),"")</f>
        <v/>
      </c>
      <c r="EF45" s="36" t="str">
        <f>IFERROR(1/(1/SUMIFS(OVC!$Q:$Q,OVC!$C:$C,"="&amp;$B45,OVC!$D:$D,$C45)),"")</f>
        <v/>
      </c>
      <c r="EG45" s="36" t="str">
        <f>IFERROR(1/(1/SUMIFS(OVC!$R:$R,OVC!$C:$C,"="&amp;$B45,OVC!$D:$D,$C45)),"")</f>
        <v/>
      </c>
      <c r="EH45" s="33" t="str">
        <f t="shared" si="44"/>
        <v/>
      </c>
      <c r="EI45" s="33" t="str">
        <f t="shared" si="45"/>
        <v/>
      </c>
      <c r="EJ45" s="33" t="str">
        <f t="shared" si="46"/>
        <v/>
      </c>
      <c r="EK45" s="33" t="str">
        <f t="shared" si="47"/>
        <v/>
      </c>
      <c r="EL45" s="144" t="str">
        <f t="shared" si="48"/>
        <v/>
      </c>
      <c r="EM45" s="144" t="str">
        <f t="shared" si="49"/>
        <v/>
      </c>
      <c r="EN45" s="144" t="str">
        <f t="shared" si="50"/>
        <v/>
      </c>
      <c r="EO45" s="144" t="str">
        <f t="shared" si="51"/>
        <v/>
      </c>
      <c r="EP45" s="143" t="str">
        <f t="shared" si="42"/>
        <v/>
      </c>
      <c r="EQ45" s="425" t="str">
        <f t="shared" si="43"/>
        <v/>
      </c>
      <c r="ER45" s="411"/>
      <c r="ES45" s="409"/>
      <c r="ET45" s="417"/>
      <c r="EU45" s="417"/>
      <c r="EV45" s="415"/>
      <c r="EW45" s="415"/>
      <c r="EX45" s="411"/>
      <c r="EY45" s="417"/>
      <c r="EZ45" s="415"/>
      <c r="FA45" s="411"/>
      <c r="FB45" s="417"/>
      <c r="FC45" s="419"/>
    </row>
    <row r="46" spans="1:159" x14ac:dyDescent="0.2">
      <c r="A46" t="s">
        <v>8</v>
      </c>
      <c r="B46" s="5" t="s">
        <v>1071</v>
      </c>
      <c r="C46" t="s">
        <v>581</v>
      </c>
      <c r="E46" s="409"/>
      <c r="F46" s="409"/>
      <c r="G46" s="409"/>
      <c r="H46" s="409"/>
      <c r="I46" s="409"/>
      <c r="J46" s="409"/>
      <c r="K46" s="409"/>
      <c r="L46" s="409"/>
      <c r="M46" s="411"/>
      <c r="N46" s="409"/>
      <c r="O46" s="409"/>
      <c r="P46" s="409"/>
      <c r="Q46" s="409"/>
      <c r="R46" s="411"/>
      <c r="S46" s="409"/>
      <c r="T46" s="409"/>
      <c r="U46" s="411"/>
      <c r="V46" s="409"/>
      <c r="W46" s="409"/>
      <c r="X46" s="409"/>
      <c r="Y46" s="409"/>
      <c r="Z46" s="411"/>
      <c r="AA46" s="409"/>
      <c r="AB46" s="409"/>
      <c r="AC46" s="409"/>
      <c r="AD46" s="411"/>
      <c r="AE46" s="409"/>
      <c r="AF46" s="411"/>
      <c r="AG46" s="409"/>
      <c r="AH46" s="412"/>
      <c r="AI46" s="410"/>
      <c r="AJ46" s="410"/>
      <c r="AK46" s="410"/>
      <c r="AL46" s="410"/>
      <c r="AM46" s="410"/>
      <c r="AN46" s="410"/>
      <c r="AO46" s="410"/>
      <c r="AP46" s="410"/>
      <c r="AQ46" s="413"/>
      <c r="AR46" s="414"/>
      <c r="AS46" s="414"/>
      <c r="AT46" s="414"/>
      <c r="AU46" s="414"/>
      <c r="AV46" s="414"/>
      <c r="AW46" s="414"/>
      <c r="AX46" s="414"/>
      <c r="AY46" s="414"/>
      <c r="AZ46" s="410"/>
      <c r="BA46" s="411"/>
      <c r="BB46" s="415"/>
      <c r="BC46" s="415"/>
      <c r="BD46" s="409"/>
      <c r="BE46" s="411"/>
      <c r="BF46" s="409"/>
      <c r="BG46" s="409"/>
      <c r="BH46" s="411"/>
      <c r="BI46" s="409"/>
      <c r="BJ46" s="409"/>
      <c r="BK46" s="409"/>
      <c r="BL46" s="417"/>
      <c r="BM46" s="417"/>
      <c r="BN46" s="417"/>
      <c r="BO46" s="409"/>
      <c r="BP46" s="409"/>
      <c r="BQ46" s="411"/>
      <c r="BR46" s="409"/>
      <c r="BS46" s="435"/>
      <c r="BT46" s="409"/>
      <c r="BU46" s="409"/>
      <c r="BV46" s="411"/>
      <c r="BW46" s="409"/>
      <c r="BX46" s="409"/>
      <c r="BY46" s="409"/>
      <c r="BZ46" s="409"/>
      <c r="CA46" s="409"/>
      <c r="CB46" s="409"/>
      <c r="CC46" s="409"/>
      <c r="CD46" s="415"/>
      <c r="CE46" s="411"/>
      <c r="CF46" s="409"/>
      <c r="CG46" s="436"/>
      <c r="CH46" s="409"/>
      <c r="CI46" s="409"/>
      <c r="CJ46" s="411"/>
      <c r="CK46" s="409"/>
      <c r="CL46" s="409"/>
      <c r="CM46" s="409"/>
      <c r="CN46" s="409"/>
      <c r="CO46" s="409"/>
      <c r="CP46" s="409"/>
      <c r="CQ46" s="409"/>
      <c r="CR46" s="415"/>
      <c r="CS46" s="411"/>
      <c r="CT46" s="409"/>
      <c r="CU46" s="409"/>
      <c r="CV46" s="409"/>
      <c r="CW46" s="409"/>
      <c r="CX46" s="409"/>
      <c r="CY46" s="411"/>
      <c r="CZ46" s="417"/>
      <c r="DA46" s="410"/>
      <c r="DB46" s="411"/>
      <c r="DC46" s="409"/>
      <c r="DD46" s="409"/>
      <c r="DE46" s="411"/>
      <c r="DF46" s="409"/>
      <c r="DG46" s="410"/>
      <c r="DH46" s="410"/>
      <c r="DI46" s="417"/>
      <c r="DJ46" s="410"/>
      <c r="DK46" s="411"/>
      <c r="DL46" s="409"/>
      <c r="DM46" s="409"/>
      <c r="DN46" s="409"/>
      <c r="DO46" s="409"/>
      <c r="DP46" s="409"/>
      <c r="DQ46" s="409"/>
      <c r="DR46" s="409"/>
      <c r="DS46" s="409"/>
      <c r="DT46" s="409"/>
      <c r="DU46" s="411"/>
      <c r="DV46" s="415"/>
      <c r="DW46" s="415"/>
      <c r="DX46" s="415"/>
      <c r="DY46" s="409"/>
      <c r="DZ46" s="409"/>
      <c r="EA46" s="416"/>
      <c r="EB46" s="409"/>
      <c r="EC46" s="409"/>
      <c r="ED46" s="47" t="str">
        <f>IFERROR(1/(1/SUMIFS(OVC!$O:$O,OVC!$C:$C,"="&amp;$B46,OVC!$D:$D,$C46)),"")</f>
        <v/>
      </c>
      <c r="EE46" s="36" t="str">
        <f>IFERROR(1/(1/SUMIFS(OVC!$P:$P,OVC!$C:$C,"="&amp;$B46,OVC!$D:$D,$C46)),"")</f>
        <v/>
      </c>
      <c r="EF46" s="36" t="str">
        <f>IFERROR(1/(1/SUMIFS(OVC!$Q:$Q,OVC!$C:$C,"="&amp;$B46,OVC!$D:$D,$C46)),"")</f>
        <v/>
      </c>
      <c r="EG46" s="36" t="str">
        <f>IFERROR(1/(1/SUMIFS(OVC!$R:$R,OVC!$C:$C,"="&amp;$B46,OVC!$D:$D,$C46)),"")</f>
        <v/>
      </c>
      <c r="EH46" s="33" t="str">
        <f t="shared" si="44"/>
        <v/>
      </c>
      <c r="EI46" s="33" t="str">
        <f t="shared" si="45"/>
        <v/>
      </c>
      <c r="EJ46" s="33" t="str">
        <f t="shared" si="46"/>
        <v/>
      </c>
      <c r="EK46" s="33" t="str">
        <f t="shared" si="47"/>
        <v/>
      </c>
      <c r="EL46" s="144" t="str">
        <f t="shared" si="48"/>
        <v/>
      </c>
      <c r="EM46" s="144" t="str">
        <f t="shared" si="49"/>
        <v/>
      </c>
      <c r="EN46" s="144" t="str">
        <f t="shared" si="50"/>
        <v/>
      </c>
      <c r="EO46" s="144" t="str">
        <f t="shared" si="51"/>
        <v/>
      </c>
      <c r="EP46" s="143" t="str">
        <f t="shared" si="42"/>
        <v/>
      </c>
      <c r="EQ46" s="425" t="str">
        <f t="shared" si="43"/>
        <v/>
      </c>
      <c r="ER46" s="411"/>
      <c r="ES46" s="409"/>
      <c r="ET46" s="417"/>
      <c r="EU46" s="417"/>
      <c r="EV46" s="415"/>
      <c r="EW46" s="415"/>
      <c r="EX46" s="411"/>
      <c r="EY46" s="417"/>
      <c r="EZ46" s="415"/>
      <c r="FA46" s="411"/>
      <c r="FB46" s="417"/>
      <c r="FC46" s="419"/>
    </row>
    <row r="47" spans="1:159" x14ac:dyDescent="0.2">
      <c r="A47" t="s">
        <v>8</v>
      </c>
      <c r="B47" s="5" t="s">
        <v>1071</v>
      </c>
      <c r="C47" t="s">
        <v>606</v>
      </c>
      <c r="E47" s="409"/>
      <c r="F47" s="409"/>
      <c r="G47" s="409"/>
      <c r="H47" s="409"/>
      <c r="I47" s="409"/>
      <c r="J47" s="409"/>
      <c r="K47" s="409"/>
      <c r="L47" s="409"/>
      <c r="M47" s="411"/>
      <c r="N47" s="409"/>
      <c r="O47" s="409"/>
      <c r="P47" s="409"/>
      <c r="Q47" s="409"/>
      <c r="R47" s="411"/>
      <c r="S47" s="409"/>
      <c r="T47" s="409"/>
      <c r="U47" s="411"/>
      <c r="V47" s="409"/>
      <c r="W47" s="409"/>
      <c r="X47" s="409"/>
      <c r="Y47" s="409"/>
      <c r="Z47" s="411"/>
      <c r="AA47" s="409"/>
      <c r="AB47" s="409"/>
      <c r="AC47" s="409"/>
      <c r="AD47" s="411"/>
      <c r="AE47" s="409"/>
      <c r="AF47" s="411"/>
      <c r="AG47" s="409"/>
      <c r="AH47" s="412"/>
      <c r="AI47" s="410"/>
      <c r="AJ47" s="410"/>
      <c r="AK47" s="410"/>
      <c r="AL47" s="410"/>
      <c r="AM47" s="410"/>
      <c r="AN47" s="410"/>
      <c r="AO47" s="410"/>
      <c r="AP47" s="410"/>
      <c r="AQ47" s="413"/>
      <c r="AR47" s="414"/>
      <c r="AS47" s="414"/>
      <c r="AT47" s="414"/>
      <c r="AU47" s="414"/>
      <c r="AV47" s="414"/>
      <c r="AW47" s="414"/>
      <c r="AX47" s="414"/>
      <c r="AY47" s="414"/>
      <c r="AZ47" s="410"/>
      <c r="BA47" s="411"/>
      <c r="BB47" s="415"/>
      <c r="BC47" s="415"/>
      <c r="BD47" s="409"/>
      <c r="BE47" s="411"/>
      <c r="BF47" s="409"/>
      <c r="BG47" s="409"/>
      <c r="BH47" s="411"/>
      <c r="BI47" s="409"/>
      <c r="BJ47" s="409"/>
      <c r="BK47" s="409"/>
      <c r="BL47" s="417"/>
      <c r="BM47" s="417"/>
      <c r="BN47" s="417"/>
      <c r="BO47" s="409"/>
      <c r="BP47" s="409"/>
      <c r="BQ47" s="411"/>
      <c r="BR47" s="409"/>
      <c r="BS47" s="435"/>
      <c r="BT47" s="409"/>
      <c r="BU47" s="409"/>
      <c r="BV47" s="411"/>
      <c r="BW47" s="409"/>
      <c r="BX47" s="409"/>
      <c r="BY47" s="409"/>
      <c r="BZ47" s="409"/>
      <c r="CA47" s="409"/>
      <c r="CB47" s="409"/>
      <c r="CC47" s="409"/>
      <c r="CD47" s="415"/>
      <c r="CE47" s="411"/>
      <c r="CF47" s="409"/>
      <c r="CG47" s="436"/>
      <c r="CH47" s="409"/>
      <c r="CI47" s="409"/>
      <c r="CJ47" s="411"/>
      <c r="CK47" s="409"/>
      <c r="CL47" s="409"/>
      <c r="CM47" s="409"/>
      <c r="CN47" s="409"/>
      <c r="CO47" s="409"/>
      <c r="CP47" s="409"/>
      <c r="CQ47" s="409"/>
      <c r="CR47" s="415"/>
      <c r="CS47" s="411"/>
      <c r="CT47" s="409"/>
      <c r="CU47" s="409"/>
      <c r="CV47" s="409"/>
      <c r="CW47" s="409"/>
      <c r="CX47" s="409"/>
      <c r="CY47" s="411"/>
      <c r="CZ47" s="417"/>
      <c r="DA47" s="410"/>
      <c r="DB47" s="411"/>
      <c r="DC47" s="409"/>
      <c r="DD47" s="409"/>
      <c r="DE47" s="411"/>
      <c r="DF47" s="409"/>
      <c r="DG47" s="410"/>
      <c r="DH47" s="410"/>
      <c r="DI47" s="417"/>
      <c r="DJ47" s="410"/>
      <c r="DK47" s="411"/>
      <c r="DL47" s="409"/>
      <c r="DM47" s="409"/>
      <c r="DN47" s="409"/>
      <c r="DO47" s="409"/>
      <c r="DP47" s="409"/>
      <c r="DQ47" s="409"/>
      <c r="DR47" s="409"/>
      <c r="DS47" s="409"/>
      <c r="DT47" s="409"/>
      <c r="DU47" s="411"/>
      <c r="DV47" s="415"/>
      <c r="DW47" s="415"/>
      <c r="DX47" s="415"/>
      <c r="DY47" s="409"/>
      <c r="DZ47" s="409"/>
      <c r="EA47" s="416"/>
      <c r="EB47" s="409"/>
      <c r="EC47" s="409"/>
      <c r="ED47" s="47" t="str">
        <f>IFERROR(1/(1/SUMIFS(OVC!$O:$O,OVC!$C:$C,"="&amp;$B47,OVC!$D:$D,$C47)),"")</f>
        <v/>
      </c>
      <c r="EE47" s="36" t="str">
        <f>IFERROR(1/(1/SUMIFS(OVC!$P:$P,OVC!$C:$C,"="&amp;$B47,OVC!$D:$D,$C47)),"")</f>
        <v/>
      </c>
      <c r="EF47" s="36" t="str">
        <f>IFERROR(1/(1/SUMIFS(OVC!$Q:$Q,OVC!$C:$C,"="&amp;$B47,OVC!$D:$D,$C47)),"")</f>
        <v/>
      </c>
      <c r="EG47" s="36" t="str">
        <f>IFERROR(1/(1/SUMIFS(OVC!$R:$R,OVC!$C:$C,"="&amp;$B47,OVC!$D:$D,$C47)),"")</f>
        <v/>
      </c>
      <c r="EH47" s="33" t="str">
        <f t="shared" si="44"/>
        <v/>
      </c>
      <c r="EI47" s="33" t="str">
        <f t="shared" si="45"/>
        <v/>
      </c>
      <c r="EJ47" s="33" t="str">
        <f t="shared" si="46"/>
        <v/>
      </c>
      <c r="EK47" s="33" t="str">
        <f t="shared" si="47"/>
        <v/>
      </c>
      <c r="EL47" s="144" t="str">
        <f t="shared" si="48"/>
        <v/>
      </c>
      <c r="EM47" s="144" t="str">
        <f t="shared" si="49"/>
        <v/>
      </c>
      <c r="EN47" s="144" t="str">
        <f t="shared" si="50"/>
        <v/>
      </c>
      <c r="EO47" s="144" t="str">
        <f t="shared" si="51"/>
        <v/>
      </c>
      <c r="EP47" s="143" t="str">
        <f t="shared" si="42"/>
        <v/>
      </c>
      <c r="EQ47" s="425" t="str">
        <f t="shared" si="43"/>
        <v/>
      </c>
      <c r="ER47" s="411"/>
      <c r="ES47" s="409"/>
      <c r="ET47" s="417"/>
      <c r="EU47" s="417"/>
      <c r="EV47" s="415"/>
      <c r="EW47" s="415"/>
      <c r="EX47" s="411"/>
      <c r="EY47" s="417"/>
      <c r="EZ47" s="415"/>
      <c r="FA47" s="411"/>
      <c r="FB47" s="417"/>
      <c r="FC47" s="419"/>
    </row>
    <row r="48" spans="1:159" x14ac:dyDescent="0.2">
      <c r="A48" t="s">
        <v>8</v>
      </c>
      <c r="B48" s="5" t="s">
        <v>1072</v>
      </c>
      <c r="C48" t="s">
        <v>581</v>
      </c>
      <c r="E48" s="409"/>
      <c r="F48" s="409"/>
      <c r="G48" s="409"/>
      <c r="H48" s="409"/>
      <c r="I48" s="409"/>
      <c r="J48" s="409"/>
      <c r="K48" s="409"/>
      <c r="L48" s="409"/>
      <c r="M48" s="411"/>
      <c r="N48" s="409"/>
      <c r="O48" s="409"/>
      <c r="P48" s="409"/>
      <c r="Q48" s="409"/>
      <c r="R48" s="411"/>
      <c r="S48" s="409"/>
      <c r="T48" s="409"/>
      <c r="U48" s="411"/>
      <c r="V48" s="409"/>
      <c r="W48" s="409"/>
      <c r="X48" s="409"/>
      <c r="Y48" s="409"/>
      <c r="Z48" s="411"/>
      <c r="AA48" s="409"/>
      <c r="AB48" s="409"/>
      <c r="AC48" s="409"/>
      <c r="AD48" s="411"/>
      <c r="AE48" s="409"/>
      <c r="AF48" s="411"/>
      <c r="AG48" s="409"/>
      <c r="AH48" s="412"/>
      <c r="AI48" s="410"/>
      <c r="AJ48" s="410"/>
      <c r="AK48" s="410"/>
      <c r="AL48" s="410"/>
      <c r="AM48" s="410"/>
      <c r="AN48" s="410"/>
      <c r="AO48" s="410"/>
      <c r="AP48" s="410"/>
      <c r="AQ48" s="413"/>
      <c r="AR48" s="414"/>
      <c r="AS48" s="414"/>
      <c r="AT48" s="414"/>
      <c r="AU48" s="414"/>
      <c r="AV48" s="414"/>
      <c r="AW48" s="414"/>
      <c r="AX48" s="414"/>
      <c r="AY48" s="414"/>
      <c r="AZ48" s="410"/>
      <c r="BA48" s="411"/>
      <c r="BB48" s="415"/>
      <c r="BC48" s="415"/>
      <c r="BD48" s="409"/>
      <c r="BE48" s="411"/>
      <c r="BF48" s="409"/>
      <c r="BG48" s="409"/>
      <c r="BH48" s="411"/>
      <c r="BI48" s="409"/>
      <c r="BJ48" s="409"/>
      <c r="BK48" s="409"/>
      <c r="BL48" s="417"/>
      <c r="BM48" s="417"/>
      <c r="BN48" s="417"/>
      <c r="BO48" s="409"/>
      <c r="BP48" s="409"/>
      <c r="BQ48" s="411"/>
      <c r="BR48" s="409"/>
      <c r="BS48" s="435"/>
      <c r="BT48" s="409"/>
      <c r="BU48" s="409"/>
      <c r="BV48" s="411"/>
      <c r="BW48" s="409"/>
      <c r="BX48" s="409"/>
      <c r="BY48" s="409"/>
      <c r="BZ48" s="409"/>
      <c r="CA48" s="409"/>
      <c r="CB48" s="409"/>
      <c r="CC48" s="409"/>
      <c r="CD48" s="415"/>
      <c r="CE48" s="411"/>
      <c r="CF48" s="409"/>
      <c r="CG48" s="436"/>
      <c r="CH48" s="409"/>
      <c r="CI48" s="409"/>
      <c r="CJ48" s="411"/>
      <c r="CK48" s="409"/>
      <c r="CL48" s="409"/>
      <c r="CM48" s="409"/>
      <c r="CN48" s="409"/>
      <c r="CO48" s="409"/>
      <c r="CP48" s="409"/>
      <c r="CQ48" s="409"/>
      <c r="CR48" s="415"/>
      <c r="CS48" s="411"/>
      <c r="CT48" s="409"/>
      <c r="CU48" s="409"/>
      <c r="CV48" s="409"/>
      <c r="CW48" s="409"/>
      <c r="CX48" s="409"/>
      <c r="CY48" s="411"/>
      <c r="CZ48" s="417"/>
      <c r="DA48" s="410"/>
      <c r="DB48" s="411"/>
      <c r="DC48" s="409"/>
      <c r="DD48" s="409"/>
      <c r="DE48" s="411"/>
      <c r="DF48" s="409"/>
      <c r="DG48" s="410"/>
      <c r="DH48" s="410"/>
      <c r="DI48" s="417"/>
      <c r="DJ48" s="410"/>
      <c r="DK48" s="411"/>
      <c r="DL48" s="409"/>
      <c r="DM48" s="409"/>
      <c r="DN48" s="409"/>
      <c r="DO48" s="409"/>
      <c r="DP48" s="409"/>
      <c r="DQ48" s="409"/>
      <c r="DR48" s="409"/>
      <c r="DS48" s="409"/>
      <c r="DT48" s="409"/>
      <c r="DU48" s="411"/>
      <c r="DV48" s="415"/>
      <c r="DW48" s="415"/>
      <c r="DX48" s="415"/>
      <c r="DY48" s="409"/>
      <c r="DZ48" s="409"/>
      <c r="EA48" s="416"/>
      <c r="EB48" s="409"/>
      <c r="EC48" s="409"/>
      <c r="ED48" s="47" t="str">
        <f>IFERROR(1/(1/SUMIFS(OVC!$O:$O,OVC!$C:$C,"="&amp;$B48,OVC!$D:$D,$C48)),"")</f>
        <v/>
      </c>
      <c r="EE48" s="36" t="str">
        <f>IFERROR(1/(1/SUMIFS(OVC!$P:$P,OVC!$C:$C,"="&amp;$B48,OVC!$D:$D,$C48)),"")</f>
        <v/>
      </c>
      <c r="EF48" s="36" t="str">
        <f>IFERROR(1/(1/SUMIFS(OVC!$Q:$Q,OVC!$C:$C,"="&amp;$B48,OVC!$D:$D,$C48)),"")</f>
        <v/>
      </c>
      <c r="EG48" s="36" t="str">
        <f>IFERROR(1/(1/SUMIFS(OVC!$R:$R,OVC!$C:$C,"="&amp;$B48,OVC!$D:$D,$C48)),"")</f>
        <v/>
      </c>
      <c r="EH48" s="33" t="str">
        <f t="shared" si="44"/>
        <v/>
      </c>
      <c r="EI48" s="33" t="str">
        <f t="shared" si="45"/>
        <v/>
      </c>
      <c r="EJ48" s="33" t="str">
        <f t="shared" si="46"/>
        <v/>
      </c>
      <c r="EK48" s="33" t="str">
        <f t="shared" si="47"/>
        <v/>
      </c>
      <c r="EL48" s="144" t="str">
        <f t="shared" si="48"/>
        <v/>
      </c>
      <c r="EM48" s="144" t="str">
        <f t="shared" si="49"/>
        <v/>
      </c>
      <c r="EN48" s="144" t="str">
        <f t="shared" si="50"/>
        <v/>
      </c>
      <c r="EO48" s="144" t="str">
        <f t="shared" si="51"/>
        <v/>
      </c>
      <c r="EP48" s="416"/>
      <c r="EQ48" s="424"/>
      <c r="ER48" s="411"/>
      <c r="ES48" s="409"/>
      <c r="ET48" s="417"/>
      <c r="EU48" s="417"/>
      <c r="EV48" s="415"/>
      <c r="EW48" s="415"/>
      <c r="EX48" s="411"/>
      <c r="EY48" s="417"/>
      <c r="EZ48" s="415"/>
      <c r="FA48" s="411"/>
      <c r="FB48" s="417"/>
      <c r="FC48" s="419"/>
    </row>
    <row r="49" spans="1:159" x14ac:dyDescent="0.2">
      <c r="A49" t="s">
        <v>8</v>
      </c>
      <c r="B49" s="5" t="s">
        <v>1072</v>
      </c>
      <c r="C49" t="s">
        <v>606</v>
      </c>
      <c r="E49" s="409"/>
      <c r="F49" s="409"/>
      <c r="G49" s="409"/>
      <c r="H49" s="409"/>
      <c r="I49" s="409"/>
      <c r="J49" s="409"/>
      <c r="K49" s="409"/>
      <c r="L49" s="409"/>
      <c r="M49" s="411"/>
      <c r="N49" s="409"/>
      <c r="O49" s="409"/>
      <c r="P49" s="409"/>
      <c r="Q49" s="409"/>
      <c r="R49" s="411"/>
      <c r="S49" s="409"/>
      <c r="T49" s="409"/>
      <c r="U49" s="411"/>
      <c r="V49" s="409"/>
      <c r="W49" s="409"/>
      <c r="X49" s="409"/>
      <c r="Y49" s="409"/>
      <c r="Z49" s="411"/>
      <c r="AA49" s="409"/>
      <c r="AB49" s="409"/>
      <c r="AC49" s="409"/>
      <c r="AD49" s="411"/>
      <c r="AE49" s="409"/>
      <c r="AF49" s="411"/>
      <c r="AG49" s="409"/>
      <c r="AH49" s="412"/>
      <c r="AI49" s="410"/>
      <c r="AJ49" s="410"/>
      <c r="AK49" s="410"/>
      <c r="AL49" s="410"/>
      <c r="AM49" s="410"/>
      <c r="AN49" s="410"/>
      <c r="AO49" s="410"/>
      <c r="AP49" s="410"/>
      <c r="AQ49" s="413"/>
      <c r="AR49" s="414"/>
      <c r="AS49" s="414"/>
      <c r="AT49" s="414"/>
      <c r="AU49" s="414"/>
      <c r="AV49" s="414"/>
      <c r="AW49" s="414"/>
      <c r="AX49" s="414"/>
      <c r="AY49" s="414"/>
      <c r="AZ49" s="410"/>
      <c r="BA49" s="411"/>
      <c r="BB49" s="415"/>
      <c r="BC49" s="415"/>
      <c r="BD49" s="409"/>
      <c r="BE49" s="411"/>
      <c r="BF49" s="409"/>
      <c r="BG49" s="409"/>
      <c r="BH49" s="411"/>
      <c r="BI49" s="409"/>
      <c r="BJ49" s="409"/>
      <c r="BK49" s="409"/>
      <c r="BL49" s="417"/>
      <c r="BM49" s="417"/>
      <c r="BN49" s="417"/>
      <c r="BO49" s="409"/>
      <c r="BP49" s="409"/>
      <c r="BQ49" s="411"/>
      <c r="BR49" s="409"/>
      <c r="BS49" s="435"/>
      <c r="BT49" s="409"/>
      <c r="BU49" s="409"/>
      <c r="BV49" s="411"/>
      <c r="BW49" s="409"/>
      <c r="BX49" s="409"/>
      <c r="BY49" s="409"/>
      <c r="BZ49" s="409"/>
      <c r="CA49" s="409"/>
      <c r="CB49" s="409"/>
      <c r="CC49" s="409"/>
      <c r="CD49" s="415"/>
      <c r="CE49" s="411"/>
      <c r="CF49" s="409"/>
      <c r="CG49" s="436"/>
      <c r="CH49" s="409"/>
      <c r="CI49" s="409"/>
      <c r="CJ49" s="411"/>
      <c r="CK49" s="409"/>
      <c r="CL49" s="409"/>
      <c r="CM49" s="409"/>
      <c r="CN49" s="409"/>
      <c r="CO49" s="409"/>
      <c r="CP49" s="409"/>
      <c r="CQ49" s="409"/>
      <c r="CR49" s="415"/>
      <c r="CS49" s="411"/>
      <c r="CT49" s="409"/>
      <c r="CU49" s="409"/>
      <c r="CV49" s="409"/>
      <c r="CW49" s="409"/>
      <c r="CX49" s="409"/>
      <c r="CY49" s="411"/>
      <c r="CZ49" s="417"/>
      <c r="DA49" s="410"/>
      <c r="DB49" s="411"/>
      <c r="DC49" s="409"/>
      <c r="DD49" s="409"/>
      <c r="DE49" s="411"/>
      <c r="DF49" s="409"/>
      <c r="DG49" s="410"/>
      <c r="DH49" s="410"/>
      <c r="DI49" s="417"/>
      <c r="DJ49" s="410"/>
      <c r="DK49" s="411"/>
      <c r="DL49" s="409"/>
      <c r="DM49" s="409"/>
      <c r="DN49" s="409"/>
      <c r="DO49" s="409"/>
      <c r="DP49" s="409"/>
      <c r="DQ49" s="409"/>
      <c r="DR49" s="409"/>
      <c r="DS49" s="409"/>
      <c r="DT49" s="409"/>
      <c r="DU49" s="411"/>
      <c r="DV49" s="415"/>
      <c r="DW49" s="415"/>
      <c r="DX49" s="415"/>
      <c r="DY49" s="409"/>
      <c r="DZ49" s="409"/>
      <c r="EA49" s="416"/>
      <c r="EB49" s="409"/>
      <c r="EC49" s="409"/>
      <c r="ED49" s="47" t="str">
        <f>IFERROR(1/(1/SUMIFS(OVC!$O:$O,OVC!$C:$C,"="&amp;$B49,OVC!$D:$D,$C49)),"")</f>
        <v/>
      </c>
      <c r="EE49" s="36" t="str">
        <f>IFERROR(1/(1/SUMIFS(OVC!$P:$P,OVC!$C:$C,"="&amp;$B49,OVC!$D:$D,$C49)),"")</f>
        <v/>
      </c>
      <c r="EF49" s="36" t="str">
        <f>IFERROR(1/(1/SUMIFS(OVC!$Q:$Q,OVC!$C:$C,"="&amp;$B49,OVC!$D:$D,$C49)),"")</f>
        <v/>
      </c>
      <c r="EG49" s="36" t="str">
        <f>IFERROR(1/(1/SUMIFS(OVC!$R:$R,OVC!$C:$C,"="&amp;$B49,OVC!$D:$D,$C49)),"")</f>
        <v/>
      </c>
      <c r="EH49" s="33" t="str">
        <f t="shared" si="44"/>
        <v/>
      </c>
      <c r="EI49" s="33" t="str">
        <f t="shared" si="45"/>
        <v/>
      </c>
      <c r="EJ49" s="33" t="str">
        <f t="shared" si="46"/>
        <v/>
      </c>
      <c r="EK49" s="33" t="str">
        <f t="shared" si="47"/>
        <v/>
      </c>
      <c r="EL49" s="144" t="str">
        <f t="shared" si="48"/>
        <v/>
      </c>
      <c r="EM49" s="144" t="str">
        <f t="shared" si="49"/>
        <v/>
      </c>
      <c r="EN49" s="144" t="str">
        <f t="shared" si="50"/>
        <v/>
      </c>
      <c r="EO49" s="144" t="str">
        <f t="shared" si="51"/>
        <v/>
      </c>
      <c r="EP49" s="416"/>
      <c r="EQ49" s="424"/>
      <c r="ER49" s="411"/>
      <c r="ES49" s="409"/>
      <c r="ET49" s="417"/>
      <c r="EU49" s="417"/>
      <c r="EV49" s="415"/>
      <c r="EW49" s="415"/>
      <c r="EX49" s="411"/>
      <c r="EY49" s="417"/>
      <c r="EZ49" s="415"/>
      <c r="FA49" s="411"/>
      <c r="FB49" s="417"/>
      <c r="FC49" s="419"/>
    </row>
    <row r="50" spans="1:159" x14ac:dyDescent="0.2">
      <c r="A50" t="s">
        <v>8</v>
      </c>
      <c r="B50" s="5" t="s">
        <v>1073</v>
      </c>
      <c r="C50" t="s">
        <v>581</v>
      </c>
      <c r="E50" s="409"/>
      <c r="F50" s="409"/>
      <c r="G50" s="409"/>
      <c r="H50" s="409"/>
      <c r="I50" s="409"/>
      <c r="J50" s="409"/>
      <c r="K50" s="409"/>
      <c r="L50" s="409"/>
      <c r="M50" s="411"/>
      <c r="N50" s="409"/>
      <c r="O50" s="409"/>
      <c r="P50" s="409"/>
      <c r="Q50" s="409"/>
      <c r="R50" s="411"/>
      <c r="S50" s="409"/>
      <c r="T50" s="409"/>
      <c r="U50" s="411"/>
      <c r="V50" s="409"/>
      <c r="W50" s="409"/>
      <c r="X50" s="409"/>
      <c r="Y50" s="409"/>
      <c r="Z50" s="411"/>
      <c r="AA50" s="409"/>
      <c r="AB50" s="409"/>
      <c r="AC50" s="409"/>
      <c r="AD50" s="411"/>
      <c r="AE50" s="409"/>
      <c r="AF50" s="411"/>
      <c r="AG50" s="409"/>
      <c r="AH50" s="412"/>
      <c r="AI50" s="410"/>
      <c r="AJ50" s="410"/>
      <c r="AK50" s="410"/>
      <c r="AL50" s="410"/>
      <c r="AM50" s="410"/>
      <c r="AN50" s="410"/>
      <c r="AO50" s="410"/>
      <c r="AP50" s="410"/>
      <c r="AQ50" s="413"/>
      <c r="AR50" s="414"/>
      <c r="AS50" s="414"/>
      <c r="AT50" s="414"/>
      <c r="AU50" s="414"/>
      <c r="AV50" s="414"/>
      <c r="AW50" s="414"/>
      <c r="AX50" s="414"/>
      <c r="AY50" s="414"/>
      <c r="AZ50" s="410"/>
      <c r="BA50" s="411"/>
      <c r="BB50" s="415"/>
      <c r="BC50" s="415"/>
      <c r="BD50" s="409"/>
      <c r="BE50" s="411"/>
      <c r="BF50" s="409"/>
      <c r="BG50" s="409"/>
      <c r="BH50" s="411"/>
      <c r="BI50" s="409"/>
      <c r="BJ50" s="409"/>
      <c r="BK50" s="409"/>
      <c r="BL50" s="417"/>
      <c r="BM50" s="417"/>
      <c r="BN50" s="417"/>
      <c r="BO50" s="409"/>
      <c r="BP50" s="409"/>
      <c r="BQ50" s="411"/>
      <c r="BR50" s="409"/>
      <c r="BS50" s="435"/>
      <c r="BT50" s="409"/>
      <c r="BU50" s="409"/>
      <c r="BV50" s="411"/>
      <c r="BW50" s="409"/>
      <c r="BX50" s="409"/>
      <c r="BY50" s="409"/>
      <c r="BZ50" s="409"/>
      <c r="CA50" s="409"/>
      <c r="CB50" s="409"/>
      <c r="CC50" s="409"/>
      <c r="CD50" s="415"/>
      <c r="CE50" s="411"/>
      <c r="CF50" s="409"/>
      <c r="CG50" s="436"/>
      <c r="CH50" s="409"/>
      <c r="CI50" s="409"/>
      <c r="CJ50" s="411"/>
      <c r="CK50" s="409"/>
      <c r="CL50" s="409"/>
      <c r="CM50" s="409"/>
      <c r="CN50" s="409"/>
      <c r="CO50" s="409"/>
      <c r="CP50" s="409"/>
      <c r="CQ50" s="409"/>
      <c r="CR50" s="415"/>
      <c r="CS50" s="411"/>
      <c r="CT50" s="409"/>
      <c r="CU50" s="409"/>
      <c r="CV50" s="409"/>
      <c r="CW50" s="409"/>
      <c r="CX50" s="409"/>
      <c r="CY50" s="411"/>
      <c r="CZ50" s="417"/>
      <c r="DA50" s="410"/>
      <c r="DB50" s="411"/>
      <c r="DC50" s="409"/>
      <c r="DD50" s="409"/>
      <c r="DE50" s="411"/>
      <c r="DF50" s="409"/>
      <c r="DG50" s="410"/>
      <c r="DH50" s="410"/>
      <c r="DI50" s="417"/>
      <c r="DJ50" s="410"/>
      <c r="DK50" s="411"/>
      <c r="DL50" s="409"/>
      <c r="DM50" s="409"/>
      <c r="DN50" s="409"/>
      <c r="DO50" s="409"/>
      <c r="DP50" s="409"/>
      <c r="DQ50" s="409"/>
      <c r="DR50" s="409"/>
      <c r="DS50" s="409"/>
      <c r="DT50" s="409"/>
      <c r="DU50" s="411"/>
      <c r="DV50" s="415"/>
      <c r="DW50" s="415"/>
      <c r="DX50" s="415"/>
      <c r="DY50" s="409"/>
      <c r="DZ50" s="409"/>
      <c r="EA50" s="416"/>
      <c r="EB50" s="409"/>
      <c r="EC50" s="409"/>
      <c r="ED50" s="47" t="str">
        <f>IFERROR(1/(1/SUMIFS(OVC!$O:$O,OVC!$C:$C,"="&amp;$B50,OVC!$D:$D,$C50)),"")</f>
        <v/>
      </c>
      <c r="EE50" s="36" t="str">
        <f>IFERROR(1/(1/SUMIFS(OVC!$P:$P,OVC!$C:$C,"="&amp;$B50,OVC!$D:$D,$C50)),"")</f>
        <v/>
      </c>
      <c r="EF50" s="36" t="str">
        <f>IFERROR(1/(1/SUMIFS(OVC!$Q:$Q,OVC!$C:$C,"="&amp;$B50,OVC!$D:$D,$C50)),"")</f>
        <v/>
      </c>
      <c r="EG50" s="36" t="str">
        <f>IFERROR(1/(1/SUMIFS(OVC!$R:$R,OVC!$C:$C,"="&amp;$B50,OVC!$D:$D,$C50)),"")</f>
        <v/>
      </c>
      <c r="EH50" s="33" t="str">
        <f t="shared" si="44"/>
        <v/>
      </c>
      <c r="EI50" s="33" t="str">
        <f t="shared" si="45"/>
        <v/>
      </c>
      <c r="EJ50" s="33" t="str">
        <f t="shared" si="46"/>
        <v/>
      </c>
      <c r="EK50" s="33" t="str">
        <f t="shared" si="47"/>
        <v/>
      </c>
      <c r="EL50" s="144" t="str">
        <f t="shared" si="48"/>
        <v/>
      </c>
      <c r="EM50" s="144" t="str">
        <f t="shared" si="49"/>
        <v/>
      </c>
      <c r="EN50" s="144" t="str">
        <f t="shared" si="50"/>
        <v/>
      </c>
      <c r="EO50" s="144" t="str">
        <f t="shared" si="51"/>
        <v/>
      </c>
      <c r="EP50" s="416"/>
      <c r="EQ50" s="424"/>
      <c r="ER50" s="411"/>
      <c r="ES50" s="409"/>
      <c r="ET50" s="417"/>
      <c r="EU50" s="417"/>
      <c r="EV50" s="415"/>
      <c r="EW50" s="415"/>
      <c r="EX50" s="411"/>
      <c r="EY50" s="417"/>
      <c r="EZ50" s="415"/>
      <c r="FA50" s="411"/>
      <c r="FB50" s="417"/>
      <c r="FC50" s="419"/>
    </row>
    <row r="51" spans="1:159" x14ac:dyDescent="0.2">
      <c r="A51" t="s">
        <v>8</v>
      </c>
      <c r="B51" s="5" t="s">
        <v>1073</v>
      </c>
      <c r="C51" t="s">
        <v>606</v>
      </c>
      <c r="E51" s="409"/>
      <c r="F51" s="409"/>
      <c r="G51" s="409"/>
      <c r="H51" s="409"/>
      <c r="I51" s="409"/>
      <c r="J51" s="409"/>
      <c r="K51" s="409"/>
      <c r="L51" s="409"/>
      <c r="M51" s="411"/>
      <c r="N51" s="409"/>
      <c r="O51" s="409"/>
      <c r="P51" s="409"/>
      <c r="Q51" s="409"/>
      <c r="R51" s="411"/>
      <c r="S51" s="409"/>
      <c r="T51" s="409"/>
      <c r="U51" s="411"/>
      <c r="V51" s="409"/>
      <c r="W51" s="409"/>
      <c r="X51" s="409"/>
      <c r="Y51" s="409"/>
      <c r="Z51" s="411"/>
      <c r="AA51" s="409"/>
      <c r="AB51" s="409"/>
      <c r="AC51" s="409"/>
      <c r="AD51" s="411"/>
      <c r="AE51" s="409"/>
      <c r="AF51" s="411"/>
      <c r="AG51" s="409"/>
      <c r="AH51" s="412"/>
      <c r="AI51" s="410"/>
      <c r="AJ51" s="410"/>
      <c r="AK51" s="410"/>
      <c r="AL51" s="410"/>
      <c r="AM51" s="410"/>
      <c r="AN51" s="410"/>
      <c r="AO51" s="410"/>
      <c r="AP51" s="410"/>
      <c r="AQ51" s="413"/>
      <c r="AR51" s="414"/>
      <c r="AS51" s="414"/>
      <c r="AT51" s="414"/>
      <c r="AU51" s="414"/>
      <c r="AV51" s="414"/>
      <c r="AW51" s="414"/>
      <c r="AX51" s="414"/>
      <c r="AY51" s="414"/>
      <c r="AZ51" s="410"/>
      <c r="BA51" s="411"/>
      <c r="BB51" s="415"/>
      <c r="BC51" s="415"/>
      <c r="BD51" s="409"/>
      <c r="BE51" s="411"/>
      <c r="BF51" s="409"/>
      <c r="BG51" s="409"/>
      <c r="BH51" s="411"/>
      <c r="BI51" s="409"/>
      <c r="BJ51" s="409"/>
      <c r="BK51" s="409"/>
      <c r="BL51" s="417"/>
      <c r="BM51" s="417"/>
      <c r="BN51" s="417"/>
      <c r="BO51" s="409"/>
      <c r="BP51" s="409"/>
      <c r="BQ51" s="411"/>
      <c r="BR51" s="409"/>
      <c r="BS51" s="435"/>
      <c r="BT51" s="409"/>
      <c r="BU51" s="409"/>
      <c r="BV51" s="411"/>
      <c r="BW51" s="409"/>
      <c r="BX51" s="409"/>
      <c r="BY51" s="409"/>
      <c r="BZ51" s="409"/>
      <c r="CA51" s="409"/>
      <c r="CB51" s="409"/>
      <c r="CC51" s="409"/>
      <c r="CD51" s="415"/>
      <c r="CE51" s="411"/>
      <c r="CF51" s="409"/>
      <c r="CG51" s="436"/>
      <c r="CH51" s="409"/>
      <c r="CI51" s="409"/>
      <c r="CJ51" s="411"/>
      <c r="CK51" s="409"/>
      <c r="CL51" s="409"/>
      <c r="CM51" s="409"/>
      <c r="CN51" s="409"/>
      <c r="CO51" s="409"/>
      <c r="CP51" s="409"/>
      <c r="CQ51" s="409"/>
      <c r="CR51" s="415"/>
      <c r="CS51" s="411"/>
      <c r="CT51" s="409"/>
      <c r="CU51" s="409"/>
      <c r="CV51" s="409"/>
      <c r="CW51" s="409"/>
      <c r="CX51" s="409"/>
      <c r="CY51" s="411"/>
      <c r="CZ51" s="417"/>
      <c r="DA51" s="410"/>
      <c r="DB51" s="411"/>
      <c r="DC51" s="409"/>
      <c r="DD51" s="409"/>
      <c r="DE51" s="411"/>
      <c r="DF51" s="409"/>
      <c r="DG51" s="410"/>
      <c r="DH51" s="410"/>
      <c r="DI51" s="417"/>
      <c r="DJ51" s="410"/>
      <c r="DK51" s="411"/>
      <c r="DL51" s="409"/>
      <c r="DM51" s="409"/>
      <c r="DN51" s="409"/>
      <c r="DO51" s="409"/>
      <c r="DP51" s="409"/>
      <c r="DQ51" s="409"/>
      <c r="DR51" s="409"/>
      <c r="DS51" s="409"/>
      <c r="DT51" s="409"/>
      <c r="DU51" s="411"/>
      <c r="DV51" s="415"/>
      <c r="DW51" s="415"/>
      <c r="DX51" s="415"/>
      <c r="DY51" s="409"/>
      <c r="DZ51" s="409"/>
      <c r="EA51" s="416"/>
      <c r="EB51" s="409"/>
      <c r="EC51" s="409"/>
      <c r="ED51" s="47" t="str">
        <f>IFERROR(1/(1/SUMIFS(OVC!$O:$O,OVC!$C:$C,"="&amp;$B51,OVC!$D:$D,$C51)),"")</f>
        <v/>
      </c>
      <c r="EE51" s="36" t="str">
        <f>IFERROR(1/(1/SUMIFS(OVC!$P:$P,OVC!$C:$C,"="&amp;$B51,OVC!$D:$D,$C51)),"")</f>
        <v/>
      </c>
      <c r="EF51" s="36" t="str">
        <f>IFERROR(1/(1/SUMIFS(OVC!$Q:$Q,OVC!$C:$C,"="&amp;$B51,OVC!$D:$D,$C51)),"")</f>
        <v/>
      </c>
      <c r="EG51" s="36" t="str">
        <f>IFERROR(1/(1/SUMIFS(OVC!$R:$R,OVC!$C:$C,"="&amp;$B51,OVC!$D:$D,$C51)),"")</f>
        <v/>
      </c>
      <c r="EH51" s="33" t="str">
        <f t="shared" si="44"/>
        <v/>
      </c>
      <c r="EI51" s="33" t="str">
        <f t="shared" si="45"/>
        <v/>
      </c>
      <c r="EJ51" s="33" t="str">
        <f t="shared" si="46"/>
        <v/>
      </c>
      <c r="EK51" s="33" t="str">
        <f t="shared" si="47"/>
        <v/>
      </c>
      <c r="EL51" s="144" t="str">
        <f t="shared" si="48"/>
        <v/>
      </c>
      <c r="EM51" s="144" t="str">
        <f t="shared" si="49"/>
        <v/>
      </c>
      <c r="EN51" s="144" t="str">
        <f t="shared" si="50"/>
        <v/>
      </c>
      <c r="EO51" s="144" t="str">
        <f t="shared" si="51"/>
        <v/>
      </c>
      <c r="EP51" s="416"/>
      <c r="EQ51" s="424"/>
      <c r="ER51" s="411"/>
      <c r="ES51" s="409"/>
      <c r="ET51" s="417"/>
      <c r="EU51" s="417"/>
      <c r="EV51" s="415"/>
      <c r="EW51" s="415"/>
      <c r="EX51" s="411"/>
      <c r="EY51" s="417"/>
      <c r="EZ51" s="415"/>
      <c r="FA51" s="411"/>
      <c r="FB51" s="417"/>
      <c r="FC51" s="419"/>
    </row>
    <row r="52" spans="1:159" x14ac:dyDescent="0.2">
      <c r="A52" t="s">
        <v>291</v>
      </c>
      <c r="B52" s="5" t="s">
        <v>602</v>
      </c>
      <c r="C52" t="s">
        <v>581</v>
      </c>
      <c r="E52" s="411"/>
      <c r="F52" s="409"/>
      <c r="G52" s="409"/>
      <c r="H52" s="409"/>
      <c r="I52" s="409"/>
      <c r="J52" s="409"/>
      <c r="K52" s="409"/>
      <c r="L52" s="410"/>
      <c r="M52" s="411"/>
      <c r="N52" s="417"/>
      <c r="O52" s="410"/>
      <c r="P52" s="409"/>
      <c r="Q52" s="410"/>
      <c r="R52" s="418"/>
      <c r="S52" s="417"/>
      <c r="T52" s="410"/>
      <c r="U52" s="412"/>
      <c r="V52" s="410"/>
      <c r="W52" s="409"/>
      <c r="X52" s="410"/>
      <c r="Y52" s="417"/>
      <c r="Z52" s="412"/>
      <c r="AA52" s="409"/>
      <c r="AB52" s="410"/>
      <c r="AC52" s="417"/>
      <c r="AD52" s="412"/>
      <c r="AE52" s="417"/>
      <c r="AF52" s="412"/>
      <c r="AG52" s="417"/>
      <c r="AH52" s="412"/>
      <c r="AI52" s="410"/>
      <c r="AJ52" s="410"/>
      <c r="AK52" s="410"/>
      <c r="AL52" s="410"/>
      <c r="AM52" s="410"/>
      <c r="AN52" s="410"/>
      <c r="AO52" s="410"/>
      <c r="AP52" s="410"/>
      <c r="AQ52" s="413"/>
      <c r="AR52" s="414"/>
      <c r="AS52" s="414"/>
      <c r="AT52" s="414"/>
      <c r="AU52" s="414"/>
      <c r="AV52" s="414"/>
      <c r="AW52" s="414"/>
      <c r="AX52" s="414"/>
      <c r="AY52" s="414"/>
      <c r="AZ52" s="410"/>
      <c r="BA52" s="411"/>
      <c r="BB52" s="415"/>
      <c r="BC52" s="415"/>
      <c r="BD52" s="417"/>
      <c r="BE52" s="411"/>
      <c r="BF52" s="417"/>
      <c r="BG52" s="410"/>
      <c r="BH52" s="411"/>
      <c r="BI52" s="409"/>
      <c r="BJ52" s="409"/>
      <c r="BK52" s="409"/>
      <c r="BL52" s="417"/>
      <c r="BM52" s="417"/>
      <c r="BN52" s="417"/>
      <c r="BO52" s="409"/>
      <c r="BP52" s="409"/>
      <c r="BQ52" s="411"/>
      <c r="BR52" s="409"/>
      <c r="BS52" s="435"/>
      <c r="BT52" s="417"/>
      <c r="BU52" s="417"/>
      <c r="BV52" s="411"/>
      <c r="BW52" s="409"/>
      <c r="BX52" s="409"/>
      <c r="BY52" s="409"/>
      <c r="BZ52" s="417"/>
      <c r="CA52" s="417"/>
      <c r="CB52" s="417"/>
      <c r="CC52" s="409"/>
      <c r="CD52" s="415"/>
      <c r="CE52" s="411"/>
      <c r="CF52" s="409"/>
      <c r="CG52" s="436"/>
      <c r="CH52" s="417"/>
      <c r="CI52" s="417"/>
      <c r="CJ52" s="411"/>
      <c r="CK52" s="409"/>
      <c r="CL52" s="409"/>
      <c r="CM52" s="409"/>
      <c r="CN52" s="409"/>
      <c r="CO52" s="409"/>
      <c r="CP52" s="409"/>
      <c r="CQ52" s="409"/>
      <c r="CR52" s="415"/>
      <c r="CS52" s="411"/>
      <c r="CT52" s="409"/>
      <c r="CU52" s="417"/>
      <c r="CV52" s="417"/>
      <c r="CW52" s="410"/>
      <c r="CX52" s="410"/>
      <c r="CY52" s="411"/>
      <c r="CZ52" s="417"/>
      <c r="DA52" s="410"/>
      <c r="DB52" s="411"/>
      <c r="DC52" s="417"/>
      <c r="DD52" s="410"/>
      <c r="DE52" s="411"/>
      <c r="DF52" s="409"/>
      <c r="DG52" s="410"/>
      <c r="DH52" s="410"/>
      <c r="DI52" s="417"/>
      <c r="DJ52" s="410"/>
      <c r="DK52" s="412"/>
      <c r="DL52" s="410"/>
      <c r="DM52" s="410"/>
      <c r="DN52" s="410"/>
      <c r="DO52" s="410"/>
      <c r="DP52" s="410"/>
      <c r="DQ52" s="417"/>
      <c r="DR52" s="417"/>
      <c r="DS52" s="417"/>
      <c r="DT52" s="417"/>
      <c r="DU52" s="411"/>
      <c r="DV52" s="415"/>
      <c r="DW52" s="415"/>
      <c r="DX52" s="415"/>
      <c r="DY52" s="417"/>
      <c r="DZ52" s="417"/>
      <c r="EA52" s="416"/>
      <c r="EB52" s="417"/>
      <c r="EC52" s="417"/>
      <c r="ED52" s="411"/>
      <c r="EE52" s="409"/>
      <c r="EF52" s="409"/>
      <c r="EG52" s="409"/>
      <c r="EH52" s="417"/>
      <c r="EI52" s="417"/>
      <c r="EJ52" s="417"/>
      <c r="EK52" s="417"/>
      <c r="EL52" s="415"/>
      <c r="EM52" s="415"/>
      <c r="EN52" s="415"/>
      <c r="EO52" s="415"/>
      <c r="EP52" s="416"/>
      <c r="EQ52" s="424"/>
      <c r="ER52" s="47" t="str">
        <f>IFERROR(1/(1/SUMIFS(AGYW!$T:$T,AGYW!$C:$C,$B52,AGYW!$D:$D,$C52)),"")</f>
        <v/>
      </c>
      <c r="ES52" s="36" t="str">
        <f>IFERROR(1/(1/SUMIFS(AGYW!$U:$U,AGYW!$C:$C,$B52,AGYW!$D:$D,$C52)),"")</f>
        <v/>
      </c>
      <c r="ET52" s="33" t="str">
        <f>$ER52</f>
        <v/>
      </c>
      <c r="EU52" s="33" t="str">
        <f>$ES52</f>
        <v/>
      </c>
      <c r="EV52" s="144" t="str">
        <f>IF(SUM($ER52)=0,"",(SUM($ET52)-$ER52)/$ER52)</f>
        <v/>
      </c>
      <c r="EW52" s="144" t="str">
        <f>IF(SUM($ES52)=0,"",(SUM($EU52)-$ES52)/$ES52)</f>
        <v/>
      </c>
      <c r="EX52" s="411"/>
      <c r="EY52" s="417"/>
      <c r="EZ52" s="415"/>
      <c r="FA52" s="411"/>
      <c r="FB52" s="417"/>
      <c r="FC52" s="419"/>
    </row>
    <row r="53" spans="1:159" x14ac:dyDescent="0.2">
      <c r="A53" t="s">
        <v>291</v>
      </c>
      <c r="B53" s="5" t="s">
        <v>1074</v>
      </c>
      <c r="C53" t="s">
        <v>581</v>
      </c>
      <c r="E53" s="411"/>
      <c r="F53" s="409"/>
      <c r="G53" s="409"/>
      <c r="H53" s="409"/>
      <c r="I53" s="409"/>
      <c r="J53" s="409"/>
      <c r="K53" s="409"/>
      <c r="L53" s="410"/>
      <c r="M53" s="411"/>
      <c r="N53" s="417"/>
      <c r="O53" s="410"/>
      <c r="P53" s="409"/>
      <c r="Q53" s="410"/>
      <c r="R53" s="418"/>
      <c r="S53" s="417"/>
      <c r="T53" s="410"/>
      <c r="U53" s="412"/>
      <c r="V53" s="410"/>
      <c r="W53" s="409"/>
      <c r="X53" s="410"/>
      <c r="Y53" s="417"/>
      <c r="Z53" s="412"/>
      <c r="AA53" s="409"/>
      <c r="AB53" s="410"/>
      <c r="AC53" s="417"/>
      <c r="AD53" s="412"/>
      <c r="AE53" s="417"/>
      <c r="AF53" s="412"/>
      <c r="AG53" s="417"/>
      <c r="AH53" s="412"/>
      <c r="AI53" s="410"/>
      <c r="AJ53" s="410"/>
      <c r="AK53" s="410"/>
      <c r="AL53" s="410"/>
      <c r="AM53" s="410"/>
      <c r="AN53" s="410"/>
      <c r="AO53" s="410"/>
      <c r="AP53" s="410"/>
      <c r="AQ53" s="413"/>
      <c r="AR53" s="414"/>
      <c r="AS53" s="414"/>
      <c r="AT53" s="414"/>
      <c r="AU53" s="414"/>
      <c r="AV53" s="414"/>
      <c r="AW53" s="414"/>
      <c r="AX53" s="414"/>
      <c r="AY53" s="414"/>
      <c r="AZ53" s="410"/>
      <c r="BA53" s="411"/>
      <c r="BB53" s="415"/>
      <c r="BC53" s="415"/>
      <c r="BD53" s="417"/>
      <c r="BE53" s="411"/>
      <c r="BF53" s="417"/>
      <c r="BG53" s="410"/>
      <c r="BH53" s="411"/>
      <c r="BI53" s="409"/>
      <c r="BJ53" s="409"/>
      <c r="BK53" s="409"/>
      <c r="BL53" s="417"/>
      <c r="BM53" s="417"/>
      <c r="BN53" s="417"/>
      <c r="BO53" s="409"/>
      <c r="BP53" s="409"/>
      <c r="BQ53" s="411"/>
      <c r="BR53" s="409"/>
      <c r="BS53" s="435"/>
      <c r="BT53" s="417"/>
      <c r="BU53" s="417"/>
      <c r="BV53" s="411"/>
      <c r="BW53" s="409"/>
      <c r="BX53" s="409"/>
      <c r="BY53" s="409"/>
      <c r="BZ53" s="417"/>
      <c r="CA53" s="417"/>
      <c r="CB53" s="417"/>
      <c r="CC53" s="409"/>
      <c r="CD53" s="415"/>
      <c r="CE53" s="411"/>
      <c r="CF53" s="409"/>
      <c r="CG53" s="436"/>
      <c r="CH53" s="417"/>
      <c r="CI53" s="417"/>
      <c r="CJ53" s="411"/>
      <c r="CK53" s="409"/>
      <c r="CL53" s="409"/>
      <c r="CM53" s="409"/>
      <c r="CN53" s="409"/>
      <c r="CO53" s="409"/>
      <c r="CP53" s="409"/>
      <c r="CQ53" s="409"/>
      <c r="CR53" s="415"/>
      <c r="CS53" s="411"/>
      <c r="CT53" s="409"/>
      <c r="CU53" s="417"/>
      <c r="CV53" s="417"/>
      <c r="CW53" s="410"/>
      <c r="CX53" s="410"/>
      <c r="CY53" s="411"/>
      <c r="CZ53" s="417"/>
      <c r="DA53" s="410"/>
      <c r="DB53" s="411"/>
      <c r="DC53" s="417"/>
      <c r="DD53" s="410"/>
      <c r="DE53" s="411"/>
      <c r="DF53" s="409"/>
      <c r="DG53" s="410"/>
      <c r="DH53" s="410"/>
      <c r="DI53" s="417"/>
      <c r="DJ53" s="410"/>
      <c r="DK53" s="412"/>
      <c r="DL53" s="410"/>
      <c r="DM53" s="410"/>
      <c r="DN53" s="410"/>
      <c r="DO53" s="410"/>
      <c r="DP53" s="410"/>
      <c r="DQ53" s="417"/>
      <c r="DR53" s="417"/>
      <c r="DS53" s="417"/>
      <c r="DT53" s="417"/>
      <c r="DU53" s="411"/>
      <c r="DV53" s="415"/>
      <c r="DW53" s="415"/>
      <c r="DX53" s="415"/>
      <c r="DY53" s="417"/>
      <c r="DZ53" s="417"/>
      <c r="EA53" s="416"/>
      <c r="EB53" s="417"/>
      <c r="EC53" s="417"/>
      <c r="ED53" s="411"/>
      <c r="EE53" s="409"/>
      <c r="EF53" s="409"/>
      <c r="EG53" s="409"/>
      <c r="EH53" s="417"/>
      <c r="EI53" s="417"/>
      <c r="EJ53" s="417"/>
      <c r="EK53" s="417"/>
      <c r="EL53" s="415"/>
      <c r="EM53" s="415"/>
      <c r="EN53" s="415"/>
      <c r="EO53" s="415"/>
      <c r="EP53" s="416"/>
      <c r="EQ53" s="424"/>
      <c r="ER53" s="47" t="str">
        <f>IFERROR(1/(1/SUMIFS(AGYW!$T:$T,AGYW!$C:$C,$B53,AGYW!$D:$D,$C53)),"")</f>
        <v/>
      </c>
      <c r="ES53" s="36" t="str">
        <f>IFERROR(1/(1/SUMIFS(AGYW!$U:$U,AGYW!$C:$C,$B53,AGYW!$D:$D,$C53)),"")</f>
        <v/>
      </c>
      <c r="ET53" s="33" t="str">
        <f>$ER53</f>
        <v/>
      </c>
      <c r="EU53" s="33" t="str">
        <f>$ES53</f>
        <v/>
      </c>
      <c r="EV53" s="144" t="str">
        <f>IF(SUM($ER53)=0,"",(SUM($ET53)-$ER53)/$ER53)</f>
        <v/>
      </c>
      <c r="EW53" s="144" t="str">
        <f>IF(SUM($ES53)=0,"",(SUM($EU53)-$ES53)/$ES53)</f>
        <v/>
      </c>
      <c r="EX53" s="411"/>
      <c r="EY53" s="417"/>
      <c r="EZ53" s="415"/>
      <c r="FA53" s="411"/>
      <c r="FB53" s="417"/>
      <c r="FC53" s="419"/>
    </row>
    <row r="54" spans="1:159" x14ac:dyDescent="0.2">
      <c r="A54" t="s">
        <v>291</v>
      </c>
      <c r="B54" s="5" t="s">
        <v>1075</v>
      </c>
      <c r="C54" t="s">
        <v>581</v>
      </c>
      <c r="E54" s="411"/>
      <c r="F54" s="409"/>
      <c r="G54" s="409"/>
      <c r="H54" s="409"/>
      <c r="I54" s="409"/>
      <c r="J54" s="409"/>
      <c r="K54" s="409"/>
      <c r="L54" s="410"/>
      <c r="M54" s="411"/>
      <c r="N54" s="417"/>
      <c r="O54" s="410"/>
      <c r="P54" s="409"/>
      <c r="Q54" s="410"/>
      <c r="R54" s="418"/>
      <c r="S54" s="417"/>
      <c r="T54" s="410"/>
      <c r="U54" s="412"/>
      <c r="V54" s="410"/>
      <c r="W54" s="409"/>
      <c r="X54" s="410"/>
      <c r="Y54" s="417"/>
      <c r="Z54" s="412"/>
      <c r="AA54" s="409"/>
      <c r="AB54" s="410"/>
      <c r="AC54" s="417"/>
      <c r="AD54" s="412"/>
      <c r="AE54" s="417"/>
      <c r="AF54" s="412"/>
      <c r="AG54" s="417"/>
      <c r="AH54" s="412"/>
      <c r="AI54" s="410"/>
      <c r="AJ54" s="410"/>
      <c r="AK54" s="410"/>
      <c r="AL54" s="410"/>
      <c r="AM54" s="410"/>
      <c r="AN54" s="410"/>
      <c r="AO54" s="410"/>
      <c r="AP54" s="410"/>
      <c r="AQ54" s="413"/>
      <c r="AR54" s="414"/>
      <c r="AS54" s="414"/>
      <c r="AT54" s="414"/>
      <c r="AU54" s="414"/>
      <c r="AV54" s="414"/>
      <c r="AW54" s="414"/>
      <c r="AX54" s="414"/>
      <c r="AY54" s="414"/>
      <c r="AZ54" s="410"/>
      <c r="BA54" s="411"/>
      <c r="BB54" s="415"/>
      <c r="BC54" s="415"/>
      <c r="BD54" s="417"/>
      <c r="BE54" s="411"/>
      <c r="BF54" s="417"/>
      <c r="BG54" s="410"/>
      <c r="BH54" s="411"/>
      <c r="BI54" s="409"/>
      <c r="BJ54" s="409"/>
      <c r="BK54" s="409"/>
      <c r="BL54" s="417"/>
      <c r="BM54" s="417"/>
      <c r="BN54" s="417"/>
      <c r="BO54" s="409"/>
      <c r="BP54" s="409"/>
      <c r="BQ54" s="411"/>
      <c r="BR54" s="409"/>
      <c r="BS54" s="435"/>
      <c r="BT54" s="417"/>
      <c r="BU54" s="417"/>
      <c r="BV54" s="411"/>
      <c r="BW54" s="409"/>
      <c r="BX54" s="409"/>
      <c r="BY54" s="409"/>
      <c r="BZ54" s="417"/>
      <c r="CA54" s="417"/>
      <c r="CB54" s="417"/>
      <c r="CC54" s="409"/>
      <c r="CD54" s="415"/>
      <c r="CE54" s="411"/>
      <c r="CF54" s="409"/>
      <c r="CG54" s="436"/>
      <c r="CH54" s="417"/>
      <c r="CI54" s="417"/>
      <c r="CJ54" s="411"/>
      <c r="CK54" s="409"/>
      <c r="CL54" s="409"/>
      <c r="CM54" s="409"/>
      <c r="CN54" s="409"/>
      <c r="CO54" s="409"/>
      <c r="CP54" s="409"/>
      <c r="CQ54" s="409"/>
      <c r="CR54" s="415"/>
      <c r="CS54" s="411"/>
      <c r="CT54" s="409"/>
      <c r="CU54" s="417"/>
      <c r="CV54" s="417"/>
      <c r="CW54" s="410"/>
      <c r="CX54" s="410"/>
      <c r="CY54" s="411"/>
      <c r="CZ54" s="417"/>
      <c r="DA54" s="410"/>
      <c r="DB54" s="411"/>
      <c r="DC54" s="417"/>
      <c r="DD54" s="410"/>
      <c r="DE54" s="411"/>
      <c r="DF54" s="409"/>
      <c r="DG54" s="410"/>
      <c r="DH54" s="410"/>
      <c r="DI54" s="417"/>
      <c r="DJ54" s="410"/>
      <c r="DK54" s="412"/>
      <c r="DL54" s="410"/>
      <c r="DM54" s="410"/>
      <c r="DN54" s="410"/>
      <c r="DO54" s="410"/>
      <c r="DP54" s="410"/>
      <c r="DQ54" s="417"/>
      <c r="DR54" s="417"/>
      <c r="DS54" s="417"/>
      <c r="DT54" s="417"/>
      <c r="DU54" s="411"/>
      <c r="DV54" s="415"/>
      <c r="DW54" s="415"/>
      <c r="DX54" s="415"/>
      <c r="DY54" s="417"/>
      <c r="DZ54" s="417"/>
      <c r="EA54" s="416"/>
      <c r="EB54" s="417"/>
      <c r="EC54" s="417"/>
      <c r="ED54" s="411"/>
      <c r="EE54" s="409"/>
      <c r="EF54" s="409"/>
      <c r="EG54" s="409"/>
      <c r="EH54" s="417"/>
      <c r="EI54" s="417"/>
      <c r="EJ54" s="417"/>
      <c r="EK54" s="417"/>
      <c r="EL54" s="415"/>
      <c r="EM54" s="415"/>
      <c r="EN54" s="415"/>
      <c r="EO54" s="415"/>
      <c r="EP54" s="416"/>
      <c r="EQ54" s="424"/>
      <c r="ER54" s="47" t="str">
        <f>IFERROR(1/(1/SUMIFS(AGYW!$T:$T,AGYW!$C:$C,$B54,AGYW!$D:$D,$C54)),"")</f>
        <v/>
      </c>
      <c r="ES54" s="36" t="str">
        <f>IFERROR(1/(1/SUMIFS(AGYW!$U:$U,AGYW!$C:$C,$B54,AGYW!$D:$D,$C54)),"")</f>
        <v/>
      </c>
      <c r="ET54" s="33" t="str">
        <f>$ER54</f>
        <v/>
      </c>
      <c r="EU54" s="33" t="str">
        <f>$ES54</f>
        <v/>
      </c>
      <c r="EV54" s="144" t="str">
        <f>IF(SUM($ER54)=0,"",(SUM($ET54)-$ER54)/$ER54)</f>
        <v/>
      </c>
      <c r="EW54" s="144" t="str">
        <f>IF(SUM($ES54)=0,"",(SUM($EU54)-$ES54)/$ES54)</f>
        <v/>
      </c>
      <c r="EX54" s="411"/>
      <c r="EY54" s="417"/>
      <c r="EZ54" s="415"/>
      <c r="FA54" s="411"/>
      <c r="FB54" s="417"/>
      <c r="FC54" s="419"/>
    </row>
    <row r="55" spans="1:159" x14ac:dyDescent="0.2">
      <c r="A55" t="s">
        <v>291</v>
      </c>
      <c r="B55" s="5" t="s">
        <v>1076</v>
      </c>
      <c r="C55" t="s">
        <v>581</v>
      </c>
      <c r="E55" s="411"/>
      <c r="F55" s="409"/>
      <c r="G55" s="409"/>
      <c r="H55" s="409"/>
      <c r="I55" s="409"/>
      <c r="J55" s="409"/>
      <c r="K55" s="409"/>
      <c r="L55" s="410"/>
      <c r="M55" s="411"/>
      <c r="N55" s="417"/>
      <c r="O55" s="410"/>
      <c r="P55" s="409"/>
      <c r="Q55" s="410"/>
      <c r="R55" s="418"/>
      <c r="S55" s="417"/>
      <c r="T55" s="410"/>
      <c r="U55" s="412"/>
      <c r="V55" s="410"/>
      <c r="W55" s="409"/>
      <c r="X55" s="410"/>
      <c r="Y55" s="417"/>
      <c r="Z55" s="412"/>
      <c r="AA55" s="409"/>
      <c r="AB55" s="410"/>
      <c r="AC55" s="417"/>
      <c r="AD55" s="412"/>
      <c r="AE55" s="417"/>
      <c r="AF55" s="412"/>
      <c r="AG55" s="417"/>
      <c r="AH55" s="412"/>
      <c r="AI55" s="410"/>
      <c r="AJ55" s="410"/>
      <c r="AK55" s="410"/>
      <c r="AL55" s="410"/>
      <c r="AM55" s="410"/>
      <c r="AN55" s="410"/>
      <c r="AO55" s="410"/>
      <c r="AP55" s="410"/>
      <c r="AQ55" s="413"/>
      <c r="AR55" s="414"/>
      <c r="AS55" s="414"/>
      <c r="AT55" s="414"/>
      <c r="AU55" s="414"/>
      <c r="AV55" s="414"/>
      <c r="AW55" s="414"/>
      <c r="AX55" s="414"/>
      <c r="AY55" s="414"/>
      <c r="AZ55" s="410"/>
      <c r="BA55" s="411"/>
      <c r="BB55" s="415"/>
      <c r="BC55" s="415"/>
      <c r="BD55" s="417"/>
      <c r="BE55" s="411"/>
      <c r="BF55" s="417"/>
      <c r="BG55" s="410"/>
      <c r="BH55" s="411"/>
      <c r="BI55" s="409"/>
      <c r="BJ55" s="409"/>
      <c r="BK55" s="409"/>
      <c r="BL55" s="417"/>
      <c r="BM55" s="417"/>
      <c r="BN55" s="417"/>
      <c r="BO55" s="409"/>
      <c r="BP55" s="409"/>
      <c r="BQ55" s="411"/>
      <c r="BR55" s="409"/>
      <c r="BS55" s="435"/>
      <c r="BT55" s="417"/>
      <c r="BU55" s="417"/>
      <c r="BV55" s="411"/>
      <c r="BW55" s="409"/>
      <c r="BX55" s="409"/>
      <c r="BY55" s="409"/>
      <c r="BZ55" s="417"/>
      <c r="CA55" s="417"/>
      <c r="CB55" s="417"/>
      <c r="CC55" s="409"/>
      <c r="CD55" s="415"/>
      <c r="CE55" s="411"/>
      <c r="CF55" s="409"/>
      <c r="CG55" s="436"/>
      <c r="CH55" s="417"/>
      <c r="CI55" s="417"/>
      <c r="CJ55" s="411"/>
      <c r="CK55" s="409"/>
      <c r="CL55" s="409"/>
      <c r="CM55" s="409"/>
      <c r="CN55" s="409"/>
      <c r="CO55" s="409"/>
      <c r="CP55" s="409"/>
      <c r="CQ55" s="409"/>
      <c r="CR55" s="415"/>
      <c r="CS55" s="411"/>
      <c r="CT55" s="409"/>
      <c r="CU55" s="417"/>
      <c r="CV55" s="417"/>
      <c r="CW55" s="410"/>
      <c r="CX55" s="410"/>
      <c r="CY55" s="411"/>
      <c r="CZ55" s="417"/>
      <c r="DA55" s="410"/>
      <c r="DB55" s="411"/>
      <c r="DC55" s="417"/>
      <c r="DD55" s="410"/>
      <c r="DE55" s="411"/>
      <c r="DF55" s="409"/>
      <c r="DG55" s="410"/>
      <c r="DH55" s="410"/>
      <c r="DI55" s="417"/>
      <c r="DJ55" s="410"/>
      <c r="DK55" s="412"/>
      <c r="DL55" s="410"/>
      <c r="DM55" s="410"/>
      <c r="DN55" s="410"/>
      <c r="DO55" s="410"/>
      <c r="DP55" s="410"/>
      <c r="DQ55" s="417"/>
      <c r="DR55" s="417"/>
      <c r="DS55" s="417"/>
      <c r="DT55" s="417"/>
      <c r="DU55" s="411"/>
      <c r="DV55" s="415"/>
      <c r="DW55" s="415"/>
      <c r="DX55" s="415"/>
      <c r="DY55" s="417"/>
      <c r="DZ55" s="417"/>
      <c r="EA55" s="416"/>
      <c r="EB55" s="417"/>
      <c r="EC55" s="417"/>
      <c r="ED55" s="411"/>
      <c r="EE55" s="409"/>
      <c r="EF55" s="409"/>
      <c r="EG55" s="409"/>
      <c r="EH55" s="417"/>
      <c r="EI55" s="417"/>
      <c r="EJ55" s="417"/>
      <c r="EK55" s="417"/>
      <c r="EL55" s="415"/>
      <c r="EM55" s="415"/>
      <c r="EN55" s="415"/>
      <c r="EO55" s="415"/>
      <c r="EP55" s="416"/>
      <c r="EQ55" s="424"/>
      <c r="ER55" s="47" t="str">
        <f>IFERROR(1/(1/SUMIFS(AGYW!$T:$T,AGYW!$C:$C,$B55,AGYW!$D:$D,$C55)),"")</f>
        <v/>
      </c>
      <c r="ES55" s="36" t="str">
        <f>IFERROR(1/(1/SUMIFS(AGYW!$U:$U,AGYW!$C:$C,$B55,AGYW!$D:$D,$C55)),"")</f>
        <v/>
      </c>
      <c r="ET55" s="33" t="str">
        <f>$ER55</f>
        <v/>
      </c>
      <c r="EU55" s="33" t="str">
        <f>$ES55</f>
        <v/>
      </c>
      <c r="EV55" s="144" t="str">
        <f>IF(SUM($ER55)=0,"",(SUM($ET55)-$ER55)/$ER55)</f>
        <v/>
      </c>
      <c r="EW55" s="144" t="str">
        <f>IF(SUM($ES55)=0,"",(SUM($EU55)-$ES55)/$ES55)</f>
        <v/>
      </c>
      <c r="EX55" s="411"/>
      <c r="EY55" s="417"/>
      <c r="EZ55" s="415"/>
      <c r="FA55" s="411"/>
      <c r="FB55" s="417"/>
      <c r="FC55" s="419"/>
    </row>
    <row r="56" spans="1:159" x14ac:dyDescent="0.2">
      <c r="A56" t="s">
        <v>20</v>
      </c>
      <c r="C56" t="s">
        <v>581</v>
      </c>
      <c r="E56" s="411"/>
      <c r="F56" s="409"/>
      <c r="G56" s="409"/>
      <c r="H56" s="409"/>
      <c r="I56" s="409"/>
      <c r="J56" s="409"/>
      <c r="K56" s="409"/>
      <c r="L56" s="410"/>
      <c r="M56" s="411"/>
      <c r="N56" s="417"/>
      <c r="O56" s="410"/>
      <c r="P56" s="409"/>
      <c r="Q56" s="410"/>
      <c r="R56" s="418"/>
      <c r="S56" s="417"/>
      <c r="T56" s="410"/>
      <c r="U56" s="412"/>
      <c r="V56" s="410"/>
      <c r="W56" s="409"/>
      <c r="X56" s="410"/>
      <c r="Y56" s="417"/>
      <c r="Z56" s="412"/>
      <c r="AA56" s="409"/>
      <c r="AB56" s="410"/>
      <c r="AC56" s="417"/>
      <c r="AD56" s="412"/>
      <c r="AE56" s="417"/>
      <c r="AF56" s="412"/>
      <c r="AG56" s="417"/>
      <c r="AH56" s="412"/>
      <c r="AI56" s="410"/>
      <c r="AJ56" s="410"/>
      <c r="AK56" s="410"/>
      <c r="AL56" s="410"/>
      <c r="AM56" s="410"/>
      <c r="AN56" s="410"/>
      <c r="AO56" s="410"/>
      <c r="AP56" s="410"/>
      <c r="AQ56" s="413"/>
      <c r="AR56" s="414"/>
      <c r="AS56" s="414"/>
      <c r="AT56" s="414"/>
      <c r="AU56" s="414"/>
      <c r="AV56" s="414"/>
      <c r="AW56" s="414"/>
      <c r="AX56" s="414"/>
      <c r="AY56" s="414"/>
      <c r="AZ56" s="410"/>
      <c r="BA56" s="411"/>
      <c r="BB56" s="415"/>
      <c r="BC56" s="415"/>
      <c r="BD56" s="417"/>
      <c r="BE56" s="411"/>
      <c r="BF56" s="417"/>
      <c r="BG56" s="410"/>
      <c r="BH56" s="411"/>
      <c r="BI56" s="409"/>
      <c r="BJ56" s="409"/>
      <c r="BK56" s="409"/>
      <c r="BL56" s="417"/>
      <c r="BM56" s="417"/>
      <c r="BN56" s="417"/>
      <c r="BO56" s="409"/>
      <c r="BP56" s="409"/>
      <c r="BQ56" s="411"/>
      <c r="BR56" s="409"/>
      <c r="BS56" s="435"/>
      <c r="BT56" s="417"/>
      <c r="BU56" s="417"/>
      <c r="BV56" s="411"/>
      <c r="BW56" s="409"/>
      <c r="BX56" s="409"/>
      <c r="BY56" s="409"/>
      <c r="BZ56" s="417"/>
      <c r="CA56" s="417"/>
      <c r="CB56" s="417"/>
      <c r="CC56" s="409"/>
      <c r="CD56" s="415"/>
      <c r="CE56" s="411"/>
      <c r="CF56" s="409"/>
      <c r="CG56" s="436"/>
      <c r="CH56" s="417"/>
      <c r="CI56" s="417"/>
      <c r="CJ56" s="411"/>
      <c r="CK56" s="409"/>
      <c r="CL56" s="409"/>
      <c r="CM56" s="409"/>
      <c r="CN56" s="409"/>
      <c r="CO56" s="409"/>
      <c r="CP56" s="409"/>
      <c r="CQ56" s="409"/>
      <c r="CR56" s="415"/>
      <c r="CS56" s="411"/>
      <c r="CT56" s="409"/>
      <c r="CU56" s="417"/>
      <c r="CV56" s="417"/>
      <c r="CW56" s="410"/>
      <c r="CX56" s="410"/>
      <c r="CY56" s="411"/>
      <c r="CZ56" s="417"/>
      <c r="DA56" s="410"/>
      <c r="DB56" s="411"/>
      <c r="DC56" s="417"/>
      <c r="DD56" s="410"/>
      <c r="DE56" s="411"/>
      <c r="DF56" s="409"/>
      <c r="DG56" s="410"/>
      <c r="DH56" s="410"/>
      <c r="DI56" s="417"/>
      <c r="DJ56" s="410"/>
      <c r="DK56" s="412"/>
      <c r="DL56" s="410"/>
      <c r="DM56" s="410"/>
      <c r="DN56" s="410"/>
      <c r="DO56" s="410"/>
      <c r="DP56" s="410"/>
      <c r="DQ56" s="417"/>
      <c r="DR56" s="417"/>
      <c r="DS56" s="417"/>
      <c r="DT56" s="417"/>
      <c r="DU56" s="411"/>
      <c r="DV56" s="415"/>
      <c r="DW56" s="415"/>
      <c r="DX56" s="415"/>
      <c r="DY56" s="417"/>
      <c r="DZ56" s="417"/>
      <c r="EA56" s="416"/>
      <c r="EB56" s="417"/>
      <c r="EC56" s="417"/>
      <c r="ED56" s="411"/>
      <c r="EE56" s="409"/>
      <c r="EF56" s="409"/>
      <c r="EG56" s="409"/>
      <c r="EH56" s="417"/>
      <c r="EI56" s="417"/>
      <c r="EJ56" s="417"/>
      <c r="EK56" s="417"/>
      <c r="EL56" s="415"/>
      <c r="EM56" s="415"/>
      <c r="EN56" s="415"/>
      <c r="EO56" s="415"/>
      <c r="EP56" s="416"/>
      <c r="EQ56" s="424"/>
      <c r="ER56" s="411"/>
      <c r="ES56" s="409"/>
      <c r="ET56" s="417"/>
      <c r="EU56" s="417"/>
      <c r="EV56" s="415"/>
      <c r="EW56" s="415"/>
      <c r="EX56" s="47" t="str">
        <f>IFERROR(1/(1/SUMIFS(KP_MAT!$J:$J,KP_MAT!$C:$C,$C56)),"")</f>
        <v/>
      </c>
      <c r="EY56" s="33" t="str">
        <f>$EX56</f>
        <v/>
      </c>
      <c r="EZ56" s="144" t="str">
        <f>IF(SUM($EX56)=0,"",(SUM($EY56)-$EX56)/$EX56)</f>
        <v/>
      </c>
      <c r="FA56" s="411"/>
      <c r="FB56" s="417"/>
      <c r="FC56" s="419"/>
    </row>
    <row r="57" spans="1:159" x14ac:dyDescent="0.2">
      <c r="A57" t="s">
        <v>20</v>
      </c>
      <c r="C57" t="s">
        <v>606</v>
      </c>
      <c r="E57" s="411"/>
      <c r="F57" s="409"/>
      <c r="G57" s="409"/>
      <c r="H57" s="409"/>
      <c r="I57" s="409"/>
      <c r="J57" s="409"/>
      <c r="K57" s="409"/>
      <c r="L57" s="410"/>
      <c r="M57" s="411"/>
      <c r="N57" s="417"/>
      <c r="O57" s="410"/>
      <c r="P57" s="409"/>
      <c r="Q57" s="410"/>
      <c r="R57" s="418"/>
      <c r="S57" s="417"/>
      <c r="T57" s="410"/>
      <c r="U57" s="412"/>
      <c r="V57" s="410"/>
      <c r="W57" s="409"/>
      <c r="X57" s="410"/>
      <c r="Y57" s="417"/>
      <c r="Z57" s="412"/>
      <c r="AA57" s="409"/>
      <c r="AB57" s="410"/>
      <c r="AC57" s="417"/>
      <c r="AD57" s="412"/>
      <c r="AE57" s="417"/>
      <c r="AF57" s="412"/>
      <c r="AG57" s="417"/>
      <c r="AH57" s="412"/>
      <c r="AI57" s="410"/>
      <c r="AJ57" s="410"/>
      <c r="AK57" s="410"/>
      <c r="AL57" s="410"/>
      <c r="AM57" s="410"/>
      <c r="AN57" s="410"/>
      <c r="AO57" s="410"/>
      <c r="AP57" s="410"/>
      <c r="AQ57" s="413"/>
      <c r="AR57" s="414"/>
      <c r="AS57" s="414"/>
      <c r="AT57" s="414"/>
      <c r="AU57" s="414"/>
      <c r="AV57" s="414"/>
      <c r="AW57" s="414"/>
      <c r="AX57" s="414"/>
      <c r="AY57" s="414"/>
      <c r="AZ57" s="410"/>
      <c r="BA57" s="411"/>
      <c r="BB57" s="415"/>
      <c r="BC57" s="415"/>
      <c r="BD57" s="417"/>
      <c r="BE57" s="411"/>
      <c r="BF57" s="417"/>
      <c r="BG57" s="410"/>
      <c r="BH57" s="411"/>
      <c r="BI57" s="409"/>
      <c r="BJ57" s="409"/>
      <c r="BK57" s="409"/>
      <c r="BL57" s="417"/>
      <c r="BM57" s="417"/>
      <c r="BN57" s="417"/>
      <c r="BO57" s="409"/>
      <c r="BP57" s="409"/>
      <c r="BQ57" s="411"/>
      <c r="BR57" s="409"/>
      <c r="BS57" s="435"/>
      <c r="BT57" s="417"/>
      <c r="BU57" s="417"/>
      <c r="BV57" s="411"/>
      <c r="BW57" s="409"/>
      <c r="BX57" s="409"/>
      <c r="BY57" s="409"/>
      <c r="BZ57" s="417"/>
      <c r="CA57" s="417"/>
      <c r="CB57" s="417"/>
      <c r="CC57" s="409"/>
      <c r="CD57" s="415"/>
      <c r="CE57" s="411"/>
      <c r="CF57" s="409"/>
      <c r="CG57" s="436"/>
      <c r="CH57" s="417"/>
      <c r="CI57" s="417"/>
      <c r="CJ57" s="411"/>
      <c r="CK57" s="409"/>
      <c r="CL57" s="409"/>
      <c r="CM57" s="409"/>
      <c r="CN57" s="409"/>
      <c r="CO57" s="409"/>
      <c r="CP57" s="409"/>
      <c r="CQ57" s="409"/>
      <c r="CR57" s="415"/>
      <c r="CS57" s="411"/>
      <c r="CT57" s="409"/>
      <c r="CU57" s="417"/>
      <c r="CV57" s="417"/>
      <c r="CW57" s="410"/>
      <c r="CX57" s="410"/>
      <c r="CY57" s="411"/>
      <c r="CZ57" s="417"/>
      <c r="DA57" s="410"/>
      <c r="DB57" s="411"/>
      <c r="DC57" s="417"/>
      <c r="DD57" s="410"/>
      <c r="DE57" s="411"/>
      <c r="DF57" s="409"/>
      <c r="DG57" s="410"/>
      <c r="DH57" s="410"/>
      <c r="DI57" s="417"/>
      <c r="DJ57" s="410"/>
      <c r="DK57" s="412"/>
      <c r="DL57" s="410"/>
      <c r="DM57" s="410"/>
      <c r="DN57" s="410"/>
      <c r="DO57" s="410"/>
      <c r="DP57" s="410"/>
      <c r="DQ57" s="417"/>
      <c r="DR57" s="417"/>
      <c r="DS57" s="417"/>
      <c r="DT57" s="417"/>
      <c r="DU57" s="411"/>
      <c r="DV57" s="415"/>
      <c r="DW57" s="415"/>
      <c r="DX57" s="415"/>
      <c r="DY57" s="417"/>
      <c r="DZ57" s="417"/>
      <c r="EA57" s="416"/>
      <c r="EB57" s="417"/>
      <c r="EC57" s="417"/>
      <c r="ED57" s="411"/>
      <c r="EE57" s="409"/>
      <c r="EF57" s="409"/>
      <c r="EG57" s="409"/>
      <c r="EH57" s="417"/>
      <c r="EI57" s="417"/>
      <c r="EJ57" s="417"/>
      <c r="EK57" s="417"/>
      <c r="EL57" s="415"/>
      <c r="EM57" s="415"/>
      <c r="EN57" s="415"/>
      <c r="EO57" s="415"/>
      <c r="EP57" s="416"/>
      <c r="EQ57" s="424"/>
      <c r="ER57" s="411"/>
      <c r="ES57" s="409"/>
      <c r="ET57" s="417"/>
      <c r="EU57" s="417"/>
      <c r="EV57" s="415"/>
      <c r="EW57" s="415"/>
      <c r="EX57" s="47" t="str">
        <f>IFERROR(1/(1/SUMIFS(KP_MAT!$J:$J,KP_MAT!$C:$C,$C57)),"")</f>
        <v/>
      </c>
      <c r="EY57" s="33" t="str">
        <f>$EX57</f>
        <v/>
      </c>
      <c r="EZ57" s="144" t="str">
        <f>IF(SUM($EX57)=0,"",(SUM($EY57)-$EX57)/$EX57)</f>
        <v/>
      </c>
      <c r="FA57" s="411"/>
      <c r="FB57" s="417"/>
      <c r="FC57" s="419"/>
    </row>
    <row r="58" spans="1:159" x14ac:dyDescent="0.2">
      <c r="A58" t="s">
        <v>11</v>
      </c>
      <c r="E58" s="411"/>
      <c r="F58" s="409"/>
      <c r="G58" s="409"/>
      <c r="H58" s="409"/>
      <c r="I58" s="409"/>
      <c r="J58" s="409"/>
      <c r="K58" s="409"/>
      <c r="L58" s="410"/>
      <c r="M58" s="411"/>
      <c r="N58" s="417"/>
      <c r="O58" s="410"/>
      <c r="P58" s="409"/>
      <c r="Q58" s="410"/>
      <c r="R58" s="418"/>
      <c r="S58" s="417"/>
      <c r="T58" s="410"/>
      <c r="U58" s="412"/>
      <c r="V58" s="410"/>
      <c r="W58" s="409"/>
      <c r="X58" s="410"/>
      <c r="Y58" s="417"/>
      <c r="Z58" s="412"/>
      <c r="AA58" s="409"/>
      <c r="AB58" s="410"/>
      <c r="AC58" s="417"/>
      <c r="AD58" s="412"/>
      <c r="AE58" s="417"/>
      <c r="AF58" s="412"/>
      <c r="AG58" s="417"/>
      <c r="AH58" s="412"/>
      <c r="AI58" s="410"/>
      <c r="AJ58" s="410"/>
      <c r="AK58" s="410"/>
      <c r="AL58" s="410"/>
      <c r="AM58" s="410"/>
      <c r="AN58" s="410"/>
      <c r="AO58" s="410"/>
      <c r="AP58" s="410"/>
      <c r="AQ58" s="413"/>
      <c r="AR58" s="414"/>
      <c r="AS58" s="414"/>
      <c r="AT58" s="414"/>
      <c r="AU58" s="414"/>
      <c r="AV58" s="414"/>
      <c r="AW58" s="414"/>
      <c r="AX58" s="414"/>
      <c r="AY58" s="414"/>
      <c r="AZ58" s="410"/>
      <c r="BA58" s="411"/>
      <c r="BB58" s="415"/>
      <c r="BC58" s="415"/>
      <c r="BD58" s="417"/>
      <c r="BE58" s="411"/>
      <c r="BF58" s="417"/>
      <c r="BG58" s="410"/>
      <c r="BH58" s="411"/>
      <c r="BI58" s="409"/>
      <c r="BJ58" s="409"/>
      <c r="BK58" s="409"/>
      <c r="BL58" s="417"/>
      <c r="BM58" s="417"/>
      <c r="BN58" s="417"/>
      <c r="BO58" s="409"/>
      <c r="BP58" s="409"/>
      <c r="BQ58" s="411"/>
      <c r="BR58" s="409"/>
      <c r="BS58" s="435"/>
      <c r="BT58" s="417"/>
      <c r="BU58" s="417"/>
      <c r="BV58" s="411"/>
      <c r="BW58" s="409"/>
      <c r="BX58" s="409"/>
      <c r="BY58" s="409"/>
      <c r="BZ58" s="417"/>
      <c r="CA58" s="417"/>
      <c r="CB58" s="417"/>
      <c r="CC58" s="409"/>
      <c r="CD58" s="415"/>
      <c r="CE58" s="411"/>
      <c r="CF58" s="409"/>
      <c r="CG58" s="436"/>
      <c r="CH58" s="417"/>
      <c r="CI58" s="417"/>
      <c r="CJ58" s="411"/>
      <c r="CK58" s="409"/>
      <c r="CL58" s="409"/>
      <c r="CM58" s="409"/>
      <c r="CN58" s="409"/>
      <c r="CO58" s="409"/>
      <c r="CP58" s="409"/>
      <c r="CQ58" s="409"/>
      <c r="CR58" s="415"/>
      <c r="CS58" s="411"/>
      <c r="CT58" s="409"/>
      <c r="CU58" s="417"/>
      <c r="CV58" s="417"/>
      <c r="CW58" s="410"/>
      <c r="CX58" s="410"/>
      <c r="CY58" s="411"/>
      <c r="CZ58" s="417"/>
      <c r="DA58" s="410"/>
      <c r="DB58" s="411"/>
      <c r="DC58" s="417"/>
      <c r="DD58" s="410"/>
      <c r="DE58" s="411"/>
      <c r="DF58" s="409"/>
      <c r="DG58" s="410"/>
      <c r="DH58" s="410"/>
      <c r="DI58" s="417"/>
      <c r="DJ58" s="410"/>
      <c r="DK58" s="412"/>
      <c r="DL58" s="410"/>
      <c r="DM58" s="410"/>
      <c r="DN58" s="410"/>
      <c r="DO58" s="410"/>
      <c r="DP58" s="410"/>
      <c r="DQ58" s="410"/>
      <c r="DR58" s="410"/>
      <c r="DS58" s="410"/>
      <c r="DT58" s="410"/>
      <c r="DU58" s="412"/>
      <c r="DV58" s="415"/>
      <c r="DW58" s="415"/>
      <c r="DX58" s="415"/>
      <c r="DY58" s="410"/>
      <c r="DZ58" s="410"/>
      <c r="EA58" s="416"/>
      <c r="EB58" s="410"/>
      <c r="EC58" s="410"/>
      <c r="ED58" s="411"/>
      <c r="EE58" s="409"/>
      <c r="EF58" s="409"/>
      <c r="EG58" s="409"/>
      <c r="EH58" s="417"/>
      <c r="EI58" s="417"/>
      <c r="EJ58" s="417"/>
      <c r="EK58" s="417"/>
      <c r="EL58" s="415"/>
      <c r="EM58" s="415"/>
      <c r="EN58" s="415"/>
      <c r="EO58" s="415"/>
      <c r="EP58" s="416"/>
      <c r="EQ58" s="424"/>
      <c r="ER58" s="411"/>
      <c r="ES58" s="409"/>
      <c r="ET58" s="417"/>
      <c r="EU58" s="417"/>
      <c r="EV58" s="415"/>
      <c r="EW58" s="415"/>
      <c r="EX58" s="411"/>
      <c r="EY58" s="417"/>
      <c r="EZ58" s="415"/>
      <c r="FA58" s="47" t="str">
        <f>IFERROR(1/(1/SUM(GEND!$G:$H)),"")</f>
        <v/>
      </c>
      <c r="FC58" s="98" t="str">
        <f>IF(SUM($FA58)=0,"",(SUM($FB58)-$FA58)/$FA58)</f>
        <v/>
      </c>
    </row>
  </sheetData>
  <mergeCells count="1">
    <mergeCell ref="A2:C3"/>
  </mergeCells>
  <conditionalFormatting sqref="AQ1:AY1048576">
    <cfRule type="expression" dxfId="144" priority="1">
      <formula>AND(ISNUMBER(AQ1),AQ1&lt;&gt;AH1)</formula>
    </cfRule>
  </conditionalFormatting>
  <conditionalFormatting sqref="AZ1:AZ1048576">
    <cfRule type="expression" dxfId="143" priority="2">
      <formula>AND(ISNUMBER($AZ1),SUM($AG1)&lt;&gt;0,$AZ1&lt;&gt;1)</formula>
    </cfRule>
  </conditionalFormatting>
  <hyperlinks>
    <hyperlink ref="G3" location="Cascade!AM:AM" display="TX_CURR (FY24)" xr:uid="{5E0C2FA0-E468-F24D-B6A3-5267CE319152}"/>
    <hyperlink ref="F3" location="Cascade!AU:AU" display="Cascade!AU:AU" xr:uid="{72B87173-2BD7-BB42-A369-70B25BBDE0E1}"/>
    <hyperlink ref="E3" location="Cascade!BE:BE" display="HTS_TST_POS + PMTCT_HEI_POS (FY24)" xr:uid="{71C57D75-67E1-3849-8749-D858FC8DD7FC}"/>
    <hyperlink ref="H3" location="Cascade!AY:AY" display="TX_PVLS (D) Routine (FY24)" xr:uid="{6463EE42-7643-0646-BE91-1FA71A36E9AF}"/>
    <hyperlink ref="I3" location="Cascade!BB:BB" display="TX_PVLS (N) Routine (FY24)" xr:uid="{8A800ED7-92B8-114F-BDB9-0E3BCC919F19}"/>
    <hyperlink ref="J3" location="Cascade!AH:AH" display="Cascade!AH:AH" xr:uid="{70DB61A9-9CA7-E149-8903-89CEFC55B110}"/>
    <hyperlink ref="L3" location="Cascade!AO:AO" display="Cascade!AO:AO" xr:uid="{076B10DB-0757-2D4B-B83E-C339B0A637AE}"/>
    <hyperlink ref="K3" location="Cascade!AN:AN" display="Cascade!AN:AN" xr:uid="{DEB06659-2898-0044-9FED-7AEFD70DEBD5}"/>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workbookViewId="0">
      <pane xSplit="5" ySplit="14" topLeftCell="Y15" activePane="bottomRight" state="frozen"/>
      <selection pane="topRight" activeCell="F1" sqref="F1"/>
      <selection pane="bottomLeft" activeCell="A15" sqref="A15"/>
      <selection pane="bottomRight" activeCell="AS1" sqref="AS1:AS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7"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300" t="s">
        <v>46</v>
      </c>
      <c r="C1" s="1"/>
      <c r="D1" s="1"/>
      <c r="E1" s="1"/>
      <c r="F1" s="212" t="s">
        <v>1155</v>
      </c>
      <c r="G1" s="183"/>
      <c r="H1" s="211"/>
      <c r="I1" s="183"/>
      <c r="J1" s="185"/>
      <c r="K1" s="183"/>
      <c r="L1" s="183"/>
      <c r="M1" s="183"/>
      <c r="N1" s="183"/>
      <c r="O1" s="183"/>
      <c r="P1" s="183"/>
      <c r="Q1" s="183"/>
      <c r="R1" s="212" t="s">
        <v>791</v>
      </c>
      <c r="S1" s="184"/>
      <c r="T1" s="213"/>
      <c r="U1" s="184"/>
      <c r="V1" s="213"/>
      <c r="W1" s="214" t="s">
        <v>795</v>
      </c>
      <c r="X1" s="186"/>
      <c r="Y1" s="186"/>
      <c r="Z1" s="186"/>
      <c r="AA1" s="181"/>
      <c r="AB1" s="181"/>
      <c r="AC1" s="181"/>
      <c r="AD1" s="181"/>
      <c r="AE1" s="215" t="s">
        <v>1136</v>
      </c>
      <c r="AF1" s="181"/>
      <c r="AG1" s="181"/>
      <c r="AH1" s="181"/>
      <c r="AI1" s="214" t="s">
        <v>799</v>
      </c>
      <c r="AJ1" s="179"/>
      <c r="AK1" s="187"/>
      <c r="AL1" s="212" t="s">
        <v>1137</v>
      </c>
      <c r="AM1" s="179"/>
      <c r="AN1" s="187"/>
      <c r="AO1" s="215" t="s">
        <v>792</v>
      </c>
      <c r="AP1" s="186"/>
      <c r="AQ1" s="186"/>
      <c r="AR1" s="186"/>
      <c r="AS1" s="181"/>
      <c r="AT1" s="181"/>
      <c r="AU1" s="181"/>
      <c r="AV1" s="215" t="s">
        <v>370</v>
      </c>
      <c r="AW1" s="181"/>
      <c r="AX1" s="344"/>
      <c r="AY1" s="344"/>
      <c r="AZ1" s="344"/>
      <c r="BA1" s="344"/>
    </row>
    <row r="2" spans="1:53" s="21" customFormat="1" ht="19" customHeight="1" x14ac:dyDescent="0.25">
      <c r="A2" s="443" t="s">
        <v>580</v>
      </c>
      <c r="B2" s="439"/>
      <c r="D2" s="2"/>
      <c r="E2" s="2"/>
      <c r="F2" s="52"/>
      <c r="G2" s="46"/>
      <c r="H2" s="89"/>
      <c r="I2" s="46"/>
      <c r="J2" s="3"/>
      <c r="K2" s="46"/>
      <c r="L2" s="46"/>
      <c r="M2" s="46"/>
      <c r="N2" s="46"/>
      <c r="O2" s="46"/>
      <c r="P2" s="46"/>
      <c r="Q2" s="46"/>
      <c r="R2" s="52"/>
      <c r="S2" s="3"/>
      <c r="T2" s="263" t="s">
        <v>774</v>
      </c>
      <c r="U2" s="3"/>
      <c r="V2" s="263" t="s">
        <v>774</v>
      </c>
      <c r="W2" s="120"/>
      <c r="X2" s="121"/>
      <c r="Y2" s="121"/>
      <c r="Z2" s="121"/>
      <c r="AA2" s="264" t="s">
        <v>774</v>
      </c>
      <c r="AB2" s="264" t="s">
        <v>774</v>
      </c>
      <c r="AC2" s="264" t="s">
        <v>774</v>
      </c>
      <c r="AD2" s="264" t="s">
        <v>774</v>
      </c>
      <c r="AE2" s="265" t="s">
        <v>774</v>
      </c>
      <c r="AF2" s="264" t="s">
        <v>774</v>
      </c>
      <c r="AG2" s="264" t="s">
        <v>774</v>
      </c>
      <c r="AH2" s="264" t="s">
        <v>774</v>
      </c>
      <c r="AI2" s="120"/>
      <c r="AJ2" s="264" t="s">
        <v>774</v>
      </c>
      <c r="AK2" s="264" t="s">
        <v>774</v>
      </c>
      <c r="AL2" s="265" t="s">
        <v>774</v>
      </c>
      <c r="AM2" s="264" t="s">
        <v>774</v>
      </c>
      <c r="AN2" s="264" t="s">
        <v>774</v>
      </c>
      <c r="AO2" s="50"/>
      <c r="AP2" s="121"/>
      <c r="AQ2" s="121"/>
      <c r="AR2" s="121"/>
      <c r="AS2" s="264" t="s">
        <v>774</v>
      </c>
      <c r="AT2" s="264" t="s">
        <v>774</v>
      </c>
      <c r="AU2" s="46"/>
      <c r="AV2" s="50"/>
      <c r="AW2" s="34"/>
      <c r="AX2" s="345"/>
      <c r="AY2" s="345"/>
      <c r="AZ2" s="345"/>
      <c r="BA2" s="345"/>
    </row>
    <row r="3" spans="1:53" ht="117" customHeight="1" thickBot="1" x14ac:dyDescent="0.25">
      <c r="A3" s="440"/>
      <c r="B3" s="441"/>
      <c r="D3" s="17"/>
      <c r="E3" s="17"/>
      <c r="F3" s="127" t="s">
        <v>1156</v>
      </c>
      <c r="G3" s="128" t="s">
        <v>1157</v>
      </c>
      <c r="H3" s="129" t="s">
        <v>1147</v>
      </c>
      <c r="I3" s="128" t="s">
        <v>1158</v>
      </c>
      <c r="J3" s="130" t="s">
        <v>1159</v>
      </c>
      <c r="K3" s="201" t="s">
        <v>1160</v>
      </c>
      <c r="L3" s="201" t="s">
        <v>1161</v>
      </c>
      <c r="M3" s="201" t="s">
        <v>1162</v>
      </c>
      <c r="N3" s="201" t="s">
        <v>1163</v>
      </c>
      <c r="O3" s="201" t="s">
        <v>1164</v>
      </c>
      <c r="P3" s="201" t="s">
        <v>1165</v>
      </c>
      <c r="Q3" s="201" t="s">
        <v>1166</v>
      </c>
      <c r="R3" s="67" t="s">
        <v>790</v>
      </c>
      <c r="S3" s="224" t="s">
        <v>156</v>
      </c>
      <c r="T3" s="262" t="s">
        <v>593</v>
      </c>
      <c r="U3" s="224" t="s">
        <v>1167</v>
      </c>
      <c r="V3" s="262" t="s">
        <v>1168</v>
      </c>
      <c r="W3" s="153" t="s">
        <v>814</v>
      </c>
      <c r="X3" s="226" t="s">
        <v>812</v>
      </c>
      <c r="Y3" s="122" t="s">
        <v>793</v>
      </c>
      <c r="Z3" s="226" t="s">
        <v>794</v>
      </c>
      <c r="AA3" s="59" t="s">
        <v>594</v>
      </c>
      <c r="AB3" s="30" t="s">
        <v>796</v>
      </c>
      <c r="AC3" s="30" t="s">
        <v>797</v>
      </c>
      <c r="AD3" s="30" t="s">
        <v>798</v>
      </c>
      <c r="AE3" s="266" t="s">
        <v>1169</v>
      </c>
      <c r="AF3" s="257" t="s">
        <v>1170</v>
      </c>
      <c r="AG3" s="257" t="s">
        <v>1171</v>
      </c>
      <c r="AH3" s="257" t="s">
        <v>1172</v>
      </c>
      <c r="AI3" s="157" t="s">
        <v>655</v>
      </c>
      <c r="AJ3" s="30" t="s">
        <v>595</v>
      </c>
      <c r="AK3" s="30" t="s">
        <v>596</v>
      </c>
      <c r="AL3" s="266" t="s">
        <v>1173</v>
      </c>
      <c r="AM3" s="257" t="s">
        <v>1174</v>
      </c>
      <c r="AN3" s="257" t="s">
        <v>1175</v>
      </c>
      <c r="AO3" s="227" t="s">
        <v>656</v>
      </c>
      <c r="AP3" s="158" t="s">
        <v>662</v>
      </c>
      <c r="AQ3" s="228" t="s">
        <v>657</v>
      </c>
      <c r="AR3" s="158" t="s">
        <v>655</v>
      </c>
      <c r="AS3" s="30" t="s">
        <v>597</v>
      </c>
      <c r="AT3" s="30" t="s">
        <v>598</v>
      </c>
      <c r="AU3" s="68" t="s">
        <v>658</v>
      </c>
      <c r="AV3" s="72" t="s">
        <v>800</v>
      </c>
      <c r="AW3" s="131" t="s">
        <v>659</v>
      </c>
      <c r="AX3" s="131" t="s">
        <v>801</v>
      </c>
      <c r="AY3" s="131" t="s">
        <v>802</v>
      </c>
      <c r="AZ3" s="131" t="s">
        <v>819</v>
      </c>
      <c r="BA3" s="68" t="s">
        <v>661</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8"/>
      <c r="AQ4" s="348" t="str">
        <f>IF($AO$4=0,"",$AS$4/$AO$4)</f>
        <v/>
      </c>
      <c r="AR4" s="348"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137</v>
      </c>
      <c r="B6" s="5" t="s">
        <v>137</v>
      </c>
      <c r="C6" s="5" t="s">
        <v>137</v>
      </c>
      <c r="D6" s="5" t="s">
        <v>137</v>
      </c>
      <c r="E6" s="5" t="s">
        <v>137</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7" t="s">
        <v>521</v>
      </c>
      <c r="L8" s="277" t="s">
        <v>522</v>
      </c>
      <c r="M8" s="277" t="s">
        <v>522</v>
      </c>
      <c r="N8" s="277" t="s">
        <v>522</v>
      </c>
      <c r="O8" s="277" t="s">
        <v>523</v>
      </c>
      <c r="P8" s="277" t="s">
        <v>524</v>
      </c>
      <c r="Q8" s="277" t="s">
        <v>524</v>
      </c>
      <c r="R8" s="279" t="s">
        <v>74</v>
      </c>
      <c r="S8" s="144"/>
      <c r="T8" s="273" t="s">
        <v>74</v>
      </c>
      <c r="U8" s="144"/>
      <c r="V8" s="273" t="s">
        <v>521</v>
      </c>
      <c r="AB8" s="272" t="s">
        <v>76</v>
      </c>
      <c r="AC8" s="273" t="s">
        <v>76</v>
      </c>
      <c r="AD8" s="273" t="s">
        <v>76</v>
      </c>
      <c r="AF8" s="273" t="s">
        <v>522</v>
      </c>
      <c r="AG8" s="273" t="s">
        <v>522</v>
      </c>
      <c r="AH8" s="273" t="s">
        <v>522</v>
      </c>
      <c r="AI8" s="143"/>
      <c r="AJ8" s="273" t="s">
        <v>78</v>
      </c>
      <c r="AK8" s="273" t="s">
        <v>78</v>
      </c>
      <c r="AL8" s="290" t="s">
        <v>523</v>
      </c>
      <c r="AM8" s="273" t="s">
        <v>524</v>
      </c>
      <c r="AN8" s="273" t="s">
        <v>524</v>
      </c>
      <c r="AP8" s="144"/>
      <c r="AQ8" s="144"/>
      <c r="AR8" s="144"/>
      <c r="AS8" s="273" t="s">
        <v>518</v>
      </c>
      <c r="AT8" s="273" t="s">
        <v>518</v>
      </c>
    </row>
    <row r="9" spans="1:53" x14ac:dyDescent="0.2">
      <c r="F9" s="47"/>
      <c r="G9" s="36"/>
      <c r="H9" s="82"/>
      <c r="I9" s="36"/>
      <c r="J9" s="11"/>
      <c r="K9" s="277"/>
      <c r="L9" s="277"/>
      <c r="M9" s="277"/>
      <c r="N9" s="277"/>
      <c r="O9" s="277"/>
      <c r="P9" s="277"/>
      <c r="Q9" s="277"/>
      <c r="R9" s="279" t="s">
        <v>75</v>
      </c>
      <c r="S9" s="144"/>
      <c r="T9" s="273" t="s">
        <v>75</v>
      </c>
      <c r="U9" s="144"/>
      <c r="V9" s="273"/>
      <c r="AB9" s="272" t="s">
        <v>77</v>
      </c>
      <c r="AC9" s="273" t="s">
        <v>77</v>
      </c>
      <c r="AD9" s="273" t="s">
        <v>77</v>
      </c>
      <c r="AF9" s="273"/>
      <c r="AG9" s="273"/>
      <c r="AH9" s="273"/>
      <c r="AI9" s="143"/>
      <c r="AJ9" s="273" t="s">
        <v>79</v>
      </c>
      <c r="AK9" s="273" t="s">
        <v>79</v>
      </c>
      <c r="AL9" s="290"/>
      <c r="AM9" s="273"/>
      <c r="AN9" s="273"/>
      <c r="AP9" s="144"/>
      <c r="AQ9" s="144"/>
      <c r="AR9" s="144"/>
      <c r="AS9" s="273" t="s">
        <v>519</v>
      </c>
      <c r="AT9" s="273" t="s">
        <v>519</v>
      </c>
    </row>
    <row r="10" spans="1:53" x14ac:dyDescent="0.2">
      <c r="F10" s="47"/>
      <c r="G10" s="36"/>
      <c r="H10" s="82"/>
      <c r="I10" s="36"/>
      <c r="J10" s="11"/>
      <c r="K10" s="277"/>
      <c r="L10" s="277" t="s">
        <v>62</v>
      </c>
      <c r="M10" s="277" t="s">
        <v>63</v>
      </c>
      <c r="N10" s="277" t="s">
        <v>64</v>
      </c>
      <c r="O10" s="277" t="s">
        <v>65</v>
      </c>
      <c r="P10" s="277" t="s">
        <v>81</v>
      </c>
      <c r="Q10" s="277" t="s">
        <v>80</v>
      </c>
      <c r="R10" s="279"/>
      <c r="S10" s="144"/>
      <c r="T10" s="273"/>
      <c r="U10" s="144"/>
      <c r="V10" s="273"/>
      <c r="AB10" s="272" t="s">
        <v>62</v>
      </c>
      <c r="AC10" s="273" t="s">
        <v>63</v>
      </c>
      <c r="AD10" s="273" t="s">
        <v>64</v>
      </c>
      <c r="AF10" s="273" t="s">
        <v>62</v>
      </c>
      <c r="AG10" s="273" t="s">
        <v>63</v>
      </c>
      <c r="AH10" s="273" t="s">
        <v>64</v>
      </c>
      <c r="AI10" s="143"/>
      <c r="AJ10" s="273" t="s">
        <v>81</v>
      </c>
      <c r="AK10" s="273" t="s">
        <v>80</v>
      </c>
      <c r="AL10" s="290" t="s">
        <v>65</v>
      </c>
      <c r="AM10" s="273" t="s">
        <v>81</v>
      </c>
      <c r="AN10" s="273" t="s">
        <v>80</v>
      </c>
      <c r="AP10" s="144"/>
      <c r="AQ10" s="144"/>
      <c r="AR10" s="144"/>
      <c r="AS10" s="273" t="s">
        <v>65</v>
      </c>
      <c r="AT10" s="273" t="s">
        <v>82</v>
      </c>
    </row>
    <row r="11" spans="1:53" x14ac:dyDescent="0.2">
      <c r="F11" s="47" t="s">
        <v>876</v>
      </c>
      <c r="G11" s="36" t="s">
        <v>876</v>
      </c>
      <c r="H11" s="82" t="s">
        <v>876</v>
      </c>
      <c r="I11" s="36" t="s">
        <v>876</v>
      </c>
      <c r="J11" s="11" t="s">
        <v>876</v>
      </c>
      <c r="K11" s="36" t="s">
        <v>876</v>
      </c>
      <c r="L11" s="36" t="s">
        <v>876</v>
      </c>
      <c r="M11" s="36" t="s">
        <v>876</v>
      </c>
      <c r="N11" s="36" t="s">
        <v>876</v>
      </c>
      <c r="O11" s="36" t="s">
        <v>876</v>
      </c>
      <c r="P11" s="36" t="s">
        <v>876</v>
      </c>
      <c r="Q11" s="36" t="s">
        <v>876</v>
      </c>
      <c r="R11" s="47" t="s">
        <v>876</v>
      </c>
      <c r="S11" s="11" t="s">
        <v>876</v>
      </c>
      <c r="T11" s="33" t="s">
        <v>876</v>
      </c>
      <c r="U11" s="11" t="s">
        <v>876</v>
      </c>
      <c r="V11" s="33" t="s">
        <v>876</v>
      </c>
      <c r="W11" s="81" t="s">
        <v>876</v>
      </c>
      <c r="X11" s="124" t="s">
        <v>876</v>
      </c>
      <c r="Y11" s="124" t="s">
        <v>876</v>
      </c>
      <c r="Z11" s="124" t="s">
        <v>876</v>
      </c>
      <c r="AA11" s="33" t="s">
        <v>876</v>
      </c>
      <c r="AB11" s="63" t="s">
        <v>876</v>
      </c>
      <c r="AC11" s="33" t="s">
        <v>876</v>
      </c>
      <c r="AD11" s="33" t="s">
        <v>876</v>
      </c>
      <c r="AE11" s="60" t="s">
        <v>876</v>
      </c>
      <c r="AF11" s="33" t="s">
        <v>876</v>
      </c>
      <c r="AG11" s="33" t="s">
        <v>876</v>
      </c>
      <c r="AH11" s="33" t="s">
        <v>876</v>
      </c>
      <c r="AI11" s="81" t="s">
        <v>876</v>
      </c>
      <c r="AJ11" s="33" t="s">
        <v>876</v>
      </c>
      <c r="AK11" s="33" t="s">
        <v>876</v>
      </c>
      <c r="AL11" s="60" t="s">
        <v>876</v>
      </c>
      <c r="AM11" s="33" t="s">
        <v>876</v>
      </c>
      <c r="AN11" s="33" t="s">
        <v>876</v>
      </c>
      <c r="AO11" s="47" t="s">
        <v>876</v>
      </c>
      <c r="AP11" s="11" t="s">
        <v>876</v>
      </c>
      <c r="AQ11" s="11" t="s">
        <v>876</v>
      </c>
      <c r="AR11" s="11" t="s">
        <v>876</v>
      </c>
      <c r="AS11" s="33" t="s">
        <v>876</v>
      </c>
      <c r="AT11" s="33" t="s">
        <v>876</v>
      </c>
      <c r="AU11" s="36" t="s">
        <v>876</v>
      </c>
      <c r="AV11" s="47" t="s">
        <v>876</v>
      </c>
      <c r="AW11" s="36" t="s">
        <v>876</v>
      </c>
      <c r="AX11" s="155" t="s">
        <v>876</v>
      </c>
      <c r="AY11" s="155" t="s">
        <v>876</v>
      </c>
      <c r="AZ11" s="155" t="s">
        <v>876</v>
      </c>
      <c r="BA11" s="155" t="s">
        <v>876</v>
      </c>
    </row>
    <row r="12" spans="1:53" x14ac:dyDescent="0.2">
      <c r="F12" s="47" t="s">
        <v>460</v>
      </c>
      <c r="G12" s="36" t="s">
        <v>460</v>
      </c>
      <c r="H12" s="82" t="s">
        <v>460</v>
      </c>
      <c r="I12" s="36" t="s">
        <v>460</v>
      </c>
      <c r="J12" s="11" t="s">
        <v>460</v>
      </c>
      <c r="K12" s="36" t="s">
        <v>460</v>
      </c>
      <c r="L12" s="36" t="s">
        <v>460</v>
      </c>
      <c r="M12" s="36" t="s">
        <v>460</v>
      </c>
      <c r="N12" s="36" t="s">
        <v>460</v>
      </c>
      <c r="O12" s="36" t="s">
        <v>460</v>
      </c>
      <c r="P12" s="36" t="s">
        <v>460</v>
      </c>
      <c r="Q12" s="36" t="s">
        <v>460</v>
      </c>
      <c r="R12" s="47" t="s">
        <v>460</v>
      </c>
      <c r="S12" s="11" t="s">
        <v>460</v>
      </c>
      <c r="T12" s="33" t="s">
        <v>460</v>
      </c>
      <c r="U12" s="11" t="s">
        <v>460</v>
      </c>
      <c r="V12" s="33" t="s">
        <v>460</v>
      </c>
      <c r="W12" s="81" t="s">
        <v>460</v>
      </c>
      <c r="X12" s="124" t="s">
        <v>460</v>
      </c>
      <c r="Y12" s="124" t="s">
        <v>460</v>
      </c>
      <c r="Z12" s="124" t="s">
        <v>460</v>
      </c>
      <c r="AA12" s="33" t="s">
        <v>460</v>
      </c>
      <c r="AB12" s="63" t="s">
        <v>460</v>
      </c>
      <c r="AC12" s="33" t="s">
        <v>460</v>
      </c>
      <c r="AD12" s="33" t="s">
        <v>460</v>
      </c>
      <c r="AE12" s="60" t="s">
        <v>460</v>
      </c>
      <c r="AF12" s="33" t="s">
        <v>460</v>
      </c>
      <c r="AG12" s="33" t="s">
        <v>460</v>
      </c>
      <c r="AH12" s="33" t="s">
        <v>460</v>
      </c>
      <c r="AI12" s="81" t="s">
        <v>460</v>
      </c>
      <c r="AJ12" s="33" t="s">
        <v>460</v>
      </c>
      <c r="AK12" s="33" t="s">
        <v>460</v>
      </c>
      <c r="AL12" s="60" t="s">
        <v>460</v>
      </c>
      <c r="AM12" s="33" t="s">
        <v>460</v>
      </c>
      <c r="AN12" s="33" t="s">
        <v>460</v>
      </c>
      <c r="AO12" s="47" t="s">
        <v>460</v>
      </c>
      <c r="AP12" s="11" t="s">
        <v>460</v>
      </c>
      <c r="AQ12" s="11" t="s">
        <v>460</v>
      </c>
      <c r="AR12" s="11" t="s">
        <v>460</v>
      </c>
      <c r="AS12" s="33" t="s">
        <v>460</v>
      </c>
      <c r="AT12" s="33" t="s">
        <v>460</v>
      </c>
      <c r="AU12" s="36" t="s">
        <v>460</v>
      </c>
      <c r="AV12" s="47" t="s">
        <v>460</v>
      </c>
      <c r="AW12" s="36" t="s">
        <v>460</v>
      </c>
      <c r="AX12" s="155" t="s">
        <v>460</v>
      </c>
      <c r="AY12" s="155" t="s">
        <v>460</v>
      </c>
      <c r="AZ12" s="155" t="s">
        <v>460</v>
      </c>
      <c r="BA12" s="155" t="s">
        <v>460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9" t="s">
        <v>44</v>
      </c>
      <c r="B14" s="207" t="s">
        <v>3</v>
      </c>
      <c r="C14" s="207" t="s">
        <v>25</v>
      </c>
      <c r="D14" s="207" t="s">
        <v>4</v>
      </c>
      <c r="E14" s="207" t="s">
        <v>47</v>
      </c>
      <c r="F14" s="218" t="s">
        <v>188</v>
      </c>
      <c r="G14" s="194" t="s">
        <v>189</v>
      </c>
      <c r="H14" s="216" t="s">
        <v>191</v>
      </c>
      <c r="I14" s="194" t="s">
        <v>192</v>
      </c>
      <c r="J14" s="195" t="s">
        <v>638</v>
      </c>
      <c r="K14" s="194" t="s">
        <v>193</v>
      </c>
      <c r="L14" s="194" t="s">
        <v>905</v>
      </c>
      <c r="M14" s="194" t="s">
        <v>194</v>
      </c>
      <c r="N14" s="194" t="s">
        <v>195</v>
      </c>
      <c r="O14" s="194" t="s">
        <v>196</v>
      </c>
      <c r="P14" s="194" t="s">
        <v>197</v>
      </c>
      <c r="Q14" s="194" t="s">
        <v>198</v>
      </c>
      <c r="R14" s="218" t="s">
        <v>205</v>
      </c>
      <c r="S14" s="219" t="s">
        <v>310</v>
      </c>
      <c r="T14" s="220" t="s">
        <v>206</v>
      </c>
      <c r="U14" s="219" t="s">
        <v>501</v>
      </c>
      <c r="V14" s="220" t="s">
        <v>500</v>
      </c>
      <c r="W14" s="223" t="s">
        <v>382</v>
      </c>
      <c r="X14" s="219" t="s">
        <v>311</v>
      </c>
      <c r="Y14" s="195" t="s">
        <v>383</v>
      </c>
      <c r="Z14" s="219" t="s">
        <v>312</v>
      </c>
      <c r="AA14" s="221" t="s">
        <v>504</v>
      </c>
      <c r="AB14" s="220" t="s">
        <v>207</v>
      </c>
      <c r="AC14" s="221" t="s">
        <v>229</v>
      </c>
      <c r="AD14" s="220" t="s">
        <v>230</v>
      </c>
      <c r="AE14" s="222" t="s">
        <v>505</v>
      </c>
      <c r="AF14" s="220" t="s">
        <v>906</v>
      </c>
      <c r="AG14" s="220" t="s">
        <v>502</v>
      </c>
      <c r="AH14" s="220" t="s">
        <v>503</v>
      </c>
      <c r="AI14" s="223" t="s">
        <v>331</v>
      </c>
      <c r="AJ14" s="220" t="s">
        <v>208</v>
      </c>
      <c r="AK14" s="220" t="s">
        <v>510</v>
      </c>
      <c r="AL14" s="222" t="s">
        <v>506</v>
      </c>
      <c r="AM14" s="220" t="s">
        <v>507</v>
      </c>
      <c r="AN14" s="220" t="s">
        <v>508</v>
      </c>
      <c r="AO14" s="222" t="s">
        <v>313</v>
      </c>
      <c r="AP14" s="195" t="s">
        <v>839</v>
      </c>
      <c r="AQ14" s="195" t="s">
        <v>314</v>
      </c>
      <c r="AR14" s="195" t="s">
        <v>315</v>
      </c>
      <c r="AS14" s="221" t="s">
        <v>231</v>
      </c>
      <c r="AT14" s="221" t="s">
        <v>232</v>
      </c>
      <c r="AU14" s="220" t="s">
        <v>316</v>
      </c>
      <c r="AV14" s="222" t="s">
        <v>317</v>
      </c>
      <c r="AW14" s="220" t="s">
        <v>318</v>
      </c>
      <c r="AX14" s="346" t="s">
        <v>803</v>
      </c>
      <c r="AY14" s="346" t="s">
        <v>804</v>
      </c>
      <c r="AZ14" s="346" t="s">
        <v>820</v>
      </c>
      <c r="BA14" s="346" t="s">
        <v>805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IF(LEFT($B15,4)="_Mil","",_xlfn.IFNA(ROUND(INDEX(Spectrum!$N:$N,MATCH(RIGHT($B15,13)&amp;"|"&amp;$C15&amp;"|"&amp;$D15&amp;"|"&amp;K$14&amp;"|"&amp;"CY2023Q3",Spectrum!$R:$R,0)),0),""))</f>
        <v/>
      </c>
      <c r="L15" s="37" t="str">
        <f>IF(LEFT($B15,4)="_Mil","",_xlfn.IFNA(ROUND(INDEX(Spectrum!$N:$N,MATCH(RIGHT($B15,13)&amp;"|"&amp;$C15&amp;"|"&amp;$D15&amp;"|"&amp;L$14&amp;"|"&amp;"CY2023Q3",Spectrum!$R:$R,0)),0),""))</f>
        <v/>
      </c>
      <c r="M15" s="37" t="str">
        <f>IF(LEFT($B15,4)="_Mil","",_xlfn.IFNA(ROUND(INDEX(Spectrum!$N:$N,MATCH(RIGHT($B15,13)&amp;"|"&amp;$C15&amp;"|"&amp;$D15&amp;"|"&amp;M$14&amp;"|"&amp;"CY2023Q3",Spectrum!$R:$R,0)),0),""))</f>
        <v/>
      </c>
      <c r="N15" s="37" t="str">
        <f>IF(LEFT($B15,4)="_Mil","",_xlfn.IFNA(ROUND(INDEX(Spectrum!$N:$N,MATCH(RIGHT($B15,13)&amp;"|"&amp;$C15&amp;"|"&amp;$D15&amp;"|"&amp;N$14&amp;"|"&amp;"CY2023Q3",Spectrum!$R:$R,0)),0),""))</f>
        <v/>
      </c>
      <c r="O15" s="37" t="str">
        <f>IF(LEFT($B15,4)="_Mil","",_xlfn.IFNA(ROUND(INDEX(Spectrum!$N:$N,MATCH(RIGHT($B15,13)&amp;"|"&amp;$C15&amp;"|"&amp;$D15&amp;"|"&amp;O$14&amp;"|"&amp;"CY2023Q3",Spectrum!$R:$R,0)),0),""))</f>
        <v/>
      </c>
      <c r="P15" s="37" t="str">
        <f>IF(LEFT($B15,4)="_Mil","",_xlfn.IFNA(ROUND(INDEX(Spectrum!$N:$N,MATCH(RIGHT($B15,13)&amp;"|"&amp;$C15&amp;"|"&amp;$D15&amp;"|"&amp;P$14&amp;"|"&amp;"CY2023Q3",Spectrum!$R:$R,0)),0),""))</f>
        <v/>
      </c>
      <c r="Q15" s="37" t="str">
        <f>IF(LEFT($B15,4)="_Mil","",_xlfn.IFNA(ROUND(INDEX(Spectrum!$N:$N,MATCH(RIGHT($B15,13)&amp;"|"&amp;$C15&amp;"|"&amp;$D15&amp;"|"&amp;Q$14&amp;"|"&amp;"CY2022Q3",Spectrum!$R:$R,0)),0),""))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IF(SUM($AC15)=0,"",INDEX(Cascade!$BG:$BG,MATCH($E15,Cascade!$E:$E,0)))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IF(SUM($AO15)=0,"",INDEX(Cascade!$BG:$BG,MATCH($E15,Cascade!$E:$E,0)))</f>
        <v/>
      </c>
      <c r="AS15" s="33" t="str">
        <f>IF(SUM($AO15)=0,"",IF(AND(SUM($AO15)&gt;0,$AQ15=""),"ENTER YIELD RATE",ROUND($AO15*$AQ15,0)))</f>
        <v/>
      </c>
      <c r="AT15" s="33" t="str">
        <f>IF(SUM($AO15)=0,"",$AO15-SUM($AS15))</f>
        <v/>
      </c>
      <c r="AU15" s="36" t="str">
        <f>IF(SUM($AS15)=0,"",ROUND($AS15*$AR15,0))</f>
        <v/>
      </c>
      <c r="AV15" s="47" t="str">
        <f>IFERROR(1/(1/SUM($AC15,$AB15,$AS15)),"")</f>
        <v/>
      </c>
      <c r="AW15" s="36" t="str">
        <f>IFERROR(1/(1/INDEX(Cascade!$BH:$BH,MATCH($E15,Cascade!$E:$E,0))),"")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S1:S1048576">
    <cfRule type="expression" dxfId="142" priority="49">
      <formula>AND(ISNUMBER($S1),ROUND($S1,2)&lt;&gt;0)</formula>
    </cfRule>
  </conditionalFormatting>
  <conditionalFormatting sqref="AI1:AI1048576 AR1:AR1048576">
    <cfRule type="expression" dxfId="141" priority="47">
      <formula>AND(ISNUMBER(AI1),ROUND(AI1,2)&lt;0.95)</formula>
    </cfRule>
  </conditionalFormatting>
  <conditionalFormatting sqref="X1:X1048576">
    <cfRule type="expression" dxfId="140" priority="4">
      <formula>$AB1="ENTER KNOWN POSITIVITY RATE"</formula>
    </cfRule>
    <cfRule type="expression" dxfId="139" priority="1283">
      <formula>AND(ISNUMBER(X1),ROUND(X1,2)&gt;=0.75)</formula>
    </cfRule>
  </conditionalFormatting>
  <conditionalFormatting sqref="Z1:Z1048576 AQ1:AQ1048576">
    <cfRule type="expression" dxfId="138" priority="24">
      <formula>AND(ISNUMBER(Z1),Z1&gt;10%)</formula>
    </cfRule>
  </conditionalFormatting>
  <conditionalFormatting sqref="F1:Q1048576 U1:V1048576 AE1:AH1048576 AL1:AN1048576">
    <cfRule type="expression" dxfId="137" priority="1">
      <formula>AND(ROW(F1)&gt;14,LEFT($B1,4)="_Mil")</formula>
    </cfRule>
  </conditionalFormatting>
  <conditionalFormatting sqref="H1:H1048576 U1:U1048576 W1:Z1048576 AI1:AI1048576 AP1:AR1048576">
    <cfRule type="expression" dxfId="136" priority="7">
      <formula>AND(ISNUMBER(H1),H1&gt;1)</formula>
    </cfRule>
  </conditionalFormatting>
  <conditionalFormatting sqref="F1:R1048576 T1:BA1048576">
    <cfRule type="expression" dxfId="135" priority="2">
      <formula>AND(ISNUMBER(F1),F1&lt;0)</formula>
    </cfRule>
  </conditionalFormatting>
  <conditionalFormatting sqref="AQ1:AQ1048576">
    <cfRule type="expression" dxfId="134" priority="6">
      <formula>$AS1="ENTER YIELD RATE"</formula>
    </cfRule>
  </conditionalFormatting>
  <conditionalFormatting sqref="Z1:Z1048576">
    <cfRule type="expression" dxfId="133" priority="5">
      <formula>$AC1="ENTER YIELD RATE"</formula>
    </cfRule>
  </conditionalFormatting>
  <conditionalFormatting sqref="J1:J1048576">
    <cfRule type="expression" dxfId="132" priority="14">
      <formula>AND(ISNUMBER(J1),J1&gt;1)</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H:BH"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130" zoomScaleNormal="130" workbookViewId="0">
      <pane xSplit="2" ySplit="14" topLeftCell="C17" activePane="bottomRight" state="frozen"/>
      <selection pane="topRight" activeCell="C1" sqref="C1"/>
      <selection pane="bottomLeft" activeCell="A15" sqref="A15"/>
      <selection pane="bottomRight" activeCell="K15" sqref="K15"/>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300" t="s">
        <v>24</v>
      </c>
      <c r="B1" s="4"/>
      <c r="C1" s="215" t="s">
        <v>34</v>
      </c>
      <c r="D1" s="184"/>
      <c r="E1" s="229"/>
      <c r="F1" s="181"/>
      <c r="G1" s="181"/>
      <c r="H1" s="214" t="s">
        <v>43</v>
      </c>
      <c r="I1" s="186"/>
      <c r="J1" s="186"/>
      <c r="K1" s="184"/>
      <c r="L1" s="187"/>
      <c r="M1" s="184"/>
      <c r="N1" s="187"/>
      <c r="O1" s="184"/>
      <c r="P1" s="187"/>
      <c r="Q1" s="184"/>
      <c r="R1" s="183"/>
      <c r="S1" s="184"/>
      <c r="T1" s="187"/>
      <c r="U1" s="184"/>
      <c r="V1" s="187"/>
    </row>
    <row r="2" spans="1:22" s="3" customFormat="1" ht="19" x14ac:dyDescent="0.25">
      <c r="A2" s="76"/>
      <c r="B2" s="14"/>
      <c r="C2" s="52"/>
      <c r="F2" s="258" t="s">
        <v>774</v>
      </c>
      <c r="G2" s="258" t="s">
        <v>774</v>
      </c>
      <c r="H2" s="120"/>
      <c r="I2" s="121"/>
      <c r="J2" s="121"/>
      <c r="L2" s="258" t="s">
        <v>774</v>
      </c>
      <c r="N2" s="258" t="s">
        <v>774</v>
      </c>
      <c r="P2" s="258" t="s">
        <v>774</v>
      </c>
      <c r="R2" s="259"/>
      <c r="T2" s="258" t="s">
        <v>774</v>
      </c>
      <c r="V2" s="258" t="s">
        <v>774</v>
      </c>
    </row>
    <row r="3" spans="1:22" ht="117" customHeight="1" x14ac:dyDescent="0.2">
      <c r="A3" s="297"/>
      <c r="B3" s="17"/>
      <c r="C3" s="127" t="s">
        <v>664</v>
      </c>
      <c r="D3" s="224" t="s">
        <v>778</v>
      </c>
      <c r="E3" s="224" t="s">
        <v>779</v>
      </c>
      <c r="F3" s="30" t="s">
        <v>781</v>
      </c>
      <c r="G3" s="30" t="s">
        <v>780</v>
      </c>
      <c r="H3" s="157" t="s">
        <v>783</v>
      </c>
      <c r="I3" s="158" t="s">
        <v>784</v>
      </c>
      <c r="J3" s="228" t="s">
        <v>782</v>
      </c>
      <c r="K3" s="248" t="s">
        <v>785</v>
      </c>
      <c r="L3" s="128" t="s">
        <v>665</v>
      </c>
      <c r="M3" s="248" t="s">
        <v>655</v>
      </c>
      <c r="N3" s="31" t="s">
        <v>789</v>
      </c>
      <c r="O3" s="248" t="s">
        <v>666</v>
      </c>
      <c r="P3" s="128" t="s">
        <v>667</v>
      </c>
      <c r="Q3" s="228" t="s">
        <v>787</v>
      </c>
      <c r="R3" s="159" t="s">
        <v>668</v>
      </c>
      <c r="S3" s="228" t="s">
        <v>786</v>
      </c>
      <c r="T3" s="31" t="s">
        <v>669</v>
      </c>
      <c r="U3" s="228" t="s">
        <v>670</v>
      </c>
      <c r="V3" s="31" t="s">
        <v>671</v>
      </c>
    </row>
    <row r="4" spans="1:22" x14ac:dyDescent="0.2">
      <c r="A4" s="298"/>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60" t="s">
        <v>59</v>
      </c>
      <c r="S5" s="142" t="s">
        <v>59</v>
      </c>
      <c r="T5" s="33" t="s">
        <v>59</v>
      </c>
      <c r="U5" s="142" t="s">
        <v>59</v>
      </c>
      <c r="V5" s="33" t="s">
        <v>59</v>
      </c>
    </row>
    <row r="6" spans="1:22" x14ac:dyDescent="0.2">
      <c r="A6" t="s">
        <v>137</v>
      </c>
      <c r="B6" s="5" t="s">
        <v>137</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60"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60" t="s">
        <v>55</v>
      </c>
      <c r="S7" s="142" t="s">
        <v>56</v>
      </c>
      <c r="T7" s="33" t="s">
        <v>55</v>
      </c>
      <c r="U7" s="142" t="s">
        <v>56</v>
      </c>
      <c r="V7" s="33" t="s">
        <v>55</v>
      </c>
    </row>
    <row r="8" spans="1:22" x14ac:dyDescent="0.2">
      <c r="B8" s="5"/>
      <c r="F8" s="273" t="s">
        <v>83</v>
      </c>
      <c r="G8" s="273" t="s">
        <v>83</v>
      </c>
      <c r="H8" s="143"/>
      <c r="I8" s="270"/>
      <c r="J8" s="270"/>
      <c r="K8" s="144"/>
      <c r="M8" s="144"/>
      <c r="O8" s="144"/>
      <c r="Q8" s="144"/>
      <c r="R8" s="104"/>
      <c r="S8" s="144"/>
      <c r="U8" s="144"/>
    </row>
    <row r="9" spans="1:22" x14ac:dyDescent="0.2">
      <c r="B9" s="5"/>
      <c r="F9" s="273" t="s">
        <v>84</v>
      </c>
      <c r="G9" s="273" t="s">
        <v>84</v>
      </c>
      <c r="H9" s="143"/>
      <c r="I9" s="270"/>
      <c r="J9" s="270"/>
      <c r="K9" s="144"/>
      <c r="M9" s="144"/>
      <c r="O9" s="144"/>
      <c r="Q9" s="144"/>
      <c r="R9" s="104"/>
      <c r="S9" s="144"/>
      <c r="U9" s="144"/>
    </row>
    <row r="10" spans="1:22" x14ac:dyDescent="0.2">
      <c r="B10" s="5"/>
      <c r="F10" s="273" t="s">
        <v>85</v>
      </c>
      <c r="G10" s="273" t="s">
        <v>86</v>
      </c>
      <c r="H10" s="143"/>
      <c r="I10" s="270"/>
      <c r="J10" s="270"/>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9" t="s">
        <v>44</v>
      </c>
      <c r="B14" s="207" t="s">
        <v>3</v>
      </c>
      <c r="C14" s="218" t="s">
        <v>319</v>
      </c>
      <c r="D14" s="195" t="s">
        <v>320</v>
      </c>
      <c r="E14" s="195" t="s">
        <v>321</v>
      </c>
      <c r="F14" s="217" t="s">
        <v>209</v>
      </c>
      <c r="G14" s="217" t="s">
        <v>210</v>
      </c>
      <c r="H14" s="223" t="s">
        <v>483</v>
      </c>
      <c r="I14" s="196" t="s">
        <v>484</v>
      </c>
      <c r="J14" s="196" t="s">
        <v>322</v>
      </c>
      <c r="K14" s="195" t="s">
        <v>323</v>
      </c>
      <c r="L14" s="217" t="s">
        <v>325</v>
      </c>
      <c r="M14" s="195" t="s">
        <v>324</v>
      </c>
      <c r="N14" s="237" t="s">
        <v>326</v>
      </c>
      <c r="O14" s="195" t="s">
        <v>555</v>
      </c>
      <c r="P14" s="237" t="s">
        <v>552</v>
      </c>
      <c r="Q14" s="195" t="s">
        <v>556</v>
      </c>
      <c r="R14" s="194" t="s">
        <v>575</v>
      </c>
      <c r="S14" s="195" t="s">
        <v>898</v>
      </c>
      <c r="T14" s="237" t="s">
        <v>554</v>
      </c>
      <c r="U14" s="195" t="s">
        <v>899</v>
      </c>
      <c r="V14" s="237" t="s">
        <v>553</v>
      </c>
    </row>
    <row r="15" spans="1:22" x14ac:dyDescent="0.2">
      <c r="A15" s="302"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D1:D1048576 M1:M1048576 S1:S1048576 U1:U1048576">
    <cfRule type="expression" dxfId="131" priority="1268">
      <formula>AND(ISNUMBER(D1),ROUND(D1,2)&lt;0.95)</formula>
    </cfRule>
  </conditionalFormatting>
  <conditionalFormatting sqref="D1:E1048576 H1:K1048576 M1:M1048576 O1:O1048576 Q1:Q1048576 S1:S1048576 U1:U1048576">
    <cfRule type="expression" dxfId="130" priority="3">
      <formula>AND(ISNUMBER(D1),D1&gt;1)</formula>
    </cfRule>
  </conditionalFormatting>
  <conditionalFormatting sqref="K1:K1048576">
    <cfRule type="expression" dxfId="129" priority="6">
      <formula>AND(SUM(G1)&gt;0,ROW(K1)&gt;14,SUM(K1)=0)</formula>
    </cfRule>
  </conditionalFormatting>
  <conditionalFormatting sqref="J1:J1048576">
    <cfRule type="expression" dxfId="128" priority="14">
      <formula>AND(SUM(F1)&gt;0,ROW(J1)&gt;14,SUM(J1)=0)</formula>
    </cfRule>
  </conditionalFormatting>
  <conditionalFormatting sqref="D1:E1048576">
    <cfRule type="expression" dxfId="127" priority="4">
      <formula>AND(ISNUMBER($D1),ROUND($E1,2)&lt;ROUND($D1,2))</formula>
    </cfRule>
  </conditionalFormatting>
  <conditionalFormatting sqref="C1:V1048576">
    <cfRule type="expression" dxfId="126" priority="1">
      <formula>AND(ISNUMBER(C1),C1&lt;0)</formula>
    </cfRule>
  </conditionalFormatting>
  <conditionalFormatting sqref="O1:O1048576">
    <cfRule type="expression" dxfId="125" priority="24">
      <formula>AND(ISNUMBER(O1),ROUND(O1,2)&lt;98%)</formula>
    </cfRule>
  </conditionalFormatting>
  <conditionalFormatting sqref="Q1:Q1048576">
    <cfRule type="expression" dxfId="124" priority="23">
      <formula>AND(ISNUMBER(Q1),ROUND(Q1,2)&lt;70%)</formula>
    </cfRule>
  </conditionalFormatting>
  <conditionalFormatting sqref="E1:E1048576">
    <cfRule type="expression" dxfId="123" priority="2152">
      <formula>AND(ISNUMBER(E1),E1&lt;1)</formula>
    </cfRule>
  </conditionalFormatting>
  <hyperlinks>
    <hyperlink ref="N3" location="Cascade!AU:AU" display="HIV+ infants Initiated on ART (FY24)" xr:uid="{DAA7530A-3E04-1740-9290-973637420098}"/>
    <hyperlink ref="C3" location="PMTCT!AV:AV" display="Est. # infants born to HIV-positive women (FY24)" xr:uid="{1452E224-9F1C-1442-AC84-D0C0D1BADDB9}"/>
    <hyperlink ref="V3" location="Cascade!BB:BB" display="HIV+ infants  Virally Suppressed (FY24)" xr:uid="{B588F469-4EE5-124C-9655-BE4B92E2099B}"/>
    <hyperlink ref="T3" location="Cascade!AY:AY" display="HIV+ infants tested for VLS (FY24)" xr:uid="{204B8930-346A-BF40-BF29-A050F7DAD2C2}"/>
    <hyperlink ref="P3" location="Cascade!AP:AP" display="HIV+ infants retained on ART at end of FY24" xr:uid="{89871460-7732-6748-8258-655A5F0C2B89}"/>
    <hyperlink ref="L3" location="Cascade!BH:BH" display="Total HIV+ infants identified (FY24)" xr:uid="{29465258-72C7-F34F-B99E-5CC67BF8776B}"/>
    <hyperlink ref="R3" location="Cascade!AW:AW"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5" customWidth="1"/>
    <col min="22" max="26" width="11.83203125" style="356" customWidth="1"/>
  </cols>
  <sheetData>
    <row r="1" spans="1:26" s="22" customFormat="1" ht="31" customHeight="1" thickBot="1" x14ac:dyDescent="0.35">
      <c r="A1" s="300" t="s">
        <v>27</v>
      </c>
      <c r="B1" s="4"/>
      <c r="C1" s="1"/>
      <c r="D1" s="1"/>
      <c r="E1" s="1"/>
      <c r="F1" s="215" t="s">
        <v>13</v>
      </c>
      <c r="G1" s="184"/>
      <c r="H1" s="181"/>
      <c r="I1" s="212" t="s">
        <v>14</v>
      </c>
      <c r="J1" s="186"/>
      <c r="K1" s="186"/>
      <c r="L1" s="186"/>
      <c r="M1" s="186"/>
      <c r="N1" s="181"/>
      <c r="O1" s="181"/>
      <c r="P1" s="181"/>
      <c r="Q1" s="181"/>
      <c r="R1" s="214" t="s">
        <v>15</v>
      </c>
      <c r="S1" s="181"/>
      <c r="T1" s="181"/>
      <c r="U1" s="349" t="s">
        <v>370</v>
      </c>
      <c r="V1" s="350"/>
      <c r="W1" s="350"/>
      <c r="X1" s="350"/>
      <c r="Y1" s="350"/>
      <c r="Z1" s="350"/>
    </row>
    <row r="2" spans="1:26" s="21" customFormat="1" ht="20" customHeight="1" x14ac:dyDescent="0.25">
      <c r="A2" s="443" t="s">
        <v>672</v>
      </c>
      <c r="B2" s="439"/>
      <c r="C2" s="2"/>
      <c r="D2" s="2"/>
      <c r="E2" s="2"/>
      <c r="F2" s="50"/>
      <c r="G2" s="3"/>
      <c r="H2" s="264" t="s">
        <v>774</v>
      </c>
      <c r="I2" s="52"/>
      <c r="J2" s="121"/>
      <c r="K2" s="121"/>
      <c r="L2" s="121"/>
      <c r="M2" s="121"/>
      <c r="N2" s="264" t="s">
        <v>774</v>
      </c>
      <c r="O2" s="264" t="s">
        <v>774</v>
      </c>
      <c r="P2" s="264" t="s">
        <v>774</v>
      </c>
      <c r="Q2" s="264" t="s">
        <v>774</v>
      </c>
      <c r="R2" s="120"/>
      <c r="S2" s="264" t="s">
        <v>774</v>
      </c>
      <c r="T2" s="264" t="s">
        <v>774</v>
      </c>
      <c r="U2" s="351"/>
      <c r="V2" s="352"/>
      <c r="W2" s="352"/>
      <c r="X2" s="352"/>
      <c r="Y2" s="352"/>
      <c r="Z2" s="352"/>
    </row>
    <row r="3" spans="1:26" ht="117" customHeight="1" thickBot="1" x14ac:dyDescent="0.25">
      <c r="A3" s="440"/>
      <c r="B3" s="441"/>
      <c r="C3" s="17"/>
      <c r="D3" s="17"/>
      <c r="E3" s="17"/>
      <c r="F3" s="72" t="s">
        <v>806</v>
      </c>
      <c r="G3" s="224" t="s">
        <v>807</v>
      </c>
      <c r="H3" s="30" t="s">
        <v>673</v>
      </c>
      <c r="I3" s="67" t="s">
        <v>808</v>
      </c>
      <c r="J3" s="122" t="s">
        <v>811</v>
      </c>
      <c r="K3" s="226" t="s">
        <v>810</v>
      </c>
      <c r="L3" s="122" t="s">
        <v>813</v>
      </c>
      <c r="M3" s="226" t="s">
        <v>815</v>
      </c>
      <c r="N3" s="59" t="s">
        <v>809</v>
      </c>
      <c r="O3" s="30" t="s">
        <v>816</v>
      </c>
      <c r="P3" s="30" t="s">
        <v>817</v>
      </c>
      <c r="Q3" s="30" t="s">
        <v>818</v>
      </c>
      <c r="R3" s="153" t="s">
        <v>655</v>
      </c>
      <c r="S3" s="30" t="s">
        <v>595</v>
      </c>
      <c r="T3" s="30" t="s">
        <v>596</v>
      </c>
      <c r="U3" s="127" t="s">
        <v>659</v>
      </c>
      <c r="V3" s="128" t="s">
        <v>819</v>
      </c>
      <c r="W3" s="128" t="s">
        <v>801</v>
      </c>
      <c r="X3" s="128" t="s">
        <v>802</v>
      </c>
      <c r="Y3" s="128" t="s">
        <v>776</v>
      </c>
      <c r="Z3" s="68" t="s">
        <v>661</v>
      </c>
    </row>
    <row r="4" spans="1:26" x14ac:dyDescent="0.2">
      <c r="A4" s="298"/>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3">
        <f>SUBTOTAL(109,U$15:INDEX(U:U,COUNTA($B:$B)+14-COUNTA($B$1:$B$14)))</f>
        <v>0</v>
      </c>
      <c r="V4" s="354">
        <f>SUBTOTAL(109,V$15:INDEX(V:V,COUNTA($B:$B)+14-COUNTA($B$1:$B$14)))</f>
        <v>0</v>
      </c>
      <c r="W4" s="354">
        <f>SUBTOTAL(109,W$15:INDEX(W:W,COUNTA($B:$B)+14-COUNTA($B$1:$B$14)))</f>
        <v>0</v>
      </c>
      <c r="X4" s="354">
        <f>SUBTOTAL(109,X$15:INDEX(X:X,COUNTA($B:$B)+14-COUNTA($B$1:$B$14)))</f>
        <v>0</v>
      </c>
      <c r="Y4" s="354">
        <f>SUBTOTAL(109,Y$15:INDEX(Y:Y,COUNTA($B:$B)+14-COUNTA($B$1:$B$14)))</f>
        <v>0</v>
      </c>
      <c r="Z4" s="354">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5" t="s">
        <v>59</v>
      </c>
      <c r="V5" s="356" t="s">
        <v>59</v>
      </c>
      <c r="W5" s="356" t="s">
        <v>59</v>
      </c>
      <c r="X5" s="356" t="s">
        <v>59</v>
      </c>
      <c r="Y5" s="356" t="s">
        <v>59</v>
      </c>
      <c r="Z5" s="356" t="s">
        <v>59</v>
      </c>
    </row>
    <row r="6" spans="1:26" ht="16" customHeight="1" x14ac:dyDescent="0.2">
      <c r="A6" t="s">
        <v>137</v>
      </c>
      <c r="B6" s="5" t="s">
        <v>137</v>
      </c>
      <c r="C6" s="5" t="s">
        <v>137</v>
      </c>
      <c r="D6" s="5" t="s">
        <v>137</v>
      </c>
      <c r="E6" s="5" t="s">
        <v>137</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5" t="s">
        <v>54</v>
      </c>
      <c r="V6" s="356" t="s">
        <v>54</v>
      </c>
      <c r="W6" s="356" t="s">
        <v>54</v>
      </c>
      <c r="X6" s="356" t="s">
        <v>54</v>
      </c>
      <c r="Y6" s="356" t="s">
        <v>54</v>
      </c>
      <c r="Z6" s="356"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5" t="s">
        <v>55</v>
      </c>
      <c r="V7" s="356" t="s">
        <v>55</v>
      </c>
      <c r="W7" s="356" t="s">
        <v>55</v>
      </c>
      <c r="X7" s="356" t="s">
        <v>55</v>
      </c>
      <c r="Y7" s="356" t="s">
        <v>55</v>
      </c>
      <c r="Z7" s="356" t="s">
        <v>55</v>
      </c>
    </row>
    <row r="8" spans="1:26" x14ac:dyDescent="0.2">
      <c r="F8" s="279" t="s">
        <v>87</v>
      </c>
      <c r="G8" s="144"/>
      <c r="H8" s="273" t="s">
        <v>87</v>
      </c>
      <c r="I8" s="278" t="s">
        <v>89</v>
      </c>
      <c r="J8" s="270"/>
      <c r="K8" s="270"/>
      <c r="L8" s="270"/>
      <c r="M8" s="270"/>
      <c r="O8" s="273" t="s">
        <v>89</v>
      </c>
      <c r="P8" s="273" t="s">
        <v>89</v>
      </c>
      <c r="Q8" s="273" t="s">
        <v>89</v>
      </c>
      <c r="R8" s="143"/>
      <c r="S8" s="273" t="s">
        <v>159</v>
      </c>
      <c r="T8" s="273" t="s">
        <v>159</v>
      </c>
      <c r="U8" s="357"/>
      <c r="V8" s="358"/>
      <c r="W8" s="358"/>
      <c r="X8" s="358"/>
      <c r="Y8" s="358"/>
      <c r="Z8" s="358"/>
    </row>
    <row r="9" spans="1:26" x14ac:dyDescent="0.2">
      <c r="F9" s="279" t="s">
        <v>88</v>
      </c>
      <c r="G9" s="144"/>
      <c r="H9" s="273" t="s">
        <v>88</v>
      </c>
      <c r="I9" s="278" t="s">
        <v>90</v>
      </c>
      <c r="J9" s="270"/>
      <c r="K9" s="270"/>
      <c r="L9" s="270"/>
      <c r="M9" s="270"/>
      <c r="O9" s="273" t="s">
        <v>90</v>
      </c>
      <c r="P9" s="273" t="s">
        <v>90</v>
      </c>
      <c r="Q9" s="273" t="s">
        <v>90</v>
      </c>
      <c r="R9" s="143"/>
      <c r="S9" s="273" t="s">
        <v>160</v>
      </c>
      <c r="T9" s="273" t="s">
        <v>160</v>
      </c>
      <c r="U9" s="357"/>
      <c r="V9" s="358"/>
      <c r="W9" s="358"/>
      <c r="X9" s="358"/>
      <c r="Y9" s="358"/>
      <c r="Z9" s="358"/>
    </row>
    <row r="10" spans="1:26" x14ac:dyDescent="0.2">
      <c r="F10" s="279"/>
      <c r="G10" s="144"/>
      <c r="H10" s="273"/>
      <c r="I10" s="278" t="s">
        <v>63</v>
      </c>
      <c r="J10" s="270"/>
      <c r="K10" s="270"/>
      <c r="L10" s="270"/>
      <c r="M10" s="270"/>
      <c r="O10" s="273" t="s">
        <v>62</v>
      </c>
      <c r="P10" s="273" t="s">
        <v>63</v>
      </c>
      <c r="Q10" s="273" t="s">
        <v>64</v>
      </c>
      <c r="R10" s="143"/>
      <c r="S10" s="273" t="s">
        <v>81</v>
      </c>
      <c r="T10" s="273" t="s">
        <v>80</v>
      </c>
      <c r="U10" s="357"/>
      <c r="V10" s="358"/>
      <c r="W10" s="358"/>
      <c r="X10" s="358"/>
      <c r="Y10" s="358"/>
      <c r="Z10" s="358"/>
    </row>
    <row r="11" spans="1:26" x14ac:dyDescent="0.2">
      <c r="F11" s="47" t="s">
        <v>877</v>
      </c>
      <c r="G11" s="11" t="s">
        <v>877</v>
      </c>
      <c r="H11" s="33" t="s">
        <v>877</v>
      </c>
      <c r="I11" s="53" t="s">
        <v>877</v>
      </c>
      <c r="J11" s="124" t="s">
        <v>877</v>
      </c>
      <c r="K11" s="124" t="s">
        <v>877</v>
      </c>
      <c r="L11" s="124" t="s">
        <v>877</v>
      </c>
      <c r="M11" s="124" t="s">
        <v>877</v>
      </c>
      <c r="N11" s="33" t="s">
        <v>877</v>
      </c>
      <c r="O11" s="33" t="s">
        <v>877</v>
      </c>
      <c r="P11" s="33" t="s">
        <v>877</v>
      </c>
      <c r="Q11" s="33" t="s">
        <v>877</v>
      </c>
      <c r="R11" s="81" t="s">
        <v>877</v>
      </c>
      <c r="S11" s="33" t="s">
        <v>877</v>
      </c>
      <c r="T11" s="33" t="s">
        <v>877</v>
      </c>
      <c r="U11" s="355" t="s">
        <v>877</v>
      </c>
      <c r="V11" s="356" t="s">
        <v>877</v>
      </c>
      <c r="W11" s="356" t="s">
        <v>876</v>
      </c>
      <c r="X11" s="356" t="s">
        <v>876</v>
      </c>
      <c r="Y11" s="356" t="s">
        <v>875</v>
      </c>
      <c r="Z11" s="356" t="s">
        <v>877</v>
      </c>
    </row>
    <row r="12" spans="1:26" x14ac:dyDescent="0.2">
      <c r="F12" s="47" t="s">
        <v>138</v>
      </c>
      <c r="G12" s="11" t="s">
        <v>138</v>
      </c>
      <c r="H12" s="33" t="s">
        <v>138</v>
      </c>
      <c r="I12" s="53" t="s">
        <v>138</v>
      </c>
      <c r="J12" s="124" t="s">
        <v>138</v>
      </c>
      <c r="K12" s="124" t="s">
        <v>138</v>
      </c>
      <c r="L12" s="124" t="s">
        <v>138</v>
      </c>
      <c r="M12" s="124" t="s">
        <v>138</v>
      </c>
      <c r="N12" s="33" t="s">
        <v>138</v>
      </c>
      <c r="O12" s="33" t="s">
        <v>138</v>
      </c>
      <c r="P12" s="33" t="s">
        <v>138</v>
      </c>
      <c r="Q12" s="33" t="s">
        <v>138</v>
      </c>
      <c r="R12" s="81" t="s">
        <v>138</v>
      </c>
      <c r="S12" s="33" t="s">
        <v>138</v>
      </c>
      <c r="T12" s="33" t="s">
        <v>138</v>
      </c>
      <c r="U12" s="355" t="s">
        <v>138</v>
      </c>
      <c r="V12" s="356" t="s">
        <v>138</v>
      </c>
      <c r="W12" s="356" t="s">
        <v>460</v>
      </c>
      <c r="X12" s="356" t="s">
        <v>460</v>
      </c>
      <c r="Y12" s="356" t="s">
        <v>461</v>
      </c>
      <c r="Z12" s="356" t="s">
        <v>138</v>
      </c>
    </row>
    <row r="14" spans="1:26" x14ac:dyDescent="0.2">
      <c r="A14" s="301" t="s">
        <v>44</v>
      </c>
      <c r="B14" s="190" t="s">
        <v>3</v>
      </c>
      <c r="C14" s="190" t="s">
        <v>25</v>
      </c>
      <c r="D14" s="190" t="s">
        <v>4</v>
      </c>
      <c r="E14" s="190" t="s">
        <v>47</v>
      </c>
      <c r="F14" s="218" t="s">
        <v>211</v>
      </c>
      <c r="G14" s="195" t="s">
        <v>327</v>
      </c>
      <c r="H14" s="217" t="s">
        <v>212</v>
      </c>
      <c r="I14" s="218" t="s">
        <v>213</v>
      </c>
      <c r="J14" s="195" t="s">
        <v>482</v>
      </c>
      <c r="K14" s="195" t="s">
        <v>328</v>
      </c>
      <c r="L14" s="195" t="s">
        <v>481</v>
      </c>
      <c r="M14" s="195" t="s">
        <v>329</v>
      </c>
      <c r="N14" s="217" t="s">
        <v>330</v>
      </c>
      <c r="O14" s="217" t="s">
        <v>214</v>
      </c>
      <c r="P14" s="217" t="s">
        <v>227</v>
      </c>
      <c r="Q14" s="217" t="s">
        <v>228</v>
      </c>
      <c r="R14" s="223" t="s">
        <v>332</v>
      </c>
      <c r="S14" s="197" t="s">
        <v>215</v>
      </c>
      <c r="T14" s="217" t="s">
        <v>203</v>
      </c>
      <c r="U14" s="359" t="s">
        <v>318</v>
      </c>
      <c r="V14" s="360" t="s">
        <v>820</v>
      </c>
      <c r="W14" s="360" t="s">
        <v>803</v>
      </c>
      <c r="X14" s="360" t="s">
        <v>804</v>
      </c>
      <c r="Y14" s="360" t="s">
        <v>824</v>
      </c>
      <c r="Z14" s="360" t="s">
        <v>805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IF(SUM($P15)=0,"",INDEX(Cascade!$BG:$BG,MATCH($E15,Cascade!$E:$E,0)))</f>
        <v/>
      </c>
      <c r="S15" s="33" t="str">
        <f>$O15</f>
        <v/>
      </c>
      <c r="T15" s="33" t="str">
        <f>IF(SUM($P15)=0,"",IF(AND($R15="",SUM($P15)&gt;0),"&lt;- Enter Linkage Rate",ROUND($P15*$R15,0)))</f>
        <v/>
      </c>
      <c r="U15" s="355" t="str">
        <f>IFERROR(1/(1/INDEX(Cascade!$BH:$BH,MATCH($E15,Cascade!$E:$E,0))),"")</f>
        <v/>
      </c>
      <c r="V15" s="356" t="str">
        <f>IF(SUM($P15)=0,"",$P15)</f>
        <v/>
      </c>
      <c r="W15" s="356" t="str">
        <f>IFERROR(1/(1/INDEX(PMTCT!$AC:$AC,MATCH($E15,PMTCT!$E:$E,0))),"")</f>
        <v/>
      </c>
      <c r="X15" s="356" t="str">
        <f>IFERROR(1/(1/INDEX(PMTCT!$AS:$AS,MATCH($E15,PMTCT!$E:$E,0))),"")</f>
        <v/>
      </c>
      <c r="Y15" s="356" t="str">
        <f>IFERROR(1/(1/INDEX(VMMC!$AA:$AA,MATCH($E15,VMMC!$E:$E,0))),"")</f>
        <v/>
      </c>
      <c r="Z15" s="356" t="str">
        <f>IFERROR(1/(1/(SUM($U15)-SUM($V15:$Y15))),"")</f>
        <v/>
      </c>
    </row>
  </sheetData>
  <mergeCells count="1">
    <mergeCell ref="A2:B3"/>
  </mergeCells>
  <conditionalFormatting sqref="G1:G1048576">
    <cfRule type="expression" dxfId="122" priority="17">
      <formula>AND(ISNUMBER(G1),G1&lt;&gt;0)</formula>
    </cfRule>
  </conditionalFormatting>
  <conditionalFormatting sqref="R1:R1048576">
    <cfRule type="expression" dxfId="121" priority="23">
      <formula>AND(ISNUMBER(R1),R1&lt;0.95)</formula>
    </cfRule>
  </conditionalFormatting>
  <conditionalFormatting sqref="M1:M1048576">
    <cfRule type="expression" dxfId="120" priority="10">
      <formula>AND(ROW($M1)&gt;14,$P1="ENTER YIELD RATE")</formula>
    </cfRule>
    <cfRule type="expression" dxfId="119" priority="690">
      <formula>AND(ISNUMBER($M1),SUM($M1)&gt;10%)</formula>
    </cfRule>
  </conditionalFormatting>
  <conditionalFormatting sqref="K1:K1048576">
    <cfRule type="expression" dxfId="118" priority="15">
      <formula>AND(ROW($K1)&gt;14,$O1="ENTER KNOWN POSITIVITY RATE")</formula>
    </cfRule>
    <cfRule type="expression" dxfId="117" priority="3819">
      <formula>AND(ISNUMBER($K1),ROUND(SUM($K1),2)&gt;=0.75)</formula>
    </cfRule>
  </conditionalFormatting>
  <conditionalFormatting sqref="F1:F1048576 H1:Z1048576">
    <cfRule type="expression" dxfId="116" priority="3">
      <formula>AND(ISNUMBER(F1),F1&lt;0)</formula>
    </cfRule>
  </conditionalFormatting>
  <conditionalFormatting sqref="U1:Z1048576">
    <cfRule type="expression" dxfId="115" priority="6">
      <formula>AND(ROW($Z1)&gt;14,$Z1&lt;0)</formula>
    </cfRule>
    <cfRule type="expression" dxfId="114" priority="8">
      <formula>AND(ROW($Z1)&gt;14,ISERROR($Z1))</formula>
    </cfRule>
  </conditionalFormatting>
  <conditionalFormatting sqref="P1:P1048576">
    <cfRule type="expression" dxfId="113" priority="18">
      <formula>AND(ISNUMBER($P1),ROUND(SUM($P1),2)&gt;ROUND(SUM($I1),2))</formula>
    </cfRule>
  </conditionalFormatting>
  <conditionalFormatting sqref="W1:X1048576">
    <cfRule type="expression" dxfId="112" priority="1">
      <formula>AND(ROW(W1)&gt;14,$B1&lt;&gt;"",OR($D1&lt;&gt;"Female",$C1="&lt;01",$C1="01-09"))</formula>
    </cfRule>
  </conditionalFormatting>
  <conditionalFormatting sqref="Y1:Y1048576">
    <cfRule type="expression" dxfId="111" priority="2">
      <formula>AND(ROW(Y1)&gt;14,$B1&lt;&gt;"",OR($D1&lt;&gt;"Male",$C1="&lt;01",$C1="01-09",$C1="10-14"))</formula>
    </cfRule>
  </conditionalFormatting>
  <conditionalFormatting sqref="J1:M1048576 R1:R1048576">
    <cfRule type="expression" dxfId="110" priority="4">
      <formula>AND(ISNUMBER(J1),J1&gt;1)</formula>
    </cfRule>
  </conditionalFormatting>
  <hyperlinks>
    <hyperlink ref="P3" location="Cascade!CF:CF" display="Newly Tested, Positive" xr:uid="{F41C5CBD-C2B6-7349-92F3-4B3EE0741D63}"/>
    <hyperlink ref="U3" location="Cascade!BH:BH"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5" customWidth="1"/>
    <col min="30" max="31" width="11.83203125" style="155" customWidth="1"/>
    <col min="32" max="32" width="11.83203125" style="324" customWidth="1"/>
  </cols>
  <sheetData>
    <row r="1" spans="1:32" s="22" customFormat="1" ht="31" customHeight="1" thickBot="1" x14ac:dyDescent="0.35">
      <c r="A1" s="300" t="s">
        <v>6</v>
      </c>
      <c r="B1" s="4"/>
      <c r="C1" s="1"/>
      <c r="D1" s="1"/>
      <c r="E1" s="1"/>
      <c r="F1" s="215" t="s">
        <v>30</v>
      </c>
      <c r="G1" s="181"/>
      <c r="H1" s="186"/>
      <c r="I1" s="181"/>
      <c r="J1" s="186"/>
      <c r="K1" s="181"/>
      <c r="L1" s="180"/>
      <c r="M1" s="181"/>
      <c r="N1" s="181"/>
      <c r="O1" s="184"/>
      <c r="P1" s="184"/>
      <c r="Q1" s="187"/>
      <c r="R1" s="187"/>
      <c r="S1" s="214" t="s">
        <v>18</v>
      </c>
      <c r="T1" s="185"/>
      <c r="U1" s="185"/>
      <c r="V1" s="185"/>
      <c r="W1" s="185"/>
      <c r="X1" s="185"/>
      <c r="Y1" s="181"/>
      <c r="Z1" s="181"/>
      <c r="AA1" s="181"/>
      <c r="AB1" s="181"/>
      <c r="AC1" s="349" t="s">
        <v>370</v>
      </c>
      <c r="AD1" s="320"/>
      <c r="AE1" s="320"/>
      <c r="AF1" s="320"/>
    </row>
    <row r="2" spans="1:32" s="21" customFormat="1" ht="19" customHeight="1" x14ac:dyDescent="0.25">
      <c r="A2" s="443" t="s">
        <v>512</v>
      </c>
      <c r="B2" s="439"/>
      <c r="C2" s="2"/>
      <c r="D2" s="2"/>
      <c r="E2" s="2"/>
      <c r="F2" s="50"/>
      <c r="G2" s="34"/>
      <c r="H2" s="121"/>
      <c r="I2" s="34"/>
      <c r="J2" s="121"/>
      <c r="K2" s="34"/>
      <c r="L2" s="34"/>
      <c r="M2" s="264" t="s">
        <v>774</v>
      </c>
      <c r="N2" s="264" t="s">
        <v>774</v>
      </c>
      <c r="O2" s="3"/>
      <c r="P2" s="3"/>
      <c r="Q2" s="258" t="s">
        <v>774</v>
      </c>
      <c r="R2" s="258" t="s">
        <v>774</v>
      </c>
      <c r="S2" s="120"/>
      <c r="T2" s="3"/>
      <c r="U2" s="3"/>
      <c r="V2" s="3"/>
      <c r="W2" s="3"/>
      <c r="X2" s="3"/>
      <c r="Y2" s="264" t="s">
        <v>774</v>
      </c>
      <c r="Z2" s="264" t="s">
        <v>774</v>
      </c>
      <c r="AA2" s="264" t="s">
        <v>774</v>
      </c>
      <c r="AB2" s="264" t="s">
        <v>774</v>
      </c>
      <c r="AC2" s="351"/>
      <c r="AD2" s="345"/>
      <c r="AE2" s="345"/>
      <c r="AF2" s="345"/>
    </row>
    <row r="3" spans="1:32" ht="117" customHeight="1" thickBot="1" x14ac:dyDescent="0.25">
      <c r="A3" s="440"/>
      <c r="B3" s="441"/>
      <c r="C3" s="17"/>
      <c r="D3" s="17"/>
      <c r="E3" s="17"/>
      <c r="F3" s="127" t="s">
        <v>1176</v>
      </c>
      <c r="G3" s="128" t="s">
        <v>1157</v>
      </c>
      <c r="H3" s="130" t="s">
        <v>1147</v>
      </c>
      <c r="I3" s="128" t="s">
        <v>1158</v>
      </c>
      <c r="J3" s="130" t="s">
        <v>1159</v>
      </c>
      <c r="K3" s="68" t="s">
        <v>891</v>
      </c>
      <c r="L3" s="68" t="s">
        <v>890</v>
      </c>
      <c r="M3" s="257" t="s">
        <v>1177</v>
      </c>
      <c r="N3" s="257" t="s">
        <v>1178</v>
      </c>
      <c r="O3" s="147" t="s">
        <v>1179</v>
      </c>
      <c r="P3" s="224" t="s">
        <v>1180</v>
      </c>
      <c r="Q3" s="261" t="s">
        <v>1181</v>
      </c>
      <c r="R3" s="261" t="s">
        <v>1182</v>
      </c>
      <c r="S3" s="247" t="s">
        <v>1183</v>
      </c>
      <c r="T3" s="202" t="s">
        <v>821</v>
      </c>
      <c r="U3" s="147" t="s">
        <v>823</v>
      </c>
      <c r="V3" s="202" t="s">
        <v>822</v>
      </c>
      <c r="W3" s="147" t="s">
        <v>813</v>
      </c>
      <c r="X3" s="202" t="s">
        <v>815</v>
      </c>
      <c r="Y3" s="257" t="s">
        <v>140</v>
      </c>
      <c r="Z3" s="30" t="s">
        <v>654</v>
      </c>
      <c r="AA3" s="30" t="s">
        <v>753</v>
      </c>
      <c r="AB3" s="30" t="s">
        <v>754</v>
      </c>
      <c r="AC3" s="127" t="s">
        <v>659</v>
      </c>
      <c r="AD3" s="131" t="s">
        <v>776</v>
      </c>
      <c r="AE3" s="131" t="s">
        <v>660</v>
      </c>
      <c r="AF3" s="68" t="s">
        <v>777</v>
      </c>
    </row>
    <row r="4" spans="1:32" x14ac:dyDescent="0.2">
      <c r="A4" s="298"/>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3">
        <f>SUBTOTAL(109,AC$15:INDEX(AC:AC,COUNTA($B:$B)+14-COUNTA($B$1:$B$14)))</f>
        <v>0</v>
      </c>
      <c r="AD4" s="323">
        <f>SUBTOTAL(109,AD$15:INDEX(AD:AD,COUNTA($B:$B)+14-COUNTA($B$1:$B$14)))</f>
        <v>0</v>
      </c>
      <c r="AE4" s="323">
        <f>SUBTOTAL(109,AE$15:INDEX(AE:AE,COUNTA($B:$B)+14-COUNTA($B$1:$B$14)))</f>
        <v>0</v>
      </c>
      <c r="AF4" s="323">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5" t="s">
        <v>59</v>
      </c>
      <c r="AD5" s="155" t="s">
        <v>59</v>
      </c>
      <c r="AE5" s="155" t="s">
        <v>59</v>
      </c>
      <c r="AF5" s="324" t="s">
        <v>59</v>
      </c>
    </row>
    <row r="6" spans="1:32" x14ac:dyDescent="0.2">
      <c r="A6" t="s">
        <v>137</v>
      </c>
      <c r="B6" s="5" t="s">
        <v>137</v>
      </c>
      <c r="C6" s="5" t="s">
        <v>137</v>
      </c>
      <c r="D6" s="5" t="s">
        <v>137</v>
      </c>
      <c r="E6" s="5" t="s">
        <v>137</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5" t="s">
        <v>54</v>
      </c>
      <c r="AD6" s="155" t="s">
        <v>54</v>
      </c>
      <c r="AE6" s="155" t="s">
        <v>54</v>
      </c>
      <c r="AF6" s="324"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5" t="s">
        <v>55</v>
      </c>
      <c r="AD7" s="155" t="s">
        <v>55</v>
      </c>
      <c r="AE7" s="155" t="s">
        <v>55</v>
      </c>
      <c r="AF7" s="324" t="s">
        <v>55</v>
      </c>
    </row>
    <row r="8" spans="1:32" x14ac:dyDescent="0.2">
      <c r="F8" s="47"/>
      <c r="G8" s="36"/>
      <c r="H8" s="11"/>
      <c r="I8" s="36"/>
      <c r="J8" s="11"/>
      <c r="K8" s="277" t="s">
        <v>379</v>
      </c>
      <c r="L8" s="277" t="s">
        <v>93</v>
      </c>
      <c r="M8" s="273" t="s">
        <v>91</v>
      </c>
      <c r="N8" s="273" t="s">
        <v>92</v>
      </c>
      <c r="O8" s="144"/>
      <c r="P8" s="144"/>
      <c r="Q8" s="281" t="s">
        <v>92</v>
      </c>
      <c r="R8" s="281" t="s">
        <v>91</v>
      </c>
      <c r="Z8" s="273" t="s">
        <v>93</v>
      </c>
      <c r="AA8" s="273" t="s">
        <v>93</v>
      </c>
      <c r="AB8" s="273" t="s">
        <v>93</v>
      </c>
    </row>
    <row r="9" spans="1:32" x14ac:dyDescent="0.2">
      <c r="F9" s="47"/>
      <c r="G9" s="36"/>
      <c r="H9" s="11"/>
      <c r="I9" s="36"/>
      <c r="J9" s="11"/>
      <c r="K9" s="277" t="s">
        <v>380</v>
      </c>
      <c r="L9" s="277" t="s">
        <v>94</v>
      </c>
      <c r="M9" s="273"/>
      <c r="N9" s="273"/>
      <c r="O9" s="144"/>
      <c r="P9" s="144"/>
      <c r="Q9" s="281"/>
      <c r="R9" s="281"/>
      <c r="Z9" s="273" t="s">
        <v>94</v>
      </c>
      <c r="AA9" s="273" t="s">
        <v>94</v>
      </c>
      <c r="AB9" s="273" t="s">
        <v>94</v>
      </c>
    </row>
    <row r="10" spans="1:32" x14ac:dyDescent="0.2">
      <c r="F10" s="47"/>
      <c r="G10" s="36"/>
      <c r="H10" s="11"/>
      <c r="I10" s="36"/>
      <c r="J10" s="11"/>
      <c r="K10" s="277"/>
      <c r="L10" s="277"/>
      <c r="M10" s="273"/>
      <c r="N10" s="273"/>
      <c r="O10" s="144"/>
      <c r="P10" s="144"/>
      <c r="Q10" s="281"/>
      <c r="R10" s="281"/>
      <c r="Z10" s="273" t="s">
        <v>95</v>
      </c>
      <c r="AA10" s="273" t="s">
        <v>65</v>
      </c>
      <c r="AB10" s="273" t="s">
        <v>82</v>
      </c>
    </row>
    <row r="11" spans="1:32" x14ac:dyDescent="0.2">
      <c r="F11" s="47" t="s">
        <v>875</v>
      </c>
      <c r="G11" s="36" t="s">
        <v>875</v>
      </c>
      <c r="H11" s="11" t="s">
        <v>875</v>
      </c>
      <c r="I11" s="36" t="s">
        <v>875</v>
      </c>
      <c r="J11" s="11" t="s">
        <v>875</v>
      </c>
      <c r="K11" s="36" t="s">
        <v>875</v>
      </c>
      <c r="L11" s="36" t="s">
        <v>875</v>
      </c>
      <c r="M11" s="33" t="s">
        <v>875</v>
      </c>
      <c r="N11" s="33" t="s">
        <v>875</v>
      </c>
      <c r="O11" s="11" t="s">
        <v>875</v>
      </c>
      <c r="P11" s="19" t="s">
        <v>875</v>
      </c>
      <c r="Q11" s="40" t="s">
        <v>875</v>
      </c>
      <c r="R11" s="40" t="s">
        <v>875</v>
      </c>
      <c r="S11" s="161" t="s">
        <v>875</v>
      </c>
      <c r="T11" s="98" t="s">
        <v>875</v>
      </c>
      <c r="U11" s="98" t="s">
        <v>875</v>
      </c>
      <c r="V11" s="98" t="s">
        <v>875</v>
      </c>
      <c r="W11" s="98" t="s">
        <v>875</v>
      </c>
      <c r="X11" s="98" t="s">
        <v>875</v>
      </c>
      <c r="Y11" s="33" t="s">
        <v>875</v>
      </c>
      <c r="Z11" s="33" t="s">
        <v>875</v>
      </c>
      <c r="AA11" s="33" t="s">
        <v>875</v>
      </c>
      <c r="AB11" s="33" t="s">
        <v>875</v>
      </c>
      <c r="AC11" s="355" t="s">
        <v>875</v>
      </c>
      <c r="AD11" s="155" t="s">
        <v>875</v>
      </c>
      <c r="AE11" s="155" t="s">
        <v>875</v>
      </c>
      <c r="AF11" s="324" t="s">
        <v>875</v>
      </c>
    </row>
    <row r="12" spans="1:32" x14ac:dyDescent="0.2">
      <c r="F12" s="47" t="s">
        <v>461</v>
      </c>
      <c r="G12" s="36" t="s">
        <v>461</v>
      </c>
      <c r="H12" s="11" t="s">
        <v>461</v>
      </c>
      <c r="I12" s="36" t="s">
        <v>461</v>
      </c>
      <c r="J12" s="11" t="s">
        <v>461</v>
      </c>
      <c r="K12" s="36" t="s">
        <v>461</v>
      </c>
      <c r="L12" s="36" t="s">
        <v>461</v>
      </c>
      <c r="M12" s="33" t="s">
        <v>461</v>
      </c>
      <c r="N12" s="33" t="s">
        <v>461</v>
      </c>
      <c r="O12" s="11" t="s">
        <v>461</v>
      </c>
      <c r="P12" s="11" t="s">
        <v>461</v>
      </c>
      <c r="Q12" s="40" t="s">
        <v>461</v>
      </c>
      <c r="R12" s="40" t="s">
        <v>461</v>
      </c>
      <c r="S12" s="161" t="s">
        <v>461</v>
      </c>
      <c r="T12" s="98" t="s">
        <v>461</v>
      </c>
      <c r="U12" s="98" t="s">
        <v>461</v>
      </c>
      <c r="V12" s="98" t="s">
        <v>461</v>
      </c>
      <c r="W12" s="98" t="s">
        <v>461</v>
      </c>
      <c r="X12" s="98" t="s">
        <v>461</v>
      </c>
      <c r="Y12" s="33" t="s">
        <v>461</v>
      </c>
      <c r="Z12" s="33" t="s">
        <v>461</v>
      </c>
      <c r="AA12" s="33" t="s">
        <v>461</v>
      </c>
      <c r="AB12" s="33" t="s">
        <v>461</v>
      </c>
      <c r="AC12" s="355" t="s">
        <v>461</v>
      </c>
      <c r="AD12" s="155" t="s">
        <v>461</v>
      </c>
      <c r="AE12" s="155" t="s">
        <v>461</v>
      </c>
      <c r="AF12" s="324" t="s">
        <v>461</v>
      </c>
    </row>
    <row r="13" spans="1:32" x14ac:dyDescent="0.2">
      <c r="F13" s="47"/>
      <c r="G13" s="36"/>
      <c r="H13" s="11"/>
      <c r="I13" s="36"/>
      <c r="J13" s="11"/>
      <c r="K13" s="36"/>
    </row>
    <row r="14" spans="1:32" x14ac:dyDescent="0.2">
      <c r="A14" s="299" t="s">
        <v>44</v>
      </c>
      <c r="B14" s="207" t="s">
        <v>3</v>
      </c>
      <c r="C14" s="207" t="s">
        <v>25</v>
      </c>
      <c r="D14" s="207" t="s">
        <v>4</v>
      </c>
      <c r="E14" s="207" t="s">
        <v>47</v>
      </c>
      <c r="F14" s="218" t="s">
        <v>188</v>
      </c>
      <c r="G14" s="194" t="s">
        <v>189</v>
      </c>
      <c r="H14" s="195" t="s">
        <v>191</v>
      </c>
      <c r="I14" s="194" t="s">
        <v>192</v>
      </c>
      <c r="J14" s="195" t="s">
        <v>638</v>
      </c>
      <c r="K14" s="191" t="s">
        <v>468</v>
      </c>
      <c r="L14" s="194" t="s">
        <v>469</v>
      </c>
      <c r="M14" s="197" t="s">
        <v>217</v>
      </c>
      <c r="N14" s="197" t="s">
        <v>218</v>
      </c>
      <c r="O14" s="195" t="s">
        <v>338</v>
      </c>
      <c r="P14" s="195" t="s">
        <v>337</v>
      </c>
      <c r="Q14" s="217" t="s">
        <v>220</v>
      </c>
      <c r="R14" s="217" t="s">
        <v>219</v>
      </c>
      <c r="S14" s="223" t="s">
        <v>336</v>
      </c>
      <c r="T14" s="195" t="s">
        <v>494</v>
      </c>
      <c r="U14" s="195" t="s">
        <v>479</v>
      </c>
      <c r="V14" s="195" t="s">
        <v>333</v>
      </c>
      <c r="W14" s="195" t="s">
        <v>480</v>
      </c>
      <c r="X14" s="195" t="s">
        <v>335</v>
      </c>
      <c r="Y14" s="217" t="s">
        <v>334</v>
      </c>
      <c r="Z14" s="217" t="s">
        <v>216</v>
      </c>
      <c r="AA14" s="217" t="s">
        <v>755</v>
      </c>
      <c r="AB14" s="217" t="s">
        <v>756</v>
      </c>
      <c r="AC14" s="359" t="s">
        <v>318</v>
      </c>
      <c r="AD14" s="346" t="s">
        <v>824</v>
      </c>
      <c r="AE14" s="346" t="s">
        <v>820</v>
      </c>
      <c r="AF14" s="346" t="s">
        <v>805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IF(LEFT($B15,4)="_Mil","",IFERROR(1/(1/ROUND(INDEX(Spectrum!$N:$N,MATCH(RIGHT($B15,13)&amp;"|"&amp;$C15&amp;"|"&amp;$D15&amp;"|"&amp;M$14&amp;"|"&amp;"CY2023Q3",Spectrum!$R:$R,0)),0)),IF(SUM($L15)=0,"",$L15)))</f>
        <v/>
      </c>
      <c r="N15" s="33" t="str">
        <f>IF(LEFT($B15,4)="_Mil","",IFERROR(1/(1/ROUND(INDEX(Spectrum!$N:$N,MATCH(RIGHT($B15,13)&amp;"|"&amp;$C15&amp;"|"&amp;$D15&amp;"|"&amp;N$14&amp;"|"&amp;"CY2023Q3",Spectrum!$R:$R,0)),0)),IF(SUM($M15)=0,"",$M15)))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5" t="str">
        <f>IFERROR(1/(1/INDEX(Cascade!$BH:$BH,MATCH($E15,Cascade!$E:$E,0))),"")</f>
        <v/>
      </c>
      <c r="AD15" s="155" t="str">
        <f>IF(SUM($AA15)=0,"",$AA15)</f>
        <v/>
      </c>
      <c r="AE15" s="155" t="str">
        <f>IFERROR(1/(1/INDEX(TB!$P:$P,MATCH($E15,TB!$E:$E,0))),"")</f>
        <v/>
      </c>
      <c r="AF15" s="155" t="str">
        <f>IFERROR(1/(1/(SUM($AC15)-SUM($AD15:$AE15))),"")</f>
        <v/>
      </c>
    </row>
  </sheetData>
  <mergeCells count="1">
    <mergeCell ref="A2:B3"/>
  </mergeCells>
  <conditionalFormatting sqref="P1:P1048576">
    <cfRule type="expression" dxfId="109" priority="3764">
      <formula>AND(ISNUMBER($P1),$P1&lt;0.8)</formula>
    </cfRule>
  </conditionalFormatting>
  <conditionalFormatting sqref="X1:X1048576">
    <cfRule type="expression" dxfId="108" priority="13">
      <formula>AND(ROW($X1)&gt;14,$AA1="ENTER YIELD RATE")</formula>
    </cfRule>
    <cfRule type="expression" dxfId="107" priority="19">
      <formula>AND(ROW($X1)&gt;14,ROUND(SUM($X1),2)&gt;0.01)</formula>
    </cfRule>
  </conditionalFormatting>
  <conditionalFormatting sqref="Q1:Q1048576">
    <cfRule type="expression" dxfId="106" priority="29">
      <formula>AND(ISNUMBER($Q1),$Q1&lt;$N1)</formula>
    </cfRule>
  </conditionalFormatting>
  <conditionalFormatting sqref="M1:N1048576">
    <cfRule type="expression" dxfId="105" priority="3765">
      <formula>AND(ISNUMBER($M1),ISNUMBER($N1),$N1&lt;$M1)</formula>
    </cfRule>
  </conditionalFormatting>
  <conditionalFormatting sqref="V1:V1048576">
    <cfRule type="expression" dxfId="104" priority="9">
      <formula>AND(ROW($V1)&gt;14,$Z1="ENTER INDETERMINATE RATE")</formula>
    </cfRule>
  </conditionalFormatting>
  <conditionalFormatting sqref="F1:S1048576 U1:AF1048576">
    <cfRule type="expression" dxfId="103" priority="7">
      <formula>AND(ISNUMBER(F1),F1&lt;0)</formula>
    </cfRule>
  </conditionalFormatting>
  <conditionalFormatting sqref="H1:H1048576 O1:P1048576 S1:S1048576 U1:X1048576">
    <cfRule type="expression" dxfId="102" priority="8">
      <formula>AND(ISNUMBER(H1),H1&gt;1)</formula>
    </cfRule>
  </conditionalFormatting>
  <conditionalFormatting sqref="AC1:AF1048576">
    <cfRule type="expression" dxfId="101" priority="18">
      <formula>AND(ISNUMBER($AF1),OR(ISERROR($AF1),$AF1&lt;0))</formula>
    </cfRule>
  </conditionalFormatting>
  <conditionalFormatting sqref="F1:J1048576 M1:S1048576">
    <cfRule type="expression" dxfId="100" priority="1">
      <formula>LEFT($B1,4)="_Mil"</formula>
    </cfRule>
  </conditionalFormatting>
  <conditionalFormatting sqref="T1:T1048576">
    <cfRule type="expression" dxfId="99" priority="4">
      <formula>AND(ROW($T1)&gt;14,$E1&lt;&gt;"",LEFT($B1,4)&lt;&gt;"_Mil")</formula>
    </cfRule>
  </conditionalFormatting>
  <conditionalFormatting sqref="S1:S1048576">
    <cfRule type="expression" dxfId="98" priority="3">
      <formula>AND(SUM($R1)&lt;&gt;0,$S1="",LEFT($B21,4)&lt;&gt;"_Mil")</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H:BH"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activeCell="F1" sqref="F1"/>
      <selection pane="bottomLeft" activeCell="A15" sqref="A15"/>
      <selection pane="bottomRight" activeCell="H15" sqref="H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 min="13" max="13" width="11.83203125" style="47" customWidth="1"/>
    <col min="14" max="14" width="11.83203125" style="36" customWidth="1"/>
    <col min="15" max="15" width="11.83203125" style="33" customWidth="1"/>
    <col min="16" max="16" width="11.83203125" style="47" customWidth="1"/>
    <col min="17" max="17" width="11.83203125" style="33" customWidth="1"/>
  </cols>
  <sheetData>
    <row r="1" spans="1:17" s="22" customFormat="1" ht="31" customHeight="1" x14ac:dyDescent="0.3">
      <c r="A1" s="300" t="s">
        <v>10</v>
      </c>
      <c r="B1" s="4"/>
      <c r="C1" s="1"/>
      <c r="D1" s="1"/>
      <c r="E1" s="1"/>
      <c r="F1" s="215" t="s">
        <v>21</v>
      </c>
      <c r="G1" s="181"/>
      <c r="H1" s="181"/>
      <c r="I1" s="181"/>
      <c r="J1" s="181"/>
      <c r="K1" s="181"/>
      <c r="L1" s="181"/>
      <c r="M1" s="215" t="s">
        <v>531</v>
      </c>
      <c r="N1" s="181"/>
      <c r="O1" s="181"/>
      <c r="P1" s="215" t="s">
        <v>825</v>
      </c>
      <c r="Q1" s="181"/>
    </row>
    <row r="2" spans="1:17" s="21" customFormat="1" ht="19" x14ac:dyDescent="0.25">
      <c r="A2" s="13"/>
      <c r="B2" s="2"/>
      <c r="C2" s="2"/>
      <c r="D2" s="2"/>
      <c r="E2" s="2"/>
      <c r="F2" s="50"/>
      <c r="G2" s="34"/>
      <c r="H2" s="34"/>
      <c r="I2" s="34"/>
      <c r="J2" s="34"/>
      <c r="K2" s="34"/>
      <c r="L2" s="264" t="s">
        <v>774</v>
      </c>
      <c r="M2" s="50"/>
      <c r="N2" s="34"/>
      <c r="O2" s="264" t="s">
        <v>774</v>
      </c>
      <c r="P2" s="50"/>
      <c r="Q2" s="264" t="s">
        <v>774</v>
      </c>
    </row>
    <row r="3" spans="1:17" ht="117" customHeight="1" x14ac:dyDescent="0.2">
      <c r="A3" s="297"/>
      <c r="B3" s="17"/>
      <c r="C3" s="17"/>
      <c r="D3" s="17"/>
      <c r="E3" s="17"/>
      <c r="F3" s="127" t="s">
        <v>1157</v>
      </c>
      <c r="G3" s="128" t="s">
        <v>694</v>
      </c>
      <c r="H3" s="128" t="s">
        <v>695</v>
      </c>
      <c r="I3" s="128" t="s">
        <v>696</v>
      </c>
      <c r="J3" s="68" t="s">
        <v>758</v>
      </c>
      <c r="K3" s="68" t="s">
        <v>698</v>
      </c>
      <c r="L3" s="257" t="s">
        <v>697</v>
      </c>
      <c r="M3" s="72" t="s">
        <v>759</v>
      </c>
      <c r="N3" s="68" t="s">
        <v>757</v>
      </c>
      <c r="O3" s="257" t="s">
        <v>663</v>
      </c>
      <c r="P3" s="246" t="s">
        <v>826</v>
      </c>
      <c r="Q3" s="257" t="s">
        <v>827</v>
      </c>
    </row>
    <row r="4" spans="1:17"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c r="M4" s="51">
        <f>SUBTOTAL(109,M$15:INDEX(M:M,COUNTA($B:$B)+14-COUNTA($B$1:$B$14)))</f>
        <v>0</v>
      </c>
      <c r="N4" s="35">
        <f>SUBTOTAL(109,N$15:INDEX(N:N,COUNTA($B:$B)+14-COUNTA($B$1:$B$14)))</f>
        <v>0</v>
      </c>
      <c r="O4" s="32">
        <f>SUBTOTAL(109,O$15:INDEX(O:O,COUNTA($B:$B)+14-COUNTA($B$1:$B$14)))</f>
        <v>0</v>
      </c>
      <c r="P4" s="51" t="str">
        <f>IF(SUM($O4)=0,"",SUM($Q4)/SUM($O4))</f>
        <v/>
      </c>
      <c r="Q4" s="32">
        <f>SUBTOTAL(109,Q$15:INDEX(Q:Q,COUNTA($B:$B)+14-COUNTA($B$1:$B$14)))</f>
        <v>0</v>
      </c>
    </row>
    <row r="5" spans="1:17" x14ac:dyDescent="0.2">
      <c r="A5" t="s">
        <v>59</v>
      </c>
      <c r="B5" s="5" t="s">
        <v>59</v>
      </c>
      <c r="C5" s="5" t="s">
        <v>59</v>
      </c>
      <c r="D5" s="5" t="s">
        <v>59</v>
      </c>
      <c r="E5" s="5" t="s">
        <v>59</v>
      </c>
      <c r="F5" s="47" t="s">
        <v>59</v>
      </c>
      <c r="G5" s="36" t="s">
        <v>59</v>
      </c>
      <c r="H5" s="36" t="s">
        <v>59</v>
      </c>
      <c r="I5" s="36" t="s">
        <v>59</v>
      </c>
      <c r="J5" s="36" t="s">
        <v>70</v>
      </c>
      <c r="K5" s="36" t="s">
        <v>70</v>
      </c>
      <c r="L5" s="33" t="s">
        <v>70</v>
      </c>
      <c r="M5" s="47" t="s">
        <v>70</v>
      </c>
      <c r="N5" s="36" t="s">
        <v>70</v>
      </c>
      <c r="O5" s="33" t="s">
        <v>70</v>
      </c>
      <c r="P5" s="47" t="s">
        <v>59</v>
      </c>
      <c r="Q5" s="33" t="s">
        <v>70</v>
      </c>
    </row>
    <row r="6" spans="1:17" x14ac:dyDescent="0.2">
      <c r="A6" t="s">
        <v>137</v>
      </c>
      <c r="B6" s="5" t="s">
        <v>137</v>
      </c>
      <c r="C6" s="5" t="s">
        <v>137</v>
      </c>
      <c r="D6" s="5" t="s">
        <v>137</v>
      </c>
      <c r="E6" s="5" t="s">
        <v>137</v>
      </c>
      <c r="F6" s="47" t="s">
        <v>54</v>
      </c>
      <c r="G6" s="36" t="s">
        <v>54</v>
      </c>
      <c r="H6" s="36" t="s">
        <v>54</v>
      </c>
      <c r="I6" s="36" t="s">
        <v>54</v>
      </c>
      <c r="J6" s="36" t="s">
        <v>71</v>
      </c>
      <c r="K6" s="36" t="s">
        <v>71</v>
      </c>
      <c r="L6" s="33" t="s">
        <v>53</v>
      </c>
      <c r="M6" s="47" t="s">
        <v>71</v>
      </c>
      <c r="N6" s="36" t="s">
        <v>71</v>
      </c>
      <c r="O6" s="33" t="s">
        <v>53</v>
      </c>
      <c r="P6" s="47" t="s">
        <v>73</v>
      </c>
      <c r="Q6" s="33" t="s">
        <v>53</v>
      </c>
    </row>
    <row r="7" spans="1:17" x14ac:dyDescent="0.2">
      <c r="A7" t="s">
        <v>69</v>
      </c>
      <c r="B7" s="5" t="s">
        <v>69</v>
      </c>
      <c r="C7" s="5" t="s">
        <v>69</v>
      </c>
      <c r="D7" s="5" t="s">
        <v>69</v>
      </c>
      <c r="E7" s="5" t="s">
        <v>69</v>
      </c>
      <c r="F7" s="47" t="s">
        <v>55</v>
      </c>
      <c r="G7" s="36" t="s">
        <v>55</v>
      </c>
      <c r="H7" s="36" t="s">
        <v>55</v>
      </c>
      <c r="I7" s="36" t="s">
        <v>55</v>
      </c>
      <c r="J7" s="36" t="s">
        <v>55</v>
      </c>
      <c r="K7" s="36" t="s">
        <v>55</v>
      </c>
      <c r="L7" s="33" t="s">
        <v>55</v>
      </c>
      <c r="M7" s="47" t="s">
        <v>55</v>
      </c>
      <c r="N7" s="36" t="s">
        <v>55</v>
      </c>
      <c r="O7" s="33" t="s">
        <v>55</v>
      </c>
      <c r="P7" s="47" t="s">
        <v>55</v>
      </c>
      <c r="Q7" s="33" t="s">
        <v>55</v>
      </c>
    </row>
    <row r="8" spans="1:17" x14ac:dyDescent="0.2">
      <c r="J8" s="286" t="s">
        <v>377</v>
      </c>
      <c r="K8" s="277" t="s">
        <v>131</v>
      </c>
      <c r="L8" s="273" t="s">
        <v>131</v>
      </c>
      <c r="M8" s="284" t="s">
        <v>895</v>
      </c>
      <c r="N8" s="277" t="s">
        <v>566</v>
      </c>
      <c r="O8" s="273" t="s">
        <v>566</v>
      </c>
      <c r="P8" s="267"/>
      <c r="Q8" s="273" t="s">
        <v>926</v>
      </c>
    </row>
    <row r="9" spans="1:17" x14ac:dyDescent="0.2">
      <c r="J9" s="286" t="s">
        <v>378</v>
      </c>
      <c r="K9" s="277" t="s">
        <v>132</v>
      </c>
      <c r="L9" s="273" t="s">
        <v>132</v>
      </c>
      <c r="M9" s="284" t="s">
        <v>894</v>
      </c>
      <c r="N9" s="277" t="s">
        <v>567</v>
      </c>
      <c r="O9" s="273" t="s">
        <v>567</v>
      </c>
      <c r="P9" s="267"/>
      <c r="Q9" s="273" t="s">
        <v>925</v>
      </c>
    </row>
    <row r="10" spans="1:17" x14ac:dyDescent="0.2">
      <c r="J10" s="277"/>
      <c r="K10" s="277"/>
      <c r="L10" s="273"/>
      <c r="M10" s="279"/>
      <c r="N10" s="277"/>
      <c r="O10" s="273"/>
      <c r="Q10" s="273" t="s">
        <v>82</v>
      </c>
    </row>
    <row r="11" spans="1:17" x14ac:dyDescent="0.2">
      <c r="F11" s="47" t="s">
        <v>875</v>
      </c>
      <c r="G11" s="36" t="s">
        <v>875</v>
      </c>
      <c r="H11" s="36" t="s">
        <v>924</v>
      </c>
      <c r="I11" s="36" t="s">
        <v>924</v>
      </c>
      <c r="J11" s="36" t="s">
        <v>875</v>
      </c>
      <c r="K11" s="36" t="s">
        <v>875</v>
      </c>
      <c r="L11" s="33" t="s">
        <v>875</v>
      </c>
      <c r="M11" s="47" t="s">
        <v>875</v>
      </c>
      <c r="N11" s="36" t="s">
        <v>875</v>
      </c>
      <c r="O11" s="33" t="s">
        <v>875</v>
      </c>
      <c r="P11" s="47" t="s">
        <v>875</v>
      </c>
      <c r="Q11" s="33" t="s">
        <v>875</v>
      </c>
    </row>
    <row r="12" spans="1:17" x14ac:dyDescent="0.2">
      <c r="F12" s="47" t="s">
        <v>138</v>
      </c>
      <c r="G12" s="36" t="s">
        <v>138</v>
      </c>
      <c r="H12" s="36" t="s">
        <v>460</v>
      </c>
      <c r="I12" s="36" t="s">
        <v>460</v>
      </c>
      <c r="J12" s="36" t="s">
        <v>138</v>
      </c>
      <c r="K12" s="36" t="s">
        <v>138</v>
      </c>
      <c r="L12" s="33" t="s">
        <v>138</v>
      </c>
      <c r="M12" s="47" t="s">
        <v>138</v>
      </c>
      <c r="N12" s="36" t="s">
        <v>138</v>
      </c>
      <c r="O12" s="33" t="s">
        <v>138</v>
      </c>
      <c r="P12" s="47" t="s">
        <v>138</v>
      </c>
      <c r="Q12" s="33" t="s">
        <v>138</v>
      </c>
    </row>
    <row r="14" spans="1:17" x14ac:dyDescent="0.2">
      <c r="A14" s="301" t="s">
        <v>44</v>
      </c>
      <c r="B14" s="190" t="s">
        <v>3</v>
      </c>
      <c r="C14" s="190" t="s">
        <v>25</v>
      </c>
      <c r="D14" s="190" t="s">
        <v>4</v>
      </c>
      <c r="E14" s="190" t="s">
        <v>47</v>
      </c>
      <c r="F14" s="218" t="s">
        <v>189</v>
      </c>
      <c r="G14" s="194" t="s">
        <v>345</v>
      </c>
      <c r="H14" s="194" t="s">
        <v>304</v>
      </c>
      <c r="I14" s="194" t="s">
        <v>305</v>
      </c>
      <c r="J14" s="194" t="s">
        <v>371</v>
      </c>
      <c r="K14" s="194" t="s">
        <v>280</v>
      </c>
      <c r="L14" s="217" t="s">
        <v>281</v>
      </c>
      <c r="M14" s="218" t="s">
        <v>828</v>
      </c>
      <c r="N14" s="194" t="s">
        <v>829</v>
      </c>
      <c r="O14" s="217" t="s">
        <v>532</v>
      </c>
      <c r="P14" s="218" t="s">
        <v>830</v>
      </c>
      <c r="Q14" s="217" t="s">
        <v>831</v>
      </c>
    </row>
    <row r="15" spans="1:17"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IF(SUM($K15)=0,"",$K15)</f>
        <v/>
      </c>
      <c r="O15" s="33" t="str">
        <f>IF(SUM($N15)=0,"",$N15)</f>
        <v/>
      </c>
      <c r="P15" s="47">
        <v>2</v>
      </c>
      <c r="Q15" s="33" t="str">
        <f>IF(SUM($O15)=0,"",$O15*$P15)</f>
        <v/>
      </c>
    </row>
  </sheetData>
  <conditionalFormatting sqref="H1:I1048576">
    <cfRule type="expression" dxfId="97" priority="3">
      <formula>AND(ROW(H1)&gt;14,$E1&lt;&gt;"",$D1&lt;&gt;"Female")</formula>
    </cfRule>
    <cfRule type="expression" dxfId="96" priority="4">
      <formula>AND(ROW(H1)&gt;14,$E1&lt;&gt;"",NOT(OR($C1="15-24",$C1="25-34")))</formula>
    </cfRule>
  </conditionalFormatting>
  <conditionalFormatting sqref="F1:F1048576">
    <cfRule type="expression" dxfId="95" priority="2">
      <formula>AND(ROW(F1)&gt;14,LEFT(B1,4)="_Mil")</formula>
    </cfRule>
  </conditionalFormatting>
  <conditionalFormatting sqref="F1:Q1048576">
    <cfRule type="expression" dxfId="94" priority="5">
      <formula>AND(ISNUMBER(F1),F1&lt;0)</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BA15"/>
  <sheetViews>
    <sheetView zoomScale="120" zoomScaleNormal="120" workbookViewId="0">
      <pane xSplit="5" ySplit="14" topLeftCell="AW15" activePane="bottomRight" state="frozen"/>
      <selection pane="topRight" activeCell="F1" sqref="F1"/>
      <selection pane="bottomLeft" activeCell="A15" sqref="A15"/>
      <selection pane="bottomRight" activeCell="AM15" sqref="AM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 min="52" max="52" width="11.83203125" style="81" customWidth="1"/>
    <col min="53" max="53" width="11.83203125" style="102" customWidth="1"/>
  </cols>
  <sheetData>
    <row r="1" spans="1:53" s="22" customFormat="1" ht="31" customHeight="1" thickBot="1" x14ac:dyDescent="0.35">
      <c r="A1" s="300" t="s">
        <v>7</v>
      </c>
      <c r="B1" s="4"/>
      <c r="C1" s="1"/>
      <c r="D1" s="1"/>
      <c r="E1" s="1"/>
      <c r="F1" s="214" t="s">
        <v>381</v>
      </c>
      <c r="G1" s="181"/>
      <c r="H1" s="181"/>
      <c r="I1" s="181"/>
      <c r="J1" s="181"/>
      <c r="K1" s="181"/>
      <c r="L1" s="181"/>
      <c r="M1" s="214" t="s">
        <v>41</v>
      </c>
      <c r="N1" s="186"/>
      <c r="O1" s="186"/>
      <c r="P1" s="186"/>
      <c r="Q1" s="184"/>
      <c r="R1" s="184"/>
      <c r="S1" s="184"/>
      <c r="T1" s="184"/>
      <c r="U1" s="184"/>
      <c r="V1" s="184"/>
      <c r="W1" s="214" t="s">
        <v>847</v>
      </c>
      <c r="X1" s="181"/>
      <c r="Y1" s="181"/>
      <c r="Z1" s="214" t="s">
        <v>599</v>
      </c>
      <c r="AA1" s="181"/>
      <c r="AB1" s="181"/>
      <c r="AC1" s="214" t="s">
        <v>600</v>
      </c>
      <c r="AD1" s="181"/>
      <c r="AE1" s="181"/>
      <c r="AF1" s="214" t="s">
        <v>42</v>
      </c>
      <c r="AG1" s="181"/>
      <c r="AH1" s="181"/>
      <c r="AI1" s="214" t="s">
        <v>848</v>
      </c>
      <c r="AJ1" s="181"/>
      <c r="AK1" s="181"/>
      <c r="AL1" s="212" t="s">
        <v>152</v>
      </c>
      <c r="AM1" s="179"/>
      <c r="AN1" s="179"/>
      <c r="AO1" s="179"/>
      <c r="AP1" s="179"/>
      <c r="AQ1" s="179"/>
      <c r="AR1" s="179"/>
      <c r="AS1" s="179"/>
      <c r="AT1" s="179"/>
      <c r="AU1" s="179"/>
      <c r="AV1" s="185"/>
      <c r="AW1" s="212" t="s">
        <v>37</v>
      </c>
      <c r="AX1" s="184"/>
      <c r="AY1" s="181"/>
      <c r="AZ1" s="214" t="s">
        <v>139</v>
      </c>
      <c r="BA1" s="179"/>
    </row>
    <row r="2" spans="1:53" s="21" customFormat="1" ht="19" customHeight="1" x14ac:dyDescent="0.25">
      <c r="A2" s="443" t="s">
        <v>514</v>
      </c>
      <c r="B2" s="439"/>
      <c r="C2" s="2"/>
      <c r="D2" s="2"/>
      <c r="E2" s="2"/>
      <c r="F2" s="120"/>
      <c r="G2" s="34"/>
      <c r="H2" s="34"/>
      <c r="I2" s="34"/>
      <c r="J2" s="34"/>
      <c r="K2" s="34"/>
      <c r="L2" s="34"/>
      <c r="M2" s="120"/>
      <c r="N2" s="121"/>
      <c r="O2" s="121"/>
      <c r="P2" s="121"/>
      <c r="Q2" s="121"/>
      <c r="R2" s="121"/>
      <c r="S2" s="3"/>
      <c r="T2" s="3"/>
      <c r="U2" s="3"/>
      <c r="V2" s="3"/>
      <c r="W2" s="120"/>
      <c r="X2" s="264" t="s">
        <v>774</v>
      </c>
      <c r="Y2" s="264" t="s">
        <v>774</v>
      </c>
      <c r="Z2" s="120"/>
      <c r="AA2" s="264" t="s">
        <v>774</v>
      </c>
      <c r="AB2" s="264" t="s">
        <v>774</v>
      </c>
      <c r="AC2" s="120"/>
      <c r="AD2" s="264" t="s">
        <v>774</v>
      </c>
      <c r="AE2" s="264" t="s">
        <v>774</v>
      </c>
      <c r="AF2" s="120"/>
      <c r="AG2" s="264" t="s">
        <v>774</v>
      </c>
      <c r="AH2" s="264" t="s">
        <v>774</v>
      </c>
      <c r="AI2" s="120"/>
      <c r="AJ2" s="264" t="s">
        <v>774</v>
      </c>
      <c r="AK2" s="264" t="s">
        <v>774</v>
      </c>
      <c r="AL2" s="52"/>
      <c r="AM2" s="138"/>
      <c r="AN2" s="55"/>
      <c r="AO2" s="55"/>
      <c r="AP2" s="55"/>
      <c r="AQ2" s="55"/>
      <c r="AR2" s="55"/>
      <c r="AS2" s="55"/>
      <c r="AT2" s="138"/>
      <c r="AU2" s="138"/>
      <c r="AV2" s="3"/>
      <c r="AW2" s="50"/>
      <c r="AX2" s="3"/>
      <c r="AY2" s="264" t="s">
        <v>774</v>
      </c>
      <c r="AZ2" s="120"/>
      <c r="BA2" s="255" t="s">
        <v>774</v>
      </c>
    </row>
    <row r="3" spans="1:53" ht="117" customHeight="1" thickBot="1" x14ac:dyDescent="0.25">
      <c r="A3" s="440"/>
      <c r="B3" s="441"/>
      <c r="C3" s="17"/>
      <c r="D3" s="17"/>
      <c r="E3" s="17"/>
      <c r="F3" s="133" t="s">
        <v>1159</v>
      </c>
      <c r="G3" s="131" t="s">
        <v>659</v>
      </c>
      <c r="H3" s="131" t="s">
        <v>699</v>
      </c>
      <c r="I3" s="131" t="s">
        <v>700</v>
      </c>
      <c r="J3" s="131" t="s">
        <v>701</v>
      </c>
      <c r="K3" s="131" t="s">
        <v>762</v>
      </c>
      <c r="L3" s="68" t="s">
        <v>702</v>
      </c>
      <c r="M3" s="133" t="s">
        <v>496</v>
      </c>
      <c r="N3" s="132" t="s">
        <v>648</v>
      </c>
      <c r="O3" s="132" t="s">
        <v>495</v>
      </c>
      <c r="P3" s="132" t="s">
        <v>842</v>
      </c>
      <c r="Q3" s="245" t="s">
        <v>843</v>
      </c>
      <c r="R3" s="245" t="s">
        <v>649</v>
      </c>
      <c r="S3" s="245" t="s">
        <v>650</v>
      </c>
      <c r="T3" s="245" t="s">
        <v>651</v>
      </c>
      <c r="U3" s="245" t="s">
        <v>652</v>
      </c>
      <c r="V3" s="154" t="s">
        <v>51</v>
      </c>
      <c r="W3" s="225" t="s">
        <v>38</v>
      </c>
      <c r="X3" s="31" t="s">
        <v>39</v>
      </c>
      <c r="Y3" s="257" t="s">
        <v>40</v>
      </c>
      <c r="Z3" s="225" t="s">
        <v>38</v>
      </c>
      <c r="AA3" s="31" t="s">
        <v>39</v>
      </c>
      <c r="AB3" s="257" t="s">
        <v>40</v>
      </c>
      <c r="AC3" s="225" t="s">
        <v>38</v>
      </c>
      <c r="AD3" s="31" t="s">
        <v>39</v>
      </c>
      <c r="AE3" s="257" t="s">
        <v>40</v>
      </c>
      <c r="AF3" s="225" t="s">
        <v>38</v>
      </c>
      <c r="AG3" s="31" t="s">
        <v>39</v>
      </c>
      <c r="AH3" s="257" t="s">
        <v>40</v>
      </c>
      <c r="AI3" s="225" t="s">
        <v>38</v>
      </c>
      <c r="AJ3" s="31" t="s">
        <v>39</v>
      </c>
      <c r="AK3" s="257" t="s">
        <v>40</v>
      </c>
      <c r="AL3" s="127" t="s">
        <v>703</v>
      </c>
      <c r="AM3" s="126" t="s">
        <v>704</v>
      </c>
      <c r="AN3" s="56" t="s">
        <v>158</v>
      </c>
      <c r="AO3" s="131" t="s">
        <v>705</v>
      </c>
      <c r="AP3" s="131" t="s">
        <v>706</v>
      </c>
      <c r="AQ3" s="131" t="s">
        <v>707</v>
      </c>
      <c r="AR3" s="131" t="s">
        <v>763</v>
      </c>
      <c r="AS3" s="131" t="s">
        <v>751</v>
      </c>
      <c r="AT3" s="126" t="s">
        <v>708</v>
      </c>
      <c r="AU3" s="126" t="s">
        <v>674</v>
      </c>
      <c r="AV3" s="154" t="s">
        <v>709</v>
      </c>
      <c r="AW3" s="72" t="s">
        <v>711</v>
      </c>
      <c r="AX3" s="224" t="s">
        <v>157</v>
      </c>
      <c r="AY3" s="257" t="s">
        <v>710</v>
      </c>
      <c r="AZ3" s="225" t="s">
        <v>864</v>
      </c>
      <c r="BA3" s="126" t="s">
        <v>653</v>
      </c>
    </row>
    <row r="4" spans="1:53" x14ac:dyDescent="0.2">
      <c r="A4" s="298"/>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f>SUBTOTAL(109,AS$15:INDEX(AS:AS,COUNTA($B:$B)+14-COUNTA($B$1:$B$14)))</f>
        <v>0</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c r="AZ4" s="80" t="str">
        <f>IF($AM$4=0,"",$BA$4/$AM$4)</f>
        <v/>
      </c>
      <c r="BA4" s="32">
        <f>SUBTOTAL(109,BA$15:INDEX(BA:BA,COUNTA($B:$B)+14-COUNTA($B$1:$B$14)))</f>
        <v>0</v>
      </c>
    </row>
    <row r="5" spans="1:53"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c r="AZ5" s="81" t="s">
        <v>59</v>
      </c>
      <c r="BA5" s="40" t="s">
        <v>70</v>
      </c>
    </row>
    <row r="6" spans="1:53" x14ac:dyDescent="0.2">
      <c r="A6" t="s">
        <v>137</v>
      </c>
      <c r="B6" s="5" t="s">
        <v>137</v>
      </c>
      <c r="C6" s="5" t="s">
        <v>137</v>
      </c>
      <c r="D6" s="5" t="s">
        <v>137</v>
      </c>
      <c r="E6" s="5" t="s">
        <v>137</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c r="AZ6" s="81" t="s">
        <v>73</v>
      </c>
      <c r="BA6" s="40" t="s">
        <v>53</v>
      </c>
    </row>
    <row r="7" spans="1:53"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c r="AZ7" s="81" t="s">
        <v>56</v>
      </c>
      <c r="BA7" s="40" t="s">
        <v>55</v>
      </c>
    </row>
    <row r="8" spans="1:53" x14ac:dyDescent="0.2">
      <c r="B8" s="5"/>
      <c r="C8" s="5"/>
      <c r="D8" s="5"/>
      <c r="E8" s="5"/>
      <c r="F8" s="81"/>
      <c r="M8" s="81"/>
      <c r="N8" s="11"/>
      <c r="O8" s="11"/>
      <c r="P8" s="11"/>
      <c r="Q8" s="144"/>
      <c r="R8" s="144"/>
      <c r="S8" s="144"/>
      <c r="T8" s="144"/>
      <c r="U8" s="144"/>
      <c r="V8" s="144"/>
      <c r="W8" s="143"/>
      <c r="X8" s="273" t="s">
        <v>880</v>
      </c>
      <c r="Y8" s="273" t="s">
        <v>880</v>
      </c>
      <c r="Z8" s="143"/>
      <c r="AA8" s="273" t="s">
        <v>881</v>
      </c>
      <c r="AB8" s="273" t="s">
        <v>881</v>
      </c>
      <c r="AC8" s="143"/>
      <c r="AD8" s="273" t="s">
        <v>882</v>
      </c>
      <c r="AE8" s="273" t="s">
        <v>882</v>
      </c>
      <c r="AF8" s="143"/>
      <c r="AG8" s="273" t="s">
        <v>105</v>
      </c>
      <c r="AH8" s="273" t="s">
        <v>105</v>
      </c>
      <c r="AI8" s="143"/>
      <c r="AJ8" s="273" t="s">
        <v>883</v>
      </c>
      <c r="AK8" s="273" t="s">
        <v>883</v>
      </c>
      <c r="AV8" s="11"/>
      <c r="AW8" s="284" t="s">
        <v>161</v>
      </c>
      <c r="AX8" s="144"/>
      <c r="AY8" s="273" t="s">
        <v>161</v>
      </c>
      <c r="AZ8" s="143"/>
      <c r="BA8" s="281" t="s">
        <v>888</v>
      </c>
    </row>
    <row r="9" spans="1:53" x14ac:dyDescent="0.2">
      <c r="B9" s="5"/>
      <c r="C9" s="5"/>
      <c r="D9" s="5"/>
      <c r="E9" s="5"/>
      <c r="F9" s="81"/>
      <c r="M9" s="81"/>
      <c r="N9" s="11"/>
      <c r="O9" s="11"/>
      <c r="P9" s="11"/>
      <c r="Q9" s="144"/>
      <c r="R9" s="144"/>
      <c r="S9" s="144"/>
      <c r="T9" s="144"/>
      <c r="U9" s="144"/>
      <c r="V9" s="144"/>
      <c r="W9" s="143"/>
      <c r="X9" s="273" t="s">
        <v>884</v>
      </c>
      <c r="Y9" s="273" t="s">
        <v>884</v>
      </c>
      <c r="Z9" s="143"/>
      <c r="AA9" s="273" t="s">
        <v>885</v>
      </c>
      <c r="AB9" s="273" t="s">
        <v>885</v>
      </c>
      <c r="AC9" s="143"/>
      <c r="AD9" s="273" t="s">
        <v>886</v>
      </c>
      <c r="AE9" s="273" t="s">
        <v>886</v>
      </c>
      <c r="AF9" s="143"/>
      <c r="AG9" s="273" t="s">
        <v>106</v>
      </c>
      <c r="AH9" s="273" t="s">
        <v>106</v>
      </c>
      <c r="AI9" s="143"/>
      <c r="AJ9" s="273" t="s">
        <v>887</v>
      </c>
      <c r="AK9" s="273" t="s">
        <v>887</v>
      </c>
      <c r="AV9" s="11"/>
      <c r="AW9" s="284" t="s">
        <v>162</v>
      </c>
      <c r="AX9" s="144"/>
      <c r="AY9" s="273" t="s">
        <v>162</v>
      </c>
      <c r="AZ9" s="143"/>
      <c r="BA9" s="281" t="s">
        <v>889</v>
      </c>
    </row>
    <row r="10" spans="1:53" x14ac:dyDescent="0.2">
      <c r="B10" s="5"/>
      <c r="C10" s="5"/>
      <c r="D10" s="5"/>
      <c r="E10" s="5"/>
      <c r="F10" s="81"/>
      <c r="M10" s="81"/>
      <c r="N10" s="11"/>
      <c r="O10" s="11"/>
      <c r="P10" s="11"/>
      <c r="Q10" s="144"/>
      <c r="R10" s="144"/>
      <c r="S10" s="144"/>
      <c r="T10" s="144"/>
      <c r="U10" s="144"/>
      <c r="V10" s="144"/>
      <c r="W10" s="143"/>
      <c r="X10" s="273" t="s">
        <v>63</v>
      </c>
      <c r="Y10" s="273" t="s">
        <v>64</v>
      </c>
      <c r="Z10" s="143"/>
      <c r="AA10" s="273" t="s">
        <v>65</v>
      </c>
      <c r="AB10" s="273" t="s">
        <v>82</v>
      </c>
      <c r="AC10" s="143"/>
      <c r="AD10" s="273" t="s">
        <v>65</v>
      </c>
      <c r="AE10" s="273" t="s">
        <v>82</v>
      </c>
      <c r="AF10" s="143"/>
      <c r="AG10" s="273" t="s">
        <v>65</v>
      </c>
      <c r="AH10" s="273" t="s">
        <v>82</v>
      </c>
      <c r="AI10" s="143"/>
      <c r="AJ10" s="273" t="s">
        <v>65</v>
      </c>
      <c r="AK10" s="273" t="s">
        <v>82</v>
      </c>
      <c r="AV10" s="11"/>
      <c r="AW10" s="279"/>
      <c r="AX10" s="144"/>
      <c r="AY10" s="273"/>
      <c r="AZ10" s="143"/>
      <c r="BA10" s="281" t="s">
        <v>65</v>
      </c>
    </row>
    <row r="11" spans="1:53" x14ac:dyDescent="0.2">
      <c r="B11" s="5"/>
      <c r="C11" s="5"/>
      <c r="D11" s="5"/>
      <c r="E11" s="5"/>
      <c r="F11" s="81" t="s">
        <v>877</v>
      </c>
      <c r="G11" s="36" t="s">
        <v>877</v>
      </c>
      <c r="H11" s="36" t="s">
        <v>876</v>
      </c>
      <c r="I11" s="36" t="s">
        <v>876</v>
      </c>
      <c r="J11" s="36" t="s">
        <v>877</v>
      </c>
      <c r="K11" s="36" t="s">
        <v>875</v>
      </c>
      <c r="L11" s="36" t="s">
        <v>877</v>
      </c>
      <c r="M11" s="81" t="s">
        <v>876</v>
      </c>
      <c r="N11" s="11" t="s">
        <v>876</v>
      </c>
      <c r="O11" s="11" t="s">
        <v>877</v>
      </c>
      <c r="P11" s="11" t="s">
        <v>875</v>
      </c>
      <c r="Q11" s="11" t="s">
        <v>877</v>
      </c>
      <c r="R11" s="11" t="s">
        <v>877</v>
      </c>
      <c r="S11" s="11" t="s">
        <v>877</v>
      </c>
      <c r="T11" s="11" t="s">
        <v>877</v>
      </c>
      <c r="U11" s="11" t="s">
        <v>877</v>
      </c>
      <c r="V11" s="11" t="s">
        <v>877</v>
      </c>
      <c r="W11" s="81" t="s">
        <v>877</v>
      </c>
      <c r="X11" s="33" t="s">
        <v>877</v>
      </c>
      <c r="Y11" s="33" t="s">
        <v>877</v>
      </c>
      <c r="Z11" s="81" t="s">
        <v>877</v>
      </c>
      <c r="AA11" s="54" t="s">
        <v>877</v>
      </c>
      <c r="AB11" s="54" t="s">
        <v>877</v>
      </c>
      <c r="AC11" s="81" t="s">
        <v>877</v>
      </c>
      <c r="AD11" s="54" t="s">
        <v>877</v>
      </c>
      <c r="AE11" s="54" t="s">
        <v>877</v>
      </c>
      <c r="AF11" s="81" t="s">
        <v>877</v>
      </c>
      <c r="AG11" s="33" t="s">
        <v>877</v>
      </c>
      <c r="AH11" s="33" t="s">
        <v>877</v>
      </c>
      <c r="AI11" s="81" t="s">
        <v>877</v>
      </c>
      <c r="AJ11" s="33" t="s">
        <v>877</v>
      </c>
      <c r="AK11" s="33" t="s">
        <v>877</v>
      </c>
      <c r="AL11" s="47" t="s">
        <v>877</v>
      </c>
      <c r="AM11" s="33" t="s">
        <v>877</v>
      </c>
      <c r="AN11" s="36" t="s">
        <v>877</v>
      </c>
      <c r="AO11" s="36" t="s">
        <v>876</v>
      </c>
      <c r="AP11" s="36" t="s">
        <v>876</v>
      </c>
      <c r="AQ11" s="36" t="s">
        <v>877</v>
      </c>
      <c r="AR11" s="36" t="s">
        <v>875</v>
      </c>
      <c r="AS11" s="36" t="s">
        <v>875</v>
      </c>
      <c r="AT11" s="33" t="s">
        <v>877</v>
      </c>
      <c r="AU11" s="33" t="s">
        <v>877</v>
      </c>
      <c r="AV11" s="11" t="s">
        <v>877</v>
      </c>
      <c r="AW11" s="47" t="s">
        <v>876</v>
      </c>
      <c r="AX11" s="11" t="s">
        <v>876</v>
      </c>
      <c r="AY11" s="33" t="s">
        <v>876</v>
      </c>
      <c r="AZ11" s="81" t="s">
        <v>875</v>
      </c>
      <c r="BA11" s="40" t="s">
        <v>875</v>
      </c>
    </row>
    <row r="12" spans="1:53" x14ac:dyDescent="0.2">
      <c r="B12" s="5"/>
      <c r="C12" s="5"/>
      <c r="D12" s="5"/>
      <c r="E12" s="5"/>
      <c r="F12" s="81" t="s">
        <v>138</v>
      </c>
      <c r="G12" s="36" t="s">
        <v>138</v>
      </c>
      <c r="H12" s="36" t="s">
        <v>460</v>
      </c>
      <c r="I12" s="36" t="s">
        <v>460</v>
      </c>
      <c r="J12" s="36" t="s">
        <v>138</v>
      </c>
      <c r="K12" s="36" t="s">
        <v>461</v>
      </c>
      <c r="L12" s="36" t="s">
        <v>138</v>
      </c>
      <c r="M12" s="81" t="s">
        <v>460</v>
      </c>
      <c r="N12" s="11" t="s">
        <v>460</v>
      </c>
      <c r="O12" s="11" t="s">
        <v>138</v>
      </c>
      <c r="P12" s="11" t="s">
        <v>461</v>
      </c>
      <c r="Q12" s="11" t="s">
        <v>138</v>
      </c>
      <c r="R12" s="11" t="s">
        <v>138</v>
      </c>
      <c r="S12" s="11" t="s">
        <v>138</v>
      </c>
      <c r="T12" s="11" t="s">
        <v>138</v>
      </c>
      <c r="U12" s="11" t="s">
        <v>138</v>
      </c>
      <c r="V12" s="11" t="s">
        <v>138</v>
      </c>
      <c r="W12" s="81" t="s">
        <v>138</v>
      </c>
      <c r="X12" s="33" t="s">
        <v>138</v>
      </c>
      <c r="Y12" s="33" t="s">
        <v>138</v>
      </c>
      <c r="Z12" s="81" t="s">
        <v>138</v>
      </c>
      <c r="AA12" s="33" t="s">
        <v>138</v>
      </c>
      <c r="AB12" s="33" t="s">
        <v>138</v>
      </c>
      <c r="AC12" s="81" t="s">
        <v>138</v>
      </c>
      <c r="AD12" s="33" t="s">
        <v>138</v>
      </c>
      <c r="AE12" s="33" t="s">
        <v>138</v>
      </c>
      <c r="AF12" s="81" t="s">
        <v>138</v>
      </c>
      <c r="AG12" s="33" t="s">
        <v>138</v>
      </c>
      <c r="AH12" s="33" t="s">
        <v>138</v>
      </c>
      <c r="AI12" s="81" t="s">
        <v>138</v>
      </c>
      <c r="AJ12" s="33" t="s">
        <v>138</v>
      </c>
      <c r="AK12" s="33" t="s">
        <v>138</v>
      </c>
      <c r="AL12" s="47" t="s">
        <v>138</v>
      </c>
      <c r="AM12" s="33" t="s">
        <v>138</v>
      </c>
      <c r="AN12" s="36" t="s">
        <v>138</v>
      </c>
      <c r="AO12" s="36" t="s">
        <v>460</v>
      </c>
      <c r="AP12" s="36" t="s">
        <v>460</v>
      </c>
      <c r="AQ12" s="36" t="s">
        <v>138</v>
      </c>
      <c r="AR12" s="36" t="s">
        <v>461</v>
      </c>
      <c r="AS12" s="36" t="s">
        <v>138</v>
      </c>
      <c r="AT12" s="33" t="s">
        <v>138</v>
      </c>
      <c r="AU12" s="33" t="s">
        <v>138</v>
      </c>
      <c r="AV12" s="11" t="s">
        <v>138</v>
      </c>
      <c r="AW12" s="47" t="s">
        <v>138</v>
      </c>
      <c r="AX12" s="11" t="s">
        <v>138</v>
      </c>
      <c r="AY12" s="33" t="s">
        <v>138</v>
      </c>
      <c r="AZ12" s="81" t="s">
        <v>138</v>
      </c>
      <c r="BA12" s="40" t="s">
        <v>138</v>
      </c>
    </row>
    <row r="13" spans="1:53" x14ac:dyDescent="0.2">
      <c r="B13" s="5"/>
      <c r="C13" s="5"/>
      <c r="D13" s="5"/>
      <c r="E13" s="5"/>
      <c r="F13" s="81"/>
      <c r="M13" s="81"/>
      <c r="N13" s="11"/>
      <c r="O13" s="11"/>
      <c r="P13" s="11"/>
      <c r="Q13" s="11"/>
      <c r="R13" s="11"/>
      <c r="S13" s="11"/>
      <c r="T13" s="11"/>
      <c r="U13" s="11"/>
      <c r="V13" s="11"/>
      <c r="W13" s="81"/>
      <c r="Z13" s="81"/>
      <c r="AC13" s="81"/>
      <c r="AF13" s="81"/>
      <c r="AI13" s="81"/>
      <c r="AV13" s="11"/>
      <c r="AX13" s="11"/>
      <c r="BA13" s="40"/>
    </row>
    <row r="14" spans="1:53" x14ac:dyDescent="0.2">
      <c r="A14" s="299" t="s">
        <v>44</v>
      </c>
      <c r="B14" s="207" t="s">
        <v>3</v>
      </c>
      <c r="C14" s="190" t="s">
        <v>25</v>
      </c>
      <c r="D14" s="190" t="s">
        <v>4</v>
      </c>
      <c r="E14" s="190" t="s">
        <v>47</v>
      </c>
      <c r="F14" s="223" t="s">
        <v>638</v>
      </c>
      <c r="G14" s="191" t="s">
        <v>318</v>
      </c>
      <c r="H14" s="191" t="s">
        <v>229</v>
      </c>
      <c r="I14" s="191" t="s">
        <v>231</v>
      </c>
      <c r="J14" s="191" t="s">
        <v>227</v>
      </c>
      <c r="K14" s="191" t="s">
        <v>755</v>
      </c>
      <c r="L14" s="191" t="s">
        <v>366</v>
      </c>
      <c r="M14" s="223" t="s">
        <v>222</v>
      </c>
      <c r="N14" s="195" t="s">
        <v>223</v>
      </c>
      <c r="O14" s="195" t="s">
        <v>221</v>
      </c>
      <c r="P14" s="195" t="s">
        <v>844</v>
      </c>
      <c r="Q14" s="195" t="s">
        <v>872</v>
      </c>
      <c r="R14" s="195" t="s">
        <v>840</v>
      </c>
      <c r="S14" s="195" t="s">
        <v>841</v>
      </c>
      <c r="T14" s="195" t="s">
        <v>224</v>
      </c>
      <c r="U14" s="195" t="s">
        <v>225</v>
      </c>
      <c r="V14" s="195" t="s">
        <v>226</v>
      </c>
      <c r="W14" s="223" t="s">
        <v>849</v>
      </c>
      <c r="X14" s="217" t="s">
        <v>850</v>
      </c>
      <c r="Y14" s="217" t="s">
        <v>851</v>
      </c>
      <c r="Z14" s="223" t="s">
        <v>852</v>
      </c>
      <c r="AA14" s="217" t="s">
        <v>853</v>
      </c>
      <c r="AB14" s="217" t="s">
        <v>854</v>
      </c>
      <c r="AC14" s="223" t="s">
        <v>856</v>
      </c>
      <c r="AD14" s="217" t="s">
        <v>857</v>
      </c>
      <c r="AE14" s="217" t="s">
        <v>858</v>
      </c>
      <c r="AF14" s="223" t="s">
        <v>233</v>
      </c>
      <c r="AG14" s="217" t="s">
        <v>234</v>
      </c>
      <c r="AH14" s="217" t="s">
        <v>235</v>
      </c>
      <c r="AI14" s="223" t="s">
        <v>855</v>
      </c>
      <c r="AJ14" s="217" t="s">
        <v>859</v>
      </c>
      <c r="AK14" s="217" t="s">
        <v>860</v>
      </c>
      <c r="AL14" s="218" t="s">
        <v>236</v>
      </c>
      <c r="AM14" s="217" t="s">
        <v>237</v>
      </c>
      <c r="AN14" s="194" t="s">
        <v>238</v>
      </c>
      <c r="AO14" s="194" t="s">
        <v>230</v>
      </c>
      <c r="AP14" s="194" t="s">
        <v>232</v>
      </c>
      <c r="AQ14" s="194" t="s">
        <v>228</v>
      </c>
      <c r="AR14" s="194" t="s">
        <v>756</v>
      </c>
      <c r="AS14" s="194" t="s">
        <v>752</v>
      </c>
      <c r="AT14" s="217" t="s">
        <v>239</v>
      </c>
      <c r="AU14" s="217" t="s">
        <v>240</v>
      </c>
      <c r="AV14" s="195" t="s">
        <v>241</v>
      </c>
      <c r="AW14" s="218" t="s">
        <v>470</v>
      </c>
      <c r="AX14" s="195" t="s">
        <v>242</v>
      </c>
      <c r="AY14" s="217" t="s">
        <v>243</v>
      </c>
      <c r="AZ14" s="223" t="s">
        <v>342</v>
      </c>
      <c r="BA14" s="217" t="s">
        <v>943</v>
      </c>
    </row>
    <row r="15" spans="1:53" x14ac:dyDescent="0.2">
      <c r="A15" t="e">
        <f>INDEX(Prioritization!$D:$D,MATCH($B15,Prioritization!$A:$A,0))</f>
        <v>#N/A</v>
      </c>
      <c r="B15" s="5"/>
      <c r="C15" s="5"/>
      <c r="D15" s="5"/>
      <c r="E15" t="str">
        <f>$B15&amp;"|"&amp;$C15&amp;"|"&amp;$D15</f>
        <v>||</v>
      </c>
      <c r="F15" s="81" t="str">
        <f>IF(LEFT($B15,4)="_Mil","",INDEX(Cascade!$AA:$AA,MATCH($E15,Cascade!$E:$E,0)))</f>
        <v/>
      </c>
      <c r="G15" s="57">
        <f>INDEX(Cascade!$BH:$BH,MATCH($E15,Cascade!$E:$E,0))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str">
        <f>IF(OR($C15="01-09",$C15="10-14"),"",INDEX(PrEP!$Q:$Q,MATCH($E15,PrEP!$E:$E,0)))</f>
        <v/>
      </c>
      <c r="AT15" s="102" t="str">
        <f>IFERROR(1/(1/SUM($Y15,$AB15,$AE15,$AH15,$AK15,$AO15:$AS15)),"")</f>
        <v/>
      </c>
      <c r="AU15" s="102" t="str">
        <f>IFERROR(1/(1/SUM($AT15,$AM15)),"")</f>
        <v/>
      </c>
      <c r="AV15" s="11" t="str">
        <f>IF(AND(SUM($AM15)=0,SUM($AU15)=0),"",$AM15/$AU15)</f>
        <v/>
      </c>
      <c r="AX15" s="11" t="str">
        <f>IF(OR($C15="01-09",SUM($AW15)=0),"",0%)</f>
        <v/>
      </c>
      <c r="AY15" s="33" t="str">
        <f>IF(OR($C15="01-09",SUM($AW15)=0),"",ROUND($AW15*(1+$AX15),0))</f>
        <v/>
      </c>
      <c r="AZ15" s="81">
        <f>IF(OR($C15="01-09",$C15="10-14"),"",100%)</f>
        <v>1</v>
      </c>
      <c r="BA15" s="102" t="str">
        <f>IF(OR(SUM($AM15)=0,$C15="01-09",$C15="10-14"),"",$AM15*$AZ15)</f>
        <v/>
      </c>
    </row>
  </sheetData>
  <mergeCells count="1">
    <mergeCell ref="A2:B3"/>
  </mergeCells>
  <conditionalFormatting sqref="K1:K1048576 P1:P1048576 AR1:AR1048576">
    <cfRule type="expression" dxfId="93" priority="2">
      <formula>OR($D1="Female",$C1="01-09",$C1="10-14")</formula>
    </cfRule>
  </conditionalFormatting>
  <conditionalFormatting sqref="AW1:AY1048576">
    <cfRule type="expression" dxfId="92" priority="19">
      <formula>OR($C1="01-09")</formula>
    </cfRule>
  </conditionalFormatting>
  <conditionalFormatting sqref="H1:I1048576 M1:N1048576 AO1:AP1048576">
    <cfRule type="expression" dxfId="91" priority="1">
      <formula>OR($D1="Male",$C1="01-09")</formula>
    </cfRule>
  </conditionalFormatting>
  <conditionalFormatting sqref="AN1:AN1048576">
    <cfRule type="expression" dxfId="90" priority="55">
      <formula>AND(ISNUMBER($AN1),ROUND(SUM($AN1),0)&lt;&gt;0)</formula>
    </cfRule>
  </conditionalFormatting>
  <conditionalFormatting sqref="Y1:Y1048576 AB1:AB1048576 AE1:AE1048576 AH1:AH1048576 AK1:AK1048576">
    <cfRule type="containsText" dxfId="89" priority="46" operator="containsText" text="ENTER YIELD">
      <formula>NOT(ISERROR(SEARCH("ENTER YIELD",Y1)))</formula>
    </cfRule>
  </conditionalFormatting>
  <conditionalFormatting sqref="F1:F1048576">
    <cfRule type="expression" dxfId="88" priority="23">
      <formula>LEFT($B1,4)="_Mil"</formula>
    </cfRule>
  </conditionalFormatting>
  <conditionalFormatting sqref="F1:AW1048576 AY1:BA1048576">
    <cfRule type="expression" dxfId="87" priority="26">
      <formula>AND(ISNUMBER(F1),F1&lt;0)</formula>
    </cfRule>
  </conditionalFormatting>
  <conditionalFormatting sqref="AZ1:AZ1048576">
    <cfRule type="expression" dxfId="86" priority="701">
      <formula>AND(ISNUMBER(AZ1),AZ1&lt;1)</formula>
    </cfRule>
  </conditionalFormatting>
  <conditionalFormatting sqref="M1:V1048576">
    <cfRule type="expression" dxfId="85" priority="218">
      <formula>AND(OR(ISNUMBER($V1),ROW($V1)&gt;14),IF(SUM($G1)=0,SUM($V1)&lt;&gt;0,ROUND($V1,2)&lt;&gt;1))</formula>
    </cfRule>
  </conditionalFormatting>
  <conditionalFormatting sqref="AS1:AS1048576 AZ1:BA1048576">
    <cfRule type="expression" dxfId="84" priority="22">
      <formula>OR($C1="01-09",$C1="10-14")</formula>
    </cfRule>
  </conditionalFormatting>
  <conditionalFormatting sqref="M1:W1048576 Z1:Z1048576 AC1:AC1048576 AF1:AF1048576 AI1:AI1048576 AV1:AV1048576 AZ1:AZ1048576">
    <cfRule type="expression" dxfId="83" priority="47">
      <formula>AND(ISNUMBER(M1),M1&gt;1)</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H:BH"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10" zoomScaleNormal="110" workbookViewId="0">
      <pane xSplit="5" ySplit="14" topLeftCell="F15" activePane="bottomRight" state="frozen"/>
      <selection pane="topRight" activeCell="F1" sqref="F1"/>
      <selection pane="bottomLeft" activeCell="A15" sqref="A15"/>
      <selection pane="bottomRight" activeCell="I14" sqref="I1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300" t="s">
        <v>5</v>
      </c>
      <c r="B1" s="4"/>
      <c r="C1" s="1"/>
      <c r="D1" s="1"/>
      <c r="E1" s="1"/>
      <c r="F1" s="212" t="s">
        <v>12</v>
      </c>
      <c r="G1" s="187"/>
      <c r="H1" s="187"/>
      <c r="I1" s="187"/>
      <c r="J1" s="184"/>
      <c r="K1" s="184"/>
      <c r="L1" s="184"/>
      <c r="M1" s="181"/>
    </row>
    <row r="2" spans="1:13" s="21" customFormat="1" ht="19" customHeight="1" x14ac:dyDescent="0.25">
      <c r="A2" s="443" t="s">
        <v>511</v>
      </c>
      <c r="B2" s="439"/>
      <c r="C2" s="2"/>
      <c r="D2" s="2"/>
      <c r="E2" s="2"/>
      <c r="F2" s="52"/>
      <c r="G2" s="46"/>
      <c r="H2" s="46"/>
      <c r="I2" s="46"/>
      <c r="J2" s="3"/>
      <c r="K2" s="3"/>
      <c r="L2" s="3"/>
      <c r="M2" s="264" t="s">
        <v>774</v>
      </c>
    </row>
    <row r="3" spans="1:13" ht="117" customHeight="1" thickBot="1" x14ac:dyDescent="0.25">
      <c r="A3" s="440"/>
      <c r="B3" s="441"/>
      <c r="C3" s="17"/>
      <c r="D3" s="17"/>
      <c r="E3" s="17"/>
      <c r="F3" s="72" t="s">
        <v>715</v>
      </c>
      <c r="G3" s="68" t="s">
        <v>714</v>
      </c>
      <c r="H3" s="128" t="s">
        <v>833</v>
      </c>
      <c r="I3" s="128" t="s">
        <v>621</v>
      </c>
      <c r="J3" s="164" t="s">
        <v>832</v>
      </c>
      <c r="K3" s="224" t="s">
        <v>835</v>
      </c>
      <c r="L3" s="224" t="s">
        <v>836</v>
      </c>
      <c r="M3" s="30" t="s">
        <v>713</v>
      </c>
    </row>
    <row r="4" spans="1:13" x14ac:dyDescent="0.2">
      <c r="A4" s="298"/>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137</v>
      </c>
      <c r="B6" s="5" t="s">
        <v>137</v>
      </c>
      <c r="C6" s="5" t="s">
        <v>137</v>
      </c>
      <c r="D6" s="5" t="s">
        <v>137</v>
      </c>
      <c r="E6" s="5" t="s">
        <v>137</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8" t="s">
        <v>289</v>
      </c>
      <c r="G8" s="277" t="s">
        <v>103</v>
      </c>
      <c r="H8" s="269"/>
      <c r="I8" s="269"/>
      <c r="J8" s="144"/>
      <c r="K8" s="144"/>
      <c r="L8" s="144"/>
      <c r="M8" s="273" t="s">
        <v>103</v>
      </c>
    </row>
    <row r="9" spans="1:13" x14ac:dyDescent="0.2">
      <c r="F9" s="278" t="s">
        <v>290</v>
      </c>
      <c r="G9" s="277" t="s">
        <v>104</v>
      </c>
      <c r="H9" s="269"/>
      <c r="I9" s="269"/>
      <c r="J9" s="144"/>
      <c r="K9" s="144"/>
      <c r="L9" s="144"/>
      <c r="M9" s="273" t="s">
        <v>104</v>
      </c>
    </row>
    <row r="10" spans="1:13" x14ac:dyDescent="0.2">
      <c r="F10" s="279" t="s">
        <v>65</v>
      </c>
      <c r="G10" s="277" t="s">
        <v>65</v>
      </c>
      <c r="H10" s="269"/>
      <c r="I10" s="269"/>
      <c r="J10" s="144"/>
      <c r="K10" s="144"/>
      <c r="L10" s="144"/>
      <c r="M10" s="273" t="s">
        <v>65</v>
      </c>
    </row>
    <row r="11" spans="1:13" x14ac:dyDescent="0.2">
      <c r="F11" s="53" t="s">
        <v>874</v>
      </c>
      <c r="G11" s="38" t="s">
        <v>874</v>
      </c>
      <c r="H11" s="38" t="s">
        <v>874</v>
      </c>
      <c r="I11" s="38" t="s">
        <v>874</v>
      </c>
      <c r="J11" s="11" t="s">
        <v>874</v>
      </c>
      <c r="K11" s="11" t="s">
        <v>874</v>
      </c>
      <c r="L11" s="11" t="s">
        <v>874</v>
      </c>
      <c r="M11" s="33" t="s">
        <v>874</v>
      </c>
    </row>
    <row r="12" spans="1:13" x14ac:dyDescent="0.2">
      <c r="F12" s="53" t="s">
        <v>460</v>
      </c>
      <c r="G12" s="38" t="s">
        <v>460</v>
      </c>
      <c r="H12" s="38" t="s">
        <v>460</v>
      </c>
      <c r="I12" s="38" t="s">
        <v>460</v>
      </c>
      <c r="J12" s="11" t="s">
        <v>460</v>
      </c>
      <c r="K12" s="11" t="s">
        <v>460</v>
      </c>
      <c r="L12" s="11" t="s">
        <v>460</v>
      </c>
      <c r="M12" s="33" t="s">
        <v>460</v>
      </c>
    </row>
    <row r="14" spans="1:13" x14ac:dyDescent="0.2">
      <c r="A14" s="299" t="s">
        <v>44</v>
      </c>
      <c r="B14" s="207" t="s">
        <v>3</v>
      </c>
      <c r="C14" s="207" t="s">
        <v>25</v>
      </c>
      <c r="D14" s="207" t="s">
        <v>4</v>
      </c>
      <c r="E14" s="207" t="s">
        <v>47</v>
      </c>
      <c r="F14" s="218" t="s">
        <v>339</v>
      </c>
      <c r="G14" s="194" t="s">
        <v>340</v>
      </c>
      <c r="H14" s="194" t="s">
        <v>200</v>
      </c>
      <c r="I14" s="194" t="s">
        <v>643</v>
      </c>
      <c r="J14" s="195" t="s">
        <v>341</v>
      </c>
      <c r="K14" s="195" t="s">
        <v>837</v>
      </c>
      <c r="L14" s="195" t="s">
        <v>838</v>
      </c>
      <c r="M14" s="217" t="s">
        <v>244</v>
      </c>
    </row>
    <row r="15" spans="1:13" x14ac:dyDescent="0.2">
      <c r="A15" t="e">
        <f>INDEX(Prioritization!$D:$D,MATCH($B15,Prioritization!$A:$A,0))</f>
        <v>#N/A</v>
      </c>
      <c r="E15" s="5" t="str">
        <f>B15&amp;"|"&amp;C15&amp;"|"&amp;D15</f>
        <v>||</v>
      </c>
      <c r="H15" s="38" t="str">
        <f>IFERROR(1/(1/INDEX(Cascade!$O:$O,MATCH($E15,Cascade!$E:$E,0))),"")</f>
        <v/>
      </c>
      <c r="I15" s="38" t="str">
        <f>IFERROR(1/(1/INDEX(Cascade!$AV:$AV,MATCH($E15,Cascade!$E:$E,0))),"")</f>
        <v/>
      </c>
      <c r="K15" s="11">
        <f>1/3</f>
        <v>0.33333333333333331</v>
      </c>
      <c r="L15" s="11">
        <v>1</v>
      </c>
      <c r="M15" s="33" t="str">
        <f>IF(SUM($H15)=0,"",ROUND($H15*$K15+$I15*$L15,0))</f>
        <v/>
      </c>
    </row>
  </sheetData>
  <mergeCells count="1">
    <mergeCell ref="A2:B3"/>
  </mergeCells>
  <conditionalFormatting sqref="K1:K1048576">
    <cfRule type="expression" dxfId="82" priority="3">
      <formula>AND(ISNUMBER($K1),$K1&lt;33%)</formula>
    </cfRule>
  </conditionalFormatting>
  <conditionalFormatting sqref="J1:L1048576">
    <cfRule type="expression" dxfId="81" priority="2">
      <formula>AND(ISNUMBER(J1),J1&gt;1)</formula>
    </cfRule>
  </conditionalFormatting>
  <conditionalFormatting sqref="F1:M1048576">
    <cfRule type="expression" dxfId="80" priority="1">
      <formula>AND(ISNUMBER(F1),F1&lt;0)</formula>
    </cfRule>
  </conditionalFormatting>
  <conditionalFormatting sqref="L1:L1048576">
    <cfRule type="expression" dxfId="79" priority="7">
      <formula>AND(ISNUMBER($L1),$L1&lt;100%)</formula>
    </cfRule>
  </conditionalFormatting>
  <hyperlinks>
    <hyperlink ref="H3" location="Cascade!O:O" display="TX_CURR (FY23)" xr:uid="{C5312933-D9B2-F74B-8895-8CDF64C56415}"/>
    <hyperlink ref="I3" location="Cascade!AV:AV"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activeCell="F1" sqref="F1"/>
      <selection pane="bottomLeft" activeCell="A15" sqref="A15"/>
      <selection pane="bottomRight" activeCell="F15" sqref="F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300" t="s">
        <v>52</v>
      </c>
      <c r="B1" s="4"/>
      <c r="C1" s="1"/>
      <c r="D1" s="1"/>
      <c r="E1" s="1"/>
      <c r="F1" s="215" t="s">
        <v>16</v>
      </c>
      <c r="G1" s="181"/>
      <c r="H1" s="184"/>
      <c r="I1" s="184"/>
      <c r="J1" s="184"/>
      <c r="K1" s="184"/>
      <c r="L1" s="181"/>
      <c r="M1" s="181"/>
      <c r="N1" s="181"/>
      <c r="O1" s="181"/>
      <c r="P1" s="215" t="s">
        <v>17</v>
      </c>
      <c r="Q1" s="187"/>
      <c r="R1" s="179"/>
      <c r="S1" s="179"/>
      <c r="T1" s="186"/>
      <c r="U1" s="184"/>
      <c r="V1" s="186"/>
      <c r="W1" s="181"/>
      <c r="X1" s="181"/>
      <c r="Y1" s="214" t="s">
        <v>28</v>
      </c>
      <c r="Z1" s="181"/>
      <c r="AA1" s="181"/>
      <c r="AB1" s="185"/>
      <c r="AC1" s="185"/>
    </row>
    <row r="2" spans="1:29" s="21" customFormat="1" ht="19" x14ac:dyDescent="0.25">
      <c r="A2" s="13"/>
      <c r="B2" s="2"/>
      <c r="C2" s="2"/>
      <c r="D2" s="2"/>
      <c r="E2" s="2"/>
      <c r="F2" s="50"/>
      <c r="G2" s="34"/>
      <c r="H2" s="3"/>
      <c r="I2" s="3"/>
      <c r="J2" s="3"/>
      <c r="K2" s="3"/>
      <c r="L2" s="264" t="s">
        <v>774</v>
      </c>
      <c r="M2" s="264" t="s">
        <v>774</v>
      </c>
      <c r="N2" s="264" t="s">
        <v>774</v>
      </c>
      <c r="O2" s="264" t="s">
        <v>774</v>
      </c>
      <c r="P2" s="50"/>
      <c r="Q2" s="46"/>
      <c r="R2" s="55"/>
      <c r="S2" s="55"/>
      <c r="T2" s="121"/>
      <c r="U2" s="3"/>
      <c r="V2" s="121"/>
      <c r="W2" s="264" t="s">
        <v>774</v>
      </c>
      <c r="X2" s="264" t="s">
        <v>774</v>
      </c>
      <c r="Y2" s="120"/>
      <c r="Z2" s="264" t="s">
        <v>774</v>
      </c>
      <c r="AA2" s="264" t="s">
        <v>774</v>
      </c>
      <c r="AB2" s="3"/>
      <c r="AC2" s="3"/>
    </row>
    <row r="3" spans="1:29" ht="117" customHeight="1" x14ac:dyDescent="0.2">
      <c r="A3" s="297"/>
      <c r="B3" s="17"/>
      <c r="C3" s="17"/>
      <c r="D3" s="17"/>
      <c r="E3" s="17"/>
      <c r="F3" s="127" t="s">
        <v>833</v>
      </c>
      <c r="G3" s="131" t="s">
        <v>712</v>
      </c>
      <c r="H3" s="224" t="s">
        <v>717</v>
      </c>
      <c r="I3" s="224" t="s">
        <v>716</v>
      </c>
      <c r="J3" s="224" t="s">
        <v>719</v>
      </c>
      <c r="K3" s="224" t="s">
        <v>718</v>
      </c>
      <c r="L3" s="30" t="s">
        <v>912</v>
      </c>
      <c r="M3" s="30" t="s">
        <v>913</v>
      </c>
      <c r="N3" s="30" t="s">
        <v>910</v>
      </c>
      <c r="O3" s="30" t="s">
        <v>911</v>
      </c>
      <c r="P3" s="72" t="s">
        <v>873</v>
      </c>
      <c r="Q3" s="73" t="s">
        <v>761</v>
      </c>
      <c r="R3" s="56" t="s">
        <v>760</v>
      </c>
      <c r="S3" s="373" t="s">
        <v>944</v>
      </c>
      <c r="T3" s="226" t="s">
        <v>945</v>
      </c>
      <c r="U3" s="224" t="s">
        <v>721</v>
      </c>
      <c r="V3" s="226" t="s">
        <v>720</v>
      </c>
      <c r="W3" s="30" t="s">
        <v>595</v>
      </c>
      <c r="X3" s="30" t="s">
        <v>596</v>
      </c>
      <c r="Y3" s="225" t="s">
        <v>722</v>
      </c>
      <c r="Z3" s="30" t="s">
        <v>595</v>
      </c>
      <c r="AA3" s="30" t="s">
        <v>596</v>
      </c>
      <c r="AB3" s="154" t="s">
        <v>914</v>
      </c>
      <c r="AC3" s="154" t="s">
        <v>915</v>
      </c>
    </row>
    <row r="4" spans="1:29" x14ac:dyDescent="0.2">
      <c r="A4" s="298"/>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137</v>
      </c>
      <c r="B6" s="5" t="s">
        <v>137</v>
      </c>
      <c r="C6" s="5" t="s">
        <v>137</v>
      </c>
      <c r="D6" s="5" t="s">
        <v>137</v>
      </c>
      <c r="E6" s="5" t="s">
        <v>137</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3" t="s">
        <v>107</v>
      </c>
      <c r="M8" s="273" t="s">
        <v>107</v>
      </c>
      <c r="N8" s="273" t="s">
        <v>107</v>
      </c>
      <c r="O8" s="273" t="s">
        <v>107</v>
      </c>
      <c r="Q8" s="277" t="s">
        <v>143</v>
      </c>
      <c r="R8" s="277" t="s">
        <v>143</v>
      </c>
      <c r="S8" s="271"/>
      <c r="T8" s="270"/>
      <c r="U8" s="144"/>
      <c r="V8" s="270"/>
      <c r="W8" s="273" t="s">
        <v>142</v>
      </c>
      <c r="X8" s="273" t="s">
        <v>142</v>
      </c>
      <c r="Y8" s="143"/>
      <c r="Z8" s="273" t="s">
        <v>143</v>
      </c>
      <c r="AA8" s="273" t="s">
        <v>143</v>
      </c>
      <c r="AB8" s="144"/>
      <c r="AC8" s="144"/>
    </row>
    <row r="9" spans="1:29" x14ac:dyDescent="0.2">
      <c r="L9" s="273" t="s">
        <v>108</v>
      </c>
      <c r="M9" s="273" t="s">
        <v>108</v>
      </c>
      <c r="N9" s="273" t="s">
        <v>108</v>
      </c>
      <c r="O9" s="273" t="s">
        <v>108</v>
      </c>
      <c r="Q9" s="277" t="s">
        <v>144</v>
      </c>
      <c r="R9" s="277" t="s">
        <v>144</v>
      </c>
      <c r="S9" s="271"/>
      <c r="T9" s="270"/>
      <c r="U9" s="144"/>
      <c r="V9" s="270"/>
      <c r="W9" s="273" t="s">
        <v>141</v>
      </c>
      <c r="X9" s="273" t="s">
        <v>141</v>
      </c>
      <c r="Y9" s="143"/>
      <c r="Z9" s="273" t="s">
        <v>144</v>
      </c>
      <c r="AA9" s="273" t="s">
        <v>144</v>
      </c>
      <c r="AB9" s="144"/>
      <c r="AC9" s="144"/>
    </row>
    <row r="10" spans="1:29" x14ac:dyDescent="0.2">
      <c r="L10" s="273" t="s">
        <v>111</v>
      </c>
      <c r="M10" s="273" t="s">
        <v>112</v>
      </c>
      <c r="N10" s="273" t="s">
        <v>109</v>
      </c>
      <c r="O10" s="273" t="s">
        <v>110</v>
      </c>
      <c r="Q10" s="277" t="s">
        <v>81</v>
      </c>
      <c r="R10" s="277" t="s">
        <v>80</v>
      </c>
      <c r="S10" s="271"/>
      <c r="T10" s="270"/>
      <c r="U10" s="144"/>
      <c r="V10" s="270"/>
      <c r="W10" s="273" t="s">
        <v>81</v>
      </c>
      <c r="X10" s="273" t="s">
        <v>80</v>
      </c>
      <c r="Y10" s="143"/>
      <c r="Z10" s="273" t="s">
        <v>81</v>
      </c>
      <c r="AA10" s="273" t="s">
        <v>80</v>
      </c>
      <c r="AB10" s="144"/>
      <c r="AC10" s="144"/>
    </row>
    <row r="11" spans="1:29" x14ac:dyDescent="0.2">
      <c r="F11" s="47" t="s">
        <v>462</v>
      </c>
      <c r="G11" s="36" t="s">
        <v>462</v>
      </c>
      <c r="H11" s="11" t="s">
        <v>462</v>
      </c>
      <c r="I11" s="11" t="s">
        <v>462</v>
      </c>
      <c r="J11" s="11" t="s">
        <v>462</v>
      </c>
      <c r="K11" s="11" t="s">
        <v>462</v>
      </c>
      <c r="L11" s="33" t="s">
        <v>462</v>
      </c>
      <c r="M11" s="33" t="s">
        <v>462</v>
      </c>
      <c r="N11" s="33" t="s">
        <v>462</v>
      </c>
      <c r="O11" s="33" t="s">
        <v>462</v>
      </c>
      <c r="P11" s="47" t="s">
        <v>462</v>
      </c>
      <c r="Q11" s="36" t="s">
        <v>462</v>
      </c>
      <c r="R11" s="36" t="s">
        <v>462</v>
      </c>
      <c r="S11" s="57" t="s">
        <v>462</v>
      </c>
      <c r="T11" s="124" t="s">
        <v>462</v>
      </c>
      <c r="U11" s="11" t="s">
        <v>462</v>
      </c>
      <c r="V11" s="124" t="s">
        <v>462</v>
      </c>
      <c r="W11" s="33" t="s">
        <v>462</v>
      </c>
      <c r="X11" s="33" t="s">
        <v>462</v>
      </c>
      <c r="Y11" s="81" t="s">
        <v>462</v>
      </c>
      <c r="Z11" s="33" t="s">
        <v>462</v>
      </c>
      <c r="AA11" s="33" t="s">
        <v>462</v>
      </c>
      <c r="AB11" s="11" t="s">
        <v>462</v>
      </c>
      <c r="AC11" s="11" t="s">
        <v>462</v>
      </c>
    </row>
    <row r="12" spans="1:29" x14ac:dyDescent="0.2">
      <c r="F12" s="47" t="s">
        <v>138</v>
      </c>
      <c r="G12" s="36" t="s">
        <v>138</v>
      </c>
      <c r="H12" s="11" t="s">
        <v>138</v>
      </c>
      <c r="I12" s="11" t="s">
        <v>138</v>
      </c>
      <c r="J12" s="11" t="s">
        <v>138</v>
      </c>
      <c r="K12" s="11" t="s">
        <v>138</v>
      </c>
      <c r="L12" s="33" t="s">
        <v>138</v>
      </c>
      <c r="M12" s="33" t="s">
        <v>138</v>
      </c>
      <c r="N12" s="33" t="s">
        <v>138</v>
      </c>
      <c r="O12" s="33" t="s">
        <v>138</v>
      </c>
      <c r="P12" s="47" t="s">
        <v>138</v>
      </c>
      <c r="Q12" s="36" t="s">
        <v>138</v>
      </c>
      <c r="R12" s="36" t="s">
        <v>138</v>
      </c>
      <c r="S12" s="57" t="s">
        <v>138</v>
      </c>
      <c r="T12" s="124" t="s">
        <v>138</v>
      </c>
      <c r="U12" s="11" t="s">
        <v>138</v>
      </c>
      <c r="V12" s="124" t="s">
        <v>138</v>
      </c>
      <c r="W12" s="33" t="s">
        <v>138</v>
      </c>
      <c r="X12" s="33" t="s">
        <v>138</v>
      </c>
      <c r="Y12" s="81" t="s">
        <v>138</v>
      </c>
      <c r="Z12" s="33" t="s">
        <v>138</v>
      </c>
      <c r="AA12" s="33" t="s">
        <v>138</v>
      </c>
      <c r="AB12" s="11" t="s">
        <v>138</v>
      </c>
      <c r="AC12" s="11" t="s">
        <v>138</v>
      </c>
    </row>
    <row r="14" spans="1:29" x14ac:dyDescent="0.2">
      <c r="A14" s="299" t="s">
        <v>44</v>
      </c>
      <c r="B14" s="207" t="s">
        <v>3</v>
      </c>
      <c r="C14" s="190" t="s">
        <v>25</v>
      </c>
      <c r="D14" s="190" t="s">
        <v>4</v>
      </c>
      <c r="E14" s="190" t="s">
        <v>47</v>
      </c>
      <c r="F14" s="218" t="s">
        <v>200</v>
      </c>
      <c r="G14" s="191" t="s">
        <v>202</v>
      </c>
      <c r="H14" s="195" t="s">
        <v>558</v>
      </c>
      <c r="I14" s="195" t="s">
        <v>557</v>
      </c>
      <c r="J14" s="195" t="s">
        <v>246</v>
      </c>
      <c r="K14" s="195" t="s">
        <v>245</v>
      </c>
      <c r="L14" s="217" t="s">
        <v>249</v>
      </c>
      <c r="M14" s="217" t="s">
        <v>250</v>
      </c>
      <c r="N14" s="217" t="s">
        <v>247</v>
      </c>
      <c r="O14" s="217" t="s">
        <v>248</v>
      </c>
      <c r="P14" s="218" t="s">
        <v>576</v>
      </c>
      <c r="Q14" s="194" t="s">
        <v>256</v>
      </c>
      <c r="R14" s="191" t="s">
        <v>255</v>
      </c>
      <c r="S14" s="191" t="s">
        <v>900</v>
      </c>
      <c r="T14" s="196" t="s">
        <v>901</v>
      </c>
      <c r="U14" s="195" t="s">
        <v>252</v>
      </c>
      <c r="V14" s="196" t="s">
        <v>251</v>
      </c>
      <c r="W14" s="217" t="s">
        <v>254</v>
      </c>
      <c r="X14" s="217" t="s">
        <v>253</v>
      </c>
      <c r="Y14" s="223" t="s">
        <v>902</v>
      </c>
      <c r="Z14" s="217" t="s">
        <v>258</v>
      </c>
      <c r="AA14" s="217" t="s">
        <v>257</v>
      </c>
      <c r="AB14" s="195" t="s">
        <v>904</v>
      </c>
      <c r="AC14" s="195" t="s">
        <v>903</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IFERROR(1/(1/SUM(SUMIFS(Cascade!$AX:$AX,Cascade!$B:$B,$B15,Cascade!$C:$C,IF($C15="&lt;15",{"=&lt;01","01-09","10-14"},{"15-24","25-34","35-49","50+"}),Cascade!$D:$D,$D15))),"")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IF(SUM($F15)=0,"",MIN((F15-$S15)/$F15,1))</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Y1:Y1048576">
    <cfRule type="expression" dxfId="78" priority="1">
      <formula>OR(Z1="ENTER COMPLETION RATE",AA1="ENTER COMPLETION RATE")</formula>
    </cfRule>
    <cfRule type="expression" dxfId="77" priority="3853">
      <formula>AND(ISNUMBER(Y1),ROUND(SUM(Y1),2)&lt;90%)</formula>
    </cfRule>
  </conditionalFormatting>
  <conditionalFormatting sqref="H1:K1048576 T1:V1048576 Y1:Y1048576">
    <cfRule type="expression" dxfId="76" priority="4">
      <formula>AND(ISNUMBER(H1),H1&gt;1)</formula>
    </cfRule>
  </conditionalFormatting>
  <conditionalFormatting sqref="H1:H1048576 J1:J1048576">
    <cfRule type="expression" dxfId="75" priority="5">
      <formula>AND(SUM($F1)&gt;0,H1="",ROW(H1)&gt;14)</formula>
    </cfRule>
  </conditionalFormatting>
  <conditionalFormatting sqref="H1:I1048576 U1:V1048576">
    <cfRule type="expression" dxfId="74" priority="3849">
      <formula>AND(ISNUMBER(H1),ROUND(SUM(H1),2)&lt;100%)</formula>
    </cfRule>
  </conditionalFormatting>
  <conditionalFormatting sqref="F1:AA1048576">
    <cfRule type="expression" dxfId="73" priority="2">
      <formula>AND(ISNUMBER(F1),F1&lt;0)</formula>
    </cfRule>
  </conditionalFormatting>
  <conditionalFormatting sqref="U1:V1048576">
    <cfRule type="expression" dxfId="72" priority="2167">
      <formula>W1="ENTER INITIATION RATE"</formula>
    </cfRule>
  </conditionalFormatting>
  <conditionalFormatting sqref="T1:T1048576">
    <cfRule type="expression" dxfId="71" priority="3285">
      <formula>W1="ENTER ELIGIBILITY RATE"</formula>
    </cfRule>
  </conditionalFormatting>
  <conditionalFormatting sqref="K1:K1048576 I1:I1048576">
    <cfRule type="expression" dxfId="70" priority="8">
      <formula>AND(SUM($G1)&lt;&gt;0,I1="",ROW(I1)&gt;14)</formula>
    </cfRule>
  </conditionalFormatting>
  <hyperlinks>
    <hyperlink ref="G3" location="Cascade!AX:AX"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workbookViewId="0">
      <pane xSplit="5" ySplit="14" topLeftCell="F15" activePane="bottomRight" state="frozen"/>
      <selection pane="topRight" activeCell="F1" sqref="F1"/>
      <selection pane="bottomLeft" activeCell="A15" sqref="A15"/>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s>
  <sheetData>
    <row r="1" spans="1:8" s="22" customFormat="1" ht="31" customHeight="1" x14ac:dyDescent="0.3">
      <c r="A1" s="300" t="s">
        <v>9</v>
      </c>
      <c r="B1" s="4"/>
      <c r="C1" s="1"/>
      <c r="D1" s="1"/>
      <c r="E1" s="1"/>
      <c r="F1" s="215" t="s">
        <v>32</v>
      </c>
      <c r="G1" s="184"/>
      <c r="H1" s="181"/>
    </row>
    <row r="2" spans="1:8" s="21" customFormat="1" ht="19" x14ac:dyDescent="0.25">
      <c r="A2" s="13"/>
      <c r="B2" s="2"/>
      <c r="C2" s="2"/>
      <c r="D2" s="2"/>
      <c r="E2" s="2"/>
      <c r="F2" s="50"/>
      <c r="G2" s="3"/>
      <c r="H2" s="264" t="s">
        <v>774</v>
      </c>
    </row>
    <row r="3" spans="1:8" ht="117" customHeight="1" x14ac:dyDescent="0.2">
      <c r="A3" s="297"/>
      <c r="B3" s="17"/>
      <c r="C3" s="17"/>
      <c r="D3" s="17"/>
      <c r="E3" s="17"/>
      <c r="F3" s="72" t="s">
        <v>845</v>
      </c>
      <c r="G3" s="224" t="s">
        <v>155</v>
      </c>
      <c r="H3" s="30" t="s">
        <v>723</v>
      </c>
    </row>
    <row r="4" spans="1:8" x14ac:dyDescent="0.2">
      <c r="A4" s="298"/>
      <c r="B4" s="15"/>
      <c r="C4" s="15"/>
      <c r="D4" s="15" t="s">
        <v>2</v>
      </c>
      <c r="E4" s="15"/>
      <c r="F4" s="51">
        <f>SUBTOTAL(109,F$15:INDEX(F:F,COUNTA($B:$B)+14-COUNTA($B$1:$B$14)))</f>
        <v>0</v>
      </c>
      <c r="G4" s="18" t="str">
        <f>IF($F$4=0,"",$H$4/$F$4-1)</f>
        <v/>
      </c>
      <c r="H4" s="32">
        <f>SUBTOTAL(109,H$15:INDEX(H:H,COUNTA($B:$B)+14-COUNTA($B$1:$B$14)))</f>
        <v>0</v>
      </c>
    </row>
    <row r="5" spans="1:8" x14ac:dyDescent="0.2">
      <c r="A5" t="s">
        <v>59</v>
      </c>
      <c r="B5" s="5" t="s">
        <v>59</v>
      </c>
      <c r="C5" s="5" t="s">
        <v>59</v>
      </c>
      <c r="D5" s="5" t="s">
        <v>59</v>
      </c>
      <c r="E5" s="5" t="s">
        <v>59</v>
      </c>
      <c r="F5" s="47" t="s">
        <v>70</v>
      </c>
      <c r="G5" s="11" t="s">
        <v>59</v>
      </c>
      <c r="H5" s="33" t="s">
        <v>70</v>
      </c>
    </row>
    <row r="6" spans="1:8" x14ac:dyDescent="0.2">
      <c r="A6" t="s">
        <v>137</v>
      </c>
      <c r="B6" s="5" t="s">
        <v>137</v>
      </c>
      <c r="C6" s="5" t="s">
        <v>137</v>
      </c>
      <c r="D6" s="5" t="s">
        <v>137</v>
      </c>
      <c r="E6" s="5" t="s">
        <v>137</v>
      </c>
      <c r="F6" s="47" t="s">
        <v>71</v>
      </c>
      <c r="G6" s="11" t="s">
        <v>73</v>
      </c>
      <c r="H6" s="33" t="s">
        <v>53</v>
      </c>
    </row>
    <row r="7" spans="1:8" x14ac:dyDescent="0.2">
      <c r="A7" t="s">
        <v>69</v>
      </c>
      <c r="B7" s="5" t="s">
        <v>69</v>
      </c>
      <c r="C7" s="5" t="s">
        <v>69</v>
      </c>
      <c r="D7" s="5" t="s">
        <v>69</v>
      </c>
      <c r="E7" s="5" t="s">
        <v>69</v>
      </c>
      <c r="F7" s="47" t="s">
        <v>55</v>
      </c>
      <c r="G7" s="11" t="s">
        <v>56</v>
      </c>
      <c r="H7" s="33" t="s">
        <v>55</v>
      </c>
    </row>
    <row r="8" spans="1:8" x14ac:dyDescent="0.2">
      <c r="F8" s="279" t="s">
        <v>129</v>
      </c>
      <c r="G8" s="144"/>
      <c r="H8" s="273" t="s">
        <v>129</v>
      </c>
    </row>
    <row r="9" spans="1:8" x14ac:dyDescent="0.2">
      <c r="F9" s="279" t="s">
        <v>130</v>
      </c>
      <c r="G9" s="144"/>
      <c r="H9" s="273" t="s">
        <v>130</v>
      </c>
    </row>
    <row r="10" spans="1:8" x14ac:dyDescent="0.2">
      <c r="F10" s="279"/>
      <c r="G10" s="144"/>
      <c r="H10" s="273"/>
    </row>
    <row r="11" spans="1:8" x14ac:dyDescent="0.2">
      <c r="F11" s="47" t="s">
        <v>876</v>
      </c>
      <c r="G11" s="19" t="s">
        <v>876</v>
      </c>
      <c r="H11" s="33" t="s">
        <v>876</v>
      </c>
    </row>
    <row r="12" spans="1:8" x14ac:dyDescent="0.2">
      <c r="F12" s="47" t="s">
        <v>138</v>
      </c>
      <c r="G12" s="11" t="s">
        <v>138</v>
      </c>
      <c r="H12" s="33" t="s">
        <v>138</v>
      </c>
    </row>
    <row r="14" spans="1:8" x14ac:dyDescent="0.2">
      <c r="A14" s="301" t="s">
        <v>44</v>
      </c>
      <c r="B14" s="190" t="s">
        <v>3</v>
      </c>
      <c r="C14" s="190" t="s">
        <v>25</v>
      </c>
      <c r="D14" s="190" t="s">
        <v>4</v>
      </c>
      <c r="E14" s="190" t="s">
        <v>47</v>
      </c>
      <c r="F14" s="218" t="s">
        <v>275</v>
      </c>
      <c r="G14" s="195" t="s">
        <v>344</v>
      </c>
      <c r="H14" s="217" t="s">
        <v>276</v>
      </c>
    </row>
    <row r="15" spans="1:8" x14ac:dyDescent="0.2">
      <c r="A15" t="e">
        <f>INDEX(Prioritization!$D:$D,MATCH($B15,Prioritization!$A:$A,0))</f>
        <v>#N/A</v>
      </c>
      <c r="E15" s="5" t="str">
        <f>B15&amp;"|"&amp;C15&amp;"|"&amp;D15</f>
        <v>||</v>
      </c>
      <c r="G15" s="11" t="str">
        <f>IF(SUM($F15)=0,"",0%)</f>
        <v/>
      </c>
      <c r="H15" s="33" t="str">
        <f>IF(SUM($F15)=0,"",ROUND($F15*(1+$G15),0))</f>
        <v/>
      </c>
    </row>
  </sheetData>
  <conditionalFormatting sqref="F1:F1048576 H1:H1048576">
    <cfRule type="expression" dxfId="69"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workbookViewId="0">
      <pane xSplit="5" ySplit="14" topLeftCell="F15" activePane="bottomRight" state="frozen"/>
      <selection pane="topRight" activeCell="F1" sqref="F1"/>
      <selection pane="bottomLeft" activeCell="A15" sqref="A15"/>
      <selection pane="bottomRight" activeCell="F1" sqref="F1"/>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300" t="s">
        <v>8</v>
      </c>
      <c r="B1" s="4"/>
      <c r="C1" s="1"/>
      <c r="D1" s="1"/>
      <c r="E1" s="296"/>
      <c r="F1" s="367" t="s">
        <v>31</v>
      </c>
      <c r="G1" s="231"/>
      <c r="H1" s="181"/>
      <c r="I1" s="184"/>
      <c r="J1" s="184"/>
      <c r="K1" s="184"/>
      <c r="L1" s="184"/>
      <c r="M1" s="184"/>
      <c r="N1" s="181"/>
      <c r="O1" s="181"/>
      <c r="P1" s="181"/>
      <c r="Q1" s="181"/>
      <c r="R1" s="181"/>
      <c r="S1" s="214" t="s">
        <v>33</v>
      </c>
      <c r="T1" s="181"/>
    </row>
    <row r="2" spans="1:20" s="21" customFormat="1" ht="19" x14ac:dyDescent="0.25">
      <c r="A2" s="13"/>
      <c r="B2" s="2"/>
      <c r="C2" s="2"/>
      <c r="D2" s="2"/>
      <c r="E2" s="13"/>
      <c r="F2" s="368"/>
      <c r="G2" s="84"/>
      <c r="H2" s="34"/>
      <c r="I2" s="3"/>
      <c r="J2" s="3"/>
      <c r="K2" s="3"/>
      <c r="L2" s="3"/>
      <c r="M2" s="3"/>
      <c r="N2" s="29"/>
      <c r="O2" s="264" t="s">
        <v>774</v>
      </c>
      <c r="P2" s="264" t="s">
        <v>774</v>
      </c>
      <c r="Q2" s="264" t="s">
        <v>774</v>
      </c>
      <c r="R2" s="264" t="s">
        <v>774</v>
      </c>
      <c r="S2" s="120"/>
      <c r="T2" s="264" t="s">
        <v>774</v>
      </c>
    </row>
    <row r="3" spans="1:20" ht="117" customHeight="1" x14ac:dyDescent="0.2">
      <c r="A3" s="297"/>
      <c r="B3" s="17"/>
      <c r="C3" s="17"/>
      <c r="D3" s="17"/>
      <c r="E3" s="297"/>
      <c r="F3" s="369" t="s">
        <v>303</v>
      </c>
      <c r="G3" s="68" t="s">
        <v>916</v>
      </c>
      <c r="H3" s="68" t="s">
        <v>917</v>
      </c>
      <c r="I3" s="224" t="s">
        <v>918</v>
      </c>
      <c r="J3" s="224" t="s">
        <v>724</v>
      </c>
      <c r="K3" s="224" t="s">
        <v>725</v>
      </c>
      <c r="L3" s="154" t="s">
        <v>728</v>
      </c>
      <c r="M3" s="224" t="s">
        <v>726</v>
      </c>
      <c r="N3" s="257" t="s">
        <v>919</v>
      </c>
      <c r="O3" s="257" t="s">
        <v>920</v>
      </c>
      <c r="P3" s="257" t="s">
        <v>921</v>
      </c>
      <c r="Q3" s="257" t="s">
        <v>922</v>
      </c>
      <c r="R3" s="257" t="s">
        <v>923</v>
      </c>
      <c r="S3" s="225" t="s">
        <v>727</v>
      </c>
      <c r="T3" s="30" t="s">
        <v>729</v>
      </c>
    </row>
    <row r="4" spans="1:20" x14ac:dyDescent="0.2">
      <c r="A4" s="298"/>
      <c r="B4" s="15"/>
      <c r="C4" s="15"/>
      <c r="D4" s="15" t="s">
        <v>2</v>
      </c>
      <c r="E4" s="298"/>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137</v>
      </c>
      <c r="B6" s="5" t="s">
        <v>137</v>
      </c>
      <c r="C6" s="5" t="s">
        <v>137</v>
      </c>
      <c r="D6" s="5" t="s">
        <v>137</v>
      </c>
      <c r="E6" t="s">
        <v>137</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4" t="s">
        <v>896</v>
      </c>
      <c r="H8" s="286" t="s">
        <v>475</v>
      </c>
      <c r="I8" s="144"/>
      <c r="J8" s="144"/>
      <c r="K8" s="144"/>
      <c r="L8" s="144"/>
      <c r="M8" s="144"/>
      <c r="N8" s="33"/>
      <c r="O8" s="285" t="s">
        <v>473</v>
      </c>
      <c r="P8" s="285" t="s">
        <v>471</v>
      </c>
      <c r="Q8" s="273" t="s">
        <v>475</v>
      </c>
      <c r="R8" s="273" t="s">
        <v>475</v>
      </c>
      <c r="S8" s="143"/>
      <c r="T8" s="273" t="s">
        <v>115</v>
      </c>
    </row>
    <row r="9" spans="1:20" x14ac:dyDescent="0.2">
      <c r="B9" s="5"/>
      <c r="C9" s="5"/>
      <c r="D9" s="5"/>
      <c r="F9" s="86"/>
      <c r="G9" s="294" t="s">
        <v>897</v>
      </c>
      <c r="H9" s="286" t="s">
        <v>476</v>
      </c>
      <c r="I9" s="144"/>
      <c r="J9" s="144"/>
      <c r="K9" s="144"/>
      <c r="L9" s="144"/>
      <c r="M9" s="144"/>
      <c r="N9" s="33"/>
      <c r="O9" s="285" t="s">
        <v>474</v>
      </c>
      <c r="P9" s="285" t="s">
        <v>472</v>
      </c>
      <c r="Q9" s="273" t="s">
        <v>476</v>
      </c>
      <c r="R9" s="273" t="s">
        <v>476</v>
      </c>
      <c r="S9" s="143"/>
      <c r="T9" s="273" t="s">
        <v>116</v>
      </c>
    </row>
    <row r="10" spans="1:20" x14ac:dyDescent="0.2">
      <c r="B10" s="5"/>
      <c r="C10" s="5"/>
      <c r="D10" s="5"/>
      <c r="F10" s="86"/>
      <c r="G10" s="295"/>
      <c r="H10" s="277"/>
      <c r="I10" s="144"/>
      <c r="J10" s="144"/>
      <c r="K10" s="144"/>
      <c r="L10" s="144"/>
      <c r="M10" s="144"/>
      <c r="N10" s="33"/>
      <c r="O10" s="273"/>
      <c r="P10" s="273"/>
      <c r="Q10" s="273" t="s">
        <v>114</v>
      </c>
      <c r="R10" s="273" t="s">
        <v>113</v>
      </c>
      <c r="S10" s="143"/>
      <c r="T10" s="273"/>
    </row>
    <row r="11" spans="1:20" x14ac:dyDescent="0.2">
      <c r="B11" s="5"/>
      <c r="C11" s="5"/>
      <c r="D11" s="5"/>
      <c r="F11" s="86"/>
      <c r="G11" s="99" t="s">
        <v>463</v>
      </c>
      <c r="H11" s="36" t="s">
        <v>463</v>
      </c>
      <c r="I11" s="19" t="s">
        <v>463</v>
      </c>
      <c r="J11" s="19" t="s">
        <v>464</v>
      </c>
      <c r="K11" s="19" t="s">
        <v>465</v>
      </c>
      <c r="L11" s="19" t="s">
        <v>463</v>
      </c>
      <c r="M11" s="11" t="s">
        <v>463</v>
      </c>
      <c r="N11" s="33" t="s">
        <v>463</v>
      </c>
      <c r="O11" s="33" t="s">
        <v>464</v>
      </c>
      <c r="P11" s="33" t="s">
        <v>465</v>
      </c>
      <c r="Q11" s="33" t="s">
        <v>463</v>
      </c>
      <c r="R11" s="33" t="s">
        <v>463</v>
      </c>
      <c r="S11" s="81" t="s">
        <v>466</v>
      </c>
      <c r="T11" s="33" t="s">
        <v>466</v>
      </c>
    </row>
    <row r="12" spans="1:20" x14ac:dyDescent="0.2">
      <c r="B12" s="5"/>
      <c r="C12" s="5"/>
      <c r="D12" s="5"/>
      <c r="F12" s="86"/>
      <c r="G12" s="99" t="s">
        <v>138</v>
      </c>
      <c r="H12" s="36" t="s">
        <v>138</v>
      </c>
      <c r="I12" s="19" t="s">
        <v>138</v>
      </c>
      <c r="J12" s="19" t="s">
        <v>460</v>
      </c>
      <c r="K12" s="19" t="s">
        <v>138</v>
      </c>
      <c r="L12" s="19" t="s">
        <v>138</v>
      </c>
      <c r="M12" s="11" t="s">
        <v>138</v>
      </c>
      <c r="N12" s="33" t="s">
        <v>138</v>
      </c>
      <c r="O12" s="33" t="s">
        <v>460</v>
      </c>
      <c r="P12" s="33" t="s">
        <v>138</v>
      </c>
      <c r="Q12" s="33" t="s">
        <v>138</v>
      </c>
      <c r="R12" s="33" t="s">
        <v>138</v>
      </c>
      <c r="S12" s="81" t="s">
        <v>138</v>
      </c>
      <c r="T12" s="33" t="s">
        <v>138</v>
      </c>
    </row>
    <row r="13" spans="1:20" x14ac:dyDescent="0.2">
      <c r="B13" s="5"/>
      <c r="C13" s="5"/>
      <c r="D13" s="5"/>
      <c r="F13" s="86"/>
      <c r="G13" s="99"/>
      <c r="I13" s="11"/>
      <c r="J13" s="11"/>
      <c r="K13" s="11"/>
      <c r="L13" s="11"/>
      <c r="M13" s="11"/>
      <c r="N13" s="33"/>
      <c r="O13" s="33"/>
      <c r="P13" s="33"/>
      <c r="Q13" s="33"/>
      <c r="R13" s="33"/>
      <c r="S13" s="81"/>
      <c r="T13" s="33"/>
    </row>
    <row r="14" spans="1:20" x14ac:dyDescent="0.2">
      <c r="A14" s="299" t="s">
        <v>44</v>
      </c>
      <c r="B14" s="207" t="s">
        <v>3</v>
      </c>
      <c r="C14" s="207" t="s">
        <v>25</v>
      </c>
      <c r="D14" s="207" t="s">
        <v>4</v>
      </c>
      <c r="E14" s="299" t="s">
        <v>47</v>
      </c>
      <c r="F14" s="370" t="s">
        <v>348</v>
      </c>
      <c r="G14" s="240" t="s">
        <v>369</v>
      </c>
      <c r="H14" s="194" t="s">
        <v>277</v>
      </c>
      <c r="I14" s="195" t="s">
        <v>351</v>
      </c>
      <c r="J14" s="195" t="s">
        <v>352</v>
      </c>
      <c r="K14" s="195" t="s">
        <v>354</v>
      </c>
      <c r="L14" s="195" t="s">
        <v>353</v>
      </c>
      <c r="M14" s="195" t="s">
        <v>355</v>
      </c>
      <c r="N14" s="217" t="s">
        <v>357</v>
      </c>
      <c r="O14" s="217" t="s">
        <v>302</v>
      </c>
      <c r="P14" s="217" t="s">
        <v>358</v>
      </c>
      <c r="Q14" s="217" t="s">
        <v>356</v>
      </c>
      <c r="R14" s="217" t="s">
        <v>278</v>
      </c>
      <c r="S14" s="223" t="s">
        <v>359</v>
      </c>
      <c r="T14" s="217" t="s">
        <v>279</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IF(OR($C15="18+",$C15="18-20",SUM($Q15,$R15)=0),"",ROUND(SUM($Q15,$R15)*$S15,0))</f>
        <v/>
      </c>
    </row>
  </sheetData>
  <conditionalFormatting sqref="S1:T1048576">
    <cfRule type="expression" dxfId="68" priority="26">
      <formula>OR($C1="18-20",$C1="18+")</formula>
    </cfRule>
  </conditionalFormatting>
  <conditionalFormatting sqref="M1:M1048576">
    <cfRule type="expression" dxfId="67" priority="24">
      <formula>AND(ISNUMBER($M1),ROUND(SUM($M1),2)&lt;20%)</formula>
    </cfRule>
  </conditionalFormatting>
  <conditionalFormatting sqref="P1:P1048576 K1:K1048576">
    <cfRule type="expression" dxfId="66" priority="17">
      <formula>AND($E1&lt;&gt;"",ROW(K1)&gt;14,NOT(OR($C1="05-09",$C1="10-14")))</formula>
    </cfRule>
  </conditionalFormatting>
  <conditionalFormatting sqref="J1:T1048576 F1:H1048576">
    <cfRule type="expression" dxfId="65" priority="1">
      <formula>AND(ISNUMBER(F1),F1&lt;0)</formula>
    </cfRule>
  </conditionalFormatting>
  <conditionalFormatting sqref="J1:M1048576 S1:S1048576">
    <cfRule type="expression" dxfId="64" priority="2">
      <formula>AND(ISNUMBER(J1),OR(ROUND(SUM(J1),2)&lt;0,ROUND(SUM(J1),2)&gt;1))</formula>
    </cfRule>
  </conditionalFormatting>
  <conditionalFormatting sqref="S1:S1048576">
    <cfRule type="expression" dxfId="63" priority="25">
      <formula>AND(ISNUMBER($S1),SUM($Q1,$R1)&gt;0,ROUND(SUM($S1),2)&lt;1)</formula>
    </cfRule>
  </conditionalFormatting>
  <conditionalFormatting sqref="J1:J1048576 O1:O1048576">
    <cfRule type="expression" dxfId="62" priority="3854">
      <formula>AND($B1&lt;&gt;"",ROW(J1)&gt;14,NOT(AND($D1="Female",$F1="Y",OR($C1="10-14",$C1="15-17"))))</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activeCell="C1" sqref="C1"/>
      <selection pane="bottomLeft" activeCell="A15" sqref="A15"/>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2" t="s">
        <v>22</v>
      </c>
      <c r="D1" s="231"/>
      <c r="E1" s="233"/>
      <c r="F1" s="233"/>
      <c r="G1" s="231"/>
      <c r="H1" s="231"/>
    </row>
    <row r="2" spans="1:8" s="13" customFormat="1" ht="19" x14ac:dyDescent="0.25">
      <c r="B2" s="2"/>
      <c r="C2" s="50"/>
      <c r="D2" s="34"/>
      <c r="E2" s="3"/>
      <c r="F2" s="3"/>
      <c r="G2" s="264" t="s">
        <v>774</v>
      </c>
      <c r="H2" s="264" t="s">
        <v>774</v>
      </c>
    </row>
    <row r="3" spans="1:8" ht="117" customHeight="1" x14ac:dyDescent="0.2">
      <c r="C3" s="72" t="s">
        <v>732</v>
      </c>
      <c r="D3" s="68" t="s">
        <v>733</v>
      </c>
      <c r="E3" s="224" t="s">
        <v>559</v>
      </c>
      <c r="F3" s="224" t="s">
        <v>560</v>
      </c>
      <c r="G3" s="30" t="s">
        <v>730</v>
      </c>
      <c r="H3" s="30" t="s">
        <v>731</v>
      </c>
    </row>
    <row r="4" spans="1:8" x14ac:dyDescent="0.2">
      <c r="A4" s="298"/>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8" t="s">
        <v>59</v>
      </c>
      <c r="B5" s="15" t="s">
        <v>59</v>
      </c>
      <c r="C5" s="47" t="s">
        <v>70</v>
      </c>
      <c r="D5" s="36" t="s">
        <v>70</v>
      </c>
      <c r="E5" s="11" t="s">
        <v>59</v>
      </c>
      <c r="F5" s="11" t="s">
        <v>59</v>
      </c>
      <c r="G5" s="33" t="s">
        <v>70</v>
      </c>
      <c r="H5" s="33" t="s">
        <v>70</v>
      </c>
    </row>
    <row r="6" spans="1:8" x14ac:dyDescent="0.2">
      <c r="A6" s="298" t="s">
        <v>137</v>
      </c>
      <c r="B6" s="15" t="s">
        <v>137</v>
      </c>
      <c r="C6" s="47" t="s">
        <v>71</v>
      </c>
      <c r="D6" s="36" t="s">
        <v>71</v>
      </c>
      <c r="E6" s="11" t="s">
        <v>73</v>
      </c>
      <c r="F6" s="11" t="s">
        <v>73</v>
      </c>
      <c r="G6" s="33" t="s">
        <v>53</v>
      </c>
      <c r="H6" s="33" t="s">
        <v>53</v>
      </c>
    </row>
    <row r="7" spans="1:8" x14ac:dyDescent="0.2">
      <c r="A7" s="298" t="s">
        <v>69</v>
      </c>
      <c r="B7" s="15" t="s">
        <v>69</v>
      </c>
      <c r="C7" s="47" t="s">
        <v>55</v>
      </c>
      <c r="D7" s="36" t="s">
        <v>55</v>
      </c>
      <c r="E7" s="11" t="s">
        <v>56</v>
      </c>
      <c r="F7" s="11" t="s">
        <v>56</v>
      </c>
      <c r="G7" s="33" t="s">
        <v>55</v>
      </c>
      <c r="H7" s="33" t="s">
        <v>55</v>
      </c>
    </row>
    <row r="8" spans="1:8" x14ac:dyDescent="0.2">
      <c r="A8" s="298"/>
      <c r="B8" s="15"/>
      <c r="C8" s="279" t="s">
        <v>133</v>
      </c>
      <c r="D8" s="277" t="s">
        <v>133</v>
      </c>
      <c r="E8" s="144"/>
      <c r="F8" s="144"/>
      <c r="G8" s="273" t="s">
        <v>133</v>
      </c>
      <c r="H8" s="273" t="s">
        <v>133</v>
      </c>
    </row>
    <row r="9" spans="1:8" x14ac:dyDescent="0.2">
      <c r="A9" s="298"/>
      <c r="B9" s="15"/>
      <c r="C9" s="279" t="s">
        <v>134</v>
      </c>
      <c r="D9" s="277" t="s">
        <v>134</v>
      </c>
      <c r="E9" s="144"/>
      <c r="F9" s="144"/>
      <c r="G9" s="273" t="s">
        <v>134</v>
      </c>
      <c r="H9" s="273" t="s">
        <v>134</v>
      </c>
    </row>
    <row r="10" spans="1:8" x14ac:dyDescent="0.2">
      <c r="A10" s="298"/>
      <c r="B10" s="15"/>
      <c r="C10" s="279" t="s">
        <v>135</v>
      </c>
      <c r="D10" s="277" t="s">
        <v>136</v>
      </c>
      <c r="E10" s="144"/>
      <c r="F10" s="144"/>
      <c r="G10" s="273" t="s">
        <v>135</v>
      </c>
      <c r="H10" s="273" t="s">
        <v>136</v>
      </c>
    </row>
    <row r="11" spans="1:8" x14ac:dyDescent="0.2">
      <c r="A11" s="298"/>
      <c r="B11" s="15"/>
    </row>
    <row r="12" spans="1:8" x14ac:dyDescent="0.2">
      <c r="A12" s="298"/>
      <c r="B12" s="15"/>
    </row>
    <row r="13" spans="1:8" x14ac:dyDescent="0.2">
      <c r="A13" s="298"/>
      <c r="B13" s="15"/>
    </row>
    <row r="14" spans="1:8" x14ac:dyDescent="0.2">
      <c r="A14" s="299" t="s">
        <v>44</v>
      </c>
      <c r="B14" s="207" t="s">
        <v>3</v>
      </c>
      <c r="C14" s="218" t="s">
        <v>282</v>
      </c>
      <c r="D14" s="220" t="s">
        <v>283</v>
      </c>
      <c r="E14" s="219" t="s">
        <v>346</v>
      </c>
      <c r="F14" s="219" t="s">
        <v>347</v>
      </c>
      <c r="G14" s="221" t="s">
        <v>284</v>
      </c>
      <c r="H14" s="221" t="s">
        <v>285</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G1:H1048576 C1:D1048576">
    <cfRule type="expression" dxfId="61"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W15"/>
  <sheetViews>
    <sheetView workbookViewId="0">
      <pane xSplit="5" ySplit="14" topLeftCell="G15" activePane="bottomRight" state="frozen"/>
      <selection pane="topRight" activeCell="F1" sqref="F1"/>
      <selection pane="bottomLeft" activeCell="A15" sqref="A15"/>
      <selection pane="bottomRight" activeCell="T15" sqref="T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16" width="11.83203125" style="36" customWidth="1"/>
    <col min="17" max="19" width="11.83203125" style="98" customWidth="1"/>
    <col min="20" max="21" width="12.6640625" style="33" customWidth="1"/>
  </cols>
  <sheetData>
    <row r="1" spans="1:23" s="22" customFormat="1" ht="31" customHeight="1" thickBot="1" x14ac:dyDescent="0.35">
      <c r="A1" s="300" t="s">
        <v>291</v>
      </c>
      <c r="B1" s="4"/>
      <c r="C1" s="1"/>
      <c r="D1" s="1"/>
      <c r="E1" s="1"/>
      <c r="F1" s="181" t="s">
        <v>292</v>
      </c>
      <c r="G1" s="180"/>
      <c r="H1" s="180"/>
      <c r="I1" s="180"/>
      <c r="J1" s="181"/>
      <c r="K1" s="180"/>
      <c r="L1" s="180"/>
      <c r="M1" s="180"/>
      <c r="N1" s="180"/>
      <c r="O1" s="180"/>
      <c r="P1" s="180"/>
      <c r="Q1" s="185"/>
      <c r="R1" s="185"/>
      <c r="S1" s="185"/>
      <c r="T1" s="181"/>
      <c r="U1" s="181"/>
    </row>
    <row r="2" spans="1:23" s="21" customFormat="1" ht="19" x14ac:dyDescent="0.25">
      <c r="A2" s="443" t="s">
        <v>561</v>
      </c>
      <c r="B2" s="439"/>
      <c r="C2" s="2"/>
      <c r="D2" s="2"/>
      <c r="E2" s="2"/>
      <c r="F2" s="34"/>
      <c r="G2" s="34"/>
      <c r="H2" s="34"/>
      <c r="I2" s="34"/>
      <c r="J2" s="264"/>
      <c r="K2" s="34"/>
      <c r="L2" s="34"/>
      <c r="M2" s="34"/>
      <c r="N2" s="34"/>
      <c r="O2" s="34"/>
      <c r="P2" s="34"/>
      <c r="Q2" s="3"/>
      <c r="R2" s="3"/>
      <c r="S2" s="3"/>
      <c r="T2" s="264" t="s">
        <v>774</v>
      </c>
      <c r="U2" s="264" t="s">
        <v>774</v>
      </c>
    </row>
    <row r="3" spans="1:23" ht="117" customHeight="1" thickBot="1" x14ac:dyDescent="0.25">
      <c r="A3" s="440"/>
      <c r="B3" s="441"/>
      <c r="C3" s="17"/>
      <c r="D3" s="17"/>
      <c r="E3" s="17"/>
      <c r="F3" s="447" t="s">
        <v>1238</v>
      </c>
      <c r="G3" s="447" t="s">
        <v>1239</v>
      </c>
      <c r="H3" s="244" t="s">
        <v>1240</v>
      </c>
      <c r="I3" s="244" t="s">
        <v>1241</v>
      </c>
      <c r="J3" s="68" t="s">
        <v>735</v>
      </c>
      <c r="K3" s="244" t="s">
        <v>1243</v>
      </c>
      <c r="L3" s="68" t="s">
        <v>737</v>
      </c>
      <c r="M3" s="68" t="s">
        <v>738</v>
      </c>
      <c r="N3" s="68" t="s">
        <v>739</v>
      </c>
      <c r="O3" s="68" t="s">
        <v>740</v>
      </c>
      <c r="P3" s="68" t="s">
        <v>741</v>
      </c>
      <c r="Q3" s="147" t="s">
        <v>742</v>
      </c>
      <c r="R3" s="202" t="s">
        <v>743</v>
      </c>
      <c r="S3" s="202" t="s">
        <v>734</v>
      </c>
      <c r="T3" s="257" t="s">
        <v>735</v>
      </c>
      <c r="U3" s="257" t="s">
        <v>736</v>
      </c>
    </row>
    <row r="4" spans="1:23" x14ac:dyDescent="0.2">
      <c r="A4" s="298"/>
      <c r="B4" s="15"/>
      <c r="C4" s="15"/>
      <c r="D4" s="15" t="s">
        <v>2</v>
      </c>
      <c r="E4" s="15"/>
      <c r="F4" s="35">
        <f>SUBTOTAL(109,F$15:INDEX(F:F,COUNTA($B:$B)+14-COUNTA($B$1:$B$14)))</f>
        <v>0</v>
      </c>
      <c r="G4" s="35">
        <f>SUBTOTAL(109,G$15:INDEX(G:G,COUNTA($B:$B)+14-COUNTA($B$1:$B$14)))</f>
        <v>0</v>
      </c>
      <c r="H4" s="35"/>
      <c r="I4" s="35">
        <f>SUBTOTAL(109,I$15:INDEX(I:I,COUNTA($B:$B)+14-COUNTA($B$1:$B$14)))</f>
        <v>0</v>
      </c>
      <c r="J4" s="444">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3" x14ac:dyDescent="0.2">
      <c r="A5" t="s">
        <v>59</v>
      </c>
      <c r="B5" s="5" t="s">
        <v>59</v>
      </c>
      <c r="C5" s="5" t="s">
        <v>59</v>
      </c>
      <c r="D5" s="5" t="s">
        <v>59</v>
      </c>
      <c r="E5" s="5" t="s">
        <v>59</v>
      </c>
      <c r="F5" s="36" t="s">
        <v>59</v>
      </c>
      <c r="G5" s="36" t="s">
        <v>59</v>
      </c>
      <c r="H5" s="36" t="s">
        <v>59</v>
      </c>
      <c r="I5" s="36" t="s">
        <v>59</v>
      </c>
      <c r="J5" s="445" t="s">
        <v>70</v>
      </c>
      <c r="K5" s="36" t="s">
        <v>59</v>
      </c>
      <c r="L5" s="36" t="s">
        <v>70</v>
      </c>
      <c r="M5" s="36" t="s">
        <v>70</v>
      </c>
      <c r="N5" s="36" t="s">
        <v>70</v>
      </c>
      <c r="O5" s="36" t="s">
        <v>70</v>
      </c>
      <c r="P5" s="36" t="s">
        <v>59</v>
      </c>
      <c r="Q5" s="98" t="s">
        <v>59</v>
      </c>
      <c r="R5" s="98" t="s">
        <v>59</v>
      </c>
      <c r="S5" s="98" t="s">
        <v>59</v>
      </c>
      <c r="T5" s="33" t="s">
        <v>70</v>
      </c>
      <c r="U5" s="33" t="s">
        <v>70</v>
      </c>
    </row>
    <row r="6" spans="1:23" x14ac:dyDescent="0.2">
      <c r="A6" t="s">
        <v>137</v>
      </c>
      <c r="B6" s="5" t="s">
        <v>137</v>
      </c>
      <c r="C6" s="5" t="s">
        <v>137</v>
      </c>
      <c r="D6" s="5" t="s">
        <v>137</v>
      </c>
      <c r="E6" s="5" t="s">
        <v>137</v>
      </c>
      <c r="F6" s="36" t="s">
        <v>73</v>
      </c>
      <c r="G6" s="36" t="s">
        <v>73</v>
      </c>
      <c r="H6" s="36" t="s">
        <v>73</v>
      </c>
      <c r="I6" s="36" t="s">
        <v>73</v>
      </c>
      <c r="J6" s="445" t="s">
        <v>71</v>
      </c>
      <c r="K6" s="36" t="s">
        <v>73</v>
      </c>
      <c r="L6" s="36" t="s">
        <v>71</v>
      </c>
      <c r="M6" s="36" t="s">
        <v>71</v>
      </c>
      <c r="N6" s="36" t="s">
        <v>71</v>
      </c>
      <c r="O6" s="36" t="s">
        <v>71</v>
      </c>
      <c r="P6" s="36" t="s">
        <v>54</v>
      </c>
      <c r="Q6" s="98" t="s">
        <v>54</v>
      </c>
      <c r="R6" s="98" t="s">
        <v>73</v>
      </c>
      <c r="S6" s="98" t="s">
        <v>73</v>
      </c>
      <c r="T6" s="33" t="s">
        <v>53</v>
      </c>
      <c r="U6" s="33" t="s">
        <v>53</v>
      </c>
    </row>
    <row r="7" spans="1:23" x14ac:dyDescent="0.2">
      <c r="A7" t="s">
        <v>69</v>
      </c>
      <c r="B7" s="5" t="s">
        <v>69</v>
      </c>
      <c r="C7" s="5" t="s">
        <v>69</v>
      </c>
      <c r="D7" s="5" t="s">
        <v>69</v>
      </c>
      <c r="E7" s="5" t="s">
        <v>69</v>
      </c>
      <c r="F7" s="36" t="s">
        <v>55</v>
      </c>
      <c r="G7" s="36" t="s">
        <v>55</v>
      </c>
      <c r="H7" s="36" t="s">
        <v>56</v>
      </c>
      <c r="I7" s="36" t="s">
        <v>55</v>
      </c>
      <c r="J7" s="445" t="s">
        <v>55</v>
      </c>
      <c r="K7" s="36" t="s">
        <v>55</v>
      </c>
      <c r="L7" s="36" t="s">
        <v>55</v>
      </c>
      <c r="M7" s="36" t="s">
        <v>55</v>
      </c>
      <c r="N7" s="36" t="s">
        <v>55</v>
      </c>
      <c r="O7" s="36" t="s">
        <v>55</v>
      </c>
      <c r="P7" s="36" t="s">
        <v>55</v>
      </c>
      <c r="Q7" s="98" t="s">
        <v>56</v>
      </c>
      <c r="R7" s="98" t="s">
        <v>56</v>
      </c>
      <c r="S7" s="98" t="s">
        <v>56</v>
      </c>
      <c r="T7" s="33" t="s">
        <v>55</v>
      </c>
      <c r="U7" s="33" t="s">
        <v>55</v>
      </c>
    </row>
    <row r="8" spans="1:23" x14ac:dyDescent="0.2">
      <c r="J8" s="446" t="s">
        <v>477</v>
      </c>
      <c r="L8" s="277" t="s">
        <v>297</v>
      </c>
      <c r="M8" s="277" t="s">
        <v>296</v>
      </c>
      <c r="N8" s="277" t="s">
        <v>295</v>
      </c>
      <c r="O8" s="277" t="s">
        <v>294</v>
      </c>
      <c r="Q8" s="166"/>
      <c r="R8" s="166"/>
      <c r="S8" s="166"/>
      <c r="T8" s="273" t="s">
        <v>477</v>
      </c>
      <c r="U8" s="273" t="s">
        <v>478</v>
      </c>
    </row>
    <row r="9" spans="1:23" x14ac:dyDescent="0.2">
      <c r="J9" s="446"/>
      <c r="L9" s="286"/>
      <c r="M9" s="286"/>
      <c r="N9" s="286"/>
      <c r="O9" s="286"/>
      <c r="P9" s="101"/>
      <c r="Q9" s="165"/>
      <c r="R9" s="166"/>
      <c r="S9" s="166"/>
      <c r="T9" s="273"/>
      <c r="U9" s="273"/>
    </row>
    <row r="10" spans="1:23" x14ac:dyDescent="0.2">
      <c r="J10" s="446" t="s">
        <v>486</v>
      </c>
      <c r="L10" s="277" t="s">
        <v>564</v>
      </c>
      <c r="M10" s="277" t="s">
        <v>562</v>
      </c>
      <c r="N10" s="277" t="s">
        <v>565</v>
      </c>
      <c r="O10" s="277" t="s">
        <v>563</v>
      </c>
      <c r="Q10" s="166"/>
      <c r="R10" s="166"/>
      <c r="S10" s="166"/>
      <c r="T10" s="273" t="s">
        <v>486</v>
      </c>
      <c r="U10" s="273" t="s">
        <v>487</v>
      </c>
    </row>
    <row r="11" spans="1:23" x14ac:dyDescent="0.2">
      <c r="F11" s="36" t="s">
        <v>293</v>
      </c>
      <c r="G11" s="445" t="s">
        <v>293</v>
      </c>
      <c r="H11" s="445" t="s">
        <v>293</v>
      </c>
      <c r="I11" s="445" t="s">
        <v>293</v>
      </c>
      <c r="J11" s="445" t="s">
        <v>293</v>
      </c>
      <c r="K11" s="445" t="s">
        <v>293</v>
      </c>
      <c r="L11" s="36" t="s">
        <v>293</v>
      </c>
      <c r="M11" s="36" t="s">
        <v>293</v>
      </c>
      <c r="N11" s="36" t="s">
        <v>293</v>
      </c>
      <c r="O11" s="36" t="s">
        <v>293</v>
      </c>
      <c r="P11" s="36" t="s">
        <v>293</v>
      </c>
      <c r="Q11" s="98" t="s">
        <v>293</v>
      </c>
      <c r="R11" s="19" t="s">
        <v>293</v>
      </c>
      <c r="S11" s="19" t="s">
        <v>293</v>
      </c>
      <c r="T11" s="33" t="s">
        <v>293</v>
      </c>
      <c r="U11" s="33" t="s">
        <v>293</v>
      </c>
    </row>
    <row r="12" spans="1:23" x14ac:dyDescent="0.2">
      <c r="F12" s="36" t="s">
        <v>460</v>
      </c>
      <c r="G12" s="445" t="s">
        <v>460</v>
      </c>
      <c r="H12" s="445" t="s">
        <v>460</v>
      </c>
      <c r="I12" s="445" t="s">
        <v>460</v>
      </c>
      <c r="J12" s="445" t="s">
        <v>460</v>
      </c>
      <c r="K12" s="445" t="s">
        <v>460</v>
      </c>
      <c r="L12" s="36" t="s">
        <v>460</v>
      </c>
      <c r="M12" s="36" t="s">
        <v>460</v>
      </c>
      <c r="N12" s="36" t="s">
        <v>460</v>
      </c>
      <c r="O12" s="36" t="s">
        <v>460</v>
      </c>
      <c r="P12" s="36" t="s">
        <v>460</v>
      </c>
      <c r="Q12" s="98" t="s">
        <v>460</v>
      </c>
      <c r="R12" s="19" t="s">
        <v>460</v>
      </c>
      <c r="S12" s="19" t="s">
        <v>460</v>
      </c>
      <c r="T12" s="33" t="s">
        <v>460</v>
      </c>
      <c r="U12" s="33" t="s">
        <v>460</v>
      </c>
    </row>
    <row r="13" spans="1:23" x14ac:dyDescent="0.2">
      <c r="J13" s="445"/>
    </row>
    <row r="14" spans="1:23" x14ac:dyDescent="0.2">
      <c r="A14" s="301" t="s">
        <v>44</v>
      </c>
      <c r="B14" s="190" t="s">
        <v>3</v>
      </c>
      <c r="C14" s="190" t="s">
        <v>25</v>
      </c>
      <c r="D14" s="190" t="s">
        <v>4</v>
      </c>
      <c r="E14" s="190" t="s">
        <v>47</v>
      </c>
      <c r="F14" s="194" t="s">
        <v>188</v>
      </c>
      <c r="G14" s="194" t="s">
        <v>349</v>
      </c>
      <c r="H14" s="194"/>
      <c r="I14" s="194"/>
      <c r="J14" s="217" t="s">
        <v>1242</v>
      </c>
      <c r="K14" s="194"/>
      <c r="L14" s="194" t="s">
        <v>298</v>
      </c>
      <c r="M14" s="194" t="s">
        <v>299</v>
      </c>
      <c r="N14" s="194" t="s">
        <v>300</v>
      </c>
      <c r="O14" s="194" t="s">
        <v>301</v>
      </c>
      <c r="P14" s="194" t="s">
        <v>492</v>
      </c>
      <c r="Q14" s="195" t="s">
        <v>491</v>
      </c>
      <c r="R14" s="195" t="s">
        <v>493</v>
      </c>
      <c r="S14" s="195" t="s">
        <v>350</v>
      </c>
      <c r="T14" s="217" t="s">
        <v>304</v>
      </c>
      <c r="U14" s="217" t="s">
        <v>305</v>
      </c>
    </row>
    <row r="15" spans="1:23" x14ac:dyDescent="0.2">
      <c r="A15" t="e">
        <f>INDEX(Prioritization!$D:$D,MATCH($B15,Prioritization!$A:$A,0))</f>
        <v>#N/A</v>
      </c>
      <c r="E15" s="5" t="str">
        <f>B15&amp;"|"&amp;C15&amp;"|"&amp;D15</f>
        <v>||</v>
      </c>
      <c r="K15" s="36" t="str">
        <f>IF(SUM($I15)=0,"",ROUND($I15-$J15,0))</f>
        <v/>
      </c>
      <c r="P15" s="36" t="str">
        <f>IF(SUM($L15:$O15)=0,"",SUM($L15:$O15))</f>
        <v/>
      </c>
      <c r="Q15" s="98" t="str">
        <f>IF(SUM($P15)=0,"",SUM($N15,$O15)/SUM($P15))</f>
        <v/>
      </c>
      <c r="R15" s="98" t="str">
        <f>IF(SUM($P15)=0,"",0%)</f>
        <v/>
      </c>
      <c r="S15" s="98" t="str">
        <f>IF(SUM($P15)=0,"",MAX(60%,SUM($Q15)))</f>
        <v/>
      </c>
      <c r="T15" s="33" t="str">
        <f>IF(SUM($P15)=0,"",ROUND(SUM($P15)*(1+$R15),0))</f>
        <v/>
      </c>
      <c r="U15" s="33" t="str">
        <f>IF(SUM($T15)=0,"",ROUND(SUM($T15)*S15,0))</f>
        <v/>
      </c>
      <c r="W15">
        <f>IF(OR($F15="",$C15="&lt;01"),$AO15,$F15)</f>
        <v>0</v>
      </c>
    </row>
  </sheetData>
  <mergeCells count="1">
    <mergeCell ref="A2:B3"/>
  </mergeCells>
  <phoneticPr fontId="18" type="noConversion"/>
  <conditionalFormatting sqref="T1:U1048576">
    <cfRule type="expression" dxfId="60" priority="34">
      <formula>AND(ISNUMBER(T1),SUM($U1)&gt;SUM($T1))</formula>
    </cfRule>
  </conditionalFormatting>
  <conditionalFormatting sqref="T1:U1048576 F1:S2 J3:S3 F4:S1048576">
    <cfRule type="expression" dxfId="59" priority="22">
      <formula>AND(ISNUMBER(F1),F1&lt;0)</formula>
    </cfRule>
  </conditionalFormatting>
  <conditionalFormatting sqref="Q1:S1048576">
    <cfRule type="expression" dxfId="58" priority="23">
      <formula>AND(ISNUMBER(Q1),Q1&gt;1)</formula>
    </cfRule>
  </conditionalFormatting>
  <conditionalFormatting sqref="K1:K1048576">
    <cfRule type="expression" dxfId="57" priority="3876">
      <formula>AND(ROW(K1)&gt;14,LEFT(D1,4)="_Mil")</formula>
    </cfRule>
  </conditionalFormatting>
  <conditionalFormatting sqref="H1:J2 J3 H4:J1048576">
    <cfRule type="expression" dxfId="56" priority="3878">
      <formula>AND(ROW(H1)&gt;14,LEFT(D1,4)="_Mil")</formula>
    </cfRule>
  </conditionalFormatting>
  <conditionalFormatting sqref="F1:G2 F4:G1048576">
    <cfRule type="expression" dxfId="55" priority="3879">
      <formula>AND(ROW(F1)&gt;14,LEFT(C1,4)="_Mil")</formula>
    </cfRule>
  </conditionalFormatting>
  <conditionalFormatting sqref="J1:J14">
    <cfRule type="expression" dxfId="54" priority="20">
      <formula>AND(ISNUMBER(J1),SUM($U1)&gt;SUM($T1))</formula>
    </cfRule>
  </conditionalFormatting>
  <conditionalFormatting sqref="F3:G3">
    <cfRule type="expression" dxfId="53" priority="19">
      <formula>AND(ROW(F3)&gt;14,LEFT(B3,4)="_Mil")</formula>
    </cfRule>
  </conditionalFormatting>
  <conditionalFormatting sqref="F3:I3">
    <cfRule type="expression" dxfId="52" priority="18">
      <formula>AND(ISNUMBER(F3),F3&lt;0)</formula>
    </cfRule>
  </conditionalFormatting>
  <conditionalFormatting sqref="I3">
    <cfRule type="expression" dxfId="51" priority="16">
      <formula>AND(ROW(I3)&gt;14,LEFT(D3,4)="_Mil")</formula>
    </cfRule>
  </conditionalFormatting>
  <conditionalFormatting sqref="H3">
    <cfRule type="expression" dxfId="50" priority="17">
      <formula>AND(ROW(H3)&gt;14,LEFT(D3,4)="_Mil")</formula>
    </cfRule>
  </conditionalFormatting>
  <conditionalFormatting sqref="H3">
    <cfRule type="expression" dxfId="49" priority="15">
      <formula>AND(ROW(H3)&gt;14,LEFT(E3,4)="_Mil")</formula>
    </cfRule>
  </conditionalFormatting>
  <conditionalFormatting sqref="H3">
    <cfRule type="expression" dxfId="48" priority="14">
      <formula>AND(ROW(H3)&gt;14,LEFT(E3,4)="_Mil")</formula>
    </cfRule>
  </conditionalFormatting>
  <conditionalFormatting sqref="I3">
    <cfRule type="expression" dxfId="47" priority="13">
      <formula>AND(ROW(I3)&gt;14,LEFT(F3,4)="_Mil")</formula>
    </cfRule>
  </conditionalFormatting>
  <conditionalFormatting sqref="H5:H7">
    <cfRule type="expression" dxfId="46" priority="12">
      <formula>AND(ROW(H5)&gt;14,LEFT(E5,4)="_Mil")</formula>
    </cfRule>
  </conditionalFormatting>
  <conditionalFormatting sqref="I5:I7">
    <cfRule type="expression" dxfId="45" priority="11">
      <formula>AND(ROW(I5)&gt;14,LEFT(F5,4)="_Mil")</formula>
    </cfRule>
  </conditionalFormatting>
  <conditionalFormatting sqref="I4">
    <cfRule type="expression" dxfId="44" priority="10">
      <formula>AND(ROW(I4)&gt;14,LEFT(F4,4)="_Mil")</formula>
    </cfRule>
  </conditionalFormatting>
  <conditionalFormatting sqref="K4">
    <cfRule type="expression" dxfId="43" priority="9">
      <formula>AND(ROW(K4)&gt;14,LEFT(H4,4)="_Mil")</formula>
    </cfRule>
  </conditionalFormatting>
  <conditionalFormatting sqref="G11:G12">
    <cfRule type="expression" dxfId="42" priority="8">
      <formula>AND(ROW(G11)&gt;14,LEFT(C11,4)="_Mil")</formula>
    </cfRule>
  </conditionalFormatting>
  <conditionalFormatting sqref="G11:G12">
    <cfRule type="expression" dxfId="41" priority="7">
      <formula>AND(ISNUMBER(G11),SUM($U11)&gt;SUM($T11))</formula>
    </cfRule>
  </conditionalFormatting>
  <conditionalFormatting sqref="H11:H12">
    <cfRule type="expression" dxfId="40" priority="6">
      <formula>AND(ISNUMBER(H11),SUM($U11)&gt;SUM($T11))</formula>
    </cfRule>
  </conditionalFormatting>
  <conditionalFormatting sqref="I11:I12">
    <cfRule type="expression" dxfId="39" priority="5">
      <formula>AND(ISNUMBER(I11),SUM($U11)&gt;SUM($T11))</formula>
    </cfRule>
  </conditionalFormatting>
  <conditionalFormatting sqref="K11:K12">
    <cfRule type="expression" dxfId="38" priority="4">
      <formula>AND(ROW(K11)&gt;14,LEFT(G11,4)="_Mil")</formula>
    </cfRule>
  </conditionalFormatting>
  <conditionalFormatting sqref="K11:K12">
    <cfRule type="expression" dxfId="37" priority="3">
      <formula>AND(ISNUMBER(K11),SUM($U11)&gt;SUM($T11))</formula>
    </cfRule>
  </conditionalFormatting>
  <conditionalFormatting sqref="K5:K7">
    <cfRule type="expression" dxfId="36" priority="2">
      <formula>AND(ROW(K5)&gt;14,LEFT(G5,4)="_Mil")</formula>
    </cfRule>
  </conditionalFormatting>
  <conditionalFormatting sqref="K5:K7">
    <cfRule type="expression" dxfId="35" priority="1">
      <formula>AND(ROW(K5)&gt;14,LEFT(H5,4)="_Mil")</formula>
    </cfRule>
  </conditionalFormatting>
  <conditionalFormatting sqref="S1:S1048576">
    <cfRule type="expression" dxfId="34" priority="3880">
      <formula>AND(ROUND(SUM($S1),2)&lt;60%,SUM($T1)&gt;0)</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workbookViewId="0">
      <pane xSplit="4" ySplit="14" topLeftCell="E15" activePane="bottomRight" state="frozen"/>
      <selection pane="topRight" activeCell="E1" sqref="E1"/>
      <selection pane="bottomLeft" activeCell="A15" sqref="A15"/>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300" t="s">
        <v>20</v>
      </c>
      <c r="B1" s="4"/>
      <c r="C1" s="1"/>
      <c r="D1" s="1"/>
      <c r="E1" s="215" t="s">
        <v>20</v>
      </c>
      <c r="F1" s="181"/>
      <c r="G1" s="229"/>
      <c r="H1" s="184"/>
      <c r="I1" s="184"/>
      <c r="J1" s="181"/>
      <c r="K1" s="181"/>
    </row>
    <row r="2" spans="1:11" ht="19" x14ac:dyDescent="0.25">
      <c r="A2" s="13"/>
      <c r="B2" s="2"/>
      <c r="C2" s="2"/>
      <c r="D2" s="2"/>
      <c r="E2" s="52"/>
      <c r="F2" s="46"/>
      <c r="G2" s="3"/>
      <c r="H2" s="3"/>
      <c r="I2" s="3"/>
      <c r="J2" s="264" t="s">
        <v>774</v>
      </c>
      <c r="K2" s="264" t="s">
        <v>774</v>
      </c>
    </row>
    <row r="3" spans="1:11" ht="117" customHeight="1" x14ac:dyDescent="0.2">
      <c r="D3" s="26"/>
      <c r="E3" s="243" t="s">
        <v>1184</v>
      </c>
      <c r="F3" s="75" t="s">
        <v>746</v>
      </c>
      <c r="G3" s="94" t="s">
        <v>747</v>
      </c>
      <c r="H3" s="202" t="s">
        <v>744</v>
      </c>
      <c r="I3" s="202" t="s">
        <v>846</v>
      </c>
      <c r="J3" s="257" t="s">
        <v>745</v>
      </c>
      <c r="K3" s="257" t="s">
        <v>1185</v>
      </c>
    </row>
    <row r="4" spans="1:11" x14ac:dyDescent="0.2">
      <c r="A4" s="304"/>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137</v>
      </c>
      <c r="B6" s="28" t="s">
        <v>137</v>
      </c>
      <c r="C6" s="28" t="s">
        <v>137</v>
      </c>
      <c r="D6" s="28" t="s">
        <v>137</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9" t="s">
        <v>120</v>
      </c>
      <c r="F8" s="287" t="s">
        <v>121</v>
      </c>
      <c r="G8" s="97"/>
      <c r="H8" s="166"/>
      <c r="I8" s="166"/>
      <c r="J8" s="273" t="s">
        <v>121</v>
      </c>
      <c r="K8" s="273" t="s">
        <v>120</v>
      </c>
    </row>
    <row r="9" spans="1:11" x14ac:dyDescent="0.2">
      <c r="A9" s="25"/>
      <c r="B9" s="28"/>
      <c r="C9" s="28"/>
      <c r="D9" s="28"/>
      <c r="E9" s="279"/>
      <c r="F9" s="287" t="s">
        <v>122</v>
      </c>
      <c r="G9" s="97"/>
      <c r="H9" s="166"/>
      <c r="I9" s="166"/>
      <c r="J9" s="273" t="s">
        <v>122</v>
      </c>
      <c r="K9" s="273"/>
    </row>
    <row r="10" spans="1:11" x14ac:dyDescent="0.2">
      <c r="A10" s="25"/>
      <c r="B10" s="28"/>
      <c r="C10" s="28"/>
      <c r="D10" s="28"/>
      <c r="E10" s="279"/>
      <c r="F10" s="287"/>
      <c r="G10" s="97"/>
      <c r="H10" s="166"/>
      <c r="I10" s="166"/>
      <c r="J10" s="273"/>
      <c r="K10" s="273"/>
    </row>
    <row r="11" spans="1:11" x14ac:dyDescent="0.2">
      <c r="A11" s="25"/>
      <c r="B11" s="28"/>
      <c r="C11" s="28"/>
      <c r="D11" s="28"/>
      <c r="F11" s="70"/>
      <c r="G11" s="97"/>
      <c r="H11" s="98"/>
      <c r="I11" s="98"/>
    </row>
    <row r="12" spans="1:11" x14ac:dyDescent="0.2">
      <c r="A12" s="25"/>
      <c r="B12" s="28"/>
      <c r="C12" s="28"/>
      <c r="D12" s="28"/>
      <c r="E12" s="47" t="s">
        <v>138</v>
      </c>
      <c r="F12" s="70" t="s">
        <v>138</v>
      </c>
      <c r="G12" s="97" t="s">
        <v>138</v>
      </c>
      <c r="H12" s="98" t="s">
        <v>138</v>
      </c>
      <c r="I12" s="98" t="s">
        <v>138</v>
      </c>
      <c r="J12" s="33" t="s">
        <v>138</v>
      </c>
      <c r="K12" s="33" t="s">
        <v>138</v>
      </c>
    </row>
    <row r="13" spans="1:11" x14ac:dyDescent="0.2">
      <c r="A13" s="25"/>
      <c r="B13" s="28"/>
      <c r="C13" s="28"/>
      <c r="D13" s="28"/>
      <c r="F13" s="70"/>
      <c r="G13" s="97"/>
      <c r="H13" s="98"/>
      <c r="I13" s="98"/>
    </row>
    <row r="14" spans="1:11" x14ac:dyDescent="0.2">
      <c r="A14" s="299" t="s">
        <v>44</v>
      </c>
      <c r="B14" s="207" t="s">
        <v>3</v>
      </c>
      <c r="C14" s="207" t="s">
        <v>4</v>
      </c>
      <c r="D14" s="207" t="s">
        <v>47</v>
      </c>
      <c r="E14" s="218" t="s">
        <v>343</v>
      </c>
      <c r="F14" s="194" t="s">
        <v>261</v>
      </c>
      <c r="G14" s="195" t="s">
        <v>362</v>
      </c>
      <c r="H14" s="195" t="s">
        <v>367</v>
      </c>
      <c r="I14" s="195" t="s">
        <v>368</v>
      </c>
      <c r="J14" s="217" t="s">
        <v>262</v>
      </c>
      <c r="K14" s="217" t="s">
        <v>363</v>
      </c>
    </row>
    <row r="15" spans="1:11" x14ac:dyDescent="0.2">
      <c r="A15" s="302"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H1:H1048576">
    <cfRule type="expression" dxfId="32" priority="7">
      <formula>AND(ISNUMBER(H1),H1&lt;&gt;G1)</formula>
    </cfRule>
  </conditionalFormatting>
  <conditionalFormatting sqref="E1:H1048576 J1:K1048576">
    <cfRule type="expression" dxfId="31" priority="2">
      <formula>AND(ISNUMBER(E1),E1&lt;0)</formula>
    </cfRule>
  </conditionalFormatting>
  <conditionalFormatting sqref="G1:H1048576">
    <cfRule type="expression" dxfId="30" priority="3">
      <formula>AND(ISNUMBER(G1),G1&gt;1)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BN15" activePane="bottomRight" state="frozen"/>
      <selection pane="topRight" activeCell="C1" sqref="C1"/>
      <selection pane="bottomLeft" activeCell="A15" sqref="A15"/>
      <selection pane="bottomRight" activeCell="BT15" sqref="BT15"/>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300" t="s">
        <v>525</v>
      </c>
      <c r="B1" s="4"/>
      <c r="C1" s="215" t="s">
        <v>531</v>
      </c>
      <c r="D1" s="181"/>
      <c r="E1" s="234"/>
      <c r="F1" s="235"/>
      <c r="G1" s="181"/>
      <c r="H1" s="181"/>
      <c r="I1" s="181"/>
      <c r="J1" s="181"/>
      <c r="K1" s="215" t="s">
        <v>21</v>
      </c>
      <c r="L1" s="181"/>
      <c r="M1" s="234"/>
      <c r="N1" s="235"/>
      <c r="O1" s="181"/>
      <c r="P1" s="181"/>
      <c r="Q1" s="181"/>
      <c r="R1" s="181"/>
      <c r="S1" s="215" t="s">
        <v>0</v>
      </c>
      <c r="T1" s="234"/>
      <c r="U1" s="235"/>
      <c r="V1" s="181"/>
      <c r="W1" s="181"/>
      <c r="X1" s="181"/>
      <c r="Y1" s="181"/>
      <c r="Z1" s="215" t="s">
        <v>1</v>
      </c>
      <c r="AA1" s="234"/>
      <c r="AB1" s="235"/>
      <c r="AC1" s="181"/>
      <c r="AD1" s="181"/>
      <c r="AE1" s="181"/>
      <c r="AF1" s="181"/>
      <c r="AG1" s="215" t="s">
        <v>36</v>
      </c>
      <c r="AH1" s="234"/>
      <c r="AI1" s="235"/>
      <c r="AJ1" s="181"/>
      <c r="AK1" s="181"/>
      <c r="AL1" s="181"/>
      <c r="AM1" s="181"/>
      <c r="AN1" s="215" t="s">
        <v>35</v>
      </c>
      <c r="AO1" s="234"/>
      <c r="AP1" s="235"/>
      <c r="AQ1" s="181"/>
      <c r="AR1" s="181"/>
      <c r="AS1" s="181"/>
      <c r="AT1" s="181"/>
      <c r="AU1" s="215" t="s">
        <v>385</v>
      </c>
      <c r="AV1" s="234"/>
      <c r="AW1" s="235"/>
      <c r="AX1" s="181"/>
      <c r="AY1" s="181"/>
      <c r="AZ1" s="181"/>
      <c r="BA1" s="181"/>
      <c r="BB1" s="215" t="s">
        <v>386</v>
      </c>
      <c r="BC1" s="234"/>
      <c r="BD1" s="235"/>
      <c r="BE1" s="181"/>
      <c r="BF1" s="181"/>
      <c r="BG1" s="181"/>
      <c r="BH1" s="181"/>
      <c r="BI1" s="215" t="s">
        <v>139</v>
      </c>
      <c r="BJ1" s="234"/>
      <c r="BK1" s="235"/>
      <c r="BL1" s="181"/>
      <c r="BM1" s="181"/>
      <c r="BN1" s="181"/>
      <c r="BO1" s="181"/>
      <c r="BP1" s="215" t="s">
        <v>145</v>
      </c>
      <c r="BQ1" s="234"/>
      <c r="BR1" s="235"/>
      <c r="BS1" s="181"/>
      <c r="BT1" s="181"/>
      <c r="BU1" s="181"/>
      <c r="BV1" s="181"/>
    </row>
    <row r="2" spans="1:74" s="21" customFormat="1" ht="19" x14ac:dyDescent="0.25">
      <c r="A2" s="443" t="s">
        <v>577</v>
      </c>
      <c r="B2" s="439"/>
      <c r="C2" s="52" t="s">
        <v>488</v>
      </c>
      <c r="D2" s="55"/>
      <c r="E2" s="116"/>
      <c r="F2" s="109" t="s">
        <v>384</v>
      </c>
      <c r="G2" s="29"/>
      <c r="H2" s="29"/>
      <c r="I2" s="125"/>
      <c r="J2" s="29"/>
      <c r="K2" s="52" t="s">
        <v>488</v>
      </c>
      <c r="L2" s="55"/>
      <c r="M2" s="116"/>
      <c r="N2" s="109" t="s">
        <v>384</v>
      </c>
      <c r="O2" s="29"/>
      <c r="P2" s="29"/>
      <c r="Q2" s="125"/>
      <c r="R2" s="29"/>
      <c r="S2" s="52" t="s">
        <v>488</v>
      </c>
      <c r="T2" s="116"/>
      <c r="U2" s="109" t="s">
        <v>384</v>
      </c>
      <c r="V2" s="29"/>
      <c r="W2" s="29"/>
      <c r="X2" s="125"/>
      <c r="Y2" s="29"/>
      <c r="Z2" s="52" t="s">
        <v>488</v>
      </c>
      <c r="AA2" s="116"/>
      <c r="AB2" s="109" t="s">
        <v>384</v>
      </c>
      <c r="AC2" s="29"/>
      <c r="AD2" s="29"/>
      <c r="AE2" s="125"/>
      <c r="AF2" s="29"/>
      <c r="AG2" s="52" t="s">
        <v>488</v>
      </c>
      <c r="AH2" s="116"/>
      <c r="AI2" s="109" t="s">
        <v>384</v>
      </c>
      <c r="AJ2" s="29"/>
      <c r="AK2" s="29"/>
      <c r="AL2" s="125"/>
      <c r="AM2" s="29"/>
      <c r="AN2" s="52" t="s">
        <v>488</v>
      </c>
      <c r="AO2" s="116"/>
      <c r="AP2" s="109" t="s">
        <v>384</v>
      </c>
      <c r="AQ2" s="29"/>
      <c r="AR2" s="29"/>
      <c r="AS2" s="125"/>
      <c r="AT2" s="29"/>
      <c r="AU2" s="52" t="s">
        <v>488</v>
      </c>
      <c r="AV2" s="116"/>
      <c r="AW2" s="109" t="s">
        <v>384</v>
      </c>
      <c r="AX2" s="29"/>
      <c r="AY2" s="29"/>
      <c r="AZ2" s="125"/>
      <c r="BA2" s="29"/>
      <c r="BB2" s="52" t="s">
        <v>488</v>
      </c>
      <c r="BC2" s="116"/>
      <c r="BD2" s="109" t="s">
        <v>384</v>
      </c>
      <c r="BE2" s="29"/>
      <c r="BF2" s="29"/>
      <c r="BG2" s="125"/>
      <c r="BH2" s="29"/>
      <c r="BI2" s="52" t="s">
        <v>488</v>
      </c>
      <c r="BJ2" s="116"/>
      <c r="BK2" s="109" t="s">
        <v>384</v>
      </c>
      <c r="BL2" s="29"/>
      <c r="BM2" s="29"/>
      <c r="BN2" s="125"/>
      <c r="BO2" s="29"/>
      <c r="BP2" s="52" t="s">
        <v>488</v>
      </c>
      <c r="BQ2" s="116"/>
      <c r="BR2" s="109" t="s">
        <v>384</v>
      </c>
      <c r="BS2" s="29"/>
      <c r="BT2" s="29"/>
      <c r="BU2" s="125"/>
      <c r="BV2" s="29"/>
    </row>
    <row r="3" spans="1:74" ht="117" customHeight="1" thickBot="1" x14ac:dyDescent="0.25">
      <c r="A3" s="440"/>
      <c r="B3" s="441"/>
      <c r="C3" s="127" t="s">
        <v>748</v>
      </c>
      <c r="D3" s="131" t="s">
        <v>927</v>
      </c>
      <c r="E3" s="134" t="s">
        <v>749</v>
      </c>
      <c r="F3" s="170" t="s">
        <v>372</v>
      </c>
      <c r="G3" s="159" t="s">
        <v>373</v>
      </c>
      <c r="H3" s="159" t="s">
        <v>376</v>
      </c>
      <c r="I3" s="31" t="s">
        <v>374</v>
      </c>
      <c r="J3" s="31" t="s">
        <v>375</v>
      </c>
      <c r="K3" s="127" t="s">
        <v>748</v>
      </c>
      <c r="L3" s="131" t="s">
        <v>927</v>
      </c>
      <c r="M3" s="134" t="s">
        <v>749</v>
      </c>
      <c r="N3" s="170" t="s">
        <v>372</v>
      </c>
      <c r="O3" s="159" t="s">
        <v>373</v>
      </c>
      <c r="P3" s="159" t="s">
        <v>376</v>
      </c>
      <c r="Q3" s="31" t="s">
        <v>374</v>
      </c>
      <c r="R3" s="31" t="s">
        <v>375</v>
      </c>
      <c r="S3" s="127" t="s">
        <v>748</v>
      </c>
      <c r="T3" s="134" t="s">
        <v>749</v>
      </c>
      <c r="U3" s="170" t="s">
        <v>372</v>
      </c>
      <c r="V3" s="159" t="s">
        <v>373</v>
      </c>
      <c r="W3" s="159" t="s">
        <v>376</v>
      </c>
      <c r="X3" s="31" t="s">
        <v>374</v>
      </c>
      <c r="Y3" s="31" t="s">
        <v>375</v>
      </c>
      <c r="Z3" s="127" t="s">
        <v>748</v>
      </c>
      <c r="AA3" s="134" t="s">
        <v>749</v>
      </c>
      <c r="AB3" s="170" t="s">
        <v>372</v>
      </c>
      <c r="AC3" s="159" t="s">
        <v>373</v>
      </c>
      <c r="AD3" s="159" t="s">
        <v>376</v>
      </c>
      <c r="AE3" s="31" t="s">
        <v>374</v>
      </c>
      <c r="AF3" s="31" t="s">
        <v>375</v>
      </c>
      <c r="AG3" s="127" t="s">
        <v>748</v>
      </c>
      <c r="AH3" s="134" t="s">
        <v>749</v>
      </c>
      <c r="AI3" s="170" t="s">
        <v>372</v>
      </c>
      <c r="AJ3" s="159" t="s">
        <v>373</v>
      </c>
      <c r="AK3" s="159" t="s">
        <v>376</v>
      </c>
      <c r="AL3" s="31" t="s">
        <v>374</v>
      </c>
      <c r="AM3" s="31" t="s">
        <v>375</v>
      </c>
      <c r="AN3" s="127" t="s">
        <v>748</v>
      </c>
      <c r="AO3" s="134" t="s">
        <v>749</v>
      </c>
      <c r="AP3" s="170" t="s">
        <v>372</v>
      </c>
      <c r="AQ3" s="159" t="s">
        <v>373</v>
      </c>
      <c r="AR3" s="159" t="s">
        <v>376</v>
      </c>
      <c r="AS3" s="31" t="s">
        <v>374</v>
      </c>
      <c r="AT3" s="31" t="s">
        <v>375</v>
      </c>
      <c r="AU3" s="127" t="s">
        <v>748</v>
      </c>
      <c r="AV3" s="134" t="s">
        <v>749</v>
      </c>
      <c r="AW3" s="170" t="s">
        <v>372</v>
      </c>
      <c r="AX3" s="159" t="s">
        <v>373</v>
      </c>
      <c r="AY3" s="159" t="s">
        <v>376</v>
      </c>
      <c r="AZ3" s="31" t="s">
        <v>374</v>
      </c>
      <c r="BA3" s="31" t="s">
        <v>375</v>
      </c>
      <c r="BB3" s="127" t="s">
        <v>748</v>
      </c>
      <c r="BC3" s="134" t="s">
        <v>749</v>
      </c>
      <c r="BD3" s="170" t="s">
        <v>372</v>
      </c>
      <c r="BE3" s="159" t="s">
        <v>373</v>
      </c>
      <c r="BF3" s="159" t="s">
        <v>376</v>
      </c>
      <c r="BG3" s="31" t="s">
        <v>374</v>
      </c>
      <c r="BH3" s="31" t="s">
        <v>375</v>
      </c>
      <c r="BI3" s="127" t="s">
        <v>748</v>
      </c>
      <c r="BJ3" s="134" t="s">
        <v>749</v>
      </c>
      <c r="BK3" s="170" t="s">
        <v>372</v>
      </c>
      <c r="BL3" s="159" t="s">
        <v>373</v>
      </c>
      <c r="BM3" s="159" t="s">
        <v>376</v>
      </c>
      <c r="BN3" s="31" t="s">
        <v>374</v>
      </c>
      <c r="BO3" s="31" t="s">
        <v>375</v>
      </c>
      <c r="BP3" s="127" t="s">
        <v>748</v>
      </c>
      <c r="BQ3" s="134" t="s">
        <v>749</v>
      </c>
      <c r="BR3" s="170" t="s">
        <v>372</v>
      </c>
      <c r="BS3" s="159" t="s">
        <v>373</v>
      </c>
      <c r="BT3" s="159" t="s">
        <v>376</v>
      </c>
      <c r="BU3" s="31" t="s">
        <v>374</v>
      </c>
      <c r="BV3" s="31" t="s">
        <v>375</v>
      </c>
    </row>
    <row r="4" spans="1:74" x14ac:dyDescent="0.2">
      <c r="A4" s="304"/>
      <c r="B4" s="27" t="s">
        <v>2</v>
      </c>
      <c r="C4" s="106">
        <f>SUBTOTAL(109,C$15:INDEX(C:C,COUNTA($B:$B)+14-COUNTA($B$1:$B$14)))</f>
        <v>0</v>
      </c>
      <c r="D4" s="135">
        <f>SUBTOTAL(109,D$15:INDEX(D:D,COUNTA($B:$B)+14-COUNTA($B$1:$B$14)))</f>
        <v>0</v>
      </c>
      <c r="E4" s="117">
        <f>SUBTOTAL(109,E$15:INDEX(E:E,COUNTA($B:$B)+14-COUNTA($B$1:$B$14)))</f>
        <v>0</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f>SUBTOTAL(109,BI$15:INDEX(BI:BI,COUNTA($B:$B)+14-COUNTA($B$1:$B$14)))</f>
        <v>0</v>
      </c>
      <c r="BJ4" s="117">
        <f>SUBTOTAL(109,BJ$15:INDEX(BJ:BJ,COUNTA($B:$B)+14-COUNTA($B$1:$B$14)))</f>
        <v>0</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137</v>
      </c>
      <c r="B6" s="28" t="s">
        <v>137</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9" t="s">
        <v>44</v>
      </c>
      <c r="B14" s="207" t="s">
        <v>3</v>
      </c>
      <c r="C14" s="218" t="s">
        <v>534</v>
      </c>
      <c r="D14" s="191" t="s">
        <v>535</v>
      </c>
      <c r="E14" s="241" t="s">
        <v>536</v>
      </c>
      <c r="F14" s="242" t="s">
        <v>537</v>
      </c>
      <c r="G14" s="197" t="s">
        <v>538</v>
      </c>
      <c r="H14" s="197" t="s">
        <v>539</v>
      </c>
      <c r="I14" s="217" t="s">
        <v>540</v>
      </c>
      <c r="J14" s="217" t="s">
        <v>541</v>
      </c>
      <c r="K14" s="218" t="s">
        <v>402</v>
      </c>
      <c r="L14" s="191" t="s">
        <v>497</v>
      </c>
      <c r="M14" s="241" t="s">
        <v>403</v>
      </c>
      <c r="N14" s="242" t="s">
        <v>404</v>
      </c>
      <c r="O14" s="197" t="s">
        <v>405</v>
      </c>
      <c r="P14" s="197" t="s">
        <v>406</v>
      </c>
      <c r="Q14" s="217" t="s">
        <v>407</v>
      </c>
      <c r="R14" s="217" t="s">
        <v>408</v>
      </c>
      <c r="S14" s="218" t="s">
        <v>409</v>
      </c>
      <c r="T14" s="241" t="s">
        <v>410</v>
      </c>
      <c r="U14" s="242" t="s">
        <v>397</v>
      </c>
      <c r="V14" s="197" t="s">
        <v>398</v>
      </c>
      <c r="W14" s="197" t="s">
        <v>399</v>
      </c>
      <c r="X14" s="217" t="s">
        <v>400</v>
      </c>
      <c r="Y14" s="217" t="s">
        <v>401</v>
      </c>
      <c r="Z14" s="218" t="s">
        <v>411</v>
      </c>
      <c r="AA14" s="241" t="s">
        <v>412</v>
      </c>
      <c r="AB14" s="242" t="s">
        <v>413</v>
      </c>
      <c r="AC14" s="197" t="s">
        <v>414</v>
      </c>
      <c r="AD14" s="197" t="s">
        <v>415</v>
      </c>
      <c r="AE14" s="217" t="s">
        <v>416</v>
      </c>
      <c r="AF14" s="217" t="s">
        <v>417</v>
      </c>
      <c r="AG14" s="218" t="s">
        <v>418</v>
      </c>
      <c r="AH14" s="241" t="s">
        <v>419</v>
      </c>
      <c r="AI14" s="242" t="s">
        <v>420</v>
      </c>
      <c r="AJ14" s="197" t="s">
        <v>421</v>
      </c>
      <c r="AK14" s="197" t="s">
        <v>422</v>
      </c>
      <c r="AL14" s="217" t="s">
        <v>423</v>
      </c>
      <c r="AM14" s="217" t="s">
        <v>424</v>
      </c>
      <c r="AN14" s="218" t="s">
        <v>425</v>
      </c>
      <c r="AO14" s="241" t="s">
        <v>426</v>
      </c>
      <c r="AP14" s="242" t="s">
        <v>427</v>
      </c>
      <c r="AQ14" s="197" t="s">
        <v>428</v>
      </c>
      <c r="AR14" s="197" t="s">
        <v>429</v>
      </c>
      <c r="AS14" s="217" t="s">
        <v>430</v>
      </c>
      <c r="AT14" s="217" t="s">
        <v>431</v>
      </c>
      <c r="AU14" s="218" t="s">
        <v>432</v>
      </c>
      <c r="AV14" s="241" t="s">
        <v>433</v>
      </c>
      <c r="AW14" s="242" t="s">
        <v>434</v>
      </c>
      <c r="AX14" s="197" t="s">
        <v>435</v>
      </c>
      <c r="AY14" s="197" t="s">
        <v>436</v>
      </c>
      <c r="AZ14" s="217" t="s">
        <v>437</v>
      </c>
      <c r="BA14" s="217" t="s">
        <v>438</v>
      </c>
      <c r="BB14" s="218" t="s">
        <v>439</v>
      </c>
      <c r="BC14" s="241" t="s">
        <v>440</v>
      </c>
      <c r="BD14" s="242" t="s">
        <v>441</v>
      </c>
      <c r="BE14" s="197" t="s">
        <v>442</v>
      </c>
      <c r="BF14" s="197" t="s">
        <v>443</v>
      </c>
      <c r="BG14" s="217" t="s">
        <v>444</v>
      </c>
      <c r="BH14" s="217" t="s">
        <v>445</v>
      </c>
      <c r="BI14" s="218" t="s">
        <v>446</v>
      </c>
      <c r="BJ14" s="241" t="s">
        <v>447</v>
      </c>
      <c r="BK14" s="242" t="s">
        <v>448</v>
      </c>
      <c r="BL14" s="197" t="s">
        <v>449</v>
      </c>
      <c r="BM14" s="197" t="s">
        <v>450</v>
      </c>
      <c r="BN14" s="217" t="s">
        <v>451</v>
      </c>
      <c r="BO14" s="217" t="s">
        <v>452</v>
      </c>
      <c r="BP14" s="218" t="s">
        <v>453</v>
      </c>
      <c r="BQ14" s="241" t="s">
        <v>454</v>
      </c>
      <c r="BR14" s="242" t="s">
        <v>455</v>
      </c>
      <c r="BS14" s="197" t="s">
        <v>456</v>
      </c>
      <c r="BT14" s="197" t="s">
        <v>457</v>
      </c>
      <c r="BU14" s="217" t="s">
        <v>458</v>
      </c>
      <c r="BV14" s="217" t="s">
        <v>459</v>
      </c>
    </row>
    <row r="15" spans="1:74" customFormat="1" x14ac:dyDescent="0.2">
      <c r="A15" s="302" t="e">
        <f>INDEX(Prioritization!$D:$D,MATCH($B15,Prioritization!$A:$A,0))</f>
        <v>#N/A</v>
      </c>
      <c r="B15" s="20"/>
      <c r="C15" s="53" cm="1">
        <f t="array" ref="C15">SUM(SUMIFS(PrEP!$O:$O,PrEP!$B:$B,$B15,PrEP!$C:$C,{"15-24","25-34","35-49","50+"},PrEP!$D:$D,"Female"))</f>
        <v>0</v>
      </c>
      <c r="D15" s="57" cm="1">
        <f t="array" ref="D15">SUM(SUMIFS(PrEP!$O:$O,PrEP!$B:$B,$B15,PrEP!$C:$C,{"15-24","25-34"},PrEP!$D:$D,"Female"))</f>
        <v>0</v>
      </c>
      <c r="E15" s="160" cm="1">
        <f t="array" ref="E15">SUM(SUMIFS(PrEP!$O:$O,PrEP!$B:$B,$B15,PrEP!$C:$C,{"15-24","25-34","35-49","50+"},PrEP!$D:$D,"Male"))</f>
        <v>0</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SUM(SUMIFS(Cascade!$AP:$AP,Cascade!$B:$B,$B15,Cascade!$C:$C,{"15-24","25-34","35-49","50+"},Cascade!$D:$D,"Female"))</f>
        <v>0</v>
      </c>
      <c r="T15" s="160" cm="1">
        <f t="array" ref="T15">SUM(SUMIFS(Cascade!$AP:$AP,Cascade!$B:$B,$B15,Cascade!$C:$C,{"15-24","25-34","35-49","50+"},Cascade!$D:$D,"Male"))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SUM(SUMIFS(Cascade!$AX:$AX,Cascade!$B:$B,$B15,Cascade!$C:$C,{"15-24","25-34","35-49","50+"},Cascade!$D:$D,"Female"))</f>
        <v>0</v>
      </c>
      <c r="AA15" s="160" cm="1">
        <f t="array" ref="AA15">SUM(SUMIFS(Cascade!$AX:$AX,Cascade!$B:$B,$B15,Cascade!$C:$C,{"15-24","25-34","35-49","50+"},Cascade!$D:$D,"Male"))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SUM(SUMIFS(Cascade!$BB:$BB,Cascade!$B:$B,$B15,Cascade!$C:$C,{"15-24","25-34","35-49","50+"},Cascade!$D:$D,"Female"))</f>
        <v>0</v>
      </c>
      <c r="AH15" s="160" cm="1">
        <f t="array" ref="AH15">SUM(SUMIFS(Cascade!$BB:$BB,Cascade!$B:$B,$B15,Cascade!$C:$C,{"15-24","25-34","35-49","50+"},Cascade!$D:$D,"Male"))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SUM(SUMIFS(Cascade!$BE:$BE,Cascade!$B:$B,$B15,Cascade!$C:$C,{"15-24","25-34","35-49","50+"},Cascade!$D:$D,"Female"))</f>
        <v>0</v>
      </c>
      <c r="AO15" s="160" cm="1">
        <f t="array" ref="AO15">SUM(SUMIFS(Cascade!$BE:$BE,Cascade!$B:$B,$B15,Cascade!$C:$C,{"15-24","25-34","35-49","50+"},Cascade!$D:$D,"Male"))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cm="1">
        <f t="array" ref="BI15">SUM(SUMIFS(HTS!$BA:$BA,HTS!$B:$B,$B15,HTS!$C:$C,{"15-24","25-34","35-49","50+"},HTS!$D:$D,"Female"))</f>
        <v>0</v>
      </c>
      <c r="BJ15" s="160" cm="1">
        <f t="array" ref="BJ15">SUM(SUMIFS(HTS!$BA:$BA,HTS!$B:$B,$B15,HTS!$C:$C,{"15-24","25-34","35-49","50+"},HTS!$D:$D,"Male"))</f>
        <v>0</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302"/>
      <c r="B16" s="20"/>
    </row>
    <row r="17" spans="1:2" x14ac:dyDescent="0.2">
      <c r="A17" s="302"/>
      <c r="B17" s="20"/>
    </row>
    <row r="18" spans="1:2" x14ac:dyDescent="0.2">
      <c r="A18" s="302"/>
      <c r="B18" s="20"/>
    </row>
    <row r="19" spans="1:2" x14ac:dyDescent="0.2">
      <c r="A19" s="302"/>
      <c r="B19" s="20"/>
    </row>
    <row r="20" spans="1:2" x14ac:dyDescent="0.2">
      <c r="A20" s="302"/>
      <c r="B20" s="20"/>
    </row>
    <row r="21" spans="1:2" x14ac:dyDescent="0.2">
      <c r="A21" s="302"/>
      <c r="B21" s="20"/>
    </row>
    <row r="22" spans="1:2" x14ac:dyDescent="0.2">
      <c r="A22" s="302"/>
      <c r="B22" s="20"/>
    </row>
    <row r="23" spans="1:2" x14ac:dyDescent="0.2">
      <c r="A23" s="302"/>
      <c r="B23" s="20"/>
    </row>
    <row r="24" spans="1:2" x14ac:dyDescent="0.2">
      <c r="A24" s="302"/>
      <c r="B24" s="20"/>
    </row>
    <row r="25" spans="1:2" x14ac:dyDescent="0.2">
      <c r="A25" s="302"/>
      <c r="B25" s="20"/>
    </row>
    <row r="26" spans="1:2" x14ac:dyDescent="0.2">
      <c r="A26" s="302"/>
      <c r="B26" s="20"/>
    </row>
    <row r="27" spans="1:2" x14ac:dyDescent="0.2">
      <c r="A27" s="302"/>
      <c r="B27" s="20"/>
    </row>
    <row r="28" spans="1:2" x14ac:dyDescent="0.2">
      <c r="A28" s="302"/>
      <c r="B28" s="20"/>
    </row>
    <row r="29" spans="1:2" x14ac:dyDescent="0.2">
      <c r="A29" s="302"/>
      <c r="B29" s="20"/>
    </row>
    <row r="30" spans="1:2" x14ac:dyDescent="0.2">
      <c r="A30" s="302"/>
      <c r="B30" s="20"/>
    </row>
    <row r="31" spans="1:2" x14ac:dyDescent="0.2">
      <c r="A31" s="302"/>
      <c r="B31" s="20"/>
    </row>
    <row r="32" spans="1:2" x14ac:dyDescent="0.2">
      <c r="A32" s="302"/>
      <c r="B32" s="20"/>
    </row>
    <row r="33" spans="1:2" x14ac:dyDescent="0.2">
      <c r="A33" s="302"/>
      <c r="B33" s="20"/>
    </row>
    <row r="34" spans="1:2" x14ac:dyDescent="0.2">
      <c r="A34" s="302"/>
      <c r="B34" s="20"/>
    </row>
    <row r="35" spans="1:2" x14ac:dyDescent="0.2">
      <c r="A35" s="302"/>
      <c r="B35" s="20"/>
    </row>
    <row r="36" spans="1:2" x14ac:dyDescent="0.2">
      <c r="A36" s="302"/>
      <c r="B36" s="20"/>
    </row>
    <row r="37" spans="1:2" x14ac:dyDescent="0.2">
      <c r="A37" s="302"/>
      <c r="B37" s="20"/>
    </row>
    <row r="38" spans="1:2" x14ac:dyDescent="0.2">
      <c r="A38" s="302"/>
      <c r="B38" s="20"/>
    </row>
    <row r="39" spans="1:2" x14ac:dyDescent="0.2">
      <c r="A39" s="302"/>
      <c r="B39" s="20"/>
    </row>
    <row r="40" spans="1:2" x14ac:dyDescent="0.2">
      <c r="A40" s="302"/>
      <c r="B40" s="20"/>
    </row>
    <row r="41" spans="1:2" x14ac:dyDescent="0.2">
      <c r="A41" s="302"/>
      <c r="B41" s="20"/>
    </row>
    <row r="42" spans="1:2" x14ac:dyDescent="0.2">
      <c r="A42" s="302"/>
      <c r="B42" s="20"/>
    </row>
    <row r="43" spans="1:2" x14ac:dyDescent="0.2">
      <c r="A43" s="302"/>
      <c r="B43" s="20"/>
    </row>
    <row r="44" spans="1:2" x14ac:dyDescent="0.2">
      <c r="A44" s="302"/>
      <c r="B44" s="20"/>
    </row>
    <row r="45" spans="1:2" x14ac:dyDescent="0.2">
      <c r="A45" s="302"/>
      <c r="B45" s="20"/>
    </row>
    <row r="46" spans="1:2" x14ac:dyDescent="0.2">
      <c r="A46" s="302"/>
      <c r="B46" s="20"/>
    </row>
    <row r="47" spans="1:2" x14ac:dyDescent="0.2">
      <c r="A47" s="302"/>
      <c r="B47" s="20"/>
    </row>
    <row r="48" spans="1:2" x14ac:dyDescent="0.2">
      <c r="A48" s="302"/>
      <c r="B48" s="20"/>
    </row>
    <row r="49" spans="1:2" x14ac:dyDescent="0.2">
      <c r="A49" s="302"/>
      <c r="B49" s="20"/>
    </row>
    <row r="50" spans="1:2" x14ac:dyDescent="0.2">
      <c r="A50" s="302"/>
      <c r="B50" s="20"/>
    </row>
    <row r="51" spans="1:2" x14ac:dyDescent="0.2">
      <c r="A51" s="302"/>
      <c r="B51" s="20"/>
    </row>
    <row r="52" spans="1:2" x14ac:dyDescent="0.2">
      <c r="A52" s="302"/>
      <c r="B52" s="20"/>
    </row>
    <row r="53" spans="1:2" x14ac:dyDescent="0.2">
      <c r="A53" s="302"/>
      <c r="B53" s="20"/>
    </row>
    <row r="54" spans="1:2" x14ac:dyDescent="0.2">
      <c r="A54" s="302"/>
      <c r="B54" s="20"/>
    </row>
    <row r="55" spans="1:2" x14ac:dyDescent="0.2">
      <c r="A55" s="302"/>
      <c r="B55" s="20"/>
    </row>
    <row r="56" spans="1:2" x14ac:dyDescent="0.2">
      <c r="A56" s="302"/>
      <c r="B56" s="20"/>
    </row>
    <row r="57" spans="1:2" x14ac:dyDescent="0.2">
      <c r="A57" s="302"/>
      <c r="B57" s="20"/>
    </row>
    <row r="58" spans="1:2" x14ac:dyDescent="0.2">
      <c r="A58" s="302"/>
      <c r="B58" s="20"/>
    </row>
    <row r="59" spans="1:2" x14ac:dyDescent="0.2">
      <c r="A59" s="302"/>
      <c r="B59" s="20"/>
    </row>
    <row r="60" spans="1:2" x14ac:dyDescent="0.2">
      <c r="A60" s="302"/>
      <c r="B60" s="20"/>
    </row>
    <row r="61" spans="1:2" x14ac:dyDescent="0.2">
      <c r="A61" s="302"/>
      <c r="B61" s="20"/>
    </row>
    <row r="62" spans="1:2" x14ac:dyDescent="0.2">
      <c r="A62" s="302"/>
      <c r="B62" s="20"/>
    </row>
    <row r="63" spans="1:2" x14ac:dyDescent="0.2">
      <c r="A63" s="302"/>
      <c r="B63" s="20"/>
    </row>
  </sheetData>
  <mergeCells count="1">
    <mergeCell ref="A2:B3"/>
  </mergeCells>
  <conditionalFormatting sqref="S1:S1048576 U1:U1048576">
    <cfRule type="expression" dxfId="29" priority="10">
      <formula>AND(ROW($U1)&gt;14,SUM($U1)&gt;$S1)</formula>
    </cfRule>
  </conditionalFormatting>
  <conditionalFormatting sqref="T1:T1048576 V1:V1048576">
    <cfRule type="expression" dxfId="28" priority="9">
      <formula>AND(ROW($V1)&gt;14,SUM($V1)&gt;$T1)</formula>
    </cfRule>
  </conditionalFormatting>
  <conditionalFormatting sqref="S1:T1048576 W1:Y1048576">
    <cfRule type="expression" dxfId="27" priority="12">
      <formula>(($S1-$U1)+($T1-$V1))&lt;SUM($W1:$Y1)</formula>
    </cfRule>
  </conditionalFormatting>
  <conditionalFormatting sqref="Z1:Z1048576 AB1:AB1048576">
    <cfRule type="expression" dxfId="26" priority="13">
      <formula>AND(ROW($AB1)&gt;14,SUM($AB1)&gt;$Z1)</formula>
    </cfRule>
  </conditionalFormatting>
  <conditionalFormatting sqref="AA1:AA1048576 AC1:AC1048576">
    <cfRule type="expression" dxfId="25" priority="14">
      <formula>AND(ROW($AC1)&gt;14,SUM($AC1)&gt;$AA1)</formula>
    </cfRule>
  </conditionalFormatting>
  <conditionalFormatting sqref="Z1:AA1048576 AD1:AF1048576">
    <cfRule type="expression" dxfId="24" priority="16">
      <formula>(($Z1-$AB1)+($AA1-$AC1))&lt;SUM($AD1:$AF1)</formula>
    </cfRule>
  </conditionalFormatting>
  <conditionalFormatting sqref="AG1:AG1048576 AI1:AI1048576">
    <cfRule type="expression" dxfId="23" priority="17">
      <formula>AND(ROW($AI1)&gt;14,SUM($AI1)&gt;$AG1)</formula>
    </cfRule>
  </conditionalFormatting>
  <conditionalFormatting sqref="AH1:AH1048576 AJ1:AJ1048576">
    <cfRule type="expression" dxfId="22" priority="18">
      <formula>AND(ROW($AJ1)&gt;14,SUM($AJ1)&gt;$AH1)</formula>
    </cfRule>
  </conditionalFormatting>
  <conditionalFormatting sqref="AG1:AH1048576 AK1:AM1048576">
    <cfRule type="expression" dxfId="21" priority="20">
      <formula>(($AG1-$AI1)+($AH1-$AJ1))&lt;SUM($AK1:$AM1)</formula>
    </cfRule>
  </conditionalFormatting>
  <conditionalFormatting sqref="AN1:AN1048576 AP1:AP1048576">
    <cfRule type="expression" dxfId="20" priority="21">
      <formula>AND(ROW($AP1)&gt;14,SUM($AP1)&gt;$AN1)</formula>
    </cfRule>
  </conditionalFormatting>
  <conditionalFormatting sqref="AO1:AO1048576 AQ1:AQ1048576">
    <cfRule type="expression" dxfId="19" priority="22">
      <formula>AND(ROW($AQ1)&gt;14,SUM($AQ1)&gt;$AO1)</formula>
    </cfRule>
  </conditionalFormatting>
  <conditionalFormatting sqref="AN1:AO1048576 AR1:AT1048576">
    <cfRule type="expression" dxfId="18" priority="24">
      <formula>(($AN1-$AP1)+($AO1-$AQ1))&lt;SUM($AR1:$AT1)</formula>
    </cfRule>
  </conditionalFormatting>
  <conditionalFormatting sqref="AU1:AU1048576 AW1:AW1048576">
    <cfRule type="expression" dxfId="17" priority="25">
      <formula>AND(ROW($AW1)&gt;14,SUM($AW1)&gt;$AU1)</formula>
    </cfRule>
  </conditionalFormatting>
  <conditionalFormatting sqref="AV1:AV1048576 AX1:AX1048576">
    <cfRule type="expression" dxfId="16" priority="26">
      <formula>AND(ROW($AX1)&gt;14,SUM($AX1)&gt;$AV1)</formula>
    </cfRule>
  </conditionalFormatting>
  <conditionalFormatting sqref="AU1:AV1048576 AY1:BA1048576">
    <cfRule type="expression" dxfId="15" priority="28">
      <formula>(($AU1-$AW1)+($AV1-$AX1))&lt;SUM($AY1:$BA1)</formula>
    </cfRule>
  </conditionalFormatting>
  <conditionalFormatting sqref="BB1:BB1048576 BD1:BD1048576">
    <cfRule type="expression" dxfId="14" priority="29">
      <formula>AND(ROW($BD1)&gt;14,SUM($BD1)&gt;$BB1)</formula>
    </cfRule>
  </conditionalFormatting>
  <conditionalFormatting sqref="BC1:BC1048576 BE1:BE1048576">
    <cfRule type="expression" dxfId="13" priority="30">
      <formula>AND(ROW($BE1)&gt;14,SUM($BE1)&gt;$BC1)</formula>
    </cfRule>
  </conditionalFormatting>
  <conditionalFormatting sqref="BB1:BC1048576 BF1:BH1048576">
    <cfRule type="expression" dxfId="12" priority="32">
      <formula>(($BB1-$BD1)+($BC1-$BE1))&lt;SUM($BF1:$BH1)</formula>
    </cfRule>
  </conditionalFormatting>
  <conditionalFormatting sqref="BI1:BI1048576 BK1:BK1048576">
    <cfRule type="expression" dxfId="11" priority="33">
      <formula>AND(ROW($BK1)&gt;14,SUM($BK1)&gt;$BI1)</formula>
    </cfRule>
  </conditionalFormatting>
  <conditionalFormatting sqref="BL1:BL1048576 BJ1:BJ1048576">
    <cfRule type="expression" dxfId="10" priority="34">
      <formula>AND(ROW($BL1)&gt;14,SUM($BL1)&gt;$BJ1)</formula>
    </cfRule>
  </conditionalFormatting>
  <conditionalFormatting sqref="BI1:BJ1048576 BM1:BO1048576">
    <cfRule type="expression" dxfId="9" priority="36">
      <formula>(($BI1-$BK1)+($BJ1-$BL1))&lt;SUM($BM1:$BO1)</formula>
    </cfRule>
  </conditionalFormatting>
  <conditionalFormatting sqref="BP1:BP1048576 BR1:BR1048576">
    <cfRule type="expression" dxfId="8" priority="45">
      <formula>AND(ROW($BR1)&gt;14,SUM($BR1)&gt;$BP1)</formula>
    </cfRule>
  </conditionalFormatting>
  <conditionalFormatting sqref="BQ1:BQ1048576 BS1:BS1048576">
    <cfRule type="expression" dxfId="7" priority="1135">
      <formula>AND(ROW($BS1)&gt;14,SUM($BS1)&gt;$BQ1)</formula>
    </cfRule>
  </conditionalFormatting>
  <conditionalFormatting sqref="BP1:BQ1048576 BT1:BV1048576">
    <cfRule type="expression" dxfId="6" priority="1136">
      <formula>(($BP1-$BR1)+($BQ1-$BS1))&lt;SUM($BT1:$BV1)</formula>
    </cfRule>
  </conditionalFormatting>
  <conditionalFormatting sqref="C1:D1048576 F1:F1048576">
    <cfRule type="expression" dxfId="5" priority="2">
      <formula>AND(ISNUMBER($F1),SUM($F1)&gt;$C1)</formula>
    </cfRule>
  </conditionalFormatting>
  <conditionalFormatting sqref="G1:G1048576 E1:E1048576">
    <cfRule type="expression" dxfId="4" priority="1">
      <formula>AND(ISNUMBER($G1),SUM($G1)&gt;$E1)</formula>
    </cfRule>
  </conditionalFormatting>
  <conditionalFormatting sqref="H1:J1048576 C1:E1048576">
    <cfRule type="expression" dxfId="3" priority="4">
      <formula>(($C1-$F1)+($E1-$G1))&lt;SUM($H1:$J1)</formula>
    </cfRule>
  </conditionalFormatting>
  <conditionalFormatting sqref="K1:L1048576 N1:N1048576">
    <cfRule type="expression" dxfId="2" priority="6">
      <formula>AND(ROW($N1)&gt;14,SUM($N1)&gt;$K1)</formula>
    </cfRule>
  </conditionalFormatting>
  <conditionalFormatting sqref="M1:M1048576 O1:O1048576">
    <cfRule type="expression" dxfId="1" priority="5">
      <formula>AND(ROW($O1)&gt;14,SUM($O1)&gt;$M1)</formula>
    </cfRule>
  </conditionalFormatting>
  <conditionalFormatting sqref="K1:M1048576 P1:R1048576">
    <cfRule type="expression" dxfId="0"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P:AP" display="Female, 15+ (FY24)" xr:uid="{37FA98D1-33BD-A444-97A0-A68B9AD4B59C}"/>
    <hyperlink ref="Z3" location="Cascade!AV:AV" display="Female, 15+ (FY24)" xr:uid="{C166170E-FAD7-8C4B-9B92-D03B73B0F353}"/>
    <hyperlink ref="AB3" location="KP!Z:Z" display="FSW" xr:uid="{AE125712-464A-CE49-8AE4-D446A32C3C4E}"/>
    <hyperlink ref="BR3:BV3" location="KP!AN:AN" display="FSW" xr:uid="{1B8C1FEC-5D47-C34B-95DE-D53DDC509080}"/>
    <hyperlink ref="T3" location="Cascade!AP:AP" display="Male, 15+ (FY24)" xr:uid="{F06DCFDA-0A19-634D-97ED-8F6C547DE634}"/>
    <hyperlink ref="AA3" location="Cascade!AV:AV" display="Male, 15+ (FY24)" xr:uid="{7BD444EF-467E-E94B-9D2F-3DA8EC805AEF}"/>
    <hyperlink ref="AG3" location="Cascade!BB:BB" display="Female, 15+ (FY24)" xr:uid="{6BC9F814-6722-5248-9E75-12AE0093D6EA}"/>
    <hyperlink ref="AH3" location="Cascade!BB:BB" display="Male, 15+ (FY24)" xr:uid="{194C7A63-C228-0941-B91F-DE816D723BEE}"/>
    <hyperlink ref="AN3" location="Cascade!BE:BE" display="Female, 15+ (FY24)" xr:uid="{453F390E-49DF-3343-B441-35D881A719FE}"/>
    <hyperlink ref="AO3" location="Cascade!BE:BE" display="Male, 15+ (FY24)" xr:uid="{478BF3D1-075E-0145-8D8D-5CFAEE85DAB3}"/>
    <hyperlink ref="AU3" location="HTS!AK:AK"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2023-01-31T21:44:23Z</dcterms:modified>
</cp:coreProperties>
</file>