
<file path=[Content_Types].xml><?xml version="1.0" encoding="utf-8"?>
<Types xmlns="http://schemas.openxmlformats.org/package/2006/content-types">
  <Override PartName="/xl/_rels/workbook.xml.rels" ContentType="application/vnd.openxmlformats-package.relationships+xml"/>
  <Override PartName="/xl/drawings/vmlDrawing11.vml" ContentType="application/vnd.openxmlformats-officedocument.vmlDrawing"/>
  <Override PartName="/xl/drawings/vmlDrawing10.vml" ContentType="application/vnd.openxmlformats-officedocument.vmlDrawing"/>
  <Override PartName="/xl/drawings/vmlDrawing9.vml" ContentType="application/vnd.openxmlformats-officedocument.vmlDrawing"/>
  <Override PartName="/xl/drawings/vmlDrawing7.vml" ContentType="application/vnd.openxmlformats-officedocument.vmlDrawing"/>
  <Override PartName="/xl/drawings/vmlDrawing6.vml" ContentType="application/vnd.openxmlformats-officedocument.vmlDrawing"/>
  <Override PartName="/xl/drawings/vmlDrawing1.vml" ContentType="application/vnd.openxmlformats-officedocument.vmlDrawing"/>
  <Override PartName="/xl/drawings/vmlDrawing8.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_rels/drawing1.xml.rels" ContentType="application/vnd.openxmlformats-package.relationships+xml"/>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sharedStrings.xml" ContentType="application/vnd.openxmlformats-officedocument.spreadsheetml.sharedStrings+xml"/>
  <Override PartName="/xl/worksheets/_rels/sheet18.xml.rels" ContentType="application/vnd.openxmlformats-package.relationships+xml"/>
  <Override PartName="/xl/worksheets/_rels/sheet16.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charts/chart6.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workbook.xml" ContentType="application/vnd.openxmlformats-officedocument.spreadsheetml.sheet.main+xml"/>
  <Override PartName="/xl/styles.xml" ContentType="application/vnd.openxmlformats-officedocument.spreadsheetml.styles+xml"/>
  <Override PartName="/xl/comments8.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8.xml" ContentType="application/vnd.openxmlformats-officedocument.spreadsheetml.comments+xml"/>
  <Override PartName="/xl/comments16.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ome" sheetId="1" state="visible" r:id="rId2"/>
    <sheet name="Summary" sheetId="2" state="visible" r:id="rId3"/>
    <sheet name="Spectrum" sheetId="3" state="visible" r:id="rId4"/>
    <sheet name="Prioritization" sheetId="4" state="visible" r:id="rId5"/>
    <sheet name="Cascade" sheetId="5" state="visible" r:id="rId6"/>
    <sheet name="PMTCT" sheetId="6" state="visible" r:id="rId7"/>
    <sheet name="EID" sheetId="7" state="visible" r:id="rId8"/>
    <sheet name="TB" sheetId="8" state="visible" r:id="rId9"/>
    <sheet name="VMMC" sheetId="9" state="visible" r:id="rId10"/>
    <sheet name="KP" sheetId="10" state="visible" r:id="rId11"/>
    <sheet name="HTS" sheetId="11" state="visible" r:id="rId12"/>
    <sheet name="CXCA" sheetId="12" state="visible" r:id="rId13"/>
    <sheet name="HTS_RECENT" sheetId="13" state="visible" r:id="rId14"/>
    <sheet name="TX_TB_PREV" sheetId="14" state="visible" r:id="rId15"/>
    <sheet name="PP" sheetId="15" state="visible" r:id="rId16"/>
    <sheet name="OVC" sheetId="16" state="visible" r:id="rId17"/>
    <sheet name="GEND" sheetId="17" state="visible" r:id="rId18"/>
    <sheet name="AGYW" sheetId="18" state="visible" r:id="rId19"/>
    <sheet name="PrEP" sheetId="19" state="visible" r:id="rId20"/>
    <sheet name="KP_MAT" sheetId="20" state="visible" r:id="rId21"/>
    <sheet name="KP Validation" sheetId="21" state="visible" r:id="rId22"/>
  </sheets>
  <definedNames>
    <definedName function="false" hidden="false" name="MIN_DSD" vbProcedure="false">ROUND(MAX(IF(ISNUMBER(FIND("DSD",#REF!)),#REF!)),1)</definedName>
    <definedName function="false" hidden="false" name="MIN_TA" vbProcedure="false">ROUND(MAX(IF(ISNUMBER(FIND("TA",#REF!)),#REF!)),1)</definedName>
    <definedName function="false" hidden="false" localSheetId="2" name="_xlnm._FilterDatabase" vbProcedure="false">spectrum!#ref!</definedName>
    <definedName function="false" hidden="false" localSheetId="4" name="_xlnm._FilterDatabase" vbProcedure="false">Cascade!$B$14:$CN$3876</definedName>
    <definedName function="false" hidden="false" localSheetId="5" name="_xlnm._FilterDatabase" vbProcedure="false">PMTCT!$B$14:$BB$15</definedName>
    <definedName function="false" hidden="false" localSheetId="6" name="_xlnm._FilterDatabase" vbProcedure="false">EID!$B$14:$G$15</definedName>
    <definedName function="false" hidden="false" localSheetId="7" name="_xlnm._FilterDatabase" vbProcedure="false">TB!$B$14:$U$3879</definedName>
    <definedName function="false" hidden="false" localSheetId="8" name="_xlnm._FilterDatabase" vbProcedure="false">VMMC!$B$14:$AG$15</definedName>
    <definedName function="false" hidden="false" localSheetId="9" name="_xlnm._FilterDatabase" vbProcedure="false">KP!$B$14:$K$66</definedName>
    <definedName function="false" hidden="false" localSheetId="10" name="_xlnm._FilterDatabase" vbProcedure="false">HTS!$B$14:$CC$3551</definedName>
    <definedName function="false" hidden="false" localSheetId="11" name="_xlnm._FilterDatabase" vbProcedure="false">CXCA!$C$1:$C$51</definedName>
    <definedName function="false" hidden="false" localSheetId="12" name="HTS_INDEX.share" vbProcedure="false">hts_recent!#ref!</definedName>
    <definedName function="false" hidden="false" localSheetId="12" name="HTS_TST.Distributions" vbProcedure="false">hts_recent!#ref!</definedName>
    <definedName function="false" hidden="false" localSheetId="12" name="HTS_TST.Emergency" vbProcedure="false">HTS_RECENT!$V:$W</definedName>
    <definedName function="false" hidden="false" localSheetId="12" name="HTS_TST.Emergency.Share" vbProcedure="false">hts_recent!#ref!</definedName>
    <definedName function="false" hidden="false" localSheetId="12" name="HTS_TST.Inpat" vbProcedure="false">HTS_RECENT!$R:$S</definedName>
    <definedName function="false" hidden="false" localSheetId="12" name="HTS_TST.Inpat.Share" vbProcedure="false">hts_recent!#ref!</definedName>
    <definedName function="false" hidden="false" localSheetId="12" name="HTS_TST.Linkages" vbProcedure="false">hts_recent!#ref!</definedName>
    <definedName function="false" hidden="false" localSheetId="12" name="HTS_TST.Malnutrition" vbProcedure="false">hts_recent!#ref!</definedName>
    <definedName function="false" hidden="false" localSheetId="12" name="HTS_TST.Malnutrition.Share" vbProcedure="false">hts_recent!#ref!</definedName>
    <definedName function="false" hidden="false" localSheetId="12" name="HTS_TST.MobileMod" vbProcedure="false">HTS_RECENT!$AD:$AE</definedName>
    <definedName function="false" hidden="false" localSheetId="12" name="HTS_TST.MobileMod.Share" vbProcedure="false">hts_recent!#ref!</definedName>
    <definedName function="false" hidden="false" localSheetId="12" name="HTS_TST.Other" vbProcedure="false">HTS_RECENT!$X:$Y</definedName>
    <definedName function="false" hidden="false" localSheetId="12" name="HTS_TST.Other.Share" vbProcedure="false">hts_recent!#ref!</definedName>
    <definedName function="false" hidden="false" localSheetId="12" name="HTS_TST.OtherMod" vbProcedure="false">HTS_RECENT!$AH:$AI</definedName>
    <definedName function="false" hidden="false" localSheetId="12" name="HTS_TST.OtherMod.Share" vbProcedure="false">hts_recent!#ref!</definedName>
    <definedName function="false" hidden="false" localSheetId="12" name="HTS_TST.Pediatric" vbProcedure="false">hts_recent!#ref!</definedName>
    <definedName function="false" hidden="false" localSheetId="12" name="HTS_TST.Pediatric.Share" vbProcedure="false">hts_recent!#ref!</definedName>
    <definedName function="false" hidden="false" localSheetId="12" name="HTS_TST.STIClinic" vbProcedure="false">HTS_RECENT!$T:$U</definedName>
    <definedName function="false" hidden="false" localSheetId="12" name="HTS_TST.STIClinic.Share" vbProcedure="false">hts_recent!#ref!</definedName>
    <definedName function="false" hidden="false" localSheetId="12" name="HTS_TST.VCT" vbProcedure="false">HTS_RECENT!$Z:$AA</definedName>
    <definedName function="false" hidden="false" localSheetId="12" name="HTS_TST.VCT.Share" vbProcedure="false">hts_recent!#ref!</definedName>
    <definedName function="false" hidden="false" localSheetId="12" name="HTS_TST.VCTMod" vbProcedure="false">hts_recent!#ref!</definedName>
    <definedName function="false" hidden="false" localSheetId="12" name="HTS_TST.VCTMod.Share" vbProcedure="false">hts_recent!#ref!</definedName>
    <definedName function="false" hidden="false" localSheetId="12" name="HTS_TST_POS.PMTCT" vbProcedure="false">hts_recent!#ref!</definedName>
    <definedName function="false" hidden="false" localSheetId="12" name="HTS_TST_POS.TB" vbProcedure="false">hts_recent!#ref!</definedName>
    <definedName function="false" hidden="false" localSheetId="12" name="HTS_TST_POS.VMMC" vbProcedure="false">hts_recent!#ref!</definedName>
    <definedName function="false" hidden="false" localSheetId="12" name="_xlnm._FilterDatabase" vbProcedure="false">HTS_RECENT!$B$14:$AI$3551</definedName>
    <definedName function="false" hidden="false" localSheetId="13" name="_xlnm._FilterDatabase" vbProcedure="false">TX_TB_PREV!$B$14:$Z$15</definedName>
    <definedName function="false" hidden="false" localSheetId="14" name="_xlnm._FilterDatabase" vbProcedure="false">PP!$B$14:$H$51</definedName>
    <definedName function="false" hidden="false" localSheetId="15" name="_xlnm._FilterDatabase" vbProcedure="false">OVC!$B$14:$U$1911</definedName>
    <definedName function="false" hidden="false" localSheetId="17" name="PrEP_CURR.N.Age_Sex.T" vbProcedure="false">agyw!#ref!</definedName>
    <definedName function="false" hidden="false" localSheetId="17" name="PrEP_NEW.N.Age_Sex.T" vbProcedure="false">agyw!#ref!</definedName>
    <definedName function="false" hidden="false" localSheetId="17" name="_xlnm._FilterDatabase" vbProcedure="false">AGYW!$B$14:$M$39</definedName>
    <definedName function="false" hidden="false" localSheetId="18" name="_xlnm._FilterDatabase" vbProcedure="false">PrEP!$B$14:$O$39</definedName>
    <definedName function="false" hidden="false" localSheetId="19" name="HTS_RECENT.N.KeyPop_HIVStatus.T" vbProcedure="false">kp_mat!#ref!</definedName>
    <definedName function="false" hidden="false" localSheetId="19" name="HTS_SELF.N.KeyPop.T" vbProcedure="false">kp_mat!#ref!</definedName>
    <definedName function="false" hidden="false" localSheetId="19" name="HTS_TST.N.KeyPop_Result.T.Negative" vbProcedure="false">kp_mat!#ref!</definedName>
    <definedName function="false" hidden="false" localSheetId="19" name="HTS_TST.N.KeyPop_Result.T.Positive" vbProcedure="false">kp_mat!#ref!</definedName>
    <definedName function="false" hidden="false" localSheetId="19" name="KP_MAT.N.Sex.T" vbProcedure="false">KP_MAT!$J:$J</definedName>
    <definedName function="false" hidden="false" localSheetId="19" name="KP_PREV.N.KeyPop.T" vbProcedure="false">kp_mat!#ref!</definedName>
    <definedName function="false" hidden="false" localSheetId="19" name="PrEP_CURR.N.KeyPop.T" vbProcedure="false">kp_mat!#ref!</definedName>
    <definedName function="false" hidden="false" localSheetId="19" name="PrEP_NEW.N.KeyPop.T" vbProcedure="false">kp_mat!#ref!</definedName>
    <definedName function="false" hidden="false" localSheetId="19" name="TX_CURR.N.KeyPop_HIVStatus.T" vbProcedure="false">kp_mat!#ref!</definedName>
    <definedName function="false" hidden="false" localSheetId="19" name="TX_NEW.N.KeyPop_HIVStatus.T" vbProcedure="false">kp_mat!#ref!</definedName>
    <definedName function="false" hidden="false" localSheetId="19" name="TX_PVLS.D.KeyPop_HIVStatus.T" vbProcedure="false">kp_mat!#ref!</definedName>
    <definedName function="false" hidden="false" localSheetId="19" name="TX_PVLS.N.KeyPop_HIVStatus.T" vbProcedure="false">kp_mat!#ref!</definedName>
    <definedName function="false" hidden="false" localSheetId="19" name="_xlnm._FilterDatabase" vbProcedure="false">KP_MAT!$B$14:$J$75</definedName>
    <definedName function="false" hidden="false" localSheetId="20" name="HTS_RECENT.N.KeyPop_HIVStatus.T" vbProcedure="false">'kp validation'!#ref!</definedName>
    <definedName function="false" hidden="false" localSheetId="20" name="HTS_SELF.N.KeyPop.T" vbProcedure="false">'kp validation'!#ref!</definedName>
    <definedName function="false" hidden="false" localSheetId="20" name="HTS_TST.N.KeyPop_Result.T.Negative" vbProcedure="false">'kp validation'!#ref!</definedName>
    <definedName function="false" hidden="false" localSheetId="20" name="HTS_TST.N.KeyPop_Result.T.Positive" vbProcedure="false">'kp validation'!#ref!</definedName>
    <definedName function="false" hidden="false" localSheetId="20" name="KP_MAT.N.Sex.T" vbProcedure="false">'kp validation'!#ref!</definedName>
    <definedName function="false" hidden="false" localSheetId="20" name="KP_PREV.N.KeyPop.T" vbProcedure="false">'kp validation'!#ref!</definedName>
    <definedName function="false" hidden="false" localSheetId="20" name="PrEP_CURR.N.KeyPop.T" vbProcedure="false">'kp validation'!#ref!</definedName>
    <definedName function="false" hidden="false" localSheetId="20" name="PrEP_NEW.N.KeyPop.T" vbProcedure="false">'kp validation'!#ref!</definedName>
    <definedName function="false" hidden="false" localSheetId="20" name="TX_CURR.N.KeyPop_HIVStatus.T" vbProcedure="false">'KP Validation'!$U:$U</definedName>
    <definedName function="false" hidden="false" localSheetId="20" name="TX_NEW.N.KeyPop_HIVStatus.T" vbProcedure="false">'kp validation'!#ref!</definedName>
    <definedName function="false" hidden="false" localSheetId="20" name="TX_PVLS.D.KeyPop_HIVStatus.T" vbProcedure="false">'kp validation'!#ref!</definedName>
    <definedName function="false" hidden="false" localSheetId="20" name="TX_PVLS.N.KeyPop_HIVStatus.T" vbProcedure="false">'kp validation'!#ref!</definedName>
    <definedName function="false" hidden="false" localSheetId="20" name="_xlnm._FilterDatabase" vbProcedure="false">'KP Validation'!$B$14:$BV$63</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Z3" authorId="0">
      <text>
        <r>
          <rPr>
            <sz val="10"/>
            <color rgb="FF000000"/>
            <rFont val="Tahoma"/>
            <family val="2"/>
            <charset val="1"/>
          </rPr>
          <t xml:space="preserve">This includes both HTS_TST_POS &amp; PMTCT_HEI_POS</t>
        </r>
      </text>
    </comment>
    <comment ref="AE3" authorId="0">
      <text>
        <r>
          <rPr>
            <sz val="10"/>
            <color rgb="FF000000"/>
            <rFont val="Tahoma"/>
            <family val="2"/>
            <charset val="1"/>
          </rPr>
          <t xml:space="preserve">This includes both HTS_TST_POS &amp; PMTCT_HEI_POS.</t>
        </r>
      </text>
    </comment>
    <comment ref="AJ3" authorId="0">
      <text>
        <r>
          <rPr>
            <sz val="10"/>
            <color rgb="FF000000"/>
            <rFont val="Tahoma"/>
            <family val="2"/>
            <charset val="1"/>
          </rPr>
          <t xml:space="preserve">To estimate PEPFAR's share of Host Country VLS, the Data Pack looks first at PEPFAR TX_PVLS (N) vs. Host Country PVLS. If Host Country PVLS is not provided, the Data Pack looks next at TX_CURR vs. Host Country ART.</t>
        </r>
      </text>
    </comment>
    <comment ref="AL3" authorId="0">
      <text>
        <r>
          <rPr>
            <sz val="10"/>
            <color rgb="FF000000"/>
            <rFont val="Tahoma"/>
            <family val="2"/>
            <charset val="1"/>
          </rPr>
          <t xml:space="preserve">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text>
        <r>
          <rPr>
            <b val="true"/>
            <sz val="10"/>
            <color rgb="FF000000"/>
            <rFont val="Tahoma"/>
            <family val="2"/>
            <charset val="1"/>
          </rPr>
          <t xml:space="preserve">#VALUE!</t>
        </r>
        <r>
          <rPr>
            <sz val="10"/>
            <color rgb="FF000000"/>
            <rFont val="Tahoma"/>
            <family val="2"/>
            <charset val="1"/>
          </rPr>
          <t xml:space="preserve"> - Follow hyperlink to EID tab to resolve this issue by supplying missing rates.</t>
        </r>
      </text>
    </comment>
    <comment ref="AP3" authorId="0">
      <text>
        <r>
          <rPr>
            <b val="true"/>
            <sz val="10"/>
            <color rgb="FF000000"/>
            <rFont val="Tahoma"/>
            <family val="0"/>
            <charset val="1"/>
          </rPr>
          <t xml:space="preserve">TX_PVLS:
</t>
        </r>
        <r>
          <rPr>
            <sz val="10"/>
            <color rgb="FF000000"/>
            <rFont val="Tahoma"/>
            <family val="0"/>
            <charset val="1"/>
          </rPr>
          <t xml:space="preserve">For targeting purposes, 100% of TX_PVLS will be allocated to Routine testing instead of Targeted.</t>
        </r>
      </text>
    </comment>
    <comment ref="AT3" authorId="0">
      <text>
        <r>
          <rPr>
            <sz val="10"/>
            <color rgb="FF000000"/>
            <rFont val="Tahoma"/>
            <family val="2"/>
            <charset val="1"/>
          </rPr>
          <t xml:space="preserve">Defaults to the higher of 95%, the historic PEPFAR VLS Rate, or the Host Country Estimated VLS Rate.</t>
        </r>
      </text>
    </comment>
    <comment ref="AU3" authorId="0">
      <text>
        <r>
          <rPr>
            <b val="true"/>
            <sz val="10"/>
            <color rgb="FF000000"/>
            <rFont val="Tahoma"/>
            <family val="0"/>
            <charset val="1"/>
          </rPr>
          <t xml:space="preserve">TX_PVLS:
</t>
        </r>
        <r>
          <rPr>
            <sz val="10"/>
            <color rgb="FF000000"/>
            <rFont val="Tahoma"/>
            <family val="0"/>
            <charset val="1"/>
          </rPr>
          <t xml:space="preserve">For targeting purposes, 100% of TX_PVLS will be allocated to Routine testing instead of Targeted.</t>
        </r>
      </text>
    </comment>
    <comment ref="AZ3" authorId="0">
      <text>
        <r>
          <rPr>
            <sz val="10"/>
            <color rgb="FF000000"/>
            <rFont val="Tahoma"/>
            <family val="2"/>
            <charset val="1"/>
          </rPr>
          <t xml:space="preserve">Defaults to the higher of 90%, or the Estimated Host Country Diagnosis Rate.</t>
        </r>
      </text>
    </comment>
    <comment ref="BC3" authorId="0">
      <text>
        <r>
          <rPr>
            <sz val="10"/>
            <color rgb="FF000000"/>
            <rFont val="Tahoma"/>
            <family val="2"/>
            <charset val="1"/>
          </rPr>
          <t xml:space="preserve">Defaults to the higher of 95%, the historic PEPFAR Linkage Rate, or the estimated Host Country ART initiation rate.</t>
        </r>
      </text>
    </comment>
    <comment ref="BD3" authorId="0">
      <text>
        <r>
          <rPr>
            <sz val="10"/>
            <color rgb="FF000000"/>
            <rFont val="Tahoma"/>
            <family val="2"/>
            <charset val="1"/>
          </rPr>
          <t xml:space="preserve">Per MER Guidance, must have been initiated on ART for at least 3 months to be eligible for VL Testing.</t>
        </r>
      </text>
    </comment>
    <comment ref="BH3" authorId="0">
      <text>
        <r>
          <rPr>
            <b val="true"/>
            <sz val="10"/>
            <color rgb="FF000000"/>
            <rFont val="Tahoma"/>
            <family val="2"/>
            <charset val="1"/>
          </rPr>
          <t xml:space="preserve">#VALUE!</t>
        </r>
        <r>
          <rPr>
            <sz val="10"/>
            <color rgb="FF000000"/>
            <rFont val="Tahoma"/>
            <family val="2"/>
            <charset val="1"/>
          </rPr>
          <t xml:space="preserve"> Check rates for:
- PEPFAR Contribution
- Linkage
- % New Infections Diagnosed &amp; Linked</t>
        </r>
      </text>
    </comment>
    <comment ref="BM3" authorId="0">
      <text>
        <r>
          <rPr>
            <sz val="10"/>
            <color rgb="FF000000"/>
            <rFont val="Tahoma"/>
            <family val="2"/>
            <charset val="1"/>
          </rPr>
          <t xml:space="preserve">i.e., % of ART Initiations not from RTT</t>
        </r>
      </text>
    </comment>
    <comment ref="BO3" authorId="0">
      <text>
        <r>
          <rPr>
            <sz val="10"/>
            <color rgb="FF000000"/>
            <rFont val="Tahoma"/>
            <family val="2"/>
            <charset val="1"/>
          </rPr>
          <t xml:space="preserve">Applies to both Host Country and PEPFAR models.</t>
        </r>
      </text>
    </comment>
    <comment ref="BP3" authorId="0">
      <text>
        <r>
          <rPr>
            <sz val="10"/>
            <color rgb="FF000000"/>
            <rFont val="Tahoma"/>
            <family val="2"/>
            <charset val="1"/>
          </rPr>
          <t xml:space="preserve">Applies to both Host Country and PEPFAR models.</t>
        </r>
      </text>
    </comment>
    <comment ref="BT3" authorId="0">
      <text>
        <r>
          <rPr>
            <sz val="10"/>
            <color rgb="FF000000"/>
            <rFont val="Tahoma"/>
            <family val="2"/>
            <charset val="1"/>
          </rPr>
          <t xml:space="preserve">This currently takes into account new infections but not mortality in both the numerator and denominator.</t>
        </r>
      </text>
    </comment>
    <comment ref="BU3" authorId="0">
      <text>
        <r>
          <rPr>
            <sz val="10"/>
            <color rgb="FF000000"/>
            <rFont val="Tahoma"/>
            <family val="2"/>
            <charset val="1"/>
          </rPr>
          <t xml:space="preserve">Specifically, of the prev. infected counted in TX_NEW (excluding New Infections), what % had previously been diagnosed?</t>
        </r>
      </text>
    </comment>
    <comment ref="CB3" authorId="0">
      <text>
        <r>
          <rPr>
            <b val="true"/>
            <sz val="10"/>
            <color rgb="FF000000"/>
            <rFont val="Tahoma"/>
            <family val="2"/>
            <charset val="1"/>
          </rPr>
          <t xml:space="preserve">#VALUE!: </t>
        </r>
        <r>
          <rPr>
            <sz val="10"/>
            <color rgb="FF000000"/>
            <rFont val="Tahoma"/>
            <family val="2"/>
            <charset val="1"/>
          </rPr>
          <t xml:space="preserve">Follow hyperlink and provide missing Yield and Known Positivity rates.</t>
        </r>
      </text>
    </comment>
    <comment ref="CC3" authorId="0">
      <text>
        <r>
          <rPr>
            <b val="true"/>
            <sz val="10"/>
            <color rgb="FF000000"/>
            <rFont val="Tahoma"/>
            <family val="0"/>
            <charset val="1"/>
          </rPr>
          <t xml:space="preserve">#VALUE!: </t>
        </r>
        <r>
          <rPr>
            <sz val="10"/>
            <color rgb="FF000000"/>
            <rFont val="Tahoma"/>
            <family val="0"/>
            <charset val="1"/>
          </rPr>
          <t xml:space="preserve">Follow hyperlink and provide missing Yield and Known Positivity rates.</t>
        </r>
      </text>
    </comment>
    <comment ref="CD3" authorId="0">
      <text>
        <r>
          <rPr>
            <b val="true"/>
            <sz val="10"/>
            <color rgb="FF000000"/>
            <rFont val="Tahoma"/>
            <family val="0"/>
            <charset val="1"/>
          </rPr>
          <t xml:space="preserve">#VALUE!: </t>
        </r>
        <r>
          <rPr>
            <sz val="10"/>
            <color rgb="FF000000"/>
            <rFont val="Tahoma"/>
            <family val="0"/>
            <charset val="1"/>
          </rPr>
          <t xml:space="preserve">Follow hyperlink and provide missing Yield and Known Positivity rates.</t>
        </r>
      </text>
    </comment>
    <comment ref="CE3" authorId="0">
      <text>
        <r>
          <rPr>
            <b val="true"/>
            <sz val="10"/>
            <color rgb="FF000000"/>
            <rFont val="Tahoma"/>
            <family val="0"/>
            <charset val="1"/>
          </rPr>
          <t xml:space="preserve">#VALUE!: </t>
        </r>
        <r>
          <rPr>
            <sz val="10"/>
            <color rgb="FF000000"/>
            <rFont val="Tahoma"/>
            <family val="0"/>
            <charset val="1"/>
          </rPr>
          <t xml:space="preserve">Follow hyperlink and provide missing Yield and Known Positivity rates.</t>
        </r>
      </text>
    </comment>
    <comment ref="CO3" authorId="0">
      <text>
        <r>
          <rPr>
            <b val="true"/>
            <sz val="10"/>
            <color rgb="FF000000"/>
            <rFont val="Tahoma"/>
            <family val="2"/>
            <charset val="1"/>
          </rPr>
          <t xml:space="preserve">Red highlights: </t>
        </r>
        <r>
          <rPr>
            <sz val="10"/>
            <color rgb="FF000000"/>
            <rFont val="Tahoma"/>
            <family val="2"/>
            <charset val="1"/>
          </rPr>
          <t xml:space="preserve">Information required.</t>
        </r>
      </text>
    </comment>
    <comment ref="CP3" authorId="0">
      <text>
        <r>
          <rPr>
            <b val="true"/>
            <sz val="10"/>
            <color rgb="FF000000"/>
            <rFont val="Tahoma"/>
            <family val="2"/>
            <charset val="1"/>
          </rPr>
          <t xml:space="preserve">Yellow highlights: </t>
        </r>
        <r>
          <rPr>
            <sz val="10"/>
            <color rgb="FF000000"/>
            <rFont val="Tahoma"/>
            <family val="2"/>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2"/>
            <charset val="1"/>
          </rPr>
          <t xml:space="preserve">Red highlights: </t>
        </r>
        <r>
          <rPr>
            <sz val="10"/>
            <color rgb="FF000000"/>
            <rFont val="Tahoma"/>
            <family val="2"/>
            <charset val="1"/>
          </rPr>
          <t xml:space="preserve">Information required.</t>
        </r>
      </text>
    </comment>
    <comment ref="CQ3" authorId="0">
      <text>
        <r>
          <rPr>
            <b val="true"/>
            <sz val="10"/>
            <color rgb="FF000000"/>
            <rFont val="Tahoma"/>
            <family val="0"/>
            <charset val="1"/>
          </rPr>
          <t xml:space="preserve">Yellow highlights: </t>
        </r>
        <r>
          <rPr>
            <sz val="10"/>
            <color rgb="FF000000"/>
            <rFont val="Tahoma"/>
            <family val="0"/>
            <charset val="1"/>
          </rPr>
          <t xml:space="preserve">HTS_INDEX yields &lt;20% for 15+ yr olds. Encourage testing strategies that prioritize testing among high yield populations, or work to increase yields through more refined identification methods.
</t>
        </r>
        <r>
          <rPr>
            <b val="true"/>
            <sz val="10"/>
            <color rgb="FF000000"/>
            <rFont val="Tahoma"/>
            <family val="0"/>
            <charset val="1"/>
          </rPr>
          <t xml:space="preserve">Red highlights: </t>
        </r>
        <r>
          <rPr>
            <sz val="10"/>
            <color rgb="FF000000"/>
            <rFont val="Tahoma"/>
            <family val="0"/>
            <charset val="1"/>
          </rPr>
          <t xml:space="preserve">Information required.</t>
        </r>
      </text>
    </comment>
    <comment ref="CS3" authorId="0">
      <text>
        <r>
          <rPr>
            <b val="true"/>
            <sz val="10"/>
            <color rgb="FF000000"/>
            <rFont val="Tahoma"/>
            <family val="2"/>
            <charset val="1"/>
          </rPr>
          <t xml:space="preserve">#DIV/0!
</t>
        </r>
        <r>
          <rPr>
            <sz val="10"/>
            <color rgb="FF000000"/>
            <rFont val="Tahoma"/>
            <family val="2"/>
            <charset val="1"/>
          </rPr>
          <t xml:space="preserve">If you see this displayed in the Roll-up row, filter for this error value and enter valid yield rates for HTS_INDEX to the left.</t>
        </r>
      </text>
    </comment>
    <comment ref="CU3" authorId="0">
      <text>
        <r>
          <rPr>
            <b val="true"/>
            <sz val="10"/>
            <color rgb="FF000000"/>
            <rFont val="Tahoma"/>
            <family val="2"/>
            <charset val="1"/>
          </rPr>
          <t xml:space="preserve">#DIV/0!
</t>
        </r>
        <r>
          <rPr>
            <sz val="10"/>
            <color rgb="FF000000"/>
            <rFont val="Tahoma"/>
            <family val="2"/>
            <charset val="1"/>
          </rPr>
          <t xml:space="preserve">If you see this displayed in the Roll-up row, filter for this error value and enter valid yield rates for HTS_INDEX to the left.</t>
        </r>
      </text>
    </comment>
  </commentList>
</comments>
</file>

<file path=xl/comments6.xml><?xml version="1.0" encoding="utf-8"?>
<comments xmlns="http://schemas.openxmlformats.org/spreadsheetml/2006/main" xmlns:xdr="http://schemas.openxmlformats.org/drawingml/2006/spreadsheetDrawing">
  <authors>
    <author> </author>
  </authors>
  <commentList>
    <comment ref="X3" authorId="0">
      <text>
        <r>
          <rPr>
            <b val="true"/>
            <sz val="10"/>
            <color rgb="FF000000"/>
            <rFont val="Tahoma"/>
            <family val="0"/>
            <charset val="1"/>
          </rPr>
          <t xml:space="preserve">#VALUE!:</t>
        </r>
        <r>
          <rPr>
            <sz val="10"/>
            <color rgb="FF000000"/>
            <rFont val="Tahoma"/>
            <family val="0"/>
            <charset val="1"/>
          </rPr>
          <t xml:space="preserve"> Provide missing PEPFAR contribution proportions.</t>
        </r>
      </text>
    </comment>
    <comment ref="AE3" authorId="0">
      <text>
        <r>
          <rPr>
            <b val="true"/>
            <sz val="10"/>
            <color rgb="FF000000"/>
            <rFont val="Tahoma"/>
            <family val="0"/>
            <charset val="1"/>
          </rPr>
          <t xml:space="preserve">#VALUE!:</t>
        </r>
        <r>
          <rPr>
            <sz val="10"/>
            <color rgb="FF000000"/>
            <rFont val="Tahoma"/>
            <family val="0"/>
            <charset val="1"/>
          </rPr>
          <t xml:space="preserve"> Provide missing Known Positivity (FY23) rates.</t>
        </r>
      </text>
    </comment>
    <comment ref="AF3" authorId="0">
      <text>
        <r>
          <rPr>
            <b val="true"/>
            <sz val="10"/>
            <color rgb="FF000000"/>
            <rFont val="Tahoma"/>
            <family val="0"/>
            <charset val="1"/>
          </rPr>
          <t xml:space="preserve">#VALUE!:</t>
        </r>
        <r>
          <rPr>
            <sz val="10"/>
            <color rgb="FF000000"/>
            <rFont val="Tahoma"/>
            <family val="0"/>
            <charset val="1"/>
          </rPr>
          <t xml:space="preserve"> Provide missing Yield (FY23) rates.</t>
        </r>
      </text>
    </comment>
    <comment ref="AV3" authorId="0">
      <text>
        <r>
          <rPr>
            <b val="true"/>
            <sz val="10"/>
            <color rgb="FF000000"/>
            <rFont val="Tahoma"/>
            <family val="2"/>
            <charset val="1"/>
          </rPr>
          <t xml:space="preserve">#VALUE!:</t>
        </r>
        <r>
          <rPr>
            <sz val="10"/>
            <color rgb="FF000000"/>
            <rFont val="Tahoma"/>
            <family val="2"/>
            <charset val="1"/>
          </rPr>
          <t xml:space="preserve"> Provide missing Yield (FY23) rates.</t>
        </r>
      </text>
    </comment>
  </commentList>
</comments>
</file>

<file path=xl/comments7.xml><?xml version="1.0" encoding="utf-8"?>
<comments xmlns="http://schemas.openxmlformats.org/spreadsheetml/2006/main" xmlns:xdr="http://schemas.openxmlformats.org/drawingml/2006/spreadsheetDrawing">
  <authors>
    <author> </author>
  </authors>
  <commentList>
    <comment ref="C3" authorId="0">
      <text>
        <r>
          <rPr>
            <sz val="10"/>
            <color rgb="FF000000"/>
            <rFont val="Tahoma"/>
            <family val="2"/>
            <charset val="1"/>
          </rPr>
          <t xml:space="preserve">Estimated based on total HIV positive pregnant women identified through PEPFAR PMTCT_STAT and Post ANC1 HTS_TST.</t>
        </r>
      </text>
    </comment>
    <comment ref="H1" authorId="0">
      <text>
        <r>
          <rPr>
            <sz val="10"/>
            <color rgb="FF000000"/>
            <rFont val="Tahoma"/>
            <family val="2"/>
            <charset val="1"/>
          </rPr>
          <t xml:space="preserve">Targets for PMTCT_HEI_POS are not required for target-setting, but historic data and related assumptions are used to link EID testing with TX_NEW &lt;1.</t>
        </r>
      </text>
    </comment>
    <comment ref="I3" authorId="0">
      <text>
        <r>
          <rPr>
            <b val="true"/>
            <sz val="10"/>
            <color rgb="FF000000"/>
            <rFont val="Tahoma"/>
            <family val="2"/>
            <charset val="1"/>
          </rPr>
          <t xml:space="preserve">Red highlights:</t>
        </r>
        <r>
          <rPr>
            <sz val="10"/>
            <color rgb="FF000000"/>
            <rFont val="Tahoma"/>
            <family val="2"/>
            <charset val="1"/>
          </rPr>
          <t xml:space="preserve"> Enter yields.</t>
        </r>
      </text>
    </comment>
    <comment ref="K3" authorId="0">
      <text>
        <r>
          <rPr>
            <b val="true"/>
            <sz val="10"/>
            <color rgb="FF000000"/>
            <rFont val="Tahoma"/>
            <family val="2"/>
            <charset val="1"/>
          </rPr>
          <t xml:space="preserve">Red highlights: </t>
        </r>
        <r>
          <rPr>
            <sz val="10"/>
            <color rgb="FF000000"/>
            <rFont val="Tahoma"/>
            <family val="2"/>
            <charset val="1"/>
          </rPr>
          <t xml:space="preserve">Enter yields</t>
        </r>
      </text>
    </comment>
  </commentList>
</comments>
</file>

<file path=xl/comments8.xml><?xml version="1.0" encoding="utf-8"?>
<comments xmlns="http://schemas.openxmlformats.org/spreadsheetml/2006/main" xmlns:xdr="http://schemas.openxmlformats.org/drawingml/2006/spreadsheetDrawing">
  <authors>
    <author> </author>
  </authors>
  <commentList>
    <comment ref="G3" authorId="0">
      <text>
        <r>
          <rPr>
            <sz val="10"/>
            <color rgb="FF000000"/>
            <rFont val="Tahoma"/>
            <family val="2"/>
            <charset val="1"/>
          </rPr>
          <t xml:space="preserve">Values highlighted yellow below represent estimated increases in incidence.</t>
        </r>
      </text>
    </comment>
    <comment ref="L3" authorId="0">
      <text>
        <r>
          <rPr>
            <b val="true"/>
            <sz val="10"/>
            <color rgb="FF000000"/>
            <rFont val="Tahoma"/>
            <family val="2"/>
            <charset val="1"/>
          </rPr>
          <t xml:space="preserve">Red Highlights </t>
        </r>
        <r>
          <rPr>
            <sz val="10"/>
            <color rgb="FF000000"/>
            <rFont val="Tahoma"/>
            <family val="2"/>
            <charset val="1"/>
          </rPr>
          <t xml:space="preserve">indicate either:
- Values &lt;0 or &gt;100%
- Missing rates.</t>
        </r>
      </text>
    </comment>
    <comment ref="N3" authorId="0">
      <text>
        <r>
          <rPr>
            <b val="true"/>
            <sz val="10"/>
            <color rgb="FF000000"/>
            <rFont val="Tahoma"/>
            <family val="0"/>
            <charset val="1"/>
          </rPr>
          <t xml:space="preserve">Red Highlights </t>
        </r>
        <r>
          <rPr>
            <sz val="10"/>
            <color rgb="FF000000"/>
            <rFont val="Tahoma"/>
            <family val="0"/>
            <charset val="1"/>
          </rPr>
          <t xml:space="preserve">indicate either:
- Values &lt;0 or &gt;100%
- Missing rates.</t>
        </r>
      </text>
    </comment>
    <comment ref="P3" authorId="0">
      <text>
        <r>
          <rPr>
            <b val="true"/>
            <sz val="10"/>
            <color rgb="FF000000"/>
            <rFont val="Tahoma"/>
            <family val="2"/>
            <charset val="1"/>
          </rPr>
          <t xml:space="preserve">#VALUE!:</t>
        </r>
        <r>
          <rPr>
            <sz val="10"/>
            <color rgb="FF000000"/>
            <rFont val="Tahoma"/>
            <family val="2"/>
            <charset val="1"/>
          </rPr>
          <t xml:space="preserve"> Provide missing Known Positivity (FY23) rates.</t>
        </r>
      </text>
    </comment>
    <comment ref="Q3" authorId="0">
      <text>
        <r>
          <rPr>
            <b val="true"/>
            <sz val="10"/>
            <color rgb="FF000000"/>
            <rFont val="Tahoma"/>
            <family val="2"/>
            <charset val="1"/>
          </rPr>
          <t xml:space="preserve">Yellow Highlights: </t>
        </r>
        <r>
          <rPr>
            <sz val="10"/>
            <color rgb="FF000000"/>
            <rFont val="Tahoma"/>
            <family val="2"/>
            <charset val="1"/>
          </rPr>
          <t xml:space="preserve">Increases over previous year targets.
</t>
        </r>
        <r>
          <rPr>
            <b val="true"/>
            <sz val="10"/>
            <color rgb="FF000000"/>
            <rFont val="Tahoma"/>
            <family val="2"/>
            <charset val="1"/>
          </rPr>
          <t xml:space="preserve">#VALUE!: </t>
        </r>
        <r>
          <rPr>
            <sz val="10"/>
            <color rgb="FF000000"/>
            <rFont val="Tahoma"/>
            <family val="2"/>
            <charset val="1"/>
          </rPr>
          <t xml:space="preserve">Provide missing Yield (FY23) rates.</t>
        </r>
      </text>
    </comment>
  </commentList>
</comments>
</file>

<file path=xl/comments9.xml><?xml version="1.0" encoding="utf-8"?>
<comments xmlns="http://schemas.openxmlformats.org/spreadsheetml/2006/main" xmlns:xdr="http://schemas.openxmlformats.org/drawingml/2006/spreadsheetDrawing">
  <authors>
    <author> </author>
  </authors>
  <commentList>
    <comment ref="M3" authorId="0">
      <text>
        <r>
          <rPr>
            <b val="true"/>
            <sz val="10"/>
            <color rgb="FF000000"/>
            <rFont val="Tahoma"/>
            <family val="2"/>
            <charset val="1"/>
          </rPr>
          <t xml:space="preserve">Yellow Highlights:</t>
        </r>
        <r>
          <rPr>
            <sz val="10"/>
            <color rgb="FF000000"/>
            <rFont val="Tahoma"/>
            <family val="2"/>
            <charset val="1"/>
          </rPr>
          <t xml:space="preserve"> VMMC_TOTALCIRC_SUBNAT &gt; VMMC_CIRC_SUBNAT</t>
        </r>
      </text>
    </comment>
    <comment ref="O3" authorId="0">
      <text>
        <r>
          <rPr>
            <b val="true"/>
            <sz val="10"/>
            <color rgb="FF000000"/>
            <rFont val="Tahoma"/>
            <family val="2"/>
            <charset val="1"/>
          </rPr>
          <t xml:space="preserve">Yellow Highlights:</t>
        </r>
        <r>
          <rPr>
            <sz val="10"/>
            <color rgb="FF000000"/>
            <rFont val="Tahoma"/>
            <family val="2"/>
            <charset val="1"/>
          </rPr>
          <t xml:space="preserve"> Coverage &lt;80%, or &gt;100%.</t>
        </r>
      </text>
    </comment>
    <comment ref="P3" authorId="0">
      <text>
        <r>
          <rPr>
            <b val="true"/>
            <sz val="10"/>
            <color rgb="FF000000"/>
            <rFont val="Tahoma"/>
            <family val="2"/>
            <charset val="1"/>
          </rPr>
          <t xml:space="preserve">#VALUE!:</t>
        </r>
        <r>
          <rPr>
            <sz val="10"/>
            <color rgb="FF000000"/>
            <rFont val="Tahoma"/>
            <family val="2"/>
            <charset val="1"/>
          </rPr>
          <t xml:space="preserve"> Provide missing Targeted Host Country VMMC Coverage rates.</t>
        </r>
      </text>
    </comment>
    <comment ref="X3" authorId="0">
      <text>
        <r>
          <rPr>
            <b val="true"/>
            <sz val="10"/>
            <color rgb="FF000000"/>
            <rFont val="Tahoma"/>
            <family val="0"/>
            <charset val="1"/>
          </rPr>
          <t xml:space="preserve">Red Highlights </t>
        </r>
        <r>
          <rPr>
            <sz val="10"/>
            <color rgb="FF000000"/>
            <rFont val="Tahoma"/>
            <family val="0"/>
            <charset val="1"/>
          </rPr>
          <t xml:space="preserve">indicate either:
- Values &lt;0 or &gt;100%
- Missing rates.</t>
        </r>
      </text>
    </comment>
    <comment ref="Z3" authorId="0">
      <text>
        <r>
          <rPr>
            <b val="true"/>
            <sz val="10"/>
            <color rgb="FF000000"/>
            <rFont val="Tahoma"/>
            <family val="0"/>
            <charset val="1"/>
          </rPr>
          <t xml:space="preserve">Red Highlights </t>
        </r>
        <r>
          <rPr>
            <sz val="10"/>
            <color rgb="FF000000"/>
            <rFont val="Tahoma"/>
            <family val="0"/>
            <charset val="1"/>
          </rPr>
          <t xml:space="preserve">indicate either:
- Values &lt;0 or &gt;100%
- Missing rates.
</t>
        </r>
        <r>
          <rPr>
            <b val="true"/>
            <sz val="10"/>
            <color rgb="FF000000"/>
            <rFont val="Tahoma"/>
            <family val="0"/>
            <charset val="1"/>
          </rPr>
          <t xml:space="preserve">Yellow Highlights</t>
        </r>
        <r>
          <rPr>
            <sz val="10"/>
            <color rgb="FF000000"/>
            <rFont val="Tahoma"/>
            <family val="0"/>
            <charset val="1"/>
          </rPr>
          <t xml:space="preserve"> indicate yield &gt;1%.</t>
        </r>
      </text>
    </comment>
    <comment ref="AB3" authorId="0">
      <text>
        <r>
          <rPr>
            <b val="true"/>
            <sz val="10"/>
            <color rgb="FF000000"/>
            <rFont val="Tahoma"/>
            <family val="2"/>
            <charset val="1"/>
          </rPr>
          <t xml:space="preserve">#VALUE!: </t>
        </r>
        <r>
          <rPr>
            <sz val="10"/>
            <color rgb="FF000000"/>
            <rFont val="Tahoma"/>
            <family val="2"/>
            <charset val="1"/>
          </rPr>
          <t xml:space="preserve">Provide missing Indeterminate/Not Tested (FY23) rates.</t>
        </r>
      </text>
    </comment>
    <comment ref="AC3" authorId="0">
      <text>
        <r>
          <rPr>
            <b val="true"/>
            <sz val="10"/>
            <color rgb="FF000000"/>
            <rFont val="Tahoma"/>
            <family val="0"/>
            <charset val="1"/>
          </rPr>
          <t xml:space="preserve">#VALUE!: </t>
        </r>
        <r>
          <rPr>
            <sz val="10"/>
            <color rgb="FF000000"/>
            <rFont val="Tahoma"/>
            <family val="0"/>
            <charset val="1"/>
          </rPr>
          <t xml:space="preserve">Provide missing Yield (FY23) rates.</t>
        </r>
      </text>
    </comment>
    <comment ref="AE3" authorId="0">
      <text>
        <r>
          <rPr>
            <b val="true"/>
            <sz val="10"/>
            <color rgb="FF000000"/>
            <rFont val="Tahoma"/>
            <family val="2"/>
            <charset val="1"/>
          </rPr>
          <t xml:space="preserve">Yellow Highlights</t>
        </r>
        <r>
          <rPr>
            <sz val="10"/>
            <color rgb="FF000000"/>
            <rFont val="Tahoma"/>
            <family val="2"/>
            <charset val="1"/>
          </rPr>
          <t xml:space="preserve">: Linkage &lt;95%</t>
        </r>
      </text>
    </comment>
    <comment ref="AF3" authorId="0">
      <text>
        <r>
          <rPr>
            <sz val="10"/>
            <color rgb="FF000000"/>
            <rFont val="Tahoma"/>
            <family val="2"/>
            <charset val="1"/>
          </rPr>
          <t xml:space="preserve">Not reported in DATIM, but used as internal check against TX_NEW in TX tab.</t>
        </r>
      </text>
    </comment>
  </commentList>
</comments>
</file>

<file path=xl/comments11.xml><?xml version="1.0" encoding="utf-8"?>
<comments xmlns="http://schemas.openxmlformats.org/spreadsheetml/2006/main" xmlns:xdr="http://schemas.openxmlformats.org/drawingml/2006/spreadsheetDrawing">
  <authors>
    <author> </author>
  </authors>
  <commentList>
    <comment ref="P1" authorId="0">
      <text>
        <r>
          <rPr>
            <b val="true"/>
            <sz val="10"/>
            <color rgb="FF000000"/>
            <rFont val="Tahoma"/>
            <family val="2"/>
            <charset val="1"/>
          </rPr>
          <t xml:space="preserve">Gray columns</t>
        </r>
        <r>
          <rPr>
            <sz val="10"/>
            <color rgb="FF000000"/>
            <rFont val="Tahoma"/>
            <family val="2"/>
            <charset val="1"/>
          </rPr>
          <t xml:space="preserve"> cannot be altered. Allocations are determined elsewhere, as indicated by following hyperlinks.
</t>
        </r>
        <r>
          <rPr>
            <b val="true"/>
            <sz val="10"/>
            <color rgb="FF000000"/>
            <rFont val="Tahoma"/>
            <family val="2"/>
            <charset val="1"/>
          </rPr>
          <t xml:space="preserve">Green columns</t>
        </r>
        <r>
          <rPr>
            <sz val="10"/>
            <color rgb="FF000000"/>
            <rFont val="Tahoma"/>
            <family val="2"/>
            <charset val="1"/>
          </rPr>
          <t xml:space="preserve"> can and should be altered. Initial percentages are based on most recent APR results.</t>
        </r>
      </text>
    </comment>
    <comment ref="AF3" authorId="0">
      <text>
        <r>
          <rPr>
            <sz val="10"/>
            <color rgb="FF000000"/>
            <rFont val="Tahoma"/>
            <family val="2"/>
            <charset val="1"/>
          </rPr>
          <t xml:space="preserve">Where ART Coverage is greater than 80%, do not set targets for the Community - Other modality. Cases where this guidance is disregarded will be highlighted yellow below.</t>
        </r>
      </text>
    </comment>
    <comment ref="AG3" authorId="0">
      <text>
        <r>
          <rPr>
            <b val="true"/>
            <sz val="10"/>
            <color rgb="FF000000"/>
            <rFont val="Tahoma"/>
            <family val="2"/>
            <charset val="1"/>
          </rPr>
          <t xml:space="preserve">Red Highlights</t>
        </r>
        <r>
          <rPr>
            <sz val="10"/>
            <color rgb="FF000000"/>
            <rFont val="Tahoma"/>
            <family val="2"/>
            <charset val="1"/>
          </rPr>
          <t xml:space="preserve"> below indicate cases where HTS_TST_POS is either over- or under-distributed to modalities. Filter on these cases and address by reallocating among modalities as appropriate.</t>
        </r>
      </text>
    </comment>
    <comment ref="AH3" authorId="0">
      <text>
        <r>
          <rPr>
            <b val="true"/>
            <sz val="10"/>
            <color rgb="FF000000"/>
            <rFont val="Tahoma"/>
            <family val="0"/>
            <charset val="1"/>
          </rPr>
          <t xml:space="preserve">Yellow Highlights</t>
        </r>
        <r>
          <rPr>
            <sz val="10"/>
            <color rgb="FF000000"/>
            <rFont val="Tahoma"/>
            <family val="0"/>
            <charset val="1"/>
          </rPr>
          <t xml:space="preserve"> indicate either:
- ART Coverage ≥70% &amp; Yield &lt;10%
- ART Coverage &lt;70% &amp; Yield &lt;5%</t>
        </r>
      </text>
    </comment>
    <comment ref="AJ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M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P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Q3" authorId="0">
      <text>
        <r>
          <rPr>
            <b val="true"/>
            <sz val="10"/>
            <color rgb="FF000000"/>
            <rFont val="Tahoma"/>
            <family val="0"/>
            <charset val="1"/>
          </rPr>
          <t xml:space="preserve">Yellow Highlights</t>
        </r>
        <r>
          <rPr>
            <sz val="10"/>
            <color rgb="FF000000"/>
            <rFont val="Tahoma"/>
            <family val="0"/>
            <charset val="1"/>
          </rPr>
          <t xml:space="preserve"> indicate either:
- ART Coverage ≥70% &amp; Yield &lt;10%
- ART Coverage &lt;70% &amp; Yield &lt;5%</t>
        </r>
      </text>
    </comment>
    <comment ref="AS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T3" authorId="0">
      <text>
        <r>
          <rPr>
            <b val="true"/>
            <sz val="10"/>
            <color rgb="FF000000"/>
            <rFont val="Tahoma"/>
            <family val="0"/>
            <charset val="1"/>
          </rPr>
          <t xml:space="preserve">Yellow Highlights</t>
        </r>
        <r>
          <rPr>
            <sz val="10"/>
            <color rgb="FF000000"/>
            <rFont val="Tahoma"/>
            <family val="0"/>
            <charset val="1"/>
          </rPr>
          <t xml:space="preserve"> indicate either:
- ART Coverage ≥70% &amp; Yield &lt;10%
- ART Coverage &lt;70% &amp; Yield &lt;5%</t>
        </r>
      </text>
    </comment>
    <comment ref="AV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AW3" authorId="0">
      <text>
        <r>
          <rPr>
            <b val="true"/>
            <sz val="10"/>
            <color rgb="FF000000"/>
            <rFont val="Tahoma"/>
            <family val="0"/>
            <charset val="1"/>
          </rPr>
          <t xml:space="preserve">Yellow Highlights</t>
        </r>
        <r>
          <rPr>
            <sz val="10"/>
            <color rgb="FF000000"/>
            <rFont val="Tahoma"/>
            <family val="0"/>
            <charset val="1"/>
          </rPr>
          <t xml:space="preserve"> indicate either:
- ART Coverage ≥70% &amp; Yield &lt;10%
- ART Coverage &lt;70% &amp; Yield &lt;5%</t>
        </r>
      </text>
    </comment>
    <comment ref="AY4" authorId="0">
      <text>
        <r>
          <rPr>
            <b val="true"/>
            <sz val="10"/>
            <color rgb="FF000000"/>
            <rFont val="Tahoma"/>
            <family val="2"/>
            <charset val="1"/>
          </rPr>
          <t xml:space="preserve">#DIV/0!: </t>
        </r>
        <r>
          <rPr>
            <sz val="10"/>
            <color rgb="FF000000"/>
            <rFont val="Tahoma"/>
            <family val="2"/>
            <charset val="1"/>
          </rPr>
          <t xml:space="preserve">If you see this here, check yields.</t>
        </r>
      </text>
    </comment>
    <comment ref="AZ3" authorId="0">
      <text>
        <r>
          <rPr>
            <b val="true"/>
            <sz val="10"/>
            <color rgb="FF000000"/>
            <rFont val="Tahoma"/>
            <family val="0"/>
            <charset val="1"/>
          </rPr>
          <t xml:space="preserve">Yellow Highlights</t>
        </r>
        <r>
          <rPr>
            <sz val="10"/>
            <color rgb="FF000000"/>
            <rFont val="Tahoma"/>
            <family val="0"/>
            <charset val="1"/>
          </rPr>
          <t xml:space="preserve"> indicate either:
- ART Coverage ≥70% &amp; Yield &lt;10%
- ART Coverage &lt;70% &amp; Yield &lt;5%</t>
        </r>
      </text>
    </comment>
    <comment ref="BB4" authorId="0">
      <text>
        <r>
          <rPr>
            <b val="true"/>
            <sz val="10"/>
            <color rgb="FF000000"/>
            <rFont val="Tahoma"/>
            <family val="2"/>
            <charset val="1"/>
          </rPr>
          <t xml:space="preserve">#DIV/0!: </t>
        </r>
        <r>
          <rPr>
            <sz val="10"/>
            <color rgb="FF000000"/>
            <rFont val="Tahoma"/>
            <family val="2"/>
            <charset val="1"/>
          </rPr>
          <t xml:space="preserve">If you see this here, check yields.</t>
        </r>
      </text>
    </comment>
    <comment ref="BC3" authorId="0">
      <text>
        <r>
          <rPr>
            <b val="true"/>
            <sz val="10"/>
            <color rgb="FF000000"/>
            <rFont val="Tahoma"/>
            <family val="2"/>
            <charset val="1"/>
          </rPr>
          <t xml:space="preserve">Yellow Highlights</t>
        </r>
        <r>
          <rPr>
            <sz val="10"/>
            <color rgb="FF000000"/>
            <rFont val="Tahoma"/>
            <family val="2"/>
            <charset val="1"/>
          </rPr>
          <t xml:space="preserve"> indicate either:
- ART Coverage ≥70% &amp; Yield &lt;10%
- ART Coverage &lt;70% &amp; Yield &lt;5%</t>
        </r>
      </text>
    </comment>
    <comment ref="BH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M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N3" authorId="0">
      <text>
        <r>
          <rPr>
            <sz val="10"/>
            <color rgb="FF000000"/>
            <rFont val="Tahoma"/>
            <family val="0"/>
            <charset val="1"/>
          </rPr>
          <t xml:space="preserve">Where ART Coverage is greater than 80%, do not set targets for the Community - Other modality. Cases where this guidance is disregarded will be highlighted yellow below.</t>
        </r>
      </text>
    </comment>
    <comment ref="BN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P3" authorId="0">
      <text>
        <r>
          <rPr>
            <sz val="10"/>
            <color rgb="FF000000"/>
            <rFont val="Tahoma"/>
            <family val="2"/>
            <charset val="1"/>
          </rPr>
          <t xml:space="preserve">Inclusive of PMTCT_STAT, HTS PMTCT Post ANC1, TB, VMMC, INDEX, and all other modalities.</t>
        </r>
      </text>
    </comment>
    <comment ref="BQ3" authorId="0">
      <text>
        <r>
          <rPr>
            <sz val="10"/>
            <color rgb="FF000000"/>
            <rFont val="Tahoma"/>
            <family val="2"/>
            <charset val="1"/>
          </rPr>
          <t xml:space="preserve">Small differences may be acceptable. For larger discrepancies, return to the "Distribution of Positive Tests" section and adjust distribution percentages.</t>
        </r>
      </text>
    </comment>
    <comment ref="BY3" authorId="0">
      <text>
        <r>
          <rPr>
            <sz val="10"/>
            <color rgb="FF000000"/>
            <rFont val="Tahoma"/>
            <family val="2"/>
            <charset val="1"/>
          </rPr>
          <t xml:space="preserve">Inclusive of PMTCT_STAT, HTS PMTCT Post ANC1, TB, VMMC, INDEX, and all other modalities.</t>
        </r>
      </text>
    </comment>
    <comment ref="BY4" authorId="0">
      <text>
        <r>
          <rPr>
            <b val="true"/>
            <sz val="10"/>
            <color rgb="FF000000"/>
            <rFont val="Tahoma"/>
            <family val="0"/>
            <charset val="1"/>
          </rPr>
          <t xml:space="preserve">#DIV/0!: </t>
        </r>
        <r>
          <rPr>
            <sz val="10"/>
            <color rgb="FF000000"/>
            <rFont val="Tahoma"/>
            <family val="0"/>
            <charset val="1"/>
          </rPr>
          <t xml:space="preserve">If you see this here, check yields.</t>
        </r>
      </text>
    </comment>
    <comment ref="BZ3" authorId="0">
      <text>
        <r>
          <rPr>
            <sz val="10"/>
            <color rgb="FF000000"/>
            <rFont val="Tahoma"/>
            <family val="0"/>
            <charset val="1"/>
          </rPr>
          <t xml:space="preserve">Total Positives divided by Total Tests.</t>
        </r>
      </text>
    </comment>
    <comment ref="CC3" authorId="0">
      <text>
        <r>
          <rPr>
            <sz val="10"/>
            <color rgb="FF000000"/>
            <rFont val="Tahoma"/>
            <family val="0"/>
            <charset val="1"/>
          </rPr>
          <t xml:space="preserve">If HTS_SELF was not reported or performed previously, but will be in upcoming targets, set manually below.</t>
        </r>
      </text>
    </comment>
  </commentList>
</comments>
</file>

<file path=xl/comments12.xml><?xml version="1.0" encoding="utf-8"?>
<comments xmlns="http://schemas.openxmlformats.org/spreadsheetml/2006/main" xmlns:xdr="http://schemas.openxmlformats.org/drawingml/2006/spreadsheetDrawing">
  <authors>
    <author> </author>
  </authors>
  <commentList>
    <comment ref="J3" authorId="0">
      <text>
        <r>
          <rPr>
            <b val="true"/>
            <sz val="10"/>
            <color rgb="FF000000"/>
            <rFont val="Tahoma"/>
            <family val="2"/>
            <charset val="1"/>
          </rPr>
          <t xml:space="preserve">Yellow highlights = </t>
        </r>
        <r>
          <rPr>
            <sz val="10"/>
            <color rgb="FF000000"/>
            <rFont val="Tahoma"/>
            <family val="2"/>
            <charset val="1"/>
          </rPr>
          <t xml:space="preserve">Screening coverage rate is less than 50%.</t>
        </r>
      </text>
    </comment>
  </commentList>
</comments>
</file>

<file path=xl/comments13.xml><?xml version="1.0" encoding="utf-8"?>
<comments xmlns="http://schemas.openxmlformats.org/spreadsheetml/2006/main" xmlns:xdr="http://schemas.openxmlformats.org/drawingml/2006/spreadsheetDrawing">
  <authors>
    <author> </author>
  </authors>
  <commentList>
    <comment ref="AL3" authorId="0">
      <text>
        <r>
          <rPr>
            <b val="true"/>
            <sz val="10"/>
            <color rgb="FF000000"/>
            <rFont val="Tahoma"/>
            <family val="2"/>
            <charset val="1"/>
          </rPr>
          <t xml:space="preserve">Red highlights </t>
        </r>
        <r>
          <rPr>
            <sz val="10"/>
            <color rgb="FF000000"/>
            <rFont val="Tahoma"/>
            <family val="2"/>
            <charset val="1"/>
          </rPr>
          <t xml:space="preserve">= Coverage rate &gt;100%
</t>
        </r>
        <r>
          <rPr>
            <b val="true"/>
            <sz val="10"/>
            <color rgb="FF000000"/>
            <rFont val="Tahoma"/>
            <family val="2"/>
            <charset val="1"/>
          </rPr>
          <t xml:space="preserve">Yellow highlights </t>
        </r>
        <r>
          <rPr>
            <sz val="10"/>
            <color rgb="FF000000"/>
            <rFont val="Tahoma"/>
            <family val="2"/>
            <charset val="1"/>
          </rPr>
          <t xml:space="preserve">= Coverage rate &lt; 100%</t>
        </r>
      </text>
    </comment>
  </commentList>
</comments>
</file>

<file path=xl/comments14.xml><?xml version="1.0" encoding="utf-8"?>
<comments xmlns="http://schemas.openxmlformats.org/spreadsheetml/2006/main" xmlns:xdr="http://schemas.openxmlformats.org/drawingml/2006/spreadsheetDrawing">
  <authors>
    <author> </author>
  </authors>
  <commentList>
    <comment ref="H3" authorId="0">
      <text>
        <r>
          <rPr>
            <sz val="10"/>
            <color rgb="FF000000"/>
            <rFont val="Tahoma"/>
            <family val="0"/>
            <charset val="1"/>
          </rPr>
          <t xml:space="preserve">Red highlights indicate cases where coverage rates are missing, but required.</t>
        </r>
      </text>
    </comment>
    <comment ref="I3" authorId="0">
      <text>
        <r>
          <rPr>
            <sz val="10"/>
            <color rgb="FF000000"/>
            <rFont val="Tahoma"/>
            <family val="0"/>
            <charset val="1"/>
          </rPr>
          <t xml:space="preserve">Red highlights indicate cases where coverage rates are missing, but required.</t>
        </r>
      </text>
    </comment>
    <comment ref="J3" authorId="0">
      <text>
        <r>
          <rPr>
            <sz val="10"/>
            <color rgb="FF000000"/>
            <rFont val="Tahoma"/>
            <family val="0"/>
            <charset val="1"/>
          </rPr>
          <t xml:space="preserve">Red highlights indicate cases where yields are missing, but required.</t>
        </r>
      </text>
    </comment>
    <comment ref="K3" authorId="0">
      <text>
        <r>
          <rPr>
            <sz val="10"/>
            <color rgb="FF000000"/>
            <rFont val="Tahoma"/>
            <family val="2"/>
            <charset val="1"/>
          </rPr>
          <t xml:space="preserve">Red highlights indicate cases where yields are missing, but required.</t>
        </r>
      </text>
    </comment>
    <comment ref="P3" authorId="0">
      <text>
        <r>
          <rPr>
            <sz val="10"/>
            <color rgb="FF000000"/>
            <rFont val="Tahoma"/>
            <family val="2"/>
            <charset val="1"/>
          </rPr>
          <t xml:space="preserve">Taken from TB_PREV (N) Results.</t>
        </r>
      </text>
    </comment>
    <comment ref="T3" authorId="0">
      <text>
        <r>
          <rPr>
            <sz val="10"/>
            <color rgb="FF000000"/>
            <rFont val="Tahoma"/>
            <family val="2"/>
            <charset val="1"/>
          </rPr>
          <t xml:space="preserve">TX_TB (D) Screen Neg., Already on ART who have not completed TPT. This excludes those who have completed TPT in the last six FYs.</t>
        </r>
      </text>
    </comment>
  </commentList>
</comments>
</file>

<file path=xl/comments16.xml><?xml version="1.0" encoding="utf-8"?>
<comments xmlns="http://schemas.openxmlformats.org/spreadsheetml/2006/main" xmlns:xdr="http://schemas.openxmlformats.org/drawingml/2006/spreadsheetDrawing">
  <authors>
    <author> </author>
  </authors>
  <commentList>
    <comment ref="N3" authorId="0">
      <text>
        <r>
          <rPr>
            <sz val="10"/>
            <color rgb="FF000000"/>
            <rFont val="Tahoma"/>
            <family val="2"/>
            <charset val="1"/>
          </rPr>
          <t xml:space="preserve">Does not include Exited or Transferred Out in Denominator.
</t>
        </r>
        <r>
          <rPr>
            <b val="true"/>
            <sz val="10"/>
            <color rgb="FF000000"/>
            <rFont val="Tahoma"/>
            <family val="2"/>
            <charset val="1"/>
          </rPr>
          <t xml:space="preserve">Yellow Highlights</t>
        </r>
        <r>
          <rPr>
            <sz val="10"/>
            <color rgb="FF000000"/>
            <rFont val="Tahoma"/>
            <family val="2"/>
            <charset val="1"/>
          </rPr>
          <t xml:space="preserve"> indicate graduation rates &lt;20%.</t>
        </r>
      </text>
    </comment>
    <comment ref="T3" authorId="0">
      <text>
        <r>
          <rPr>
            <b val="true"/>
            <sz val="10"/>
            <color rgb="FF000000"/>
            <rFont val="Tahoma"/>
            <family val="2"/>
            <charset val="1"/>
          </rPr>
          <t xml:space="preserve">Yellow Highlights</t>
        </r>
        <r>
          <rPr>
            <sz val="10"/>
            <color rgb="FF000000"/>
            <rFont val="Tahoma"/>
            <family val="2"/>
            <charset val="1"/>
          </rPr>
          <t xml:space="preserve"> indicate rates below &lt;100%.</t>
        </r>
      </text>
    </comment>
    <comment ref="U3" authorId="0">
      <text>
        <r>
          <rPr>
            <sz val="10"/>
            <color rgb="FF000000"/>
            <rFont val="Tahoma"/>
            <family val="2"/>
            <charset val="1"/>
          </rPr>
          <t xml:space="preserve">OVC_HIVSTAT will be aggregated across Age/Sex and only a numerator total will be imported into DATIM.</t>
        </r>
      </text>
    </comment>
  </commentList>
</comments>
</file>

<file path=xl/comments18.xml><?xml version="1.0" encoding="utf-8"?>
<comments xmlns="http://schemas.openxmlformats.org/spreadsheetml/2006/main" xmlns:xdr="http://schemas.openxmlformats.org/drawingml/2006/spreadsheetDrawing">
  <authors>
    <author> </author>
  </authors>
  <commentList>
    <comment ref="S3" authorId="0">
      <text>
        <r>
          <rPr>
            <b val="true"/>
            <sz val="10"/>
            <color rgb="FF000000"/>
            <rFont val="Tahoma"/>
            <family val="2"/>
            <charset val="1"/>
          </rPr>
          <t xml:space="preserve">Yellow Highlights</t>
        </r>
        <r>
          <rPr>
            <sz val="10"/>
            <color rgb="FF000000"/>
            <rFont val="Tahoma"/>
            <family val="2"/>
            <charset val="1"/>
          </rPr>
          <t xml:space="preserve"> indicate rates &lt;60%.</t>
        </r>
      </text>
    </comment>
    <comment ref="V3" authorId="0">
      <text>
        <r>
          <rPr>
            <b val="true"/>
            <sz val="10"/>
            <color rgb="FF000000"/>
            <rFont val="Tahoma"/>
            <family val="2"/>
            <charset val="1"/>
          </rPr>
          <t xml:space="preserve">Red Highlights</t>
        </r>
        <r>
          <rPr>
            <sz val="10"/>
            <color rgb="FF000000"/>
            <rFont val="Tahoma"/>
            <family val="2"/>
            <charset val="1"/>
          </rPr>
          <t xml:space="preserve"> indicate Numerator greater than Denominator.</t>
        </r>
      </text>
    </comment>
  </commentList>
</comments>
</file>

<file path=xl/sharedStrings.xml><?xml version="1.0" encoding="utf-8"?>
<sst xmlns="http://schemas.openxmlformats.org/spreadsheetml/2006/main" count="4645" uniqueCount="1228">
  <si>
    <t xml:space="preserve">PEPFAR</t>
  </si>
  <si>
    <t xml:space="preserve">COP22 Data Pack</t>
  </si>
  <si>
    <t xml:space="preserve">Lesotho</t>
  </si>
  <si>
    <t xml:space="preserve">qllxzIjjurr</t>
  </si>
  <si>
    <t xml:space="preserve">Generated on: 2022-01-21 12:35:25</t>
  </si>
  <si>
    <t xml:space="preserve">Package version: 5.1.0</t>
  </si>
  <si>
    <t xml:space="preserve">Data Pack</t>
  </si>
  <si>
    <t xml:space="preserve">COP 22</t>
  </si>
  <si>
    <t xml:space="preserve">Host Country Overview</t>
  </si>
  <si>
    <t xml:space="preserve">Projected FY22 Host Country ART Coverage</t>
  </si>
  <si>
    <t xml:space="preserve">Projected FY22 Host Country Total on ART</t>
  </si>
  <si>
    <t xml:space="preserve">Targeted FY23 PEPFAR TX_CURR</t>
  </si>
  <si>
    <t xml:space="preserve">Projected FY22 Host Country HIV Prevalence</t>
  </si>
  <si>
    <t xml:space="preserve">PEPFAR FY22 Target Overview</t>
  </si>
  <si>
    <t xml:space="preserve">(FY22)</t>
  </si>
  <si>
    <t xml:space="preserve">(FY23)</t>
  </si>
  <si>
    <t xml:space="preserve">PLHIV</t>
  </si>
  <si>
    <t xml:space="preserve">DIAGNOSED_SUBNAT</t>
  </si>
  <si>
    <t xml:space="preserve">TX_CURR_SUBNAT</t>
  </si>
  <si>
    <t xml:space="preserve">VL_SUPPRESSION_SUBNAT</t>
  </si>
  <si>
    <t xml:space="preserve">&lt;15</t>
  </si>
  <si>
    <t xml:space="preserve">Females, 15+</t>
  </si>
  <si>
    <t xml:space="preserve">Males, 15+</t>
  </si>
  <si>
    <t xml:space="preserve">HTS_TST</t>
  </si>
  <si>
    <t xml:space="preserve">HTS_TST_POS</t>
  </si>
  <si>
    <t xml:space="preserve">TX_NEW</t>
  </si>
  <si>
    <t xml:space="preserve">TX_CURR</t>
  </si>
  <si>
    <t xml:space="preserve">TX_PVLS (D)</t>
  </si>
  <si>
    <t xml:space="preserve">TX_PVLS (N)</t>
  </si>
  <si>
    <t xml:space="preserve">psnu</t>
  </si>
  <si>
    <t xml:space="preserve">psnu_uid</t>
  </si>
  <si>
    <t xml:space="preserve">area_id</t>
  </si>
  <si>
    <t xml:space="preserve">indicator_code</t>
  </si>
  <si>
    <t xml:space="preserve">dataelement_uid</t>
  </si>
  <si>
    <t xml:space="preserve">age</t>
  </si>
  <si>
    <t xml:space="preserve">age_uid</t>
  </si>
  <si>
    <t xml:space="preserve">sex</t>
  </si>
  <si>
    <t xml:space="preserve">sex_uid</t>
  </si>
  <si>
    <t xml:space="preserve">calendar_quarter</t>
  </si>
  <si>
    <t xml:space="preserve">value</t>
  </si>
  <si>
    <t xml:space="preserve">age_sex_rse</t>
  </si>
  <si>
    <t xml:space="preserve">district_rse</t>
  </si>
  <si>
    <t xml:space="preserve">ID</t>
  </si>
  <si>
    <t xml:space="preserve">Select cell D2</t>
  </si>
  <si>
    <t xml:space="preserve">--&gt;</t>
  </si>
  <si>
    <t xml:space="preserve">Maseru</t>
  </si>
  <si>
    <t xml:space="preserve">tKOXiaNhAyJ</t>
  </si>
  <si>
    <t xml:space="preserve">LSO_1_1</t>
  </si>
  <si>
    <t xml:space="preserve">TX_CURR_SUBNAT.R</t>
  </si>
  <si>
    <t xml:space="preserve">MktYDp33kd6</t>
  </si>
  <si>
    <t xml:space="preserve">=""&lt;01""</t>
  </si>
  <si>
    <t xml:space="preserve">sMBMO5xAq5T</t>
  </si>
  <si>
    <t xml:space="preserve">Female</t>
  </si>
  <si>
    <t xml:space="preserve">Z1EnpTPaUfq</t>
  </si>
  <si>
    <t xml:space="preserve">CY2021Q4</t>
  </si>
  <si>
    <t xml:space="preserve">=""01-04""</t>
  </si>
  <si>
    <t xml:space="preserve">VHpjs9qdLFF</t>
  </si>
  <si>
    <t xml:space="preserve">Adding Estimates from Spectrum</t>
  </si>
  <si>
    <t xml:space="preserve">=""05-09""</t>
  </si>
  <si>
    <t xml:space="preserve">eQG9DwiqSQR</t>
  </si>
  <si>
    <t xml:space="preserve">Follow the below instructions to successfully import Spectrum estimates into your Data Pack:</t>
  </si>
  <si>
    <t xml:space="preserve">1) Select cell D2.</t>
  </si>
  <si>
    <t xml:space="preserve">2) In the Excel ribbon above, select Data &gt; From Text to open the Data Import Wizard.</t>
  </si>
  <si>
    <t xml:space="preserve">3) Select the file created in and exported from Spectrum.</t>
  </si>
  <si>
    <t xml:space="preserve">4) In Step 1 of the Text Import Wizard, select `Delimited` for the Data Type, and start import at row 2. Click `Next`.</t>
  </si>
  <si>
    <t xml:space="preserve">5) In Step 2 of the Text Import Wizard, select `Comma` as Delimiter Type. Click `Next`.</t>
  </si>
  <si>
    <t xml:space="preserve">6) In Step 3 of the Text Import Wizard, click `Finish`.</t>
  </si>
  <si>
    <t xml:space="preserve">7) In the next prompt, click `Ok`.</t>
  </si>
  <si>
    <t xml:space="preserve">8) In column Q, drag formulas down to extend to last row of Spectrum import file.</t>
  </si>
  <si>
    <t xml:space="preserve">Prioritization</t>
  </si>
  <si>
    <t xml:space="preserve">Reference</t>
  </si>
  <si>
    <t xml:space="preserve">Targets</t>
  </si>
  <si>
    <t xml:space="preserve">SNU Prioritization (FY22)</t>
  </si>
  <si>
    <t xml:space="preserve">SNU Prioritization (FY23)</t>
  </si>
  <si>
    <t xml:space="preserve">FY23 SNU Prioritization Translation</t>
  </si>
  <si>
    <t xml:space="preserve">Roll-up</t>
  </si>
  <si>
    <t xml:space="preserve">datapack</t>
  </si>
  <si>
    <t xml:space="preserve">impatt</t>
  </si>
  <si>
    <t xml:space="preserve">row_header</t>
  </si>
  <si>
    <t xml:space="preserve">past</t>
  </si>
  <si>
    <t xml:space="preserve">target</t>
  </si>
  <si>
    <t xml:space="preserve">reference</t>
  </si>
  <si>
    <t xml:space="preserve">string</t>
  </si>
  <si>
    <t xml:space="preserve">integer</t>
  </si>
  <si>
    <t xml:space="preserve">r4zbW3owX9n</t>
  </si>
  <si>
    <t xml:space="preserve">SNU1</t>
  </si>
  <si>
    <t xml:space="preserve">PSNU</t>
  </si>
  <si>
    <t xml:space="preserve">IMPATT.PRIORITY_SNU.T_1</t>
  </si>
  <si>
    <t xml:space="preserve">IMPATT.PRIORITY_SNU.T</t>
  </si>
  <si>
    <t xml:space="preserve">PRIORITY_SNU.translation</t>
  </si>
  <si>
    <t xml:space="preserve">Maseru [#SNU] [#DREAMS] [tKOXiaNhAyJ]</t>
  </si>
  <si>
    <t xml:space="preserve">Cascade</t>
  </si>
  <si>
    <t xml:space="preserve">Host Country Context</t>
  </si>
  <si>
    <t xml:space="preserve">PEPFAR FY21 Cascade (Observed)</t>
  </si>
  <si>
    <t xml:space="preserve">PEPFAR FY22 Cascade (Planned)</t>
  </si>
  <si>
    <t xml:space="preserve">VLT Coverage</t>
  </si>
  <si>
    <t xml:space="preserve">PEPFAR Testing</t>
  </si>
  <si>
    <t xml:space="preserve">Testing Reference Distribution</t>
  </si>
  <si>
    <t xml:space="preserve">HTS_INDEX</t>
  </si>
  <si>
    <r>
      <rPr>
        <b val="true"/>
        <u val="single"/>
        <sz val="12"/>
        <color rgb="FF000000"/>
        <rFont val="Calibri (Body)"/>
        <family val="0"/>
        <charset val="1"/>
      </rPr>
      <t xml:space="preserve">KEY:
</t>
    </r>
    <r>
      <rPr>
        <sz val="12"/>
        <color rgb="FF000000"/>
        <rFont val="Calibri (Body)"/>
        <family val="0"/>
        <charset val="1"/>
      </rPr>
      <t xml:space="preserve">- </t>
    </r>
    <r>
      <rPr>
        <u val="single"/>
        <sz val="12"/>
        <color rgb="FF000000"/>
        <rFont val="Calibri (Body)"/>
        <family val="0"/>
        <charset val="1"/>
      </rPr>
      <t xml:space="preserve">Est.</t>
    </r>
    <r>
      <rPr>
        <sz val="12"/>
        <color rgb="FF000000"/>
        <rFont val="Calibri (Body)"/>
        <family val="0"/>
        <charset val="1"/>
      </rPr>
      <t xml:space="preserve">: Estimated
- </t>
    </r>
    <r>
      <rPr>
        <u val="single"/>
        <sz val="12"/>
        <color rgb="FF000000"/>
        <rFont val="Calibri (Body)"/>
        <family val="0"/>
        <charset val="1"/>
      </rPr>
      <t xml:space="preserve">H.C.:</t>
    </r>
    <r>
      <rPr>
        <sz val="12"/>
        <color rgb="FF000000"/>
        <rFont val="Calibri (Body)"/>
        <family val="0"/>
        <charset val="1"/>
      </rPr>
      <t xml:space="preserve"> Host Country
- </t>
    </r>
    <r>
      <rPr>
        <u val="single"/>
        <sz val="12"/>
        <color rgb="FF000000"/>
        <rFont val="Calibri (Body)"/>
        <family val="0"/>
        <charset val="1"/>
      </rPr>
      <t xml:space="preserve">Prev.:</t>
    </r>
    <r>
      <rPr>
        <sz val="12"/>
        <color rgb="FF000000"/>
        <rFont val="Calibri (Body)"/>
        <family val="0"/>
        <charset val="1"/>
      </rPr>
      <t xml:space="preserve"> Previously
- </t>
    </r>
    <r>
      <rPr>
        <u val="single"/>
        <sz val="12"/>
        <color rgb="FF000000"/>
        <rFont val="Calibri (Body)"/>
        <family val="0"/>
        <charset val="1"/>
      </rPr>
      <t xml:space="preserve">VL:</t>
    </r>
    <r>
      <rPr>
        <sz val="12"/>
        <color rgb="FF000000"/>
        <rFont val="Calibri (Body)"/>
        <family val="0"/>
        <charset val="1"/>
      </rPr>
      <t xml:space="preserve"> Viral Load
- </t>
    </r>
    <r>
      <rPr>
        <u val="single"/>
        <sz val="12"/>
        <color rgb="FF000000"/>
        <rFont val="Calibri (Body)"/>
        <family val="0"/>
        <charset val="1"/>
      </rPr>
      <t xml:space="preserve">VLS:</t>
    </r>
    <r>
      <rPr>
        <sz val="12"/>
        <color rgb="FF000000"/>
        <rFont val="Calibri (Body)"/>
        <family val="0"/>
        <charset val="1"/>
      </rPr>
      <t xml:space="preserve"> Viral Load Suppression
- </t>
    </r>
    <r>
      <rPr>
        <u val="single"/>
        <sz val="12"/>
        <color rgb="FF000000"/>
        <rFont val="Calibri (Body)"/>
        <family val="0"/>
        <charset val="1"/>
      </rPr>
      <t xml:space="preserve">VLT:</t>
    </r>
    <r>
      <rPr>
        <sz val="12"/>
        <color rgb="FF000000"/>
        <rFont val="Calibri (Body)"/>
        <family val="0"/>
        <charset val="1"/>
      </rPr>
      <t xml:space="preserve"> Viral Load Testing
- </t>
    </r>
    <r>
      <rPr>
        <u val="single"/>
        <sz val="12"/>
        <color rgb="FF000000"/>
        <rFont val="Calibri (Body)"/>
        <family val="0"/>
        <charset val="1"/>
      </rPr>
      <t xml:space="preserve">EVLT:</t>
    </r>
    <r>
      <rPr>
        <sz val="12"/>
        <color rgb="FF000000"/>
        <rFont val="Calibri (Body)"/>
        <family val="0"/>
        <charset val="1"/>
      </rPr>
      <t xml:space="preserve"> Eligible for Viral Load Testing</t>
    </r>
  </si>
  <si>
    <t xml:space="preserve">Assumptions</t>
  </si>
  <si>
    <t xml:space="preserve">Check</t>
  </si>
  <si>
    <t xml:space="preserve">H.C.  Est. Population (FY22)</t>
  </si>
  <si>
    <t xml:space="preserve">RSE: Population (District-level) (%)</t>
  </si>
  <si>
    <t xml:space="preserve">H.C. Est. PLHIV (FY22)</t>
  </si>
  <si>
    <t xml:space="preserve">RSE: PLHIV (District-level) (%)</t>
  </si>
  <si>
    <t xml:space="preserve">H.C. Est. HIV Prevalence (FY22) (%)</t>
  </si>
  <si>
    <t xml:space="preserve">RSE: HIV Prevalence (District-level) (%)</t>
  </si>
  <si>
    <t xml:space="preserve">H.C. Projected Incidence Rate (FY23) (%)</t>
  </si>
  <si>
    <t xml:space="preserve">RSE: Incidence Rate (District-level) (%)</t>
  </si>
  <si>
    <t xml:space="preserve">H.C. Projected New Infections (FY23)</t>
  </si>
  <si>
    <t xml:space="preserve">RSE: New Infections (District-level) (%)</t>
  </si>
  <si>
    <t xml:space="preserve">H.C. Est. PLHIV Diagnosed (FY22)</t>
  </si>
  <si>
    <t xml:space="preserve">RSE: PLHIV who know HIV Status (District-level) (%)</t>
  </si>
  <si>
    <t xml:space="preserve">H.C. Observed TX_CURR_SUBNAT (FY21)</t>
  </si>
  <si>
    <t xml:space="preserve">RSE: TX_CURR_SUBNAT.R (District-level) (%)</t>
  </si>
  <si>
    <t xml:space="preserve">H.C. Est. TX_CURR_SUBNAT (FY22)</t>
  </si>
  <si>
    <t xml:space="preserve">RSE: TX_CURR_SUBNAT.T_1 (District-level) (%)</t>
  </si>
  <si>
    <t xml:space="preserve">H.C. Est. ART Patients Tested for VLS 
(FY22)</t>
  </si>
  <si>
    <t xml:space="preserve">RSE: ART Patients Tested for VLS
(District-level) (%)</t>
  </si>
  <si>
    <t xml:space="preserve">H.C. Est. Virally Suppressed ART Patients (FY22)</t>
  </si>
  <si>
    <t xml:space="preserve">RSE: Virally Suppressed ART Patients (District-level) (%)</t>
  </si>
  <si>
    <t xml:space="preserve">New Positives</t>
  </si>
  <si>
    <t xml:space="preserve">Est. PEPFAR Contribution to HIV Response (FY22) (%)</t>
  </si>
  <si>
    <t xml:space="preserve">Planned PEPFAR Contribution to HIV Response (FY23) (%)</t>
  </si>
  <si>
    <t xml:space="preserve">Working PopVLS Rate (FY22) (%)</t>
  </si>
  <si>
    <t xml:space="preserve">Planned PopVLS Rate (FY23) (%)</t>
  </si>
  <si>
    <t xml:space="preserve">VL_SUPPRESSION_SUBNAT (FY23)</t>
  </si>
  <si>
    <t xml:space="preserve">PMTCT_HEI_POS Virally Suppressed (FY23)</t>
  </si>
  <si>
    <t xml:space="preserve">TX_PVLS (N) Routine (FY23)</t>
  </si>
  <si>
    <t xml:space="preserve">H.C. Est. VLS Rate (FY22) (%)</t>
  </si>
  <si>
    <t xml:space="preserve">PEPFAR VLS Rate (FY21 Results) (%)</t>
  </si>
  <si>
    <t xml:space="preserve">PEPFAR VLS Rate (FY22 Targets) (%)</t>
  </si>
  <si>
    <t xml:space="preserve">Planned VLS Rate (FY23) (%)</t>
  </si>
  <si>
    <t xml:space="preserve">TX_PVLS (D) Routine (FY23)</t>
  </si>
  <si>
    <t xml:space="preserve">H.C. Est. % PLHIV Diagnosed (FY22) (%)</t>
  </si>
  <si>
    <t xml:space="preserve">H.C. Est. # PLHIV Previously Undiagnosed (FY22)</t>
  </si>
  <si>
    <t xml:space="preserve">H.C. Est. % Diagnosed on ART (FY22) (%)</t>
  </si>
  <si>
    <t xml:space="preserve">H.C. Est. # Previously Diagnosed not on ART (FY22)</t>
  </si>
  <si>
    <t xml:space="preserve">Planned % New Infections Diagnosed &amp; Linked to ART (FY23) (%)</t>
  </si>
  <si>
    <t xml:space="preserve">PEPFAR ART Linkage Rate (FY21 Results) (%)</t>
  </si>
  <si>
    <t xml:space="preserve">PEPFAR ART Linkage Rate (FY22 Targets) (%)</t>
  </si>
  <si>
    <t xml:space="preserve">Targeted Linkage Rate (FY23) (%)</t>
  </si>
  <si>
    <t xml:space="preserve">Planned % Newly or Re-Initiated on ART Eligible for VLT (FY23) (%)</t>
  </si>
  <si>
    <t xml:space="preserve">H.C. Est. VLT Coverage (FY22) (%)</t>
  </si>
  <si>
    <t xml:space="preserve">PEPFAR VLT Coverage (FY22 Targets) (%)</t>
  </si>
  <si>
    <t xml:space="preserve">Planned VLT Coverage (FY23) (%)</t>
  </si>
  <si>
    <t xml:space="preserve">New Infections Initiated on TX_CURR (FY23)</t>
  </si>
  <si>
    <t xml:space="preserve">Prev. PLHIV Initiated on TX_CURR (FY23)</t>
  </si>
  <si>
    <t xml:space="preserve">Total Initiated on TX_CURR (FY23)</t>
  </si>
  <si>
    <t xml:space="preserve">PEPFAR  Total EVLT (FY23)</t>
  </si>
  <si>
    <t xml:space="preserve">Final Planned VLT Coverage (FY23) (%)</t>
  </si>
  <si>
    <t xml:space="preserve">% Prev. PLHIV Initiated on ART who are Treatment Naive (FY23) (%)</t>
  </si>
  <si>
    <t xml:space="preserve">TX_NEW (FY23)</t>
  </si>
  <si>
    <t xml:space="preserve">Targeted Retention Rate - Initiated on ART (FY23) (%)</t>
  </si>
  <si>
    <t xml:space="preserve">Targeted Retention Rate - Already on ART (FY23) (%)</t>
  </si>
  <si>
    <t xml:space="preserve">TX_CURR (FY23)</t>
  </si>
  <si>
    <t xml:space="preserve">TX_CURR_SUBNAT (FY23)</t>
  </si>
  <si>
    <t xml:space="preserve">H.C. Est. Population ART Coverage (ART/PLHIV) (FY22) (%)</t>
  </si>
  <si>
    <t xml:space="preserve">H.C. Planned Population ART Coverage (ART/PLHIV) (FY23) (%)</t>
  </si>
  <si>
    <t xml:space="preserve">% Prev. Infected TX_NEW from Prev. Diagnosed (FY23) (%)</t>
  </si>
  <si>
    <t xml:space="preserve">TX_NEW from Previously Diagnosed (FY23)</t>
  </si>
  <si>
    <t xml:space="preserve">TX_NEW from New Diagnosis (FY23)</t>
  </si>
  <si>
    <t xml:space="preserve">HTS_TST_POS from HTS_INDEX (FY22 Targets) (%)</t>
  </si>
  <si>
    <t xml:space="preserve">HTS_TST_POS from HTS_INDEX (FY23 Targets) (%)</t>
  </si>
  <si>
    <t xml:space="preserve">HTS_TST_POS + PMTCT_HEI_POS (FY23)</t>
  </si>
  <si>
    <t xml:space="preserve">HTS_INDEX Positives
(FY23)</t>
  </si>
  <si>
    <t xml:space="preserve">PMTCT_STAT New Positives (FY23)</t>
  </si>
  <si>
    <t xml:space="preserve">HTS_TST Post ANC1 New Positives (FY23)</t>
  </si>
  <si>
    <t xml:space="preserve">TB_STAT New Positives (FY23)</t>
  </si>
  <si>
    <t xml:space="preserve">VMMC Tested Positives (FY23)</t>
  </si>
  <si>
    <t xml:space="preserve">PMTCT_HEI_POS
(FY23)</t>
  </si>
  <si>
    <t xml:space="preserve">HTS_TST_POS from All Other Modalities (FY23)</t>
  </si>
  <si>
    <t xml:space="preserve">Total Positives from HTS_INDEX (FY23) (%)</t>
  </si>
  <si>
    <t xml:space="preserve">Total Positives from PMTCT ANC1 (FY23) (%)</t>
  </si>
  <si>
    <t xml:space="preserve">Total Positives from PMTCT Post ANC1 (FY23) (%)</t>
  </si>
  <si>
    <t xml:space="preserve">Total Positives from TB_STAT (FY23) (%)</t>
  </si>
  <si>
    <t xml:space="preserve">Total Positives from VMMC (FY23) (%)</t>
  </si>
  <si>
    <t xml:space="preserve">Total Positives from PMTCT_HEI_POS (FY23) (%)</t>
  </si>
  <si>
    <t xml:space="preserve">Total Positives from All Other Modalities (FY23) (%)</t>
  </si>
  <si>
    <t xml:space="preserve">% HTS_INDEX_POS identified in Community Sites (FY23) (%)</t>
  </si>
  <si>
    <t xml:space="preserve">COMMUNITY - Yield (Contacts newly tested) (FY23) (%)</t>
  </si>
  <si>
    <t xml:space="preserve">FACILITY - Yield (Contacts newly tested) (FY23) (%)</t>
  </si>
  <si>
    <t xml:space="preserve">COMMUNITY - Contacts Tested, Positive (FY23)</t>
  </si>
  <si>
    <t xml:space="preserve">COMMUNITY - Contacts Tested, New Negative (FY23)</t>
  </si>
  <si>
    <t xml:space="preserve">FACILITY - Contacts Tested, Positive (FY23)</t>
  </si>
  <si>
    <t xml:space="preserve">FACILITY - Contacts Tested, New Negative (FY23)</t>
  </si>
  <si>
    <t xml:space="preserve">Actual % HTS_TST_POS from Index (FY23) (%)</t>
  </si>
  <si>
    <t xml:space="preserve">DIAGNOSED_SUBNAT (FY23)</t>
  </si>
  <si>
    <t xml:space="preserve">subnat</t>
  </si>
  <si>
    <t xml:space="preserve">mer</t>
  </si>
  <si>
    <t xml:space="preserve">result</t>
  </si>
  <si>
    <t xml:space="preserve">calculation</t>
  </si>
  <si>
    <t xml:space="preserve">assumption</t>
  </si>
  <si>
    <t xml:space="preserve">percentage</t>
  </si>
  <si>
    <t xml:space="preserve">KssDaTsGWnS</t>
  </si>
  <si>
    <t xml:space="preserve">iwSejvD8cXl</t>
  </si>
  <si>
    <t xml:space="preserve">lJtpR5byqps</t>
  </si>
  <si>
    <t xml:space="preserve">nF19GOjcnoD</t>
  </si>
  <si>
    <t xml:space="preserve">xghQXueYJxu</t>
  </si>
  <si>
    <t xml:space="preserve">zoKiMGRucOY</t>
  </si>
  <si>
    <t xml:space="preserve">yXZtvoYQXcD</t>
  </si>
  <si>
    <t xml:space="preserve">Hyvw9VnZ2ch</t>
  </si>
  <si>
    <t xml:space="preserve">rGptWqlhaVU.KM4dyooZHUP</t>
  </si>
  <si>
    <t xml:space="preserve">YvPOllVtINQ</t>
  </si>
  <si>
    <t xml:space="preserve">vmfKLKi1NBA</t>
  </si>
  <si>
    <t xml:space="preserve">di4b6joXm84</t>
  </si>
  <si>
    <t xml:space="preserve">WpZwPieQ060</t>
  </si>
  <si>
    <t xml:space="preserve">N55pM5ZuWcI</t>
  </si>
  <si>
    <t xml:space="preserve">zjWvbsJM43i</t>
  </si>
  <si>
    <t xml:space="preserve">uh9PhdnIkHp</t>
  </si>
  <si>
    <t xml:space="preserve">FjLaCnuoQWR</t>
  </si>
  <si>
    <t xml:space="preserve">ebCEt4u78PX</t>
  </si>
  <si>
    <t xml:space="preserve">ijNOkoDJX6d</t>
  </si>
  <si>
    <t xml:space="preserve">MylJht530Cc</t>
  </si>
  <si>
    <t xml:space="preserve">DhrLCUBm3bK</t>
  </si>
  <si>
    <t xml:space="preserve">HGZY9RNZjRd</t>
  </si>
  <si>
    <t xml:space="preserve">KlAFsRMw17y</t>
  </si>
  <si>
    <t xml:space="preserve">LCrR2BK3wmA</t>
  </si>
  <si>
    <t xml:space="preserve">Wa2oJtmc0CE</t>
  </si>
  <si>
    <t xml:space="preserve">A2eyuXZUCEk</t>
  </si>
  <si>
    <t xml:space="preserve">KM4dyooZHUP</t>
  </si>
  <si>
    <t xml:space="preserve">Vr59uUJBySG</t>
  </si>
  <si>
    <t xml:space="preserve">BiB1MtA7o4A</t>
  </si>
  <si>
    <t xml:space="preserve">5 yr</t>
  </si>
  <si>
    <t xml:space="preserve">&lt;01</t>
  </si>
  <si>
    <t xml:space="preserve">5 yr, 01+</t>
  </si>
  <si>
    <t xml:space="preserve">5 yr, 10+</t>
  </si>
  <si>
    <t xml:space="preserve">5 yr, 15+</t>
  </si>
  <si>
    <t xml:space="preserve">M/F</t>
  </si>
  <si>
    <t xml:space="preserve">Females</t>
  </si>
  <si>
    <t xml:space="preserve">Males</t>
  </si>
  <si>
    <t xml:space="preserve">Age</t>
  </si>
  <si>
    <t xml:space="preserve">Sex</t>
  </si>
  <si>
    <t xml:space="preserve">POP_EST.T_1</t>
  </si>
  <si>
    <t xml:space="preserve">POP_EST.DistrictUncertainty.T_1</t>
  </si>
  <si>
    <t xml:space="preserve">PLHIV.T_1</t>
  </si>
  <si>
    <t xml:space="preserve">PLHIV.DistrictUncertainty.T_1</t>
  </si>
  <si>
    <t xml:space="preserve">HIV_PREV.T_1</t>
  </si>
  <si>
    <t xml:space="preserve">HIV_PREV.DistrictUncertainty.T_1</t>
  </si>
  <si>
    <t xml:space="preserve">Incidence_SUBNAT.Rt.T_1</t>
  </si>
  <si>
    <t xml:space="preserve">Incidence_SUBNAT.Rt.DistrictUncertainty.T_1</t>
  </si>
  <si>
    <t xml:space="preserve">NEW_INFECTIONS_SUBNAT.T_1</t>
  </si>
  <si>
    <t xml:space="preserve">NEW_INFECTIONS_SUBNAT.DistrictUncertainty.T_1</t>
  </si>
  <si>
    <t xml:space="preserve">DIAGNOSED_SUBNAT.T_1</t>
  </si>
  <si>
    <t xml:space="preserve">DIAGNOSED_SUBNAT.DistrictUncertainty.R</t>
  </si>
  <si>
    <t xml:space="preserve">TX_CURR_SUBNAT.DistrictUncertainty.R</t>
  </si>
  <si>
    <t xml:space="preserve">TX_CURR_SUBNAT.T_1</t>
  </si>
  <si>
    <t xml:space="preserve">TX_CURR_SUBNAT.DistrictUncertainty.T_1</t>
  </si>
  <si>
    <t xml:space="preserve">VL_TESTING_SUBNAT.T_1</t>
  </si>
  <si>
    <t xml:space="preserve">VL_TESTING_SUBNAT.DistrictUncertainty.T_1</t>
  </si>
  <si>
    <t xml:space="preserve">VL_SUPPRESSED.T_1</t>
  </si>
  <si>
    <t xml:space="preserve">VL_SUPPRESSED.DistrictUncertainty.T_1</t>
  </si>
  <si>
    <t xml:space="preserve">HTS_TST.Pos.Total_With_HEI.R</t>
  </si>
  <si>
    <t xml:space="preserve">TX_NEW.R</t>
  </si>
  <si>
    <t xml:space="preserve">TX_CURR.R</t>
  </si>
  <si>
    <t xml:space="preserve">TX_PVLS.D.Routine.R</t>
  </si>
  <si>
    <t xml:space="preserve">TX_PVLS.N.Routine.R</t>
  </si>
  <si>
    <t xml:space="preserve">HTS_TST.Pos.Total_With_HEI.T_1</t>
  </si>
  <si>
    <t xml:space="preserve">TX_NEW.T_1</t>
  </si>
  <si>
    <t xml:space="preserve">TX_CURR.T_1</t>
  </si>
  <si>
    <t xml:space="preserve">TX_PVLS.D.Routine.T_1</t>
  </si>
  <si>
    <t xml:space="preserve">TX_PVLS.N.Routine.T_1</t>
  </si>
  <si>
    <t xml:space="preserve">TX_PVLS.N.NatlContr.T_1</t>
  </si>
  <si>
    <t xml:space="preserve">TX_PVLS.N.NatlContr.T</t>
  </si>
  <si>
    <t xml:space="preserve">PopVLS.Rt.T_1</t>
  </si>
  <si>
    <t xml:space="preserve">PopVLS.Rt.T</t>
  </si>
  <si>
    <t xml:space="preserve">VL_SUPPRESSED.T</t>
  </si>
  <si>
    <t xml:space="preserve">PMTCT_HEI_POS.TX_PVLS.N.T</t>
  </si>
  <si>
    <t xml:space="preserve">TX_PVLS.N.Routine.T</t>
  </si>
  <si>
    <t xml:space="preserve">VL_SUPPRESSED.Rt.T_1</t>
  </si>
  <si>
    <t xml:space="preserve">TX_PVLS.N.Rt.R</t>
  </si>
  <si>
    <t xml:space="preserve">TX_PVLS.N.Rt.T_1</t>
  </si>
  <si>
    <t xml:space="preserve">TX_PVLS.N.Rt.T</t>
  </si>
  <si>
    <t xml:space="preserve">TX_PVLS.D.Routine.T</t>
  </si>
  <si>
    <t xml:space="preserve">DIAGNOSED_SUBNAT.Rt.T_1</t>
  </si>
  <si>
    <t xml:space="preserve">PLHIV.Undiagnosed.T_1</t>
  </si>
  <si>
    <t xml:space="preserve">TX_CURR_SUBNAT.Rt.T_1</t>
  </si>
  <si>
    <t xml:space="preserve">DIAGNOSED_SUBNAT.NoART.T_1</t>
  </si>
  <si>
    <t xml:space="preserve">NEW_INFECTIONS_SUBNAT.ART.Rt.T_1</t>
  </si>
  <si>
    <t xml:space="preserve">HTS_TST.Linkage.R</t>
  </si>
  <si>
    <t xml:space="preserve">HTS_TST.Linkage.T_1</t>
  </si>
  <si>
    <t xml:space="preserve">HTS_TST.Linkage.T</t>
  </si>
  <si>
    <t xml:space="preserve">TX_PVLS.D.Eligible.Rt.T</t>
  </si>
  <si>
    <t xml:space="preserve">VL_TESTING_SUBNAT.Rt.T_1</t>
  </si>
  <si>
    <t xml:space="preserve">TX_PVLS.D.Rt.T_1</t>
  </si>
  <si>
    <t xml:space="preserve">TX_PVLS.D.Rt.T</t>
  </si>
  <si>
    <t xml:space="preserve">TX_CURR.New.NewInfections.T</t>
  </si>
  <si>
    <t xml:space="preserve">TX_CURR.New.NonNewInfections.T</t>
  </si>
  <si>
    <t xml:space="preserve">TX_CURR.New.T</t>
  </si>
  <si>
    <t xml:space="preserve">TX_EVLT.T</t>
  </si>
  <si>
    <t xml:space="preserve">TX_PVLS.D.RtFinal.T</t>
  </si>
  <si>
    <t xml:space="preserve">TX_CURR.New.NonNewInfections.Naive.Rt.T</t>
  </si>
  <si>
    <t xml:space="preserve">TX_NEW.T</t>
  </si>
  <si>
    <t xml:space="preserve">TX_RET.New.T</t>
  </si>
  <si>
    <t xml:space="preserve">TX_RET.Already.T</t>
  </si>
  <si>
    <t xml:space="preserve">TX_CURR.T</t>
  </si>
  <si>
    <t xml:space="preserve">TX_CURR_SUBNAT.T</t>
  </si>
  <si>
    <t xml:space="preserve">PopART.Rt.T_1</t>
  </si>
  <si>
    <t xml:space="preserve">PopART.Rt.T</t>
  </si>
  <si>
    <t xml:space="preserve">TX_NEW.NonNewInfections.PrevDiag.Rt.T</t>
  </si>
  <si>
    <t xml:space="preserve">TX_NEW.PrevDiag.T</t>
  </si>
  <si>
    <t xml:space="preserve">TX_NEW.NewDiag.T</t>
  </si>
  <si>
    <t xml:space="preserve">HTS_TST.Index.Pos.Share.T_1</t>
  </si>
  <si>
    <t xml:space="preserve">HTS_TST.Index.Pos.ShareTargeted.T</t>
  </si>
  <si>
    <t xml:space="preserve">HTS_TST.Pos.Total_With_HEI.T</t>
  </si>
  <si>
    <t xml:space="preserve">HTS_INDEX.Pos.T</t>
  </si>
  <si>
    <t xml:space="preserve">PMTCT_STAT.N.New.Pos.T</t>
  </si>
  <si>
    <t xml:space="preserve">HTS_TST.PostANC1.Pos.T</t>
  </si>
  <si>
    <t xml:space="preserve">TB_STAT.N.New.Pos.T</t>
  </si>
  <si>
    <t xml:space="preserve">VMMC_CIRC.Pos.T</t>
  </si>
  <si>
    <t xml:space="preserve">PMTCT_HEI_POS.T</t>
  </si>
  <si>
    <t xml:space="preserve">HTS_TST.Pos.Total_Other.T</t>
  </si>
  <si>
    <t xml:space="preserve">HTS_TST.Index.Pos.Share.T</t>
  </si>
  <si>
    <t xml:space="preserve">HTS_TST.PMTCT_STAT.Pos.Share.T</t>
  </si>
  <si>
    <t xml:space="preserve">HTS_TST.PostANC1.Pos.Share.T</t>
  </si>
  <si>
    <t xml:space="preserve">HTS_TST.TB.Pos.Share.T</t>
  </si>
  <si>
    <t xml:space="preserve">HTS_TST.VMMC.Pos.Share.T</t>
  </si>
  <si>
    <t xml:space="preserve">HTS_TST.HEI_POS.Share.T</t>
  </si>
  <si>
    <t xml:space="preserve">HTS_TST.Total_Other.Pos.Share.T</t>
  </si>
  <si>
    <t xml:space="preserve">HTS_INDEX.Pos.ComShare</t>
  </si>
  <si>
    <t xml:space="preserve">HTS_INDEX_COM.New.Yield</t>
  </si>
  <si>
    <t xml:space="preserve">HTS_INDEX_FAC.New.Yield</t>
  </si>
  <si>
    <t xml:space="preserve">HTS_INDEX_COM.New.Pos.T</t>
  </si>
  <si>
    <t xml:space="preserve">HTS_INDEX_COM.New.Neg.T</t>
  </si>
  <si>
    <t xml:space="preserve">HTS_INDEX_FAC.New.Pos.T</t>
  </si>
  <si>
    <t xml:space="preserve">HTS_INDEX_FAC.New.Neg.T</t>
  </si>
  <si>
    <t xml:space="preserve">HTS_TST.Index.Pos.ShareActual.T</t>
  </si>
  <si>
    <t xml:space="preserve">DIAGNOSED_SUBNAT.T</t>
  </si>
  <si>
    <t xml:space="preserve">PMTCT_STAT &amp; PMTCT_ART</t>
  </si>
  <si>
    <t xml:space="preserve">PMTCT_STAT (D)</t>
  </si>
  <si>
    <t xml:space="preserve">PMTCT_STAT_SUBNAT (D)</t>
  </si>
  <si>
    <t xml:space="preserve">PMTCT_STAT (N)</t>
  </si>
  <si>
    <t xml:space="preserve">PMTCT_STAT_SUBNAT (N)</t>
  </si>
  <si>
    <t xml:space="preserve">PMTCT_ART (N)</t>
  </si>
  <si>
    <t xml:space="preserve">PMTCT_ART_SUBNAT</t>
  </si>
  <si>
    <t xml:space="preserve">HTS_TST: PMTCT Post ANC1</t>
  </si>
  <si>
    <t xml:space="preserve">Testing Rationalization</t>
  </si>
  <si>
    <t xml:space="preserve">To shut off PMTCT_STAT entirely:
1. Replace all formulas for "PMTCT_STAT (D) (FY23)" with zeros.</t>
  </si>
  <si>
    <t xml:space="preserve">Host Country Est. Female Population (FY22)</t>
  </si>
  <si>
    <t xml:space="preserve">Host Country Est. PLHIV (FY22)</t>
  </si>
  <si>
    <t xml:space="preserve">Host Country Est. HIV Prevalence (FY22) (%)</t>
  </si>
  <si>
    <t xml:space="preserve">Host Country Est. TX_CURR_SUBNAT (FY22)</t>
  </si>
  <si>
    <t xml:space="preserve">Host Country Est. ART Coverage (FY22) (%)</t>
  </si>
  <si>
    <t xml:space="preserve">Host Country Est. PopVLS Rate (VLS/PLHIV) (FY22) (%)</t>
  </si>
  <si>
    <t xml:space="preserve">Host Country PMTCT_STAT_SUBNAT (D) - # New ANC clients (FY22)</t>
  </si>
  <si>
    <t xml:space="preserve">Host Country PMTCT_STAT_SUBNAT (N) - Known Positive (FY22)</t>
  </si>
  <si>
    <t xml:space="preserve">Host Country PMTCT_STAT_SUBNAT (N) - New Positive (FY22)</t>
  </si>
  <si>
    <t xml:space="preserve">Host Country PMTCT_STAT_SUBNAT (N) - New Negative (FY22)</t>
  </si>
  <si>
    <t xml:space="preserve">Host Country PMTCT_ART_SUBNAT (D) - # HIV-positive pregnant women (FY22)</t>
  </si>
  <si>
    <t xml:space="preserve">Host Country PMTCT_ART_SUBNAT (N) - Already on ART (FY22)</t>
  </si>
  <si>
    <t xml:space="preserve">Host Country PMTCT_ART_SUBNAT (N) - New on ART (FY22)</t>
  </si>
  <si>
    <t xml:space="preserve">PMTCT_STAT (D) (FY22 Targets)</t>
  </si>
  <si>
    <t xml:space="preserve">Expected change in new ANC clients (%)</t>
  </si>
  <si>
    <t xml:space="preserve">PMTCT_STAT (D) (FY23)</t>
  </si>
  <si>
    <t xml:space="preserve">Est. PEPFAR proportion of Host Country PMTCT_STAT_SUBNAT (D) (FY22) (%)</t>
  </si>
  <si>
    <t xml:space="preserve">Targeted PEPFAR proportion of Host Country PMTCT_STAT_SUBNAT (D) (FY23) (%)</t>
  </si>
  <si>
    <t xml:space="preserve">PMTCT_STAT_SUBNAT (D) (FY23)</t>
  </si>
  <si>
    <t xml:space="preserve">Targeted testing coverage of ANC1 clients (FY23) (%)</t>
  </si>
  <si>
    <t xml:space="preserve">Est. % ANC1 clients Known HIV Positive (FY21 results) (%)</t>
  </si>
  <si>
    <t xml:space="preserve">Projected % ANC1 clients Known HIV Positive (FY23) (%)</t>
  </si>
  <si>
    <t xml:space="preserve">Est. Yield among Newly Tested ANC1 clients (FY21 Results) (%)</t>
  </si>
  <si>
    <t xml:space="preserve">Est. Yield among Newly Tested ANC1 clients (FY23) (%)</t>
  </si>
  <si>
    <t xml:space="preserve">Total PMTCT_STAT (N) (FY23)</t>
  </si>
  <si>
    <t xml:space="preserve">Known HIV Status, Positive (FY23)</t>
  </si>
  <si>
    <t xml:space="preserve">Newly Tested, Positive (FY23)</t>
  </si>
  <si>
    <t xml:space="preserve">Newly Tested, Negative (FY23)</t>
  </si>
  <si>
    <t xml:space="preserve">Total PMTCT_STAT_SUBNAT (N)</t>
  </si>
  <si>
    <t xml:space="preserve">Host Country PMTCT_STAT_SUBNAT (N) - Known Positive (FY23)</t>
  </si>
  <si>
    <t xml:space="preserve">Host Country PMTCT_STAT_SUBNAT (N) - New Positive (FY23)</t>
  </si>
  <si>
    <t xml:space="preserve">Host Country PMTCT_STAT_SUBNAT (N) - New Negative (FY23)</t>
  </si>
  <si>
    <t xml:space="preserve">Targeted ART Linkage Rate (FY23) (%)</t>
  </si>
  <si>
    <t xml:space="preserve">Already on ART (FY23)</t>
  </si>
  <si>
    <t xml:space="preserve">New on ART (FY23)</t>
  </si>
  <si>
    <t xml:space="preserve">Est. Host Country # HIV-positive pregnant women (FY23)</t>
  </si>
  <si>
    <t xml:space="preserve">Est. Host Country # HIV+ Pregnant Women Already on ART (FY23)</t>
  </si>
  <si>
    <t xml:space="preserve">Est. Host Country # HIV+ Pregnant Women New on ART (FY23)</t>
  </si>
  <si>
    <t xml:space="preserve">Total eligible for Post ANC1 retesting (FY23)</t>
  </si>
  <si>
    <t xml:space="preserve">Yield
(FY21 Results)
(%)</t>
  </si>
  <si>
    <t xml:space="preserve">Yield
(FY23) (%)</t>
  </si>
  <si>
    <t xml:space="preserve">Positive (FY23)</t>
  </si>
  <si>
    <t xml:space="preserve">Negative (FY23)</t>
  </si>
  <si>
    <t xml:space="preserve">Linked to ART (FY23)</t>
  </si>
  <si>
    <t xml:space="preserve">Total PMTCT: Positives (From ANC1 &amp; Post ANC1) (FY23)</t>
  </si>
  <si>
    <t xml:space="preserve">Total HTS_TST_POS (FY23)</t>
  </si>
  <si>
    <t xml:space="preserve">Total Positives from PMTCT_STAT ANC1 (FY23) (%)</t>
  </si>
  <si>
    <t xml:space="preserve">jdFCj4dEvIK</t>
  </si>
  <si>
    <t xml:space="preserve">thhkv2dmiuc</t>
  </si>
  <si>
    <t xml:space="preserve">jaX3SUTcIki</t>
  </si>
  <si>
    <t xml:space="preserve">LvwJYdp0Jmr</t>
  </si>
  <si>
    <t xml:space="preserve">f10j57Ifd7k</t>
  </si>
  <si>
    <t xml:space="preserve">Qdn0vmNSflO</t>
  </si>
  <si>
    <t xml:space="preserve">qesr9meNVYc</t>
  </si>
  <si>
    <t xml:space="preserve">dd2WtJJxFYj</t>
  </si>
  <si>
    <t xml:space="preserve">bu3sosk4HWn</t>
  </si>
  <si>
    <t xml:space="preserve">mfYq3HGUIX3</t>
  </si>
  <si>
    <t xml:space="preserve">vsudHZwmvb2</t>
  </si>
  <si>
    <t xml:space="preserve">CrhtWrSnb2D</t>
  </si>
  <si>
    <t xml:space="preserve">LvheCKbuFJZ</t>
  </si>
  <si>
    <t xml:space="preserve">rSKP7Z85FX9.KM4dyooZHUP</t>
  </si>
  <si>
    <t xml:space="preserve">udcRwufEXFQ.KM4dyooZHUP</t>
  </si>
  <si>
    <t xml:space="preserve">Gb0GYkqotaO</t>
  </si>
  <si>
    <t xml:space="preserve">PopVLS_SUBNAT.Rt.T_1</t>
  </si>
  <si>
    <t xml:space="preserve">PMTCT_STAT_SUBNAT.D.T_1</t>
  </si>
  <si>
    <t xml:space="preserve">PMTCT_STAT_SUBNAT.N.Known.Pos.T_1</t>
  </si>
  <si>
    <t xml:space="preserve">PMTCT_STAT_SUBNAT.N.New.Pos.T_1</t>
  </si>
  <si>
    <t xml:space="preserve">PMTCT_STAT_SUBNAT.N.New.Neg.T_1</t>
  </si>
  <si>
    <t xml:space="preserve">PMTCT_ART_SUBNAT.D.T_1</t>
  </si>
  <si>
    <t xml:space="preserve">PMTCT_ART_SUBNAT.N.Already.T_1</t>
  </si>
  <si>
    <t xml:space="preserve">PMTCT_ART_SUBNAT.N.New.T_1</t>
  </si>
  <si>
    <t xml:space="preserve">PMTCT_STAT.D.T_1</t>
  </si>
  <si>
    <t xml:space="preserve">PMTCT_STAT.D.Growth.T</t>
  </si>
  <si>
    <t xml:space="preserve">PMTCT_STAT.D.T</t>
  </si>
  <si>
    <t xml:space="preserve">PMTCT_STAT.D.NatlContr.T_1</t>
  </si>
  <si>
    <t xml:space="preserve">PMTCT_STAT.D.NatlContr.T</t>
  </si>
  <si>
    <t xml:space="preserve">PMTCT_STAT_SUBNAT.D.T</t>
  </si>
  <si>
    <t xml:space="preserve">PMTCT_STAT.N.Rt.T</t>
  </si>
  <si>
    <t xml:space="preserve">PMTCT_STAT.N.KnownPosRt.R</t>
  </si>
  <si>
    <t xml:space="preserve">PMTCT_STAT.N.KnownPosRt.T</t>
  </si>
  <si>
    <t xml:space="preserve">PMTCT_STAT.N.New.Yield.R</t>
  </si>
  <si>
    <t xml:space="preserve">PMTCT_STAT.N.New.Yield.T</t>
  </si>
  <si>
    <t xml:space="preserve">PMTCT_STAT.N.T</t>
  </si>
  <si>
    <t xml:space="preserve">PMTCT_STAT.N.KnownPos.T</t>
  </si>
  <si>
    <t xml:space="preserve">PMTCT_STAT.N.New.Neg.T</t>
  </si>
  <si>
    <t xml:space="preserve">PMTCT_STAT_SUBNAT.N.T</t>
  </si>
  <si>
    <t xml:space="preserve">PMTCT_STAT_SUBNAT.N.Known.Pos.T</t>
  </si>
  <si>
    <t xml:space="preserve">PMTCT_STAT_SUBNAT.N.New.Pos.T</t>
  </si>
  <si>
    <t xml:space="preserve">PMTCT_STAT_SUBNAT.N.New.Neg.T</t>
  </si>
  <si>
    <t xml:space="preserve">PMTCT_STAT.Linkage.T</t>
  </si>
  <si>
    <t xml:space="preserve">PMTCT_ART.Already.T</t>
  </si>
  <si>
    <t xml:space="preserve">PMTCT_ART.New.T</t>
  </si>
  <si>
    <t xml:space="preserve">PMTCT_ART_SUBNAT.D.T</t>
  </si>
  <si>
    <t xml:space="preserve">PMTCT_ART_SUBNAT.N.Already.T</t>
  </si>
  <si>
    <t xml:space="preserve">PMTCT_ART_SUBNAT.N.New.T</t>
  </si>
  <si>
    <t xml:space="preserve">HTS_TST.PostANC1.Eligible.T</t>
  </si>
  <si>
    <t xml:space="preserve">HTS_TST.PostANC1.Yield</t>
  </si>
  <si>
    <t xml:space="preserve">HTS_TST.PostANC1.Yield.T</t>
  </si>
  <si>
    <t xml:space="preserve">HTS_TST.PostANC1.Pos.Linkage.T</t>
  </si>
  <si>
    <t xml:space="preserve">HTS_TST.PostANC1.Neg.T</t>
  </si>
  <si>
    <t xml:space="preserve">TX_NEW.PostANC1.T</t>
  </si>
  <si>
    <t xml:space="preserve">PMTCT.Pos.T</t>
  </si>
  <si>
    <t xml:space="preserve">HTS_TST.Pos.T</t>
  </si>
  <si>
    <t xml:space="preserve">PMTCT_EID</t>
  </si>
  <si>
    <t xml:space="preserve">PMTCT_EID (N)</t>
  </si>
  <si>
    <t xml:space="preserve">PMTCT_HEI_POS (N)</t>
  </si>
  <si>
    <t xml:space="preserve">Est. # infants born to HIV-positive women (FY23)</t>
  </si>
  <si>
    <t xml:space="preserve">Targeted % HIV exposed infants tested by 2 mo (FY23) (%)</t>
  </si>
  <si>
    <t xml:space="preserve">Targeted % HIV exposed infants tested by 12 mo (FY23) (%)</t>
  </si>
  <si>
    <t xml:space="preserve">≤ 02 mo (FY23)</t>
  </si>
  <si>
    <t xml:space="preserve">02 - 12 mo (FY23)</t>
  </si>
  <si>
    <t xml:space="preserve">Est. Positivity Rate, ≤ 02 mo (FY21 Results) (%)</t>
  </si>
  <si>
    <t xml:space="preserve">Est. Positivity Rate, ≤ 02 mo (FY23) (%)</t>
  </si>
  <si>
    <t xml:space="preserve">Est. Positivity Rate, 02 - 12 mo (FY21 Results) (%)</t>
  </si>
  <si>
    <t xml:space="preserve">Est. Positivity Rate, 02 - 12 mo (FY23) (%)</t>
  </si>
  <si>
    <t xml:space="preserve">Total HIV+ infants identified (FY23)</t>
  </si>
  <si>
    <t xml:space="preserve">HIV+ infants linked to ART (FY23)</t>
  </si>
  <si>
    <t xml:space="preserve">Targeted TX Retention Rate (FY23) (%)</t>
  </si>
  <si>
    <t xml:space="preserve">HIV+ infants retained on ART at end of FY23</t>
  </si>
  <si>
    <t xml:space="preserve">Targeted % EVLT (FY23) (%)</t>
  </si>
  <si>
    <t xml:space="preserve">HIV+ Infants Eligible for VLT (FY23)</t>
  </si>
  <si>
    <t xml:space="preserve">Targeted VLT Coverage among Eligible (FY23) (%)</t>
  </si>
  <si>
    <t xml:space="preserve">HIV+ infants tested for VLS (FY23)</t>
  </si>
  <si>
    <t xml:space="preserve">Targeted VLS Rate (FY23) (%)</t>
  </si>
  <si>
    <t xml:space="preserve">HIV+ infants  Virally Suppressed (FY23)</t>
  </si>
  <si>
    <t xml:space="preserve">euzbW4INAqn</t>
  </si>
  <si>
    <t xml:space="preserve">aFPTXEOa7nu</t>
  </si>
  <si>
    <t xml:space="preserve">J4SQd7SnDi2</t>
  </si>
  <si>
    <t xml:space="preserve">pbXCUjm50XK</t>
  </si>
  <si>
    <t xml:space="preserve">PMTCT_EID.D.T</t>
  </si>
  <si>
    <t xml:space="preserve">PMTCT_EID.2.Rt.T</t>
  </si>
  <si>
    <t xml:space="preserve">PMTCT_EID.12.Rt.T</t>
  </si>
  <si>
    <t xml:space="preserve">PMTCT_EID.N.2.T</t>
  </si>
  <si>
    <t xml:space="preserve">PMTCT_EID.N.12.T</t>
  </si>
  <si>
    <t xml:space="preserve">PMTCT_HEI_POS.2.Yield.R</t>
  </si>
  <si>
    <t xml:space="preserve">PMTCT_HEI_POS.2.Yield.T</t>
  </si>
  <si>
    <t xml:space="preserve">PMTCT_HEI_POS.12.Yield.R</t>
  </si>
  <si>
    <t xml:space="preserve">PMTCT_HEI_POS.12.Yield.T</t>
  </si>
  <si>
    <t xml:space="preserve">PMTCT_HEI_POS.Linkage.T</t>
  </si>
  <si>
    <t xml:space="preserve">PMTCT_HEI_POS.Linked.T</t>
  </si>
  <si>
    <t xml:space="preserve">PMTCT_HEI_POS.Ret.T</t>
  </si>
  <si>
    <t xml:space="preserve">PMTCT_HEI_POS.TX_CURR.T</t>
  </si>
  <si>
    <t xml:space="preserve">PMTCT_HEI_POS.Eligible.Rt.T</t>
  </si>
  <si>
    <t xml:space="preserve">PMTCT_HEI_POS.EVLT.T</t>
  </si>
  <si>
    <t xml:space="preserve">PMTCT_HEI_POS.Access.Rt.T</t>
  </si>
  <si>
    <t xml:space="preserve">PMTCT_HEI_POS.TX_PVLS.D.T</t>
  </si>
  <si>
    <t xml:space="preserve">PMTCT_HEI_POS.VLS.Rt.T</t>
  </si>
  <si>
    <t xml:space="preserve">TB_STAT &amp; TB_ART</t>
  </si>
  <si>
    <t xml:space="preserve">TB_STAT (D)</t>
  </si>
  <si>
    <t xml:space="preserve">TB_STAT (N)</t>
  </si>
  <si>
    <t xml:space="preserve">TB_ART</t>
  </si>
  <si>
    <t xml:space="preserve">To shut off TB_STAT entirely:
1. Replace all formulas for "TB_STAT (D) (FY23) targets with zeros.</t>
  </si>
  <si>
    <t xml:space="preserve">FY22 Targets</t>
  </si>
  <si>
    <t xml:space="preserve">Estimated Change in Incidence (%)</t>
  </si>
  <si>
    <t xml:space="preserve">TB_STAT (D) (FY23)</t>
  </si>
  <si>
    <t xml:space="preserve">TB_STAT (N): New Positives (FY22 Targets)</t>
  </si>
  <si>
    <t xml:space="preserve">Targeted TB_STAT Coverage (FY23) (%)</t>
  </si>
  <si>
    <t xml:space="preserve">Est. % TB clients already Known HIV Positive (FY21 Results) (%)</t>
  </si>
  <si>
    <t xml:space="preserve">Projected % TB clients already Known HIV+ (FY23) (%)</t>
  </si>
  <si>
    <t xml:space="preserve">Est. Yield among Newly Tested (FY21 Results) (%)</t>
  </si>
  <si>
    <t xml:space="preserve">Projected Yield among Newly Tested (FY23) (%)</t>
  </si>
  <si>
    <t xml:space="preserve">Total TB_STAT (N)</t>
  </si>
  <si>
    <t xml:space="preserve">Known HIV Status, Positive</t>
  </si>
  <si>
    <t xml:space="preserve">Newly Tested, Positive</t>
  </si>
  <si>
    <t xml:space="preserve">Newly Tested, Negative</t>
  </si>
  <si>
    <t xml:space="preserve">Already on ART</t>
  </si>
  <si>
    <t xml:space="preserve">New on ART</t>
  </si>
  <si>
    <t xml:space="preserve">Total Positives from PMTCT_STAT (FY23) (%)</t>
  </si>
  <si>
    <t xml:space="preserve">Total Positives from Post ANC1 (FY23) (%)</t>
  </si>
  <si>
    <t xml:space="preserve">eeYmLTvWk8k</t>
  </si>
  <si>
    <t xml:space="preserve">tqP00nubcdo</t>
  </si>
  <si>
    <t xml:space="preserve">hJeWl5XjzgM</t>
  </si>
  <si>
    <t xml:space="preserve">OLbVI34nrpu</t>
  </si>
  <si>
    <t xml:space="preserve">VkrrexUefpS</t>
  </si>
  <si>
    <t xml:space="preserve">VVixfmL4Try</t>
  </si>
  <si>
    <t xml:space="preserve">TB_STAT.D.T_1</t>
  </si>
  <si>
    <t xml:space="preserve">TB_STAT.D.Growth.T</t>
  </si>
  <si>
    <t xml:space="preserve">TB_STAT.D.T</t>
  </si>
  <si>
    <t xml:space="preserve">TB_STAT.N.New.Pos.T_1</t>
  </si>
  <si>
    <t xml:space="preserve">TB_STAT.N.Rt.T</t>
  </si>
  <si>
    <t xml:space="preserve">TB_STAT.N.KnownPosRt.R</t>
  </si>
  <si>
    <t xml:space="preserve">TB_STAT.N.KnownPosRt.T</t>
  </si>
  <si>
    <t xml:space="preserve">TB_STAT.N.New.Yield.R</t>
  </si>
  <si>
    <t xml:space="preserve">TB_STAT.N.New.Yield.T</t>
  </si>
  <si>
    <t xml:space="preserve">TB_STAT.N.T</t>
  </si>
  <si>
    <t xml:space="preserve">TB_STAT.N.KnownPos.T</t>
  </si>
  <si>
    <t xml:space="preserve">TB_STAT.N.New.Neg.T</t>
  </si>
  <si>
    <t xml:space="preserve">TB_STAT.Linkage.T</t>
  </si>
  <si>
    <t xml:space="preserve">TB_ART.Already.T</t>
  </si>
  <si>
    <t xml:space="preserve">TB_ART.New.T</t>
  </si>
  <si>
    <t xml:space="preserve">VMMC</t>
  </si>
  <si>
    <t xml:space="preserve">VMMC_CIRC_SUBNAT</t>
  </si>
  <si>
    <t xml:space="preserve">VMMC_CIRC</t>
  </si>
  <si>
    <t xml:space="preserve">ART Linkage</t>
  </si>
  <si>
    <t xml:space="preserve">To shut off VMMC_CIRC entirely:
1. Replace all formulas for "Total VMMC_CIRC" with zeros.</t>
  </si>
  <si>
    <t xml:space="preserve">R</t>
  </si>
  <si>
    <t xml:space="preserve">Host Country Est. Male Population (FY22)</t>
  </si>
  <si>
    <t xml:space="preserve">Host Country VMMC_CIRC_SUBNAT (FY22)</t>
  </si>
  <si>
    <t xml:space="preserve">Host Country VMMC_TOTALCIRC_SUBNAT (FY22)</t>
  </si>
  <si>
    <t xml:space="preserve">Host Country Est. VMMC Coverage (FY22) (%)</t>
  </si>
  <si>
    <t xml:space="preserve">Targeted Host Country VMMC Coverage (FY23) (%)</t>
  </si>
  <si>
    <t xml:space="preserve">Targeted Host Country VMMC_TOTALCIRC_SUBNAT (FY23)</t>
  </si>
  <si>
    <t xml:space="preserve">Targeted Host Country VMMC_CIRC_SUBNAT (FY23)</t>
  </si>
  <si>
    <t xml:space="preserve">PEPFAR VMMC_CIRC (FY21 Results)</t>
  </si>
  <si>
    <t xml:space="preserve">PEPFAR VMMC_CIRC (FY22 Targets)</t>
  </si>
  <si>
    <t xml:space="preserve">Est. PEPFAR Coverage of Host Country VMMC_CIRC_SUBNAT (FY22) (%)</t>
  </si>
  <si>
    <t xml:space="preserve">Planned PEPFAR Coverage of Host Country VMMC_CIRC_SUBNAT (FY23) (%)</t>
  </si>
  <si>
    <t xml:space="preserve">_Military ONLY: Change in VMMC_CIRC FY22-FY23 (%)</t>
  </si>
  <si>
    <t xml:space="preserve">Observed Indeterminate/Not Tested Rate (FY21 Results) (%)</t>
  </si>
  <si>
    <t xml:space="preserve">Projected Indeterminate/Not Tested rate (FY23) (%)</t>
  </si>
  <si>
    <t xml:space="preserve">Observed Yield among Newly Tested (FY21 Results) (%)</t>
  </si>
  <si>
    <t xml:space="preserve">Total VMMC_CIRC</t>
  </si>
  <si>
    <t xml:space="preserve">Indeterminate/Not Tested</t>
  </si>
  <si>
    <t xml:space="preserve">HIV Positive</t>
  </si>
  <si>
    <t xml:space="preserve">HIV Negative</t>
  </si>
  <si>
    <t xml:space="preserve">VMMC_CIRC_POS linked to ART</t>
  </si>
  <si>
    <t xml:space="preserve">Total Positives from VMMC_CIRC (FY23) (%)</t>
  </si>
  <si>
    <t xml:space="preserve">SSun4i7nHlV</t>
  </si>
  <si>
    <t xml:space="preserve">ZayJeEa6pCa</t>
  </si>
  <si>
    <t xml:space="preserve">cRCw63EQEbM</t>
  </si>
  <si>
    <t xml:space="preserve">jCfFnI5DZST</t>
  </si>
  <si>
    <t xml:space="preserve">TiMvlchPiPH</t>
  </si>
  <si>
    <t xml:space="preserve">xlSW2W3YGtk</t>
  </si>
  <si>
    <t xml:space="preserve">gUdtLH3fV1m</t>
  </si>
  <si>
    <t xml:space="preserve">VMMC_CIRC_SUBNAT.T_1</t>
  </si>
  <si>
    <t xml:space="preserve">VMMC_TOTALCIRC_SUBNAT.T_1</t>
  </si>
  <si>
    <t xml:space="preserve">VMMC_TOTALCIRC_SUBNAT.Rt.T_1</t>
  </si>
  <si>
    <t xml:space="preserve">VMMC_TOTALCIRC_SUBNAT.Rt.T</t>
  </si>
  <si>
    <t xml:space="preserve">VMMC_TOTALCIRC_SUBNAT.T</t>
  </si>
  <si>
    <t xml:space="preserve">VMMC_CIRC_SUBNAT.T</t>
  </si>
  <si>
    <t xml:space="preserve">VMMC_CIRC.R</t>
  </si>
  <si>
    <t xml:space="preserve">VMMC_CIRC.T_1</t>
  </si>
  <si>
    <t xml:space="preserve">VMMC_CIRC.NatlContr.T_1</t>
  </si>
  <si>
    <t xml:space="preserve">VMMC_CIRC.NatlContr.T</t>
  </si>
  <si>
    <t xml:space="preserve">VMMC_CIRC.Change.Military</t>
  </si>
  <si>
    <t xml:space="preserve">VMMC_CIRC.Unk.Rt.R</t>
  </si>
  <si>
    <t xml:space="preserve">VMMC_CIRC.Unk.Rt.T</t>
  </si>
  <si>
    <t xml:space="preserve">VMMC_CIRC.Yield.R</t>
  </si>
  <si>
    <t xml:space="preserve">VMMC_CIRC.Yield.T</t>
  </si>
  <si>
    <t xml:space="preserve">VMMC_CIRC.T</t>
  </si>
  <si>
    <t xml:space="preserve">VMMC_CIRC.Unk.T</t>
  </si>
  <si>
    <t xml:space="preserve">VMMC_CIRC.Neg.T</t>
  </si>
  <si>
    <t xml:space="preserve">VMMC_CIRC.Linkage.T</t>
  </si>
  <si>
    <t xml:space="preserve">TX_NEW.VMMC.T</t>
  </si>
  <si>
    <t xml:space="preserve">KP</t>
  </si>
  <si>
    <t xml:space="preserve">KP_ESTIMATES</t>
  </si>
  <si>
    <t xml:space="preserve">PrEP_CT</t>
  </si>
  <si>
    <t xml:space="preserve">PrEP_NEW</t>
  </si>
  <si>
    <t xml:space="preserve">KP_PREV</t>
  </si>
  <si>
    <t xml:space="preserve">HTS_RECENT</t>
  </si>
  <si>
    <t xml:space="preserve">HTS_SELF</t>
  </si>
  <si>
    <t xml:space="preserve">Projected</t>
  </si>
  <si>
    <t xml:space="preserve">Host Country Est. Total Size (FY22)</t>
  </si>
  <si>
    <t xml:space="preserve">Host Country Est. KPLHIV (FY22)</t>
  </si>
  <si>
    <t xml:space="preserve">PrEP_CURR - KeyPop (FY22 Targets)</t>
  </si>
  <si>
    <t xml:space="preserve">PrEP_CT - KeyPop (FY23)</t>
  </si>
  <si>
    <t xml:space="preserve">PrEP_NEW - KeyPop (FY22 Targets)</t>
  </si>
  <si>
    <t xml:space="preserve">PrEP_NEW - KeyPop (FY23)</t>
  </si>
  <si>
    <t xml:space="preserve">KP_PREV (FY22 Targets)</t>
  </si>
  <si>
    <t xml:space="preserve">KP_PREV (FY23)</t>
  </si>
  <si>
    <t xml:space="preserve">TX_CURR - KeyPop (FY21 Results)</t>
  </si>
  <si>
    <t xml:space="preserve">TX_CURR - KeyPop (FY22 Targets)</t>
  </si>
  <si>
    <t xml:space="preserve">TX_CURR - KeyPop (FY23)</t>
  </si>
  <si>
    <t xml:space="preserve">TX_NET_NEW - KeyPop (FY23)</t>
  </si>
  <si>
    <t xml:space="preserve">TX_NEW - KeyPop (FY22 Targets)</t>
  </si>
  <si>
    <t xml:space="preserve">Proportion of TX_NET_NEW from New ART Initiation (FY23) (%)</t>
  </si>
  <si>
    <t xml:space="preserve">Targeted Retention Rate - New on ART (FY23) (%)</t>
  </si>
  <si>
    <t xml:space="preserve">TX_NEW - KeyPop (FY23)</t>
  </si>
  <si>
    <t xml:space="preserve">% of TX_NEW Eligible for VL Test (FY23) (%)</t>
  </si>
  <si>
    <t xml:space="preserve">Proportion of eligible w/ access to VL testing (FY23) (%)</t>
  </si>
  <si>
    <t xml:space="preserve">TX_PVLS (D) - KeyPop (FY23)</t>
  </si>
  <si>
    <t xml:space="preserve">Targeted VL Suppression Rate (FY23) (%)</t>
  </si>
  <si>
    <t xml:space="preserve">TX_PVLS (N) - KeyPop (FY23)</t>
  </si>
  <si>
    <t xml:space="preserve">TX_NEW from Previously Diagnosed (FY23) (%)</t>
  </si>
  <si>
    <t xml:space="preserve">TX_NEW from all other sources (FY23)</t>
  </si>
  <si>
    <t xml:space="preserve">KeyPop, Positive (FY22 Targets)</t>
  </si>
  <si>
    <t xml:space="preserve">KeyPop, Negative (FY22 Targets)</t>
  </si>
  <si>
    <t xml:space="preserve">Yield (FY23) (%)</t>
  </si>
  <si>
    <t xml:space="preserve">KeyPop, Positive (FY23)</t>
  </si>
  <si>
    <t xml:space="preserve">KeyPop, Negative (FY23)</t>
  </si>
  <si>
    <t xml:space="preserve">% of HTS_TST KeyPop Positives (FY23) (%)</t>
  </si>
  <si>
    <t xml:space="preserve">HTS_RECENT - KeyPop (FY23)</t>
  </si>
  <si>
    <t xml:space="preserve">HTS_SELF - KeyPop (FY22 Targets)</t>
  </si>
  <si>
    <t xml:space="preserve">HTS_SELF - KeyPop (FY23)</t>
  </si>
  <si>
    <t xml:space="preserve">qFyJH6fUPQk</t>
  </si>
  <si>
    <t xml:space="preserve">LADGHYIE9m1</t>
  </si>
  <si>
    <t xml:space="preserve">P3AT3zcyRhU</t>
  </si>
  <si>
    <t xml:space="preserve">LszHDl1UBp2</t>
  </si>
  <si>
    <t xml:space="preserve">bwlf1Jfww0L</t>
  </si>
  <si>
    <t xml:space="preserve">lXqlw8UxoqF</t>
  </si>
  <si>
    <t xml:space="preserve">wDWUutgeEX8</t>
  </si>
  <si>
    <t xml:space="preserve">ScQASwweWXL</t>
  </si>
  <si>
    <t xml:space="preserve">OLbhrUez4dP</t>
  </si>
  <si>
    <t xml:space="preserve">ktZYUSS0Zjo</t>
  </si>
  <si>
    <t xml:space="preserve">P9OjdVVMHMW</t>
  </si>
  <si>
    <t xml:space="preserve">tGtB1nLnQjC</t>
  </si>
  <si>
    <t xml:space="preserve">ef1o9r1kDIH</t>
  </si>
  <si>
    <t xml:space="preserve">y42bZItNsea</t>
  </si>
  <si>
    <t xml:space="preserve">qL1qysWLZoq</t>
  </si>
  <si>
    <t xml:space="preserve">G7eK9Fy8PJO</t>
  </si>
  <si>
    <t xml:space="preserve">GlyNHRiJTOu</t>
  </si>
  <si>
    <t xml:space="preserve">gdHE7Kk9Q1k</t>
  </si>
  <si>
    <t xml:space="preserve">VRgwEePUvdD</t>
  </si>
  <si>
    <t xml:space="preserve">rEKqsIDMOgB</t>
  </si>
  <si>
    <t xml:space="preserve">uIqAr4ev05I</t>
  </si>
  <si>
    <t xml:space="preserve">SyQHN3Jpcww</t>
  </si>
  <si>
    <t xml:space="preserve">ZYB5AHSw7Tm</t>
  </si>
  <si>
    <t xml:space="preserve">Qshwh8ZOmYD</t>
  </si>
  <si>
    <t xml:space="preserve">MA4lEpgzAxS</t>
  </si>
  <si>
    <t xml:space="preserve">uZ2UTVh2wkJ</t>
  </si>
  <si>
    <t xml:space="preserve">Hx5jjGAdVsT</t>
  </si>
  <si>
    <t xml:space="preserve">Coarse KPs</t>
  </si>
  <si>
    <t xml:space="preserve">KeyPop</t>
  </si>
  <si>
    <t xml:space="preserve">KP_ESTIMATES.Total.T</t>
  </si>
  <si>
    <t xml:space="preserve">KP_ESTIMATES.Pos.T</t>
  </si>
  <si>
    <t xml:space="preserve">KP_ESTIMATES.Prev.T</t>
  </si>
  <si>
    <t xml:space="preserve">PrEP_CURR.KP.T_1</t>
  </si>
  <si>
    <t xml:space="preserve">PrEP_CT.KP.T</t>
  </si>
  <si>
    <t xml:space="preserve">PrEP_NEW.KP.T_1</t>
  </si>
  <si>
    <t xml:space="preserve">PrEP_NEW.KP.T</t>
  </si>
  <si>
    <t xml:space="preserve">KP_PREV.T_1</t>
  </si>
  <si>
    <t xml:space="preserve">KP_PREV.T</t>
  </si>
  <si>
    <t xml:space="preserve">TX_CURR.KP.R</t>
  </si>
  <si>
    <t xml:space="preserve">TX_CURR.KP.T_1</t>
  </si>
  <si>
    <t xml:space="preserve">TX_CURR.KP.T</t>
  </si>
  <si>
    <t xml:space="preserve">TX_NET_NEW.KP.T</t>
  </si>
  <si>
    <t xml:space="preserve">TX_NEW.KP.T_1</t>
  </si>
  <si>
    <t xml:space="preserve">TX_NET_NEW.KP.NewRt.T</t>
  </si>
  <si>
    <t xml:space="preserve">TX_RET.KP.Already.T</t>
  </si>
  <si>
    <t xml:space="preserve">TX_RET.KP.New.T</t>
  </si>
  <si>
    <t xml:space="preserve">TX_NEW.KP.T</t>
  </si>
  <si>
    <t xml:space="preserve">TX_PVLS.D.KP.Eligible</t>
  </si>
  <si>
    <t xml:space="preserve">TX_PVLS.D.KP.Access</t>
  </si>
  <si>
    <t xml:space="preserve">TX_PVLS.D.KP.T</t>
  </si>
  <si>
    <t xml:space="preserve">TX_PVLS.N.KP.Rt</t>
  </si>
  <si>
    <t xml:space="preserve">TX_PVLS.N.KP.T</t>
  </si>
  <si>
    <t xml:space="preserve">TX_NEW.KP.PrevDiag.Share.T</t>
  </si>
  <si>
    <t xml:space="preserve">TX_NEW.KP.PrevDiag.T</t>
  </si>
  <si>
    <t xml:space="preserve">TX_NEW.KP.Other.T</t>
  </si>
  <si>
    <t xml:space="preserve">HTS_TST.KP.Pos.T_1</t>
  </si>
  <si>
    <t xml:space="preserve">HTS_TST.KP.Neg.T_1</t>
  </si>
  <si>
    <t xml:space="preserve">HTS_TST.KP.Linkage.T</t>
  </si>
  <si>
    <t xml:space="preserve">HTS_TST.KP.Pos.Yield.T</t>
  </si>
  <si>
    <t xml:space="preserve">HTS_TST.KP.Pos.T</t>
  </si>
  <si>
    <t xml:space="preserve">HTS_TST.KP.Neg.T</t>
  </si>
  <si>
    <t xml:space="preserve">HTS_RECENT.KP.Cov</t>
  </si>
  <si>
    <t xml:space="preserve">HTS_RECENT.KP.T</t>
  </si>
  <si>
    <t xml:space="preserve">HTS_SELF.KP.T_1</t>
  </si>
  <si>
    <t xml:space="preserve">HTS_SELF.KP.T</t>
  </si>
  <si>
    <t xml:space="preserve">HTS</t>
  </si>
  <si>
    <t xml:space="preserve">Testing Summary from Other Tabs</t>
  </si>
  <si>
    <t xml:space="preserve">HTS_TST - Distribution of Positive Tests</t>
  </si>
  <si>
    <t xml:space="preserve">Inpatient (Facility)</t>
  </si>
  <si>
    <t xml:space="preserve">Pediatric (Facility)</t>
  </si>
  <si>
    <t xml:space="preserve">Malnutrition (Facility)</t>
  </si>
  <si>
    <t xml:space="preserve">STI Clinic (Facility)</t>
  </si>
  <si>
    <t xml:space="preserve">Emergency (Facility)</t>
  </si>
  <si>
    <t xml:space="preserve">Other PITC (Facility)</t>
  </si>
  <si>
    <t xml:space="preserve">VCT (Facility)</t>
  </si>
  <si>
    <t xml:space="preserve">SNS (Facility)</t>
  </si>
  <si>
    <t xml:space="preserve">Mobile (Community)</t>
  </si>
  <si>
    <t xml:space="preserve">SNS (Community)</t>
  </si>
  <si>
    <t xml:space="preserve">Other (Community)</t>
  </si>
  <si>
    <t xml:space="preserve">HTS_TST (Total)</t>
  </si>
  <si>
    <t xml:space="preserve">HTS_SELF (N)</t>
  </si>
  <si>
    <t xml:space="preserve">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</si>
  <si>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 xml:space="preserve">HTS_INDEX Community Positives (FY23)</t>
  </si>
  <si>
    <t xml:space="preserve">HTS_INDEX Facility Positives (FY23)</t>
  </si>
  <si>
    <t xml:space="preserve">VMMC_CIRC New Positives (FY23)</t>
  </si>
  <si>
    <t xml:space="preserve">HTS_INDEX_COM: Positive (%)</t>
  </si>
  <si>
    <t xml:space="preserve">HTS_INDEX_FAC: Positive (%)</t>
  </si>
  <si>
    <t xml:space="preserve">PMTCT_STAT: New Positive (%)</t>
  </si>
  <si>
    <t xml:space="preserve">HTS_TST PMTCT Post ANC1: Positive (%)</t>
  </si>
  <si>
    <t xml:space="preserve">TB_STAT: New Positive (%)</t>
  </si>
  <si>
    <t xml:space="preserve">VMMC_CIRC: HIV Positive (%)</t>
  </si>
  <si>
    <t xml:space="preserve">Facility - Inpatient (%)</t>
  </si>
  <si>
    <t xml:space="preserve">Facility - Pediatric (%)</t>
  </si>
  <si>
    <t xml:space="preserve">Facility - Malnutrition (%)</t>
  </si>
  <si>
    <t xml:space="preserve">Facility - STI Clinic (%)</t>
  </si>
  <si>
    <t xml:space="preserve">Facility - Emergency (%)</t>
  </si>
  <si>
    <t xml:space="preserve">Facility - Other PITC (%)</t>
  </si>
  <si>
    <t xml:space="preserve">Facility - VCT (%)</t>
  </si>
  <si>
    <t xml:space="preserve">Facility - SNS (%)</t>
  </si>
  <si>
    <t xml:space="preserve">Community - Mobile (%)</t>
  </si>
  <si>
    <t xml:space="preserve">Community - SNS (%)</t>
  </si>
  <si>
    <t xml:space="preserve">Community - Other (%)</t>
  </si>
  <si>
    <t xml:space="preserve">Distribution Check (%)</t>
  </si>
  <si>
    <t xml:space="preserve">Yield (%)</t>
  </si>
  <si>
    <t xml:space="preserve">Positive</t>
  </si>
  <si>
    <t xml:space="preserve">Negative</t>
  </si>
  <si>
    <t xml:space="preserve">Original HTS_TST_POS (FY23)</t>
  </si>
  <si>
    <t xml:space="preserve">Final HTS_TST_POS (FY23)</t>
  </si>
  <si>
    <t xml:space="preserve">HTS_TST_POS difference to adjust</t>
  </si>
  <si>
    <t xml:space="preserve">HTS_INDEX Community New Negatives (FY23)</t>
  </si>
  <si>
    <t xml:space="preserve">HTS_INDEX Facility New Negatives (FY23)</t>
  </si>
  <si>
    <t xml:space="preserve">PMTCT_STAT New Negatives (FY23)</t>
  </si>
  <si>
    <t xml:space="preserve">HTS_TST Post ANC1 Negatives (FY23)</t>
  </si>
  <si>
    <t xml:space="preserve">TB_STAT New Negatives (FY23)</t>
  </si>
  <si>
    <t xml:space="preserve">VMMC_CIRC Negatives (FY23)</t>
  </si>
  <si>
    <t xml:space="preserve">Total HTS_TST_NEG (FY23)</t>
  </si>
  <si>
    <t xml:space="preserve">Total HTS_TST (FY23)</t>
  </si>
  <si>
    <t xml:space="preserve">Aggregate Yield Rate (FY23) (%)</t>
  </si>
  <si>
    <t xml:space="preserve">HTS_SELF (FY22 Targets)</t>
  </si>
  <si>
    <t xml:space="preserve">% Change in HTS_SELF (%)</t>
  </si>
  <si>
    <t xml:space="preserve">HTS_SELF (FY23)</t>
  </si>
  <si>
    <t xml:space="preserve">ydi7w5XUSNn</t>
  </si>
  <si>
    <t xml:space="preserve">N0j5TDUdTHQ</t>
  </si>
  <si>
    <t xml:space="preserve">YQmTFDhOXza</t>
  </si>
  <si>
    <t xml:space="preserve">JDdf06ZTwyz</t>
  </si>
  <si>
    <t xml:space="preserve">Ea3rt2Nb0QG</t>
  </si>
  <si>
    <t xml:space="preserve">gwHmP4hr3DP</t>
  </si>
  <si>
    <t xml:space="preserve">pfijmxjaMhp</t>
  </si>
  <si>
    <t xml:space="preserve">L7WtGlktM3V</t>
  </si>
  <si>
    <t xml:space="preserve">SpiiKPXh98N</t>
  </si>
  <si>
    <t xml:space="preserve">w9SZ1C4cYZH</t>
  </si>
  <si>
    <t xml:space="preserve">TCNNxKm4KZb</t>
  </si>
  <si>
    <t xml:space="preserve">r9N46a1q942</t>
  </si>
  <si>
    <t xml:space="preserve">aMnJ58kqylT</t>
  </si>
  <si>
    <t xml:space="preserve">Jsv1CQ3JbCy</t>
  </si>
  <si>
    <t xml:space="preserve">n32vXYJ6Wkn</t>
  </si>
  <si>
    <t xml:space="preserve">Jky7p2XOCNk</t>
  </si>
  <si>
    <t xml:space="preserve">W680huEe6Hw</t>
  </si>
  <si>
    <t xml:space="preserve">nmaqnOpWT1h</t>
  </si>
  <si>
    <t xml:space="preserve">CXM6vjMKs8r</t>
  </si>
  <si>
    <t xml:space="preserve">ut2wnnl1wHd</t>
  </si>
  <si>
    <t xml:space="preserve">oZ4YhB1Fkgk</t>
  </si>
  <si>
    <t xml:space="preserve">zvvb5B8E4XP</t>
  </si>
  <si>
    <t xml:space="preserve">VIhAZvOIQRL</t>
  </si>
  <si>
    <t xml:space="preserve">NcMMbbymtij</t>
  </si>
  <si>
    <t xml:space="preserve">5 yr, 01+, 50+</t>
  </si>
  <si>
    <t xml:space="preserve">5 yr, 10+, 50+</t>
  </si>
  <si>
    <t xml:space="preserve">5 yr, 15+, 50+</t>
  </si>
  <si>
    <t xml:space="preserve">01-04 Only</t>
  </si>
  <si>
    <t xml:space="preserve">HTS_TST.IndexCom.Pos.Share</t>
  </si>
  <si>
    <t xml:space="preserve">HTS_TST.IndexFac.Pos.Share</t>
  </si>
  <si>
    <t xml:space="preserve">HTS_TST.PMTCT.Pos.Share</t>
  </si>
  <si>
    <t xml:space="preserve">HTS_TST.PostANC1.Pos.Share</t>
  </si>
  <si>
    <t xml:space="preserve">HTS_TST.TB.Pos.Share</t>
  </si>
  <si>
    <t xml:space="preserve">HTS_TST.VMMC.Pos.Share</t>
  </si>
  <si>
    <t xml:space="preserve">HTS_TST.Inpat.Pos.Share</t>
  </si>
  <si>
    <t xml:space="preserve">HTS_TST.Peds.Pos.Share</t>
  </si>
  <si>
    <t xml:space="preserve">HTS_TST.Maln.Pos.Share</t>
  </si>
  <si>
    <t xml:space="preserve">HTS_TST.STI.Pos.Share</t>
  </si>
  <si>
    <t xml:space="preserve">HTS_TST.EW.Pos.Share</t>
  </si>
  <si>
    <t xml:space="preserve">HTS_TST.Other.Pos.Share</t>
  </si>
  <si>
    <t xml:space="preserve">HTS_TST.VCT.Pos.Share</t>
  </si>
  <si>
    <t xml:space="preserve">HTS_TST.SNS.Pos.Share</t>
  </si>
  <si>
    <t xml:space="preserve">HTS_TST.MobileCom.Pos.Share</t>
  </si>
  <si>
    <t xml:space="preserve">HTS_TST.SNSCom.Pos.Share</t>
  </si>
  <si>
    <t xml:space="preserve">HTS_TST.OtherCom.Pos.Share</t>
  </si>
  <si>
    <t xml:space="preserve">HTS_TST.Pos.DistCheck</t>
  </si>
  <si>
    <t xml:space="preserve">HTS_TST.Inpat.Pos.Yield</t>
  </si>
  <si>
    <t xml:space="preserve">HTS_TST.Inpat.Pos.T</t>
  </si>
  <si>
    <t xml:space="preserve">HTS_TST.Inpat.Neg.T</t>
  </si>
  <si>
    <t xml:space="preserve">HTS_TST.Peds.Yield</t>
  </si>
  <si>
    <t xml:space="preserve">HTS_TST.Peds.Pos.T</t>
  </si>
  <si>
    <t xml:space="preserve">HTS_TST.Peds.Neg.T</t>
  </si>
  <si>
    <t xml:space="preserve">HTS_TST.Maln.Yield</t>
  </si>
  <si>
    <t xml:space="preserve">HTS_TST.Maln.Pos.T</t>
  </si>
  <si>
    <t xml:space="preserve">HTS_TST.Maln.Neg.T</t>
  </si>
  <si>
    <t xml:space="preserve">HTS_TST.STI.Yield</t>
  </si>
  <si>
    <t xml:space="preserve">HTS_TST.STI.Pos.T</t>
  </si>
  <si>
    <t xml:space="preserve">HTS_TST.STI.Neg.T</t>
  </si>
  <si>
    <t xml:space="preserve">HTS_TST.EW.Yield</t>
  </si>
  <si>
    <t xml:space="preserve">HTS_TST.EW.Pos.T</t>
  </si>
  <si>
    <t xml:space="preserve">HTS_TST.EW.Neg.T</t>
  </si>
  <si>
    <t xml:space="preserve">HTS_TST.Other.Yield</t>
  </si>
  <si>
    <t xml:space="preserve">HTS_TST.Other.Pos.T</t>
  </si>
  <si>
    <t xml:space="preserve">HTS_TST.Other.Neg.T</t>
  </si>
  <si>
    <t xml:space="preserve">HTS_TST.VCT.Yield</t>
  </si>
  <si>
    <t xml:space="preserve">HTS_TST.VCT.Pos.T</t>
  </si>
  <si>
    <t xml:space="preserve">HTS_TST.VCT.Neg.T</t>
  </si>
  <si>
    <t xml:space="preserve">HTS_TST.SNS.Yield</t>
  </si>
  <si>
    <t xml:space="preserve">HTS_TST.SNS.Pos.T</t>
  </si>
  <si>
    <t xml:space="preserve">HTS_TST.SNS.Neg.T</t>
  </si>
  <si>
    <t xml:space="preserve">HTS_TST.MobileCom.Yield</t>
  </si>
  <si>
    <t xml:space="preserve">HTS_TST.MobileCom.Pos.T</t>
  </si>
  <si>
    <t xml:space="preserve">HTS_TST.MobileCom.Neg.T</t>
  </si>
  <si>
    <t xml:space="preserve">HTS_TST.SNSCom.Yield</t>
  </si>
  <si>
    <t xml:space="preserve">HTS_TST.SNSCom.Pos.T</t>
  </si>
  <si>
    <t xml:space="preserve">HTS_TST.SNSCom.Neg.T</t>
  </si>
  <si>
    <t xml:space="preserve">HTS_TST.OtherCom.Yield</t>
  </si>
  <si>
    <t xml:space="preserve">HTS_TST.OtherCom.Pos.T</t>
  </si>
  <si>
    <t xml:space="preserve">HTS_TST.OtherCom.Neg.T</t>
  </si>
  <si>
    <t xml:space="preserve">HTS_TST.Pos.Original</t>
  </si>
  <si>
    <t xml:space="preserve">HTS_TST.Pos.Total</t>
  </si>
  <si>
    <t xml:space="preserve">HTS_TST.Pos.Diff</t>
  </si>
  <si>
    <t xml:space="preserve">HTS_TST.Neg.Total</t>
  </si>
  <si>
    <t xml:space="preserve">HTS_TST.Total</t>
  </si>
  <si>
    <t xml:space="preserve">HTS_TST.Yield</t>
  </si>
  <si>
    <t xml:space="preserve">HTS_SELF.T_1</t>
  </si>
  <si>
    <t xml:space="preserve">HTS_SELF.Growth</t>
  </si>
  <si>
    <t xml:space="preserve">HTS_SELF.T</t>
  </si>
  <si>
    <t xml:space="preserve">CXCA</t>
  </si>
  <si>
    <t xml:space="preserve">CXCA_SCRN</t>
  </si>
  <si>
    <t xml:space="preserve">To shut off CXCA_SCRN entirely, replace all percentages in the green column, "Target CXCA Screening coverage rate (%)" with zeros.</t>
  </si>
  <si>
    <t xml:space="preserve">CXCA_SCRN (FY21 Results)</t>
  </si>
  <si>
    <t xml:space="preserve">CXCA_SCRN (FY22 Targets)</t>
  </si>
  <si>
    <t xml:space="preserve">Observed CXCA Screening Coverage Rate (FY21 Results) (%)</t>
  </si>
  <si>
    <t xml:space="preserve">Targeted CXCA Screening coverage rate (FY23) (%)</t>
  </si>
  <si>
    <t xml:space="preserve">CXCA_SCRN (FY23)</t>
  </si>
  <si>
    <t xml:space="preserve">XboLlTkc4Av</t>
  </si>
  <si>
    <t xml:space="preserve">hfR9r70Fk99</t>
  </si>
  <si>
    <t xml:space="preserve">XWK6yAwhol8</t>
  </si>
  <si>
    <t xml:space="preserve">wQ5XOuU0LVH</t>
  </si>
  <si>
    <t xml:space="preserve">5 yr, 25-49</t>
  </si>
  <si>
    <t xml:space="preserve">CXCA_SCRN.R</t>
  </si>
  <si>
    <t xml:space="preserve">CXCA_SCRN.T_1</t>
  </si>
  <si>
    <t xml:space="preserve">CXCA_SCRN.Rt.R</t>
  </si>
  <si>
    <t xml:space="preserve">CXCA_SCRN.Rt.T</t>
  </si>
  <si>
    <t xml:space="preserve">CXCA_SCRN.T</t>
  </si>
  <si>
    <t xml:space="preserve">PMTCT (Facility)</t>
  </si>
  <si>
    <t xml:space="preserve">PMTCT Post ANC1 (Facility)</t>
  </si>
  <si>
    <t xml:space="preserve">TB (Facility)</t>
  </si>
  <si>
    <t xml:space="preserve">VMMC (Facility)</t>
  </si>
  <si>
    <t xml:space="preserve">Index (Community)</t>
  </si>
  <si>
    <t xml:space="preserve">Index (Facility)</t>
  </si>
  <si>
    <t xml:space="preserve">HTS_RECENT (Total)</t>
  </si>
  <si>
    <t xml:space="preserve">% of Positives</t>
  </si>
  <si>
    <t xml:space="preserve"># Tested for Recent Infection</t>
  </si>
  <si>
    <t xml:space="preserve">Total Recency Tests (FY23)</t>
  </si>
  <si>
    <t xml:space="preserve">Aggregate Recency Test Coverage Rate (FY23) (%)</t>
  </si>
  <si>
    <t xml:space="preserve">J1fW7eRVAvg</t>
  </si>
  <si>
    <t xml:space="preserve">plNFWb5y1xZ</t>
  </si>
  <si>
    <t xml:space="preserve">UXsJUOYhGKw</t>
  </si>
  <si>
    <t xml:space="preserve">XDT2DJvZo7s</t>
  </si>
  <si>
    <t xml:space="preserve">LIAjiT4jTs6</t>
  </si>
  <si>
    <t xml:space="preserve">J1BAupscTaW</t>
  </si>
  <si>
    <t xml:space="preserve">LqBvfeIM16u</t>
  </si>
  <si>
    <t xml:space="preserve">eb2ZBmNFOHl</t>
  </si>
  <si>
    <t xml:space="preserve">isc6NmtIRN6</t>
  </si>
  <si>
    <t xml:space="preserve">VTV9sGJ4UG9</t>
  </si>
  <si>
    <t xml:space="preserve">eobYc4wjsBv</t>
  </si>
  <si>
    <t xml:space="preserve">IRrwpjKx7ye</t>
  </si>
  <si>
    <t xml:space="preserve">VczqDKZHGPM</t>
  </si>
  <si>
    <t xml:space="preserve">olULPdHspqP</t>
  </si>
  <si>
    <t xml:space="preserve">CsS3NWTqfpu</t>
  </si>
  <si>
    <t xml:space="preserve">ICfpR6tTRav</t>
  </si>
  <si>
    <t xml:space="preserve">OJRxJ6RKD1Y</t>
  </si>
  <si>
    <t xml:space="preserve">kvpanmX8jqF</t>
  </si>
  <si>
    <t xml:space="preserve">PiXbpFs1eHW</t>
  </si>
  <si>
    <t xml:space="preserve">oaZYhkz7cFQ</t>
  </si>
  <si>
    <t xml:space="preserve">odyWaFzVFFt</t>
  </si>
  <si>
    <t xml:space="preserve">JHvmBrMCjy7</t>
  </si>
  <si>
    <t xml:space="preserve">z6GXOWXNpjr</t>
  </si>
  <si>
    <t xml:space="preserve">ZNMNKgHs4KO</t>
  </si>
  <si>
    <t xml:space="preserve">vcs4BFXyhMY</t>
  </si>
  <si>
    <t xml:space="preserve">c7RGWvHw00d</t>
  </si>
  <si>
    <t xml:space="preserve">dCS5eK7N31F</t>
  </si>
  <si>
    <t xml:space="preserve">t7g2D0Wcbh2</t>
  </si>
  <si>
    <t xml:space="preserve">i4ilzanYtHD</t>
  </si>
  <si>
    <t xml:space="preserve">Y7ZamXjNycI</t>
  </si>
  <si>
    <t xml:space="preserve">HTS_RECENT.PMTCT_STAT.Rt</t>
  </si>
  <si>
    <t xml:space="preserve">HTS_RECENT.PMTCT_STAT.T</t>
  </si>
  <si>
    <t xml:space="preserve">HTS_RECENT.PostANC1.Rt</t>
  </si>
  <si>
    <t xml:space="preserve">HTS_RECENT.PostANC1.T</t>
  </si>
  <si>
    <t xml:space="preserve">HTS_RECENT.TB.Rt</t>
  </si>
  <si>
    <t xml:space="preserve">HTS_RECENT.TB.T</t>
  </si>
  <si>
    <t xml:space="preserve">HTS_RECENT.VMMC.Rt</t>
  </si>
  <si>
    <t xml:space="preserve">HTS_RECENT.VMMC.T</t>
  </si>
  <si>
    <t xml:space="preserve">HTS_RECENT.IndexCom.Rt</t>
  </si>
  <si>
    <t xml:space="preserve">HTS_RECENT.IndexCom.T</t>
  </si>
  <si>
    <t xml:space="preserve">HTS_RECENT.IndexFac.Rt</t>
  </si>
  <si>
    <t xml:space="preserve">HTS_RECENT.IndexFac.T</t>
  </si>
  <si>
    <t xml:space="preserve">HTS_RECENT.Inpat.Rt</t>
  </si>
  <si>
    <t xml:space="preserve">HTS_RECENT.Inpat.T</t>
  </si>
  <si>
    <t xml:space="preserve">HTS_RECENT.STI.Rt</t>
  </si>
  <si>
    <t xml:space="preserve">HTS_RECENT.STI.T</t>
  </si>
  <si>
    <t xml:space="preserve">HTS_RECENT.EW.Rt</t>
  </si>
  <si>
    <t xml:space="preserve">HTS_RECENT.EW.T</t>
  </si>
  <si>
    <t xml:space="preserve">HTS_RECENT.Other.Rt</t>
  </si>
  <si>
    <t xml:space="preserve">HTS_RECENT.Other.T</t>
  </si>
  <si>
    <t xml:space="preserve">HTS_RECENT.VCT.Rt</t>
  </si>
  <si>
    <t xml:space="preserve">HTS_RECENT.VCT.T</t>
  </si>
  <si>
    <t xml:space="preserve">HTS_RECENT.SNS.Rt</t>
  </si>
  <si>
    <t xml:space="preserve">HTS_RECENT.SNS.T</t>
  </si>
  <si>
    <t xml:space="preserve">HTS_RECENT.MobileCom.Rt</t>
  </si>
  <si>
    <t xml:space="preserve">HTS_RECENT.MobileCom.T</t>
  </si>
  <si>
    <t xml:space="preserve">HTS_RECENT.SNSCom.Rt</t>
  </si>
  <si>
    <t xml:space="preserve">HTS_RECENT.SNSCom.T</t>
  </si>
  <si>
    <t xml:space="preserve">HTS_RECENT.OtherCom.Rt</t>
  </si>
  <si>
    <t xml:space="preserve">HTS_RECENT.OtherCom.T</t>
  </si>
  <si>
    <t xml:space="preserve">HTS_RECENT.T</t>
  </si>
  <si>
    <t xml:space="preserve">HTS_RECENT.Rt.T</t>
  </si>
  <si>
    <t xml:space="preserve">TX_TB &amp; TB_PREV</t>
  </si>
  <si>
    <t xml:space="preserve">TX_TB (D)</t>
  </si>
  <si>
    <t xml:space="preserve">TB_PREV (D)</t>
  </si>
  <si>
    <t xml:space="preserve">TB_PREV (N)</t>
  </si>
  <si>
    <t xml:space="preserve">TX_CURR (FY22)</t>
  </si>
  <si>
    <t xml:space="preserve">Targeted coverage: New on ART (FY23) (%)</t>
  </si>
  <si>
    <t xml:space="preserve">Targeted coverage: Already on ART (FY23) (%)</t>
  </si>
  <si>
    <t xml:space="preserve">Est. TB Screen Positivity Rate: New on ART (FY23) (%)</t>
  </si>
  <si>
    <t xml:space="preserve">Est. TB Screen Positivity Rate: Already on ART (FY23) (%)</t>
  </si>
  <si>
    <t xml:space="preserve">New on ART, TB Screen +</t>
  </si>
  <si>
    <t xml:space="preserve">New on ART, TB Screen -</t>
  </si>
  <si>
    <t xml:space="preserve">Already on ART, TB Screen +</t>
  </si>
  <si>
    <t xml:space="preserve">Already on ART, TB Screen -</t>
  </si>
  <si>
    <t xml:space="preserve">Cumulative Previous Completion of TPT (Results FY17-21)</t>
  </si>
  <si>
    <t xml:space="preserve">TB_PREV (N) - New on ART (FY22 Targets)</t>
  </si>
  <si>
    <t xml:space="preserve">TB_PREV (N) - Already on ART (FY22 Targets)</t>
  </si>
  <si>
    <t xml:space="preserve">% TX_TB (D) Screen Neg., New on ART initiated on TPT (FY23) (%)</t>
  </si>
  <si>
    <t xml:space="preserve">Already on ART Eligible for TPT Initiation</t>
  </si>
  <si>
    <t xml:space="preserve">% Already on ART Eligible for TPT initiated on TPT (FY23) (%)</t>
  </si>
  <si>
    <t xml:space="preserve">Targeted TPT completion (FY23) (%)</t>
  </si>
  <si>
    <t xml:space="preserve">Projected Change: New on ART (%)</t>
  </si>
  <si>
    <t xml:space="preserve">Projected Change: Already on ART (%)</t>
  </si>
  <si>
    <t xml:space="preserve">BeEA8PsZ8Ky</t>
  </si>
  <si>
    <t xml:space="preserve">DA7uTAScxxi</t>
  </si>
  <si>
    <t xml:space="preserve">L3qltmjNtSr</t>
  </si>
  <si>
    <t xml:space="preserve">DcQet8tM3my</t>
  </si>
  <si>
    <t xml:space="preserve">MdqPezsikDr</t>
  </si>
  <si>
    <t xml:space="preserve">HUgQMmRVHMS</t>
  </si>
  <si>
    <t xml:space="preserve">udcRwufEXFQ.FNsYVm36CYM.KM4dyooZHUP</t>
  </si>
  <si>
    <t xml:space="preserve">udcRwufEXFQ.xv3iwsb4m3m.KM4dyooZHUP</t>
  </si>
  <si>
    <t xml:space="preserve">rSKP7Z85FX9.FNsYVm36CYM.KM4dyooZHUP</t>
  </si>
  <si>
    <t xml:space="preserve">rSKP7Z85FX9.xv3iwsb4m3m.KM4dyooZHUP</t>
  </si>
  <si>
    <t xml:space="preserve">Coarse Ages</t>
  </si>
  <si>
    <t xml:space="preserve">TX_TB.D.New.Cov</t>
  </si>
  <si>
    <t xml:space="preserve">TX_TB.D.Already.Cov</t>
  </si>
  <si>
    <t xml:space="preserve">TX_TB.D.New.Yield</t>
  </si>
  <si>
    <t xml:space="preserve">TX_TB.D.Already.Yield</t>
  </si>
  <si>
    <t xml:space="preserve">TX_TB.D.New.Pos.T</t>
  </si>
  <si>
    <t xml:space="preserve">TX_TB.D.New.Neg.T</t>
  </si>
  <si>
    <t xml:space="preserve">TX_TB.D.Already.Pos.T</t>
  </si>
  <si>
    <t xml:space="preserve">TX_TB.D.Already.Neg.T</t>
  </si>
  <si>
    <t xml:space="preserve">TB_PREV.N.R</t>
  </si>
  <si>
    <t xml:space="preserve">TB_PREV.N.New.T_1</t>
  </si>
  <si>
    <t xml:space="preserve">TB_PREV.N.Already.T_1</t>
  </si>
  <si>
    <t xml:space="preserve">TX_TB.D.New.Neg.Linkage</t>
  </si>
  <si>
    <t xml:space="preserve">TX_TB.D.Already.Neg.Linkage</t>
  </si>
  <si>
    <t xml:space="preserve">TB_PREV.D.New.T</t>
  </si>
  <si>
    <t xml:space="preserve">TB_PREV.D.Already.T</t>
  </si>
  <si>
    <t xml:space="preserve">TB_PREV.N.Cov</t>
  </si>
  <si>
    <t xml:space="preserve">TB_PREV.N.New.T</t>
  </si>
  <si>
    <t xml:space="preserve">TB_PREV.N.Already.T</t>
  </si>
  <si>
    <t xml:space="preserve">TB_PREV.N.New.Growth.Target</t>
  </si>
  <si>
    <t xml:space="preserve">TB_PREV.N.Already.Growth.Target</t>
  </si>
  <si>
    <t xml:space="preserve">PP</t>
  </si>
  <si>
    <t xml:space="preserve">PP_PREV</t>
  </si>
  <si>
    <t xml:space="preserve">Expected change in PP_PREV services (%)</t>
  </si>
  <si>
    <t xml:space="preserve">PP_PREV (FY23)</t>
  </si>
  <si>
    <t xml:space="preserve">LpkXILJwnmO</t>
  </si>
  <si>
    <t xml:space="preserve">HV0zRuYnuv8</t>
  </si>
  <si>
    <t xml:space="preserve">PP_PREV.T_1</t>
  </si>
  <si>
    <t xml:space="preserve">PP_PREV.Growth.T</t>
  </si>
  <si>
    <t xml:space="preserve">PP_PREV.T</t>
  </si>
  <si>
    <t xml:space="preserve">OVC</t>
  </si>
  <si>
    <t xml:space="preserve">OVC_SERV</t>
  </si>
  <si>
    <t xml:space="preserve">OVC_HIVSTAT</t>
  </si>
  <si>
    <t xml:space="preserve">DREAMS SNU?</t>
  </si>
  <si>
    <t xml:space="preserve">FY21 Results</t>
  </si>
  <si>
    <t xml:space="preserve">Projected Net Change in OVC_SERV (%)</t>
  </si>
  <si>
    <t xml:space="preserve">Targeted DREAMS % of Total OVC_SERV (FY23) (%)</t>
  </si>
  <si>
    <t xml:space="preserve">Targeted Preventive % of Total OVC_SERV (FY23) (%)</t>
  </si>
  <si>
    <t xml:space="preserve">Targeted Comprehensive % of Total OVC_SERV (FY23) (%)</t>
  </si>
  <si>
    <t xml:space="preserve">Targeted Graduation Rate among Comprehensive (FY23) (%)</t>
  </si>
  <si>
    <t xml:space="preserve">Total OVC_SERV</t>
  </si>
  <si>
    <t xml:space="preserve">DREAMS</t>
  </si>
  <si>
    <t xml:space="preserve">Preventive</t>
  </si>
  <si>
    <t xml:space="preserve">Comprehensive - Graduated</t>
  </si>
  <si>
    <t xml:space="preserve">Comprehensive - Active</t>
  </si>
  <si>
    <t xml:space="preserve">Targeted % Comprehensive OVC (&lt;18) with reported HIV Status (FY23) (%)</t>
  </si>
  <si>
    <t xml:space="preserve"># OVC with reported HIV Status (FY23)</t>
  </si>
  <si>
    <t xml:space="preserve">rxgD4kPnUIg</t>
  </si>
  <si>
    <t xml:space="preserve">HVzzfyVVIs1</t>
  </si>
  <si>
    <t xml:space="preserve">j3NQAv8Fe3v</t>
  </si>
  <si>
    <t xml:space="preserve">NbvZdpPzNf6</t>
  </si>
  <si>
    <t xml:space="preserve">HVzzfyVVIs1.cx8hxarh4Ke</t>
  </si>
  <si>
    <t xml:space="preserve">TqpIEl7LfV7</t>
  </si>
  <si>
    <t xml:space="preserve">MD74x7fNR4j</t>
  </si>
  <si>
    <t xml:space="preserve">Qk8HjZeOBom</t>
  </si>
  <si>
    <t xml:space="preserve">DsIC5hZsqDF</t>
  </si>
  <si>
    <t xml:space="preserve">ZTN9wn0OQt1</t>
  </si>
  <si>
    <t xml:space="preserve">Qk8HjZeOBom.TIuD9nSQAd9</t>
  </si>
  <si>
    <t xml:space="preserve">Tp792ZiaQed</t>
  </si>
  <si>
    <t xml:space="preserve">q1ViBVu6waQ</t>
  </si>
  <si>
    <t xml:space="preserve">PohP5DBPfMs</t>
  </si>
  <si>
    <t xml:space="preserve">&lt;01-18+ (OVC &amp; Caregivers)</t>
  </si>
  <si>
    <t xml:space="preserve">10-17 (OVC)</t>
  </si>
  <si>
    <t xml:space="preserve">5 yr, 05-14</t>
  </si>
  <si>
    <t xml:space="preserve">&lt;01-17 (OVC)</t>
  </si>
  <si>
    <t xml:space="preserve">DREAMS_SNU.Flag</t>
  </si>
  <si>
    <t xml:space="preserve">OVC_SERV.R</t>
  </si>
  <si>
    <t xml:space="preserve">OVC_SERV.T_1</t>
  </si>
  <si>
    <t xml:space="preserve">OVC_SERV.Growth.T</t>
  </si>
  <si>
    <t xml:space="preserve">OVC_SERV.DREAMS.Rt.T</t>
  </si>
  <si>
    <t xml:space="preserve">OVC_SERV.Prev.Rt.T</t>
  </si>
  <si>
    <t xml:space="preserve">OVC_SERV.Comp.Rt.T</t>
  </si>
  <si>
    <t xml:space="preserve">OVC_SERV.Grad.Rt.T</t>
  </si>
  <si>
    <t xml:space="preserve">OVC_SERV.T</t>
  </si>
  <si>
    <t xml:space="preserve">OVC_SERV.DREAMS.T</t>
  </si>
  <si>
    <t xml:space="preserve">OVC_SERV.Prev.T</t>
  </si>
  <si>
    <t xml:space="preserve">OVC_SERV.Grad.T</t>
  </si>
  <si>
    <t xml:space="preserve">OVC_SERV.Active.T</t>
  </si>
  <si>
    <t xml:space="preserve">OVC_HIVSTAT.Rt.T</t>
  </si>
  <si>
    <t xml:space="preserve">OVC_HIVSTAT.T</t>
  </si>
  <si>
    <t xml:space="preserve">GEND</t>
  </si>
  <si>
    <t xml:space="preserve">GEND_GBV</t>
  </si>
  <si>
    <t xml:space="preserve">Physical/Emotional Violence (FY22 Targets)</t>
  </si>
  <si>
    <t xml:space="preserve">Sexual Violence (FY22 Targets)</t>
  </si>
  <si>
    <t xml:space="preserve">Projected change in GEND_GBV - Physical/Emotional Violence services (%)</t>
  </si>
  <si>
    <t xml:space="preserve">Projected change in GEND_GBV - Sexual Violence services (%)</t>
  </si>
  <si>
    <t xml:space="preserve">Physical/Emotional Violence (FY23)</t>
  </si>
  <si>
    <t xml:space="preserve">Sexual Violence (FY23)</t>
  </si>
  <si>
    <t xml:space="preserve">N4sS65QUOP3</t>
  </si>
  <si>
    <t xml:space="preserve">XUtNKyPozHq</t>
  </si>
  <si>
    <t xml:space="preserve">USe0kg2Bind</t>
  </si>
  <si>
    <t xml:space="preserve">bchuAJAMSZO</t>
  </si>
  <si>
    <t xml:space="preserve">GEND_GBV.PE.T_1</t>
  </si>
  <si>
    <t xml:space="preserve">GEND_GBV.S.T_1</t>
  </si>
  <si>
    <t xml:space="preserve">GEND_GBV.PE.Growth.T</t>
  </si>
  <si>
    <t xml:space="preserve">GEND_GBV.S.Growth.T</t>
  </si>
  <si>
    <t xml:space="preserve">GEND_GBV.PE.T</t>
  </si>
  <si>
    <t xml:space="preserve">GEND_GBV.S.T</t>
  </si>
  <si>
    <t xml:space="preserve">AGYW</t>
  </si>
  <si>
    <t xml:space="preserve">AGYW_PREV</t>
  </si>
  <si>
    <t xml:space="preserve">DREAMS SNUs are denoted as DNUs, though are here referred to as PSNUs. Note that these are equivalent in all PEPFAR countries except Rwanda and Eswatini.</t>
  </si>
  <si>
    <t xml:space="preserve">Host Country Est. Number of Vulnerable AGYW (FY23)</t>
  </si>
  <si>
    <t xml:space="preserve">PrEP_NEW (FY23)</t>
  </si>
  <si>
    <t xml:space="preserve"> PrEP_CT (FY23)</t>
  </si>
  <si>
    <t xml:space="preserve"> PP_PREV (FY23)</t>
  </si>
  <si>
    <t xml:space="preserve">HTS_TST_POS (FY23)</t>
  </si>
  <si>
    <t xml:space="preserve">HTS_TST_NEG (FY23)</t>
  </si>
  <si>
    <t xml:space="preserve">Primary Package Incomplete: Service Started (FY21 Results)</t>
  </si>
  <si>
    <t xml:space="preserve">Primary Package Incomplete: Service Completed (FY21 Results)</t>
  </si>
  <si>
    <t xml:space="preserve">Primary Package Completed (FY21 Results)</t>
  </si>
  <si>
    <t xml:space="preserve">Primary Package and Secondary (FY21 Results)</t>
  </si>
  <si>
    <t xml:space="preserve">Total AGYW_PREV (FY21 Results)</t>
  </si>
  <si>
    <t xml:space="preserve">Observed Percent Completion (FY21 Results) (%)</t>
  </si>
  <si>
    <t xml:space="preserve">Targeted Percent Completion (FY23) (%)</t>
  </si>
  <si>
    <t xml:space="preserve">Projected Net Change in Total AGYW_PREV from FY21 Results (%)</t>
  </si>
  <si>
    <t xml:space="preserve">Denominator - Started or Completed any DREAMS Service (FY23)</t>
  </si>
  <si>
    <t xml:space="preserve">Numerator - Completed at least Primary Package (FY23)</t>
  </si>
  <si>
    <t xml:space="preserve">aZrOAEKtXAo</t>
  </si>
  <si>
    <t xml:space="preserve">RAZ3P5llmi4</t>
  </si>
  <si>
    <t xml:space="preserve">ZW2qWywZuGl</t>
  </si>
  <si>
    <t xml:space="preserve">gGkFUE1ob8y</t>
  </si>
  <si>
    <t xml:space="preserve">HO5wSDKttn3</t>
  </si>
  <si>
    <t xml:space="preserve">tSYnSvSK200</t>
  </si>
  <si>
    <t xml:space="preserve">Xxj42CRWEPD</t>
  </si>
  <si>
    <t xml:space="preserve">KvVcLT8u0I7</t>
  </si>
  <si>
    <t xml:space="preserve">sKjBJe2Um3s</t>
  </si>
  <si>
    <t xml:space="preserve">IKC8RWqIbx9</t>
  </si>
  <si>
    <t xml:space="preserve">AjOFwnjVTTm</t>
  </si>
  <si>
    <t xml:space="preserve">YSe4riCTiZv</t>
  </si>
  <si>
    <t xml:space="preserve">5 yr, 10-29</t>
  </si>
  <si>
    <t xml:space="preserve">5 yr, 15-29</t>
  </si>
  <si>
    <t xml:space="preserve">AGYW_SUBNAT.T_1</t>
  </si>
  <si>
    <t xml:space="preserve">PrEP_NEW.T</t>
  </si>
  <si>
    <t xml:space="preserve">PrEP_CT.T</t>
  </si>
  <si>
    <t xml:space="preserve">AGYW_PREV.Started.R</t>
  </si>
  <si>
    <t xml:space="preserve">AGYW_PREV.Incomplete.R</t>
  </si>
  <si>
    <t xml:space="preserve">AGYW_PREV.Complete.R</t>
  </si>
  <si>
    <t xml:space="preserve">AGYW_PREV.CompletePlus.R</t>
  </si>
  <si>
    <t xml:space="preserve">AGYW_PREV.D.R</t>
  </si>
  <si>
    <t xml:space="preserve">AGYW_PREV.N.Rt.R</t>
  </si>
  <si>
    <t xml:space="preserve">AGYW_PREV.N.Rt.T</t>
  </si>
  <si>
    <t xml:space="preserve">AGYW_PREV.D.Growth.T</t>
  </si>
  <si>
    <t xml:space="preserve">AGYW_PREV.D.T</t>
  </si>
  <si>
    <t xml:space="preserve">AGYW_PREV.N.T</t>
  </si>
  <si>
    <t xml:space="preserve">PrEP</t>
  </si>
  <si>
    <t xml:space="preserve">Host Country Est. PLHIV (FY23)</t>
  </si>
  <si>
    <t xml:space="preserve">HTS_TST_NEG
(FY23)</t>
  </si>
  <si>
    <t xml:space="preserve">AGYW_PREV (D) (FY23)</t>
  </si>
  <si>
    <t xml:space="preserve">AGYW_PREV (N) (FY23)</t>
  </si>
  <si>
    <t xml:space="preserve">PrEP_NEW (FY21 Results)</t>
  </si>
  <si>
    <t xml:space="preserve">PrEP_NEW (FY22 Targets)</t>
  </si>
  <si>
    <t xml:space="preserve">PrEP_CURR (FY21 Results)</t>
  </si>
  <si>
    <t xml:space="preserve">PrEP_CURR (FY22 Targets)</t>
  </si>
  <si>
    <t xml:space="preserve">PREP_CT (FY23)</t>
  </si>
  <si>
    <t xml:space="preserve">KNO4emPfF91</t>
  </si>
  <si>
    <t xml:space="preserve">rXV784LlUQ4</t>
  </si>
  <si>
    <t xml:space="preserve">x5H3nrR8BNW</t>
  </si>
  <si>
    <t xml:space="preserve">irb0EORmNvv</t>
  </si>
  <si>
    <t xml:space="preserve">agoURWZyPpn</t>
  </si>
  <si>
    <t xml:space="preserve">b6OI9qB0Who</t>
  </si>
  <si>
    <t xml:space="preserve">DjW93zhi4zZ</t>
  </si>
  <si>
    <t xml:space="preserve">UkV4LwXGXlP</t>
  </si>
  <si>
    <t xml:space="preserve">W4BGn0YggH0</t>
  </si>
  <si>
    <t xml:space="preserve">G7SQxPyGfFo</t>
  </si>
  <si>
    <t xml:space="preserve">HTS_TST.Neg.T</t>
  </si>
  <si>
    <t xml:space="preserve">PrEP_NEW.R</t>
  </si>
  <si>
    <t xml:space="preserve">PrEP_NEW.T_1</t>
  </si>
  <si>
    <t xml:space="preserve">PrEP_CURR.R</t>
  </si>
  <si>
    <t xml:space="preserve">PrEP_CURR.T_1</t>
  </si>
  <si>
    <t xml:space="preserve">KP_MAT</t>
  </si>
  <si>
    <t xml:space="preserve">Host Country Est. KP_MAT_SUBNAT (FY22)</t>
  </si>
  <si>
    <t xml:space="preserve">PEPFAR KP_MAT (FY22 Targets)</t>
  </si>
  <si>
    <t xml:space="preserve">Observed PEPFAR Coverage of KP_MAT_SUBNAT (FY22 Targets) (%)</t>
  </si>
  <si>
    <t xml:space="preserve">Targeted PEPFAR Coverage of KP_MAT_SUBNAT (FY23) (%)</t>
  </si>
  <si>
    <t xml:space="preserve">Projected Change in KP_MAT (FY23) (%)</t>
  </si>
  <si>
    <t xml:space="preserve">KP_MAT (FY23)</t>
  </si>
  <si>
    <t xml:space="preserve">Host Country KP_MAT_SUBNAT (FY23)</t>
  </si>
  <si>
    <t xml:space="preserve">ctGo7s0K63z</t>
  </si>
  <si>
    <t xml:space="preserve">gG0fbMLqEB5</t>
  </si>
  <si>
    <t xml:space="preserve">KJZrqS4XcJ2</t>
  </si>
  <si>
    <t xml:space="preserve">KP_MAT_SUBNAT.T_1</t>
  </si>
  <si>
    <t xml:space="preserve">KP_MAT.T_1</t>
  </si>
  <si>
    <t xml:space="preserve">KP_MAT.NatlContr.T_1</t>
  </si>
  <si>
    <t xml:space="preserve">KP_MAT.NatlContr.T</t>
  </si>
  <si>
    <t xml:space="preserve">KP_MAT.Growth.T</t>
  </si>
  <si>
    <t xml:space="preserve">KP_MAT.T</t>
  </si>
  <si>
    <t xml:space="preserve">KP_MAT_SUBNAT.T</t>
  </si>
  <si>
    <t xml:space="preserve">KP Validation</t>
  </si>
  <si>
    <t xml:space="preserve">HTS_TST - Positives</t>
  </si>
  <si>
    <t xml:space="preserve">HTS_TST - Negatives</t>
  </si>
  <si>
    <t xml:space="preserve">For each indicator, red highlighting may indicate:
- MSM &gt; Males
- FSW &gt; Females
- After removing MSM &amp; FSW from Total Targets, the sum of People in prisons and other enclosed settings, PWID, &amp; TG is still higher than the remainder from Total Targets.</t>
  </si>
  <si>
    <t xml:space="preserve">Total Targets</t>
  </si>
  <si>
    <t xml:space="preserve">KP Targets Validation</t>
  </si>
  <si>
    <t xml:space="preserve">Female, 15+ (FY23)</t>
  </si>
  <si>
    <t xml:space="preserve">AGYW, 15-29 (FY23)</t>
  </si>
  <si>
    <t xml:space="preserve">Male, 15+ (FY23)</t>
  </si>
  <si>
    <t xml:space="preserve">FSW</t>
  </si>
  <si>
    <t xml:space="preserve">MSM</t>
  </si>
  <si>
    <t xml:space="preserve">People in prisons and other enclosed settings</t>
  </si>
  <si>
    <t xml:space="preserve">PWID</t>
  </si>
  <si>
    <t xml:space="preserve">TG</t>
  </si>
  <si>
    <t xml:space="preserve">PrEP_CT.Female.T</t>
  </si>
  <si>
    <t xml:space="preserve">PrEP_CT.AGYW.T</t>
  </si>
  <si>
    <t xml:space="preserve">PrEP_CT.Male.T</t>
  </si>
  <si>
    <t xml:space="preserve">PrEP_CT.KP.FSW.T</t>
  </si>
  <si>
    <t xml:space="preserve">PrEP_CT.KP.MSM.T</t>
  </si>
  <si>
    <t xml:space="preserve">PrEP_CT.KP.Enclosed.T</t>
  </si>
  <si>
    <t xml:space="preserve">PrEP_CT.KP.PWID.T</t>
  </si>
  <si>
    <t xml:space="preserve">PrEP_CT.KP.TG.T</t>
  </si>
  <si>
    <t xml:space="preserve">PrEP_NEW.Female.T</t>
  </si>
  <si>
    <t xml:space="preserve">PrEP_NEW.AGYW.T</t>
  </si>
  <si>
    <t xml:space="preserve">PrEP_NEW.Male.T</t>
  </si>
  <si>
    <t xml:space="preserve">PrEP_NEW.KP.FSW.T</t>
  </si>
  <si>
    <t xml:space="preserve">PrEP_NEW.KP.MSM.T</t>
  </si>
  <si>
    <t xml:space="preserve">PrEP_NEW.KP.Enclosed.T</t>
  </si>
  <si>
    <t xml:space="preserve">PrEP_NEW.KP.PWID.T</t>
  </si>
  <si>
    <t xml:space="preserve">PrEP_NEW.KP.TG.T</t>
  </si>
  <si>
    <t xml:space="preserve">TX_CURR.Female.T</t>
  </si>
  <si>
    <t xml:space="preserve">TX_CURR.Male.T</t>
  </si>
  <si>
    <t xml:space="preserve">TX_CURR.KP.FSW.T</t>
  </si>
  <si>
    <t xml:space="preserve">TX_CURR.KP.MSM.T</t>
  </si>
  <si>
    <t xml:space="preserve">TX_CURR.KP.Enclosed.T</t>
  </si>
  <si>
    <t xml:space="preserve">TX_CURR.KP.PWID.T</t>
  </si>
  <si>
    <t xml:space="preserve">TX_CURR.KP.TG.T</t>
  </si>
  <si>
    <t xml:space="preserve">TX_NEW.Female.T</t>
  </si>
  <si>
    <t xml:space="preserve">TX_NEW.Male.T</t>
  </si>
  <si>
    <t xml:space="preserve">TX_NEW.KP.FSW.T</t>
  </si>
  <si>
    <t xml:space="preserve">TX_NEW.KP.MSM.T</t>
  </si>
  <si>
    <t xml:space="preserve">TX_NEW.KP.Enclosed.T</t>
  </si>
  <si>
    <t xml:space="preserve">TX_NEW.KP.PWID.T</t>
  </si>
  <si>
    <t xml:space="preserve">TX_NEW.KP.TG.T</t>
  </si>
  <si>
    <t xml:space="preserve">TX_PVLS.D.Female.T</t>
  </si>
  <si>
    <t xml:space="preserve">TX_PVLS.D.Male.T</t>
  </si>
  <si>
    <t xml:space="preserve">TX_PVLS.D.KP.FSW.T</t>
  </si>
  <si>
    <t xml:space="preserve">TX_PVLS.D.KP.MSM.T</t>
  </si>
  <si>
    <t xml:space="preserve">TX_PVLS.D.KP.Enclosed.T</t>
  </si>
  <si>
    <t xml:space="preserve">TX_PVLS.D.KP.PWID.T</t>
  </si>
  <si>
    <t xml:space="preserve">TX_PVLS.D.KP.TG.T</t>
  </si>
  <si>
    <t xml:space="preserve">TX_PVLS.N.Female.T</t>
  </si>
  <si>
    <t xml:space="preserve">TX_PVLS.Male.T</t>
  </si>
  <si>
    <t xml:space="preserve">TX_PVLS.N.KP.FSW.T</t>
  </si>
  <si>
    <t xml:space="preserve">TX_PVLS.N.KP.MSM.T</t>
  </si>
  <si>
    <t xml:space="preserve">TX_PVLS.N.KP.Enclosed.T</t>
  </si>
  <si>
    <t xml:space="preserve">TX_PVLS.N.KP.PWID.T</t>
  </si>
  <si>
    <t xml:space="preserve">TX_PVLS.N.KP.TG.T</t>
  </si>
  <si>
    <t xml:space="preserve">HTS_TST.Pos.Female.T</t>
  </si>
  <si>
    <t xml:space="preserve">HTS_TST.Pos.Male.T</t>
  </si>
  <si>
    <t xml:space="preserve">HTS_TST.Pos.KP.FSW.T</t>
  </si>
  <si>
    <t xml:space="preserve">HTS_TST.Pos.KP.MSM.T</t>
  </si>
  <si>
    <t xml:space="preserve">HTS_TST.Pos.KP.Enclosed.T</t>
  </si>
  <si>
    <t xml:space="preserve">HTS_TST.Pos.KP.PWID.T</t>
  </si>
  <si>
    <t xml:space="preserve">HTS_TST.Pos.KP.TG.T</t>
  </si>
  <si>
    <t xml:space="preserve">HTS_TST.Neg.Female.T</t>
  </si>
  <si>
    <t xml:space="preserve">HTS_TST.Neg.Male.T</t>
  </si>
  <si>
    <t xml:space="preserve">HTS_TST.Neg.KP.FSW.T</t>
  </si>
  <si>
    <t xml:space="preserve">HTS_TST.Neg.KP.MSM.T</t>
  </si>
  <si>
    <t xml:space="preserve">HTS_TST.Neg.KP.Enclosed.T</t>
  </si>
  <si>
    <t xml:space="preserve">HTS_TST.Neg.KP.PWID.T</t>
  </si>
  <si>
    <t xml:space="preserve">HTS_TST.Neg.KP.TG.T</t>
  </si>
  <si>
    <t xml:space="preserve">HTS_RECENT.Female.T</t>
  </si>
  <si>
    <t xml:space="preserve">HTS_RECENT.Male.T</t>
  </si>
  <si>
    <t xml:space="preserve">HTS_RECENT.KP.FSW.T</t>
  </si>
  <si>
    <t xml:space="preserve">HTS_RECENT.KP.MSM.T</t>
  </si>
  <si>
    <t xml:space="preserve">HTS_RECENT.KP.Enclosed.T</t>
  </si>
  <si>
    <t xml:space="preserve">HTS_RECENT.KP.PWID.T</t>
  </si>
  <si>
    <t xml:space="preserve">HTS_RECENT.KP.TG.T</t>
  </si>
  <si>
    <t xml:space="preserve">HTS_SELF.Female.T</t>
  </si>
  <si>
    <t xml:space="preserve">HTS_SELF.Male.T</t>
  </si>
  <si>
    <t xml:space="preserve">HTS_SELF.KP.FSW.T</t>
  </si>
  <si>
    <t xml:space="preserve">HTS_SELF.KP.MSM.T</t>
  </si>
  <si>
    <t xml:space="preserve">HTS_SELF.KP.Enclosed.T</t>
  </si>
  <si>
    <t xml:space="preserve">HTS_SELF.KP.PWID.T</t>
  </si>
  <si>
    <t xml:space="preserve">HTS_SELF.KP.TG.T</t>
  </si>
</sst>
</file>

<file path=xl/styles.xml><?xml version="1.0" encoding="utf-8"?>
<styleSheet xmlns="http://schemas.openxmlformats.org/spreadsheetml/2006/main">
  <numFmts count="8">
    <numFmt numFmtId="164" formatCode="General"/>
    <numFmt numFmtId="165" formatCode="0%"/>
    <numFmt numFmtId="166" formatCode="DDDD&quot;, &quot;MMM\ DD&quot;, &quot;YYYY"/>
    <numFmt numFmtId="167" formatCode="#,##0"/>
    <numFmt numFmtId="168" formatCode="@"/>
    <numFmt numFmtId="169" formatCode="_(* #,##0_);_(* \(#,##0\);_(* \-_);_(@_)"/>
    <numFmt numFmtId="170" formatCode="0.00%"/>
    <numFmt numFmtId="171" formatCode="_(* #,##0.00_);_(* \(#,##0.00\);_(* \-??_);_(@_)"/>
  </numFmts>
  <fonts count="40">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36"/>
      <color rgb="FF7F7F7F"/>
      <name val="Calibri"/>
      <family val="2"/>
      <charset val="1"/>
    </font>
    <font>
      <b val="true"/>
      <sz val="76"/>
      <color rgb="FF000000"/>
      <name val="Calibri"/>
      <family val="2"/>
      <charset val="1"/>
    </font>
    <font>
      <b val="true"/>
      <sz val="64"/>
      <color rgb="FF9CBEBD"/>
      <name val="Calibri"/>
      <family val="2"/>
      <charset val="1"/>
    </font>
    <font>
      <sz val="12"/>
      <color rgb="FFFFFFFF"/>
      <name val="Calibri"/>
      <family val="2"/>
      <charset val="1"/>
    </font>
    <font>
      <b val="true"/>
      <sz val="26"/>
      <color rgb="FFFFFFFF"/>
      <name val="Calibri"/>
      <family val="2"/>
      <charset val="1"/>
    </font>
    <font>
      <sz val="12"/>
      <color rgb="FF0563C1"/>
      <name val="Calibri"/>
      <family val="2"/>
      <charset val="1"/>
    </font>
    <font>
      <b val="true"/>
      <sz val="36"/>
      <color rgb="FF000000"/>
      <name val="Calibri"/>
      <family val="2"/>
      <charset val="1"/>
    </font>
    <font>
      <sz val="16"/>
      <color rgb="FFFFFFFF"/>
      <name val="Calibri"/>
      <family val="2"/>
      <charset val="1"/>
    </font>
    <font>
      <b val="true"/>
      <sz val="12"/>
      <color rgb="FF000000"/>
      <name val="Calibri"/>
      <family val="2"/>
      <charset val="1"/>
    </font>
    <font>
      <b val="true"/>
      <sz val="36"/>
      <color rgb="FF0563C1"/>
      <name val="Calibri"/>
      <family val="2"/>
      <charset val="1"/>
    </font>
    <font>
      <sz val="11"/>
      <color rgb="FFFFFFFF"/>
      <name val="Calibri"/>
      <family val="2"/>
      <charset val="1"/>
    </font>
    <font>
      <i val="true"/>
      <sz val="12"/>
      <color rgb="FF000000"/>
      <name val="Calibri"/>
      <family val="2"/>
      <charset val="1"/>
    </font>
    <font>
      <b val="true"/>
      <sz val="14"/>
      <color rgb="FF595959"/>
      <name val="Calibri"/>
      <family val="2"/>
    </font>
    <font>
      <sz val="9"/>
      <color rgb="FF595959"/>
      <name val="Calibri"/>
      <family val="2"/>
    </font>
    <font>
      <b val="true"/>
      <u val="single"/>
      <sz val="12"/>
      <color rgb="FF000000"/>
      <name val="Calibri"/>
      <family val="2"/>
      <charset val="1"/>
    </font>
    <font>
      <b val="true"/>
      <sz val="18"/>
      <color rgb="FF000000"/>
      <name val="Calibri"/>
      <family val="2"/>
      <charset val="1"/>
    </font>
    <font>
      <sz val="18"/>
      <color rgb="FF000000"/>
      <name val="Calibri"/>
      <family val="2"/>
      <charset val="1"/>
    </font>
    <font>
      <i val="true"/>
      <sz val="14"/>
      <color rgb="FF000000"/>
      <name val="Calibri"/>
      <family val="2"/>
      <charset val="1"/>
    </font>
    <font>
      <b val="true"/>
      <i val="true"/>
      <sz val="14"/>
      <color rgb="FF000000"/>
      <name val="Calibri"/>
      <family val="2"/>
      <charset val="1"/>
    </font>
    <font>
      <b val="true"/>
      <sz val="12"/>
      <color rgb="FFC2D8D8"/>
      <name val="Calibri"/>
      <family val="2"/>
      <charset val="1"/>
    </font>
    <font>
      <sz val="12"/>
      <color rgb="FFC2D8D8"/>
      <name val="Calibri"/>
      <family val="2"/>
      <charset val="1"/>
    </font>
    <font>
      <b val="true"/>
      <u val="single"/>
      <sz val="12"/>
      <color rgb="FF000000"/>
      <name val="Calibri (Body)"/>
      <family val="0"/>
      <charset val="1"/>
    </font>
    <font>
      <sz val="12"/>
      <color rgb="FF000000"/>
      <name val="Calibri (Body)"/>
      <family val="0"/>
      <charset val="1"/>
    </font>
    <font>
      <u val="single"/>
      <sz val="12"/>
      <color rgb="FF000000"/>
      <name val="Calibri (Body)"/>
      <family val="0"/>
      <charset val="1"/>
    </font>
    <font>
      <sz val="14"/>
      <color rgb="FF000000"/>
      <name val="Calibri"/>
      <family val="2"/>
      <charset val="1"/>
    </font>
    <font>
      <b val="true"/>
      <sz val="12"/>
      <color rgb="FF0563C1"/>
      <name val="Calibri"/>
      <family val="2"/>
      <charset val="1"/>
    </font>
    <font>
      <sz val="10"/>
      <color rgb="FF000000"/>
      <name val="Tahoma"/>
      <family val="2"/>
      <charset val="1"/>
    </font>
    <font>
      <b val="true"/>
      <sz val="10"/>
      <color rgb="FF000000"/>
      <name val="Tahoma"/>
      <family val="2"/>
      <charset val="1"/>
    </font>
    <font>
      <b val="true"/>
      <sz val="10"/>
      <color rgb="FF000000"/>
      <name val="Tahoma"/>
      <family val="0"/>
      <charset val="1"/>
    </font>
    <font>
      <sz val="10"/>
      <color rgb="FF000000"/>
      <name val="Tahoma"/>
      <family val="0"/>
      <charset val="1"/>
    </font>
    <font>
      <b val="true"/>
      <sz val="12"/>
      <name val="Calibri"/>
      <family val="2"/>
      <charset val="1"/>
    </font>
    <font>
      <sz val="12"/>
      <name val="Calibri"/>
      <family val="2"/>
      <charset val="1"/>
    </font>
    <font>
      <sz val="12"/>
      <color rgb="FF9C0006"/>
      <name val="Calibri"/>
      <family val="2"/>
      <charset val="1"/>
    </font>
    <font>
      <b val="true"/>
      <sz val="11"/>
      <color rgb="FF000000"/>
      <name val="Calibri"/>
      <family val="2"/>
      <charset val="1"/>
    </font>
    <font>
      <b val="true"/>
      <sz val="14"/>
      <color rgb="FF000000"/>
      <name val="Calibri"/>
      <family val="2"/>
      <charset val="1"/>
    </font>
  </fonts>
  <fills count="11">
    <fill>
      <patternFill patternType="none"/>
    </fill>
    <fill>
      <patternFill patternType="gray125"/>
    </fill>
    <fill>
      <patternFill patternType="solid">
        <fgColor rgb="FFFFC7CE"/>
        <bgColor rgb="FFD9D9D9"/>
      </patternFill>
    </fill>
    <fill>
      <patternFill patternType="solid">
        <fgColor rgb="FF404040"/>
        <bgColor rgb="FF333300"/>
      </patternFill>
    </fill>
    <fill>
      <patternFill patternType="solid">
        <fgColor rgb="FF9CBEBD"/>
        <bgColor rgb="FFBFBFBF"/>
      </patternFill>
    </fill>
    <fill>
      <patternFill patternType="solid">
        <fgColor rgb="FFFFEB84"/>
        <bgColor rgb="FFFFEB9C"/>
      </patternFill>
    </fill>
    <fill>
      <patternFill patternType="solid">
        <fgColor rgb="FFE4E0A7"/>
        <bgColor rgb="FFFFEB9C"/>
      </patternFill>
    </fill>
    <fill>
      <patternFill patternType="solid">
        <fgColor rgb="FFBFBFBF"/>
        <bgColor rgb="FF9CBEBD"/>
      </patternFill>
    </fill>
    <fill>
      <patternFill patternType="solid">
        <fgColor rgb="FF63BE7B"/>
        <bgColor rgb="FF9CBEBD"/>
      </patternFill>
    </fill>
    <fill>
      <patternFill patternType="solid">
        <fgColor rgb="FFC2D8D8"/>
        <bgColor rgb="FFD9D9D9"/>
      </patternFill>
    </fill>
    <fill>
      <patternFill patternType="solid">
        <fgColor rgb="FFFFF2CC"/>
        <bgColor rgb="FFFFEB9C"/>
      </patternFill>
    </fill>
  </fills>
  <borders count="24">
    <border diagonalUp="false" diagonalDown="false">
      <left/>
      <right/>
      <top/>
      <bottom/>
      <diagonal/>
    </border>
    <border diagonalUp="false" diagonalDown="false">
      <left style="thin">
        <color rgb="FFD9D9D9"/>
      </left>
      <right/>
      <top style="thin">
        <color rgb="FFD9D9D9"/>
      </top>
      <bottom/>
      <diagonal/>
    </border>
    <border diagonalUp="false" diagonalDown="false">
      <left/>
      <right/>
      <top style="thin">
        <color rgb="FFD9D9D9"/>
      </top>
      <bottom/>
      <diagonal/>
    </border>
    <border diagonalUp="false" diagonalDown="false">
      <left/>
      <right style="thin">
        <color rgb="FFD9D9D9"/>
      </right>
      <top style="thin">
        <color rgb="FFD9D9D9"/>
      </top>
      <bottom/>
      <diagonal/>
    </border>
    <border diagonalUp="false" diagonalDown="false">
      <left style="thin">
        <color rgb="FFD9D9D9"/>
      </left>
      <right style="thin">
        <color rgb="FFD9D9D9"/>
      </right>
      <top/>
      <bottom/>
      <diagonal/>
    </border>
    <border diagonalUp="false" diagonalDown="false">
      <left style="thin">
        <color rgb="FFD9D9D9"/>
      </left>
      <right/>
      <top/>
      <bottom style="thin">
        <color rgb="FFD9D9D9"/>
      </bottom>
      <diagonal/>
    </border>
    <border diagonalUp="false" diagonalDown="false">
      <left/>
      <right/>
      <top/>
      <bottom style="thin">
        <color rgb="FFD9D9D9"/>
      </bottom>
      <diagonal/>
    </border>
    <border diagonalUp="false" diagonalDown="false">
      <left/>
      <right style="thin">
        <color rgb="FFD9D9D9"/>
      </right>
      <top/>
      <bottom style="thin">
        <color rgb="FFD9D9D9"/>
      </bottom>
      <diagonal/>
    </border>
    <border diagonalUp="false" diagonalDown="false">
      <left style="thin">
        <color rgb="FFD9D9D9"/>
      </left>
      <right/>
      <top/>
      <bottom/>
      <diagonal/>
    </border>
    <border diagonalUp="false" diagonalDown="false">
      <left/>
      <right style="thin">
        <color rgb="FFD9D9D9"/>
      </right>
      <top/>
      <bottom/>
      <diagonal/>
    </border>
    <border diagonalUp="false" diagonalDown="false">
      <left/>
      <right style="thin"/>
      <top/>
      <bottom style="thin"/>
      <diagonal/>
    </border>
    <border diagonalUp="false" diagonalDown="false">
      <left style="thin"/>
      <right/>
      <top/>
      <bottom style="thin"/>
      <diagonal/>
    </border>
    <border diagonalUp="false" diagonalDown="false">
      <left style="thin">
        <color rgb="FFD9D9D9"/>
      </left>
      <right style="thin"/>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color rgb="FFD9D9D9"/>
      </left>
      <right style="thin"/>
      <top style="thin"/>
      <bottom style="thin"/>
      <diagonal/>
    </border>
    <border diagonalUp="false" diagonalDown="false">
      <left style="thin">
        <color rgb="FFD9D9D9"/>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medium"/>
      <right style="medium"/>
      <top style="medium"/>
      <bottom style="medium"/>
      <diagonal/>
    </border>
    <border diagonalUp="false" diagonalDown="false">
      <left style="thick">
        <color rgb="FFE7E6E6"/>
      </left>
      <right/>
      <top/>
      <bottom/>
      <diagonal/>
    </border>
    <border diagonalUp="false" diagonalDown="false">
      <left/>
      <right style="medium">
        <color rgb="FFE7E6E6"/>
      </right>
      <top/>
      <bottom/>
      <diagonal/>
    </border>
    <border diagonalUp="false" diagonalDown="false">
      <left style="medium">
        <color rgb="FFE7E6E6"/>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4" fontId="37" fillId="2" borderId="0" applyFont="true" applyBorder="false" applyAlignment="true" applyProtection="false">
      <alignment horizontal="general" vertical="bottom" textRotation="0" wrapText="false" indent="0" shrinkToFit="false"/>
    </xf>
  </cellStyleXfs>
  <cellXfs count="3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3" borderId="0" xfId="2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right" vertical="center" textRotation="0" wrapText="false" indent="0" shrinkToFit="false"/>
      <protection locked="true" hidden="false"/>
    </xf>
    <xf numFmtId="164" fontId="12" fillId="3" borderId="0" xfId="20" applyFont="true" applyBorder="true" applyAlignment="true" applyProtection="tru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3" borderId="0" xfId="20" applyFont="true" applyBorder="true" applyAlignment="true" applyProtection="true">
      <alignment horizontal="center" vertical="center" textRotation="0" wrapText="false" indent="0" shrinkToFit="false"/>
      <protection locked="true" hidden="false"/>
    </xf>
    <xf numFmtId="164" fontId="8" fillId="3" borderId="0" xfId="20" applyFont="true" applyBorder="true" applyAlignment="true" applyProtection="true">
      <alignment horizontal="general" vertical="center"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1"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5" fontId="14" fillId="0" borderId="4" xfId="19" applyFont="true" applyBorder="true" applyAlignment="true" applyProtection="true">
      <alignment horizontal="center" vertical="center" textRotation="0" wrapText="false" indent="0" shrinkToFit="false"/>
      <protection locked="true" hidden="false"/>
    </xf>
    <xf numFmtId="167" fontId="14" fillId="0" borderId="4" xfId="20" applyFont="true" applyBorder="true" applyAlignment="true" applyProtection="true">
      <alignment horizontal="center" vertical="bottom" textRotation="0" wrapText="false" indent="0" shrinkToFit="false"/>
      <protection locked="true" hidden="false"/>
    </xf>
    <xf numFmtId="164" fontId="15" fillId="3" borderId="0" xfId="20" applyFont="true" applyBorder="true" applyAlignment="true" applyProtection="true">
      <alignment horizontal="center" vertical="center"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true" applyProtection="false">
      <alignment horizontal="center" vertical="top" textRotation="0" wrapText="true" indent="0" shrinkToFit="false"/>
      <protection locked="true" hidden="false"/>
    </xf>
    <xf numFmtId="164" fontId="16" fillId="0" borderId="1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6" fillId="0" borderId="12" xfId="0" applyFont="true" applyBorder="true" applyAlignment="true" applyProtection="false">
      <alignment horizontal="right" vertical="bottom" textRotation="0" wrapText="false" indent="0" shrinkToFit="false"/>
      <protection locked="true" hidden="false"/>
    </xf>
    <xf numFmtId="167" fontId="0" fillId="0" borderId="14" xfId="0" applyFont="true" applyBorder="true" applyAlignment="false" applyProtection="false">
      <alignment horizontal="general" vertical="bottom" textRotation="0" wrapText="false" indent="0" shrinkToFit="false"/>
      <protection locked="true" hidden="false"/>
    </xf>
    <xf numFmtId="167" fontId="0" fillId="0" borderId="15" xfId="0" applyFont="true" applyBorder="true" applyAlignment="fals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right" vertical="bottom" textRotation="0" wrapText="false" indent="0" shrinkToFit="false"/>
      <protection locked="true" hidden="false"/>
    </xf>
    <xf numFmtId="164" fontId="16" fillId="0" borderId="17" xfId="0" applyFont="true" applyBorder="true" applyAlignment="true" applyProtection="false">
      <alignment horizontal="right" vertical="bottom" textRotation="0" wrapText="false" indent="0" shrinkToFit="false"/>
      <protection locked="true" hidden="false"/>
    </xf>
    <xf numFmtId="167" fontId="0" fillId="0" borderId="18" xfId="0" applyFont="true" applyBorder="true" applyAlignment="false" applyProtection="false">
      <alignment horizontal="general" vertical="bottom" textRotation="0" wrapText="false" indent="0" shrinkToFit="false"/>
      <protection locked="true" hidden="false"/>
    </xf>
    <xf numFmtId="167" fontId="0" fillId="0" borderId="19"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top"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8" fontId="13" fillId="0" borderId="0" xfId="0" applyFont="true" applyBorder="false" applyAlignment="false" applyProtection="false">
      <alignment horizontal="general" vertical="bottom" textRotation="0" wrapText="false" indent="0" shrinkToFit="false"/>
      <protection locked="true" hidden="false"/>
    </xf>
    <xf numFmtId="164" fontId="13" fillId="5" borderId="20" xfId="0" applyFont="true" applyBorder="true" applyAlignment="true" applyProtection="false">
      <alignment horizontal="center"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9" fillId="4"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1" xfId="19" applyFont="true" applyBorder="tru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8" fontId="20" fillId="0" borderId="0" xfId="0" applyFont="true" applyBorder="false" applyAlignment="true" applyProtection="false">
      <alignment horizontal="general" vertical="center" textRotation="0" wrapText="false" indent="0" shrinkToFit="false"/>
      <protection locked="true" hidden="false"/>
    </xf>
    <xf numFmtId="164" fontId="20" fillId="6" borderId="21" xfId="19" applyFont="true" applyBorder="true" applyAlignment="true" applyProtection="true">
      <alignment horizontal="left" vertical="center" textRotation="0" wrapText="false" indent="0" shrinkToFit="false"/>
      <protection locked="true" hidden="false"/>
    </xf>
    <xf numFmtId="164" fontId="20" fillId="6" borderId="0" xfId="19" applyFont="true" applyBorder="true" applyAlignment="true" applyProtection="true">
      <alignment horizontal="left" vertical="center" textRotation="0" wrapText="false" indent="0" shrinkToFit="false"/>
      <protection locked="true" hidden="false"/>
    </xf>
    <xf numFmtId="164" fontId="21" fillId="6" borderId="0" xfId="19" applyFont="true" applyBorder="true" applyAlignment="true" applyProtection="true">
      <alignment horizontal="general" vertical="center"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8" fontId="22" fillId="0" borderId="0" xfId="19" applyFont="true" applyBorder="true" applyAlignment="true" applyProtection="true">
      <alignment horizontal="general" vertical="bottom" textRotation="0" wrapText="false" indent="0" shrinkToFit="false"/>
      <protection locked="true" hidden="false"/>
    </xf>
    <xf numFmtId="164" fontId="22" fillId="0" borderId="21" xfId="19" applyFont="true" applyBorder="true" applyAlignment="true" applyProtection="true">
      <alignment horizontal="left" vertical="bottom" textRotation="0" wrapText="false" indent="0" shrinkToFit="false"/>
      <protection locked="true" hidden="false"/>
    </xf>
    <xf numFmtId="164" fontId="23" fillId="0" borderId="0" xfId="19" applyFont="true" applyBorder="true" applyAlignment="true" applyProtection="true">
      <alignment horizontal="left" vertical="bottom" textRotation="0" wrapText="false" indent="0" shrinkToFit="false"/>
      <protection locked="true" hidden="false"/>
    </xf>
    <xf numFmtId="164" fontId="22" fillId="0" borderId="0" xfId="19" applyFont="true" applyBorder="true" applyAlignment="true" applyProtection="true">
      <alignment horizontal="general" vertical="bottom" textRotation="0" wrapText="false" indent="0" shrinkToFit="false"/>
      <protection locked="true" hidden="false"/>
    </xf>
    <xf numFmtId="169" fontId="22" fillId="0" borderId="0" xfId="19"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4" fontId="0" fillId="7" borderId="21" xfId="19" applyFont="true" applyBorder="true" applyAlignment="true" applyProtection="true">
      <alignment horizontal="center" vertical="center" textRotation="0" wrapText="true" indent="0" shrinkToFit="false"/>
      <protection locked="true" hidden="false"/>
    </xf>
    <xf numFmtId="164" fontId="13" fillId="4" borderId="0" xfId="19" applyFont="true" applyBorder="true" applyAlignment="true" applyProtection="true">
      <alignment horizontal="center" vertical="center" textRotation="0" wrapText="true" indent="0" shrinkToFit="false"/>
      <protection locked="true" hidden="false"/>
    </xf>
    <xf numFmtId="164" fontId="0" fillId="7" borderId="0" xfId="19" applyFont="true" applyBorder="true" applyAlignment="true" applyProtection="true">
      <alignment horizontal="center" vertical="center" textRotation="0" wrapText="tru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4" fontId="0" fillId="0" borderId="21" xfId="0" applyFont="fals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8" borderId="21" xfId="0" applyFont="true" applyBorder="true" applyAlignment="true" applyProtection="false">
      <alignment horizontal="left" vertical="bottom" textRotation="0" wrapText="false" indent="0" shrinkToFit="false"/>
      <protection locked="true" hidden="false"/>
    </xf>
    <xf numFmtId="164" fontId="13" fillId="8" borderId="0" xfId="0" applyFont="true" applyBorder="false" applyAlignment="true" applyProtection="false">
      <alignment horizontal="left" vertical="bottom" textRotation="0" wrapText="false" indent="0" shrinkToFit="false"/>
      <protection locked="true" hidden="false"/>
    </xf>
    <xf numFmtId="168" fontId="13" fillId="9" borderId="0" xfId="0" applyFont="true" applyBorder="false" applyAlignment="false" applyProtection="false">
      <alignment horizontal="general" vertical="bottom" textRotation="0" wrapText="false" indent="0" shrinkToFit="false"/>
      <protection locked="true" hidden="false"/>
    </xf>
    <xf numFmtId="164" fontId="24" fillId="9" borderId="21" xfId="19" applyFont="true" applyBorder="true" applyAlignment="true" applyProtection="true">
      <alignment horizontal="left" vertical="bottom" textRotation="0" wrapText="false" indent="0" shrinkToFit="false"/>
      <protection locked="true" hidden="false"/>
    </xf>
    <xf numFmtId="164" fontId="24" fillId="9" borderId="0" xfId="19" applyFont="true" applyBorder="true" applyAlignment="true" applyProtection="true">
      <alignment horizontal="left" vertical="bottom" textRotation="0" wrapText="false" indent="0" shrinkToFit="false"/>
      <protection locked="true" hidden="false"/>
    </xf>
    <xf numFmtId="164" fontId="25" fillId="9" borderId="0" xfId="19" applyFont="true" applyBorder="true" applyAlignment="true" applyProtection="tru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3" fillId="0" borderId="21" xfId="0" applyFont="true" applyBorder="true" applyAlignment="false" applyProtection="false">
      <alignment horizontal="general" vertical="bottom" textRotation="0" wrapText="false" indent="0" shrinkToFit="false"/>
      <protection locked="true" hidden="false"/>
    </xf>
    <xf numFmtId="168" fontId="20" fillId="0" borderId="0" xfId="0" applyFont="true" applyBorder="false" applyAlignment="true" applyProtection="false">
      <alignment horizontal="general" vertical="center" textRotation="0" wrapText="false" indent="0" shrinkToFit="false"/>
      <protection locked="true" hidden="false"/>
    </xf>
    <xf numFmtId="168" fontId="20" fillId="0" borderId="0" xfId="0" applyFont="true" applyBorder="true" applyAlignment="true" applyProtection="false">
      <alignment horizontal="general" vertical="center" textRotation="0" wrapText="false" indent="0" shrinkToFit="false"/>
      <protection locked="true" hidden="false"/>
    </xf>
    <xf numFmtId="167" fontId="20" fillId="6" borderId="21" xfId="19" applyFont="true" applyBorder="true" applyAlignment="true" applyProtection="true">
      <alignment horizontal="general" vertical="center" textRotation="0" wrapText="false" indent="0" shrinkToFit="false"/>
      <protection locked="true" hidden="false"/>
    </xf>
    <xf numFmtId="165" fontId="20" fillId="6" borderId="0" xfId="19" applyFont="true" applyBorder="true" applyAlignment="true" applyProtection="true">
      <alignment horizontal="general" vertical="center" textRotation="0" wrapText="false" indent="0" shrinkToFit="false"/>
      <protection locked="true" hidden="false"/>
    </xf>
    <xf numFmtId="167" fontId="20" fillId="6" borderId="0" xfId="0" applyFont="true" applyBorder="false" applyAlignment="true" applyProtection="false">
      <alignment horizontal="general" vertical="center" textRotation="0" wrapText="false" indent="0" shrinkToFit="false"/>
      <protection locked="true" hidden="false"/>
    </xf>
    <xf numFmtId="165" fontId="21" fillId="6" borderId="0" xfId="19" applyFont="true" applyBorder="true" applyAlignment="true" applyProtection="true">
      <alignment horizontal="general" vertical="center" textRotation="0" wrapText="false" indent="0" shrinkToFit="false"/>
      <protection locked="true" hidden="false"/>
    </xf>
    <xf numFmtId="170" fontId="20" fillId="6" borderId="0" xfId="0" applyFont="true" applyBorder="false" applyAlignment="true" applyProtection="false">
      <alignment horizontal="general" vertical="center" textRotation="0" wrapText="false" indent="0" shrinkToFit="false"/>
      <protection locked="true" hidden="false"/>
    </xf>
    <xf numFmtId="170" fontId="20" fillId="6" borderId="0" xfId="19" applyFont="true" applyBorder="true" applyAlignment="true" applyProtection="true">
      <alignment horizontal="general" vertical="center" textRotation="0" wrapText="false" indent="0" shrinkToFit="false"/>
      <protection locked="true" hidden="false"/>
    </xf>
    <xf numFmtId="167" fontId="20" fillId="6" borderId="0" xfId="19" applyFont="true" applyBorder="true" applyAlignment="true" applyProtection="true">
      <alignment horizontal="general" vertical="center" textRotation="0" wrapText="false" indent="0" shrinkToFit="false"/>
      <protection locked="true" hidden="false"/>
    </xf>
    <xf numFmtId="167" fontId="21" fillId="6" borderId="0" xfId="0" applyFont="true" applyBorder="true" applyAlignment="true" applyProtection="false">
      <alignment horizontal="general" vertical="center" textRotation="0" wrapText="false" indent="0" shrinkToFit="false"/>
      <protection locked="true" hidden="false"/>
    </xf>
    <xf numFmtId="167" fontId="20" fillId="6" borderId="0" xfId="0" applyFont="true" applyBorder="true" applyAlignment="true" applyProtection="false">
      <alignment horizontal="general" vertical="center" textRotation="0" wrapText="false" indent="0" shrinkToFit="false"/>
      <protection locked="true" hidden="false"/>
    </xf>
    <xf numFmtId="167" fontId="21" fillId="6" borderId="0" xfId="19" applyFont="true" applyBorder="true" applyAlignment="true" applyProtection="true">
      <alignment horizontal="general" vertical="center" textRotation="0" wrapText="false" indent="0" shrinkToFit="false"/>
      <protection locked="true" hidden="false"/>
    </xf>
    <xf numFmtId="165" fontId="20" fillId="6" borderId="21" xfId="19" applyFont="true" applyBorder="true" applyAlignment="true" applyProtection="true">
      <alignment horizontal="general" vertical="center" textRotation="0" wrapText="false" indent="0" shrinkToFit="false"/>
      <protection locked="true" hidden="false"/>
    </xf>
    <xf numFmtId="167" fontId="20" fillId="6" borderId="21" xfId="0" applyFont="true" applyBorder="true" applyAlignment="true" applyProtection="false">
      <alignment horizontal="general" vertical="center" textRotation="0" wrapText="false" indent="0" shrinkToFit="false"/>
      <protection locked="true" hidden="false"/>
    </xf>
    <xf numFmtId="165" fontId="20" fillId="6" borderId="0" xfId="0" applyFont="true" applyBorder="true" applyAlignment="true" applyProtection="false">
      <alignment horizontal="general" vertical="center" textRotation="0" wrapText="false" indent="0" shrinkToFit="false"/>
      <protection locked="true" hidden="false"/>
    </xf>
    <xf numFmtId="165" fontId="21" fillId="6" borderId="0" xfId="0" applyFont="true" applyBorder="true" applyAlignment="true" applyProtection="false">
      <alignment horizontal="general" vertical="center" textRotation="0" wrapText="false" indent="0" shrinkToFit="false"/>
      <protection locked="true" hidden="false"/>
    </xf>
    <xf numFmtId="167" fontId="21" fillId="6" borderId="0" xfId="0" applyFont="true" applyBorder="false" applyAlignment="true" applyProtection="false">
      <alignment horizontal="general" vertical="center" textRotation="0" wrapText="false" indent="0" shrinkToFit="false"/>
      <protection locked="true" hidden="false"/>
    </xf>
    <xf numFmtId="168" fontId="26" fillId="10" borderId="20" xfId="0" applyFont="true" applyBorder="true" applyAlignment="true" applyProtection="false">
      <alignment horizontal="left" vertical="center" textRotation="0" wrapText="true" indent="0" shrinkToFit="false"/>
      <protection locked="true" hidden="false"/>
    </xf>
    <xf numFmtId="168" fontId="22" fillId="0" borderId="0" xfId="0" applyFont="true" applyBorder="false" applyAlignment="false" applyProtection="false">
      <alignment horizontal="general" vertical="bottom" textRotation="0" wrapText="false" indent="0" shrinkToFit="false"/>
      <protection locked="true" hidden="false"/>
    </xf>
    <xf numFmtId="168" fontId="22" fillId="0" borderId="0" xfId="0" applyFont="true" applyBorder="true" applyAlignment="false" applyProtection="false">
      <alignment horizontal="general" vertical="bottom" textRotation="0" wrapText="false" indent="0" shrinkToFit="false"/>
      <protection locked="true" hidden="false"/>
    </xf>
    <xf numFmtId="167" fontId="23" fillId="0" borderId="21" xfId="19" applyFont="true" applyBorder="true" applyAlignment="true" applyProtection="true">
      <alignment horizontal="general" vertical="bottom" textRotation="0" wrapText="false" indent="0" shrinkToFit="false"/>
      <protection locked="true" hidden="false"/>
    </xf>
    <xf numFmtId="165" fontId="22" fillId="0" borderId="0" xfId="19" applyFont="true" applyBorder="true" applyAlignment="true" applyProtection="true">
      <alignment horizontal="general" vertical="bottom" textRotation="0" wrapText="false" indent="0" shrinkToFit="false"/>
      <protection locked="true" hidden="false"/>
    </xf>
    <xf numFmtId="167" fontId="23" fillId="0" borderId="0" xfId="19" applyFont="true" applyBorder="true" applyAlignment="true" applyProtection="true">
      <alignment horizontal="general" vertical="bottom" textRotation="0" wrapText="false" indent="0" shrinkToFit="false"/>
      <protection locked="true" hidden="false"/>
    </xf>
    <xf numFmtId="170" fontId="23" fillId="0" borderId="0" xfId="19" applyFont="true" applyBorder="true" applyAlignment="true" applyProtection="true">
      <alignment horizontal="general" vertical="bottom" textRotation="0" wrapText="false" indent="0" shrinkToFit="false"/>
      <protection locked="true" hidden="false"/>
    </xf>
    <xf numFmtId="167" fontId="22" fillId="0" borderId="21" xfId="19" applyFont="true" applyBorder="true" applyAlignment="true" applyProtection="true">
      <alignment horizontal="general" vertical="bottom" textRotation="0" wrapText="false" indent="0" shrinkToFit="false"/>
      <protection locked="true" hidden="false"/>
    </xf>
    <xf numFmtId="167" fontId="22" fillId="0" borderId="0" xfId="0" applyFont="true" applyBorder="true" applyAlignment="false" applyProtection="false">
      <alignment horizontal="general" vertical="bottom" textRotation="0" wrapText="false" indent="0" shrinkToFit="false"/>
      <protection locked="true" hidden="false"/>
    </xf>
    <xf numFmtId="167" fontId="22" fillId="0" borderId="0" xfId="19" applyFont="true" applyBorder="true" applyAlignment="true" applyProtection="true">
      <alignment horizontal="general" vertical="bottom" textRotation="0" wrapText="false" indent="0" shrinkToFit="false"/>
      <protection locked="true" hidden="false"/>
    </xf>
    <xf numFmtId="165" fontId="22" fillId="0" borderId="21" xfId="19" applyFont="true" applyBorder="true" applyAlignment="true" applyProtection="true">
      <alignment horizontal="general" vertical="bottom" textRotation="0" wrapText="false" indent="0" shrinkToFit="false"/>
      <protection locked="true" hidden="false"/>
    </xf>
    <xf numFmtId="167" fontId="23" fillId="0" borderId="0" xfId="0" applyFont="true" applyBorder="true" applyAlignment="false" applyProtection="false">
      <alignment horizontal="general" vertical="bottom" textRotation="0" wrapText="false" indent="0" shrinkToFit="false"/>
      <protection locked="true" hidden="false"/>
    </xf>
    <xf numFmtId="167" fontId="23" fillId="0" borderId="21" xfId="0" applyFont="true" applyBorder="true" applyAlignment="false" applyProtection="false">
      <alignment horizontal="general" vertical="bottom" textRotation="0" wrapText="false" indent="0" shrinkToFit="false"/>
      <protection locked="true" hidden="false"/>
    </xf>
    <xf numFmtId="165" fontId="22" fillId="0" borderId="0" xfId="0" applyFont="true" applyBorder="true" applyAlignment="false" applyProtection="false">
      <alignment horizontal="general" vertical="bottom" textRotation="0" wrapText="false" indent="0" shrinkToFit="false"/>
      <protection locked="true" hidden="false"/>
    </xf>
    <xf numFmtId="165" fontId="23" fillId="0" borderId="0" xfId="19" applyFont="true" applyBorder="true" applyAlignment="true" applyProtection="true">
      <alignment horizontal="general" vertical="bottom" textRotation="0" wrapText="false" indent="0" shrinkToFit="false"/>
      <protection locked="true" hidden="false"/>
    </xf>
    <xf numFmtId="167"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center" vertical="center" textRotation="0" wrapText="true" indent="0" shrinkToFit="false"/>
      <protection locked="true" hidden="false"/>
    </xf>
    <xf numFmtId="168" fontId="0" fillId="0" borderId="0" xfId="0" applyFont="true" applyBorder="true" applyAlignment="true" applyProtection="false">
      <alignment horizontal="center" vertical="center" textRotation="0" wrapText="true" indent="0" shrinkToFit="false"/>
      <protection locked="true" hidden="false"/>
    </xf>
    <xf numFmtId="167" fontId="13" fillId="4" borderId="21" xfId="0" applyFont="true" applyBorder="true" applyAlignment="true" applyProtection="false">
      <alignment horizontal="center" vertical="center" textRotation="0" wrapText="true" indent="0" shrinkToFit="false"/>
      <protection locked="true" hidden="false"/>
    </xf>
    <xf numFmtId="165" fontId="0" fillId="7" borderId="0" xfId="19" applyFont="true" applyBorder="true" applyAlignment="true" applyProtection="true">
      <alignment horizontal="center" vertical="center" textRotation="0" wrapText="true" indent="0" shrinkToFit="false"/>
      <protection locked="true" hidden="false"/>
    </xf>
    <xf numFmtId="167" fontId="13" fillId="4" borderId="0" xfId="19" applyFont="true" applyBorder="true" applyAlignment="true" applyProtection="true">
      <alignment horizontal="center" vertical="center" textRotation="0" wrapText="true" indent="0" shrinkToFit="false"/>
      <protection locked="true" hidden="false"/>
    </xf>
    <xf numFmtId="170" fontId="13" fillId="4" borderId="0" xfId="19" applyFont="true" applyBorder="true" applyAlignment="true" applyProtection="true">
      <alignment horizontal="center" vertical="center" textRotation="0" wrapText="true" indent="0" shrinkToFit="false"/>
      <protection locked="true" hidden="false"/>
    </xf>
    <xf numFmtId="167" fontId="0" fillId="7" borderId="21" xfId="19" applyFont="true" applyBorder="true" applyAlignment="true" applyProtection="true">
      <alignment horizontal="center" vertical="center" textRotation="0" wrapText="true" indent="0" shrinkToFit="false"/>
      <protection locked="true" hidden="false"/>
    </xf>
    <xf numFmtId="167" fontId="0" fillId="7" borderId="0" xfId="20" applyFont="true" applyBorder="true" applyAlignment="true" applyProtection="true">
      <alignment horizontal="center" vertical="center" textRotation="0" wrapText="true" indent="0" shrinkToFit="false"/>
      <protection locked="true" hidden="false"/>
    </xf>
    <xf numFmtId="167" fontId="0" fillId="7" borderId="0" xfId="19" applyFont="true" applyBorder="true" applyAlignment="true" applyProtection="true">
      <alignment horizontal="center" vertical="center" textRotation="0" wrapText="true" indent="0" shrinkToFit="false"/>
      <protection locked="true" hidden="false"/>
    </xf>
    <xf numFmtId="165" fontId="0" fillId="7" borderId="21" xfId="19" applyFont="true" applyBorder="true" applyAlignment="true" applyProtection="true">
      <alignment horizontal="center" vertical="center" textRotation="0" wrapText="true" indent="0" shrinkToFit="false"/>
      <protection locked="true" hidden="false"/>
    </xf>
    <xf numFmtId="165" fontId="0" fillId="4" borderId="0" xfId="19" applyFont="true" applyBorder="true" applyAlignment="true" applyProtection="true">
      <alignment horizontal="center" vertical="center" textRotation="0" wrapText="true" indent="0" shrinkToFit="false"/>
      <protection locked="true" hidden="false"/>
    </xf>
    <xf numFmtId="167" fontId="13" fillId="7" borderId="0" xfId="20" applyFont="true" applyBorder="true" applyAlignment="true" applyProtection="true">
      <alignment horizontal="center" vertical="center" textRotation="0" wrapText="true" indent="0" shrinkToFit="false"/>
      <protection locked="true" hidden="false"/>
    </xf>
    <xf numFmtId="167" fontId="30" fillId="7" borderId="21" xfId="20" applyFont="true" applyBorder="true" applyAlignment="true" applyProtection="true">
      <alignment horizontal="center" vertical="center" textRotation="0" wrapText="true" indent="0" shrinkToFit="false"/>
      <protection locked="true" hidden="false"/>
    </xf>
    <xf numFmtId="165" fontId="0" fillId="7" borderId="0" xfId="0" applyFont="true" applyBorder="true" applyAlignment="true" applyProtection="false">
      <alignment horizontal="center" vertical="center" textRotation="0" wrapText="true" indent="0" shrinkToFit="false"/>
      <protection locked="true" hidden="false"/>
    </xf>
    <xf numFmtId="167" fontId="13" fillId="7" borderId="0" xfId="19" applyFont="true" applyBorder="true" applyAlignment="true" applyProtection="true">
      <alignment horizontal="center" vertical="center" textRotation="0" wrapText="true" indent="0" shrinkToFit="false"/>
      <protection locked="true" hidden="false"/>
    </xf>
    <xf numFmtId="165" fontId="0" fillId="4" borderId="21" xfId="19" applyFont="true" applyBorder="true" applyAlignment="true" applyProtection="true">
      <alignment horizontal="center" vertical="center" textRotation="0" wrapText="true" indent="0" shrinkToFit="false"/>
      <protection locked="true" hidden="false"/>
    </xf>
    <xf numFmtId="167" fontId="13" fillId="7" borderId="21" xfId="20" applyFont="true" applyBorder="true" applyAlignment="true" applyProtection="true">
      <alignment horizontal="center" vertical="center" textRotation="0" wrapText="true" indent="0" shrinkToFit="false"/>
      <protection locked="true" hidden="false"/>
    </xf>
    <xf numFmtId="165" fontId="13" fillId="7" borderId="0" xfId="19" applyFont="true" applyBorder="true" applyAlignment="true" applyProtection="true">
      <alignment horizontal="center" vertical="center" textRotation="0" wrapText="true" indent="0" shrinkToFit="false"/>
      <protection locked="true" hidden="false"/>
    </xf>
    <xf numFmtId="165" fontId="0" fillId="4" borderId="21" xfId="0" applyFont="true" applyBorder="true" applyAlignment="true" applyProtection="false">
      <alignment horizontal="center" vertical="center" textRotation="0" wrapText="true" indent="0" shrinkToFit="false"/>
      <protection locked="true" hidden="false"/>
    </xf>
    <xf numFmtId="167" fontId="0" fillId="7" borderId="0" xfId="0" applyFont="true" applyBorder="false" applyAlignment="true" applyProtection="false">
      <alignment horizontal="center" vertical="center" textRotation="0" wrapText="true" indent="0" shrinkToFit="false"/>
      <protection locked="true" hidden="false"/>
    </xf>
    <xf numFmtId="165" fontId="0" fillId="4" borderId="0" xfId="0" applyFont="true" applyBorder="true" applyAlignment="true" applyProtection="false">
      <alignment horizontal="center" vertical="center" textRotation="0" wrapText="true" indent="0" shrinkToFit="false"/>
      <protection locked="true" hidden="false"/>
    </xf>
    <xf numFmtId="167" fontId="13" fillId="7" borderId="0" xfId="0" applyFont="true" applyBorder="false" applyAlignment="true" applyProtection="false">
      <alignment horizontal="center" vertical="center" textRotation="0" wrapText="true" indent="0" shrinkToFit="false"/>
      <protection locked="true" hidden="false"/>
    </xf>
    <xf numFmtId="167" fontId="30" fillId="7" borderId="0" xfId="20" applyFont="true" applyBorder="true" applyAlignment="true" applyProtection="true">
      <alignment horizontal="center" vertical="center" textRotation="0" wrapText="true" indent="0" shrinkToFit="false"/>
      <protection locked="true" hidden="false"/>
    </xf>
    <xf numFmtId="165" fontId="0" fillId="7" borderId="0" xfId="0" applyFont="true" applyBorder="false" applyAlignment="true" applyProtection="false">
      <alignment horizontal="center" vertical="center" textRotation="0" wrapText="true" indent="0" shrinkToFit="false"/>
      <protection locked="true" hidden="false"/>
    </xf>
    <xf numFmtId="167" fontId="13" fillId="7" borderId="21" xfId="19" applyFont="true" applyBorder="true" applyAlignment="true" applyProtection="true">
      <alignment horizontal="center" vertical="center" textRotation="0" wrapText="true" indent="0" shrinkToFit="false"/>
      <protection locked="true" hidden="false"/>
    </xf>
    <xf numFmtId="168" fontId="0"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true" applyAlignment="true" applyProtection="false">
      <alignment horizontal="right" vertical="bottom" textRotation="0" wrapText="false" indent="0" shrinkToFit="false"/>
      <protection locked="true" hidden="false"/>
    </xf>
    <xf numFmtId="167" fontId="13" fillId="0" borderId="21" xfId="19" applyFont="true" applyBorder="true" applyAlignment="true" applyProtection="true">
      <alignment horizontal="right" vertical="bottom" textRotation="0" wrapText="false" indent="0" shrinkToFit="false"/>
      <protection locked="true" hidden="false"/>
    </xf>
    <xf numFmtId="165" fontId="0" fillId="0" borderId="0" xfId="19" applyFont="true" applyBorder="true" applyAlignment="true" applyProtection="true">
      <alignment horizontal="right" vertical="bottom" textRotation="0" wrapText="false" indent="0" shrinkToFit="false"/>
      <protection locked="true" hidden="false"/>
    </xf>
    <xf numFmtId="167" fontId="13" fillId="0" borderId="0" xfId="19" applyFont="true" applyBorder="true" applyAlignment="true" applyProtection="true">
      <alignment horizontal="right" vertical="bottom" textRotation="0" wrapText="false" indent="0" shrinkToFit="false"/>
      <protection locked="true" hidden="false"/>
    </xf>
    <xf numFmtId="170" fontId="13" fillId="0" borderId="0" xfId="19" applyFont="true" applyBorder="true" applyAlignment="true" applyProtection="true">
      <alignment horizontal="right" vertical="bottom" textRotation="0" wrapText="false" indent="0" shrinkToFit="false"/>
      <protection locked="true" hidden="false"/>
    </xf>
    <xf numFmtId="167" fontId="0" fillId="0" borderId="21" xfId="19" applyFont="true" applyBorder="true" applyAlignment="true" applyProtection="tru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7" fontId="0" fillId="0" borderId="0" xfId="19" applyFont="true" applyBorder="true" applyAlignment="true" applyProtection="true">
      <alignment horizontal="right" vertical="bottom" textRotation="0" wrapText="false" indent="0" shrinkToFit="false"/>
      <protection locked="true" hidden="false"/>
    </xf>
    <xf numFmtId="165" fontId="0" fillId="0" borderId="21" xfId="19" applyFont="true" applyBorder="true" applyAlignment="true" applyProtection="true">
      <alignment horizontal="right" vertical="bottom" textRotation="0" wrapText="false" indent="0" shrinkToFit="false"/>
      <protection locked="true" hidden="false"/>
    </xf>
    <xf numFmtId="167" fontId="13" fillId="0" borderId="0" xfId="0" applyFont="true" applyBorder="true" applyAlignment="true" applyProtection="false">
      <alignment horizontal="right" vertical="bottom" textRotation="0" wrapText="false" indent="0" shrinkToFit="false"/>
      <protection locked="true" hidden="false"/>
    </xf>
    <xf numFmtId="167" fontId="13" fillId="0" borderId="21" xfId="0" applyFont="true" applyBorder="true" applyAlignment="true" applyProtection="false">
      <alignment horizontal="right" vertical="bottom" textRotation="0" wrapText="false" indent="0" shrinkToFit="false"/>
      <protection locked="true" hidden="false"/>
    </xf>
    <xf numFmtId="165" fontId="0" fillId="0" borderId="0" xfId="0" applyFont="true" applyBorder="true" applyAlignment="true" applyProtection="false">
      <alignment horizontal="right" vertical="bottom" textRotation="0" wrapText="false" indent="0" shrinkToFit="false"/>
      <protection locked="true" hidden="false"/>
    </xf>
    <xf numFmtId="165" fontId="13" fillId="0" borderId="0" xfId="19" applyFont="true" applyBorder="true" applyAlignment="true" applyProtection="true">
      <alignment horizontal="right"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7" fontId="13" fillId="0" borderId="0" xfId="0" applyFont="true" applyBorder="false" applyAlignment="true" applyProtection="false">
      <alignment horizontal="right"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true" applyAlignment="false" applyProtection="false">
      <alignment horizontal="general" vertical="bottom" textRotation="0" wrapText="false" indent="0" shrinkToFit="false"/>
      <protection locked="true" hidden="false"/>
    </xf>
    <xf numFmtId="167" fontId="13" fillId="0" borderId="21" xfId="0" applyFont="true" applyBorder="true" applyAlignment="false" applyProtection="false">
      <alignment horizontal="general" vertical="bottom" textRotation="0" wrapText="false" indent="0" shrinkToFit="false"/>
      <protection locked="true" hidden="false"/>
    </xf>
    <xf numFmtId="165" fontId="0" fillId="0" borderId="0" xfId="19" applyFont="true" applyBorder="true" applyAlignment="true" applyProtection="true">
      <alignment horizontal="general" vertical="bottom" textRotation="0" wrapText="false" indent="0" shrinkToFit="false"/>
      <protection locked="true" hidden="false"/>
    </xf>
    <xf numFmtId="170" fontId="13" fillId="0" borderId="0" xfId="0" applyFont="true" applyBorder="false" applyAlignment="false" applyProtection="false">
      <alignment horizontal="general" vertical="bottom" textRotation="0" wrapText="false" indent="0" shrinkToFit="false"/>
      <protection locked="true" hidden="false"/>
    </xf>
    <xf numFmtId="170" fontId="13" fillId="0" borderId="0" xfId="19" applyFont="true" applyBorder="true" applyAlignment="true" applyProtection="true">
      <alignment horizontal="general" vertical="bottom" textRotation="0" wrapText="false" indent="0" shrinkToFit="false"/>
      <protection locked="true" hidden="false"/>
    </xf>
    <xf numFmtId="167" fontId="13" fillId="0" borderId="0" xfId="19" applyFont="true" applyBorder="true" applyAlignment="true" applyProtection="true">
      <alignment horizontal="general" vertical="bottom" textRotation="0" wrapText="false" indent="0" shrinkToFit="false"/>
      <protection locked="true" hidden="false"/>
    </xf>
    <xf numFmtId="167" fontId="0" fillId="0" borderId="21" xfId="0" applyFont="true" applyBorder="true" applyAlignment="false" applyProtection="false">
      <alignment horizontal="general" vertical="bottom" textRotation="0" wrapText="false" indent="0" shrinkToFit="false"/>
      <protection locked="true" hidden="false"/>
    </xf>
    <xf numFmtId="167" fontId="0" fillId="0" borderId="0" xfId="15" applyFont="true" applyBorder="true" applyAlignment="true" applyProtection="tru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5" fontId="0" fillId="0" borderId="21" xfId="19" applyFont="true" applyBorder="true" applyAlignment="true" applyProtection="true">
      <alignment horizontal="general" vertical="bottom" textRotation="0" wrapText="false" indent="0" shrinkToFit="false"/>
      <protection locked="true" hidden="false"/>
    </xf>
    <xf numFmtId="167" fontId="13" fillId="0" borderId="0" xfId="0" applyFont="true" applyBorder="tru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13" fillId="0" borderId="0" xfId="19" applyFont="true" applyBorder="true" applyAlignment="true" applyProtection="true">
      <alignment horizontal="general" vertical="bottom" textRotation="0" wrapText="false" indent="0" shrinkToFit="false"/>
      <protection locked="true" hidden="false"/>
    </xf>
    <xf numFmtId="167" fontId="13" fillId="0" borderId="21" xfId="19" applyFont="true" applyBorder="true" applyAlignment="true" applyProtection="true">
      <alignment horizontal="general"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true" applyAlignment="false" applyProtection="false">
      <alignment horizontal="general" vertical="bottom" textRotation="0" wrapText="false" indent="0" shrinkToFit="false"/>
      <protection locked="true" hidden="false"/>
    </xf>
    <xf numFmtId="167" fontId="13" fillId="0" borderId="21" xfId="0" applyFont="true" applyBorder="true" applyAlignment="false" applyProtection="false">
      <alignment horizontal="general"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70" fontId="13" fillId="0" borderId="0" xfId="0" applyFont="true" applyBorder="false" applyAlignment="false" applyProtection="false">
      <alignment horizontal="general" vertical="bottom" textRotation="0" wrapText="false" indent="0" shrinkToFit="false"/>
      <protection locked="true" hidden="false"/>
    </xf>
    <xf numFmtId="167" fontId="0" fillId="0" borderId="21" xfId="0" applyFont="true" applyBorder="tru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true" applyAlignment="false" applyProtection="false">
      <alignment horizontal="general" vertical="bottom" textRotation="0" wrapText="false" indent="0" shrinkToFit="false"/>
      <protection locked="true" hidden="false"/>
    </xf>
    <xf numFmtId="168" fontId="13" fillId="9" borderId="0" xfId="0" applyFont="true" applyBorder="false" applyAlignment="true" applyProtection="false">
      <alignment horizontal="left" vertical="bottom" textRotation="0" wrapText="false" indent="0" shrinkToFit="false"/>
      <protection locked="true" hidden="false"/>
    </xf>
    <xf numFmtId="168" fontId="13" fillId="9" borderId="0" xfId="0" applyFont="true" applyBorder="true" applyAlignment="false" applyProtection="false">
      <alignment horizontal="general" vertical="bottom" textRotation="0" wrapText="false" indent="0" shrinkToFit="false"/>
      <protection locked="true" hidden="false"/>
    </xf>
    <xf numFmtId="167" fontId="24" fillId="9" borderId="21" xfId="19" applyFont="true" applyBorder="true" applyAlignment="true" applyProtection="true">
      <alignment horizontal="general" vertical="bottom" textRotation="0" wrapText="false" indent="0" shrinkToFit="false"/>
      <protection locked="true" hidden="false"/>
    </xf>
    <xf numFmtId="165" fontId="25" fillId="9" borderId="0" xfId="19" applyFont="true" applyBorder="true" applyAlignment="true" applyProtection="true">
      <alignment horizontal="general" vertical="bottom" textRotation="0" wrapText="false" indent="0" shrinkToFit="false"/>
      <protection locked="true" hidden="false"/>
    </xf>
    <xf numFmtId="167" fontId="24" fillId="9" borderId="0" xfId="19" applyFont="true" applyBorder="true" applyAlignment="true" applyProtection="true">
      <alignment horizontal="general" vertical="bottom" textRotation="0" wrapText="false" indent="0" shrinkToFit="false"/>
      <protection locked="true" hidden="false"/>
    </xf>
    <xf numFmtId="170" fontId="24" fillId="9" borderId="0" xfId="19" applyFont="true" applyBorder="true" applyAlignment="true" applyProtection="true">
      <alignment horizontal="general" vertical="bottom" textRotation="0" wrapText="false" indent="0" shrinkToFit="false"/>
      <protection locked="true" hidden="false"/>
    </xf>
    <xf numFmtId="165" fontId="24" fillId="9" borderId="0" xfId="19" applyFont="true" applyBorder="true" applyAlignment="true" applyProtection="true">
      <alignment horizontal="general" vertical="bottom" textRotation="0" wrapText="false" indent="0" shrinkToFit="false"/>
      <protection locked="true" hidden="false"/>
    </xf>
    <xf numFmtId="167" fontId="25" fillId="9" borderId="0" xfId="19" applyFont="true" applyBorder="true" applyAlignment="true" applyProtection="true">
      <alignment horizontal="general" vertical="bottom" textRotation="0" wrapText="false" indent="0" shrinkToFit="false"/>
      <protection locked="true" hidden="false"/>
    </xf>
    <xf numFmtId="167" fontId="25" fillId="9" borderId="21" xfId="19" applyFont="true" applyBorder="true" applyAlignment="true" applyProtection="true">
      <alignment horizontal="general" vertical="bottom" textRotation="0" wrapText="false" indent="0" shrinkToFit="false"/>
      <protection locked="true" hidden="false"/>
    </xf>
    <xf numFmtId="167" fontId="24" fillId="9" borderId="0" xfId="15" applyFont="true" applyBorder="true" applyAlignment="true" applyProtection="true">
      <alignment horizontal="left" vertical="bottom" textRotation="0" wrapText="false" indent="0" shrinkToFit="false"/>
      <protection locked="true" hidden="false"/>
    </xf>
    <xf numFmtId="167" fontId="24" fillId="9" borderId="0" xfId="0" applyFont="true" applyBorder="true" applyAlignment="true" applyProtection="false">
      <alignment horizontal="left" vertical="bottom" textRotation="0" wrapText="false" indent="0" shrinkToFit="false"/>
      <protection locked="true" hidden="false"/>
    </xf>
    <xf numFmtId="165" fontId="24" fillId="9" borderId="21" xfId="19" applyFont="true" applyBorder="true" applyAlignment="true" applyProtection="true">
      <alignment horizontal="left" vertical="bottom" textRotation="0" wrapText="false" indent="0" shrinkToFit="false"/>
      <protection locked="true" hidden="false"/>
    </xf>
    <xf numFmtId="165" fontId="24" fillId="9" borderId="0" xfId="19" applyFont="true" applyBorder="true" applyAlignment="true" applyProtection="true">
      <alignment horizontal="left" vertical="bottom" textRotation="0" wrapText="false" indent="0" shrinkToFit="false"/>
      <protection locked="true" hidden="false"/>
    </xf>
    <xf numFmtId="167" fontId="24" fillId="9" borderId="21" xfId="0" applyFont="true" applyBorder="true" applyAlignment="true" applyProtection="false">
      <alignment horizontal="left" vertical="bottom" textRotation="0" wrapText="false" indent="0" shrinkToFit="false"/>
      <protection locked="true" hidden="false"/>
    </xf>
    <xf numFmtId="165" fontId="25" fillId="9" borderId="21" xfId="19" applyFont="true" applyBorder="true" applyAlignment="true" applyProtection="true">
      <alignment horizontal="general" vertical="bottom" textRotation="0" wrapText="false" indent="0" shrinkToFit="false"/>
      <protection locked="true" hidden="false"/>
    </xf>
    <xf numFmtId="165" fontId="25" fillId="9" borderId="0" xfId="0" applyFont="true" applyBorder="true" applyAlignment="true" applyProtection="false">
      <alignment horizontal="left" vertical="bottom" textRotation="0" wrapText="false" indent="0" shrinkToFit="false"/>
      <protection locked="true" hidden="false"/>
    </xf>
    <xf numFmtId="167" fontId="24" fillId="9" borderId="0" xfId="19" applyFont="true" applyBorder="true" applyAlignment="true" applyProtection="true">
      <alignment horizontal="left" vertical="bottom" textRotation="0" wrapText="false" indent="0" shrinkToFit="false"/>
      <protection locked="true" hidden="false"/>
    </xf>
    <xf numFmtId="165" fontId="25" fillId="9" borderId="21" xfId="19" applyFont="true" applyBorder="true" applyAlignment="true" applyProtection="true">
      <alignment horizontal="left" vertical="bottom" textRotation="0" wrapText="false" indent="0" shrinkToFit="false"/>
      <protection locked="true" hidden="false"/>
    </xf>
    <xf numFmtId="167" fontId="25" fillId="9" borderId="0" xfId="0" applyFont="true" applyBorder="false" applyAlignment="true" applyProtection="false">
      <alignment horizontal="left" vertical="bottom" textRotation="0" wrapText="false" indent="0" shrinkToFit="false"/>
      <protection locked="true" hidden="false"/>
    </xf>
    <xf numFmtId="167" fontId="24" fillId="9" borderId="0" xfId="0" applyFont="true" applyBorder="false" applyAlignment="false" applyProtection="false">
      <alignment horizontal="general" vertical="bottom" textRotation="0" wrapText="false" indent="0" shrinkToFit="false"/>
      <protection locked="true" hidden="false"/>
    </xf>
    <xf numFmtId="165" fontId="25" fillId="9" borderId="0"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7" fontId="0" fillId="0" borderId="21"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67" fontId="13" fillId="0" borderId="0" xfId="15" applyFont="true" applyBorder="true" applyAlignment="true" applyProtection="true">
      <alignment horizontal="general" vertical="bottom" textRotation="0" wrapText="false" indent="0" shrinkToFit="false"/>
      <protection locked="true" hidden="false"/>
    </xf>
    <xf numFmtId="167" fontId="13" fillId="0" borderId="0" xfId="0" applyFont="true" applyBorder="false" applyAlignment="true" applyProtection="false">
      <alignment horizontal="general" vertical="center" textRotation="0" wrapText="false" indent="0" shrinkToFit="false"/>
      <protection locked="true" hidden="false"/>
    </xf>
    <xf numFmtId="165" fontId="13" fillId="0" borderId="21" xfId="19"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70" fontId="21" fillId="6" borderId="0" xfId="19" applyFont="true" applyBorder="true" applyAlignment="true" applyProtection="true">
      <alignment horizontal="general" vertical="center" textRotation="0" wrapText="false" indent="0" shrinkToFit="false"/>
      <protection locked="true" hidden="false"/>
    </xf>
    <xf numFmtId="167" fontId="20" fillId="6" borderId="0" xfId="15" applyFont="true" applyBorder="true" applyAlignment="true" applyProtection="true">
      <alignment horizontal="general" vertical="center" textRotation="0" wrapText="false" indent="0" shrinkToFit="false"/>
      <protection locked="true" hidden="false"/>
    </xf>
    <xf numFmtId="168" fontId="0" fillId="10" borderId="20" xfId="0" applyFont="true" applyBorder="true" applyAlignment="true" applyProtection="false">
      <alignment horizontal="left" vertical="center" textRotation="0" wrapText="true" indent="0" shrinkToFit="false"/>
      <protection locked="true" hidden="false"/>
    </xf>
    <xf numFmtId="170" fontId="22" fillId="0" borderId="0" xfId="19" applyFont="true" applyBorder="true" applyAlignment="true" applyProtection="true">
      <alignment horizontal="general" vertical="bottom" textRotation="0" wrapText="false" indent="0" shrinkToFit="false"/>
      <protection locked="true" hidden="false"/>
    </xf>
    <xf numFmtId="167" fontId="23" fillId="0" borderId="0" xfId="15" applyFont="true" applyBorder="true" applyAlignment="true" applyProtection="true">
      <alignment horizontal="general" vertical="bottom" textRotation="0" wrapText="false" indent="0" shrinkToFit="false"/>
      <protection locked="true" hidden="false"/>
    </xf>
    <xf numFmtId="167" fontId="23" fillId="0" borderId="0" xfId="0" applyFont="true" applyBorder="false" applyAlignment="false" applyProtection="false">
      <alignment horizontal="general" vertical="bottom" textRotation="0" wrapText="false" indent="0" shrinkToFit="false"/>
      <protection locked="true" hidden="false"/>
    </xf>
    <xf numFmtId="167" fontId="23" fillId="0" borderId="0" xfId="0" applyFont="true" applyBorder="false" applyAlignment="true" applyProtection="false">
      <alignment horizontal="general" vertical="center" textRotation="0" wrapText="false" indent="0" shrinkToFit="false"/>
      <protection locked="true" hidden="false"/>
    </xf>
    <xf numFmtId="167" fontId="22" fillId="0" borderId="21" xfId="0" applyFont="true" applyBorder="true" applyAlignment="false" applyProtection="false">
      <alignment horizontal="general" vertical="bottom" textRotation="0" wrapText="false" indent="0" shrinkToFit="false"/>
      <protection locked="true" hidden="false"/>
    </xf>
    <xf numFmtId="167" fontId="10" fillId="7" borderId="0" xfId="20" applyFont="true" applyBorder="true" applyAlignment="true" applyProtection="true">
      <alignment horizontal="center" vertical="center" textRotation="0" wrapText="true" indent="0" shrinkToFit="false"/>
      <protection locked="true" hidden="false"/>
    </xf>
    <xf numFmtId="170" fontId="10" fillId="7" borderId="0" xfId="20" applyFont="true" applyBorder="true" applyAlignment="true" applyProtection="true">
      <alignment horizontal="center" vertical="center" textRotation="0" wrapText="true" indent="0" shrinkToFit="false"/>
      <protection locked="true" hidden="false"/>
    </xf>
    <xf numFmtId="165" fontId="10" fillId="7" borderId="0" xfId="20" applyFont="true" applyBorder="true" applyAlignment="true" applyProtection="true">
      <alignment horizontal="center" vertical="center" textRotation="0" wrapText="true" indent="0" shrinkToFit="false"/>
      <protection locked="true" hidden="false"/>
    </xf>
    <xf numFmtId="167" fontId="13" fillId="7" borderId="0" xfId="15" applyFont="true" applyBorder="true" applyAlignment="true" applyProtection="true">
      <alignment horizontal="center" vertical="center" textRotation="0" wrapText="true" indent="0" shrinkToFit="false"/>
      <protection locked="true" hidden="false"/>
    </xf>
    <xf numFmtId="167" fontId="35" fillId="7" borderId="0" xfId="20" applyFont="true" applyBorder="true" applyAlignment="true" applyProtection="true">
      <alignment horizontal="center" vertical="center" textRotation="0" wrapText="true" indent="0" shrinkToFit="false"/>
      <protection locked="true" hidden="false"/>
    </xf>
    <xf numFmtId="167" fontId="13" fillId="7" borderId="21" xfId="0" applyFont="true" applyBorder="true" applyAlignment="true" applyProtection="false">
      <alignment horizontal="center" vertical="center" textRotation="0" wrapText="true" indent="0" shrinkToFit="false"/>
      <protection locked="true" hidden="false"/>
    </xf>
    <xf numFmtId="165" fontId="36" fillId="7" borderId="21" xfId="19" applyFont="true" applyBorder="true" applyAlignment="true" applyProtection="true">
      <alignment horizontal="center" vertical="center" textRotation="0" wrapText="true" indent="0" shrinkToFit="false"/>
      <protection locked="true" hidden="false"/>
    </xf>
    <xf numFmtId="167" fontId="13" fillId="7" borderId="0" xfId="0" applyFont="true" applyBorder="true" applyAlignment="true" applyProtection="false">
      <alignment horizontal="center" vertical="center" textRotation="0" wrapText="true" indent="0" shrinkToFit="false"/>
      <protection locked="true" hidden="false"/>
    </xf>
    <xf numFmtId="167" fontId="36" fillId="4" borderId="21" xfId="20" applyFont="true" applyBorder="true" applyAlignment="true" applyProtection="true">
      <alignment horizontal="center" vertical="center" textRotation="0" wrapText="true" indent="0" shrinkToFit="false"/>
      <protection locked="true" hidden="false"/>
    </xf>
    <xf numFmtId="165" fontId="36" fillId="7" borderId="0" xfId="19" applyFont="true" applyBorder="true" applyAlignment="true" applyProtection="true">
      <alignment horizontal="center" vertical="center" textRotation="0" wrapText="true" indent="0" shrinkToFit="false"/>
      <protection locked="true" hidden="false"/>
    </xf>
    <xf numFmtId="165" fontId="36" fillId="4" borderId="0" xfId="19" applyFont="true" applyBorder="true" applyAlignment="true" applyProtection="true">
      <alignment horizontal="center" vertical="center" textRotation="0" wrapText="true" indent="0" shrinkToFit="false"/>
      <protection locked="true" hidden="false"/>
    </xf>
    <xf numFmtId="167" fontId="10" fillId="7" borderId="21" xfId="20" applyFont="true" applyBorder="true" applyAlignment="true" applyProtection="true">
      <alignment horizontal="center" vertical="center" textRotation="0" wrapText="true" indent="0" shrinkToFit="false"/>
      <protection locked="true" hidden="false"/>
    </xf>
    <xf numFmtId="170" fontId="0" fillId="0" borderId="0" xfId="19" applyFont="true" applyBorder="true" applyAlignment="true" applyProtection="true">
      <alignment horizontal="right" vertical="bottom" textRotation="0" wrapText="false" indent="0" shrinkToFit="false"/>
      <protection locked="true" hidden="false"/>
    </xf>
    <xf numFmtId="167" fontId="35" fillId="0" borderId="0" xfId="19" applyFont="true" applyBorder="true" applyAlignment="true" applyProtection="true">
      <alignment horizontal="right" vertical="bottom" textRotation="0" wrapText="false" indent="0" shrinkToFit="false"/>
      <protection locked="true" hidden="false"/>
    </xf>
    <xf numFmtId="167" fontId="13" fillId="0" borderId="0" xfId="19" applyFont="true" applyBorder="true" applyAlignment="true" applyProtection="true">
      <alignment horizontal="right" vertical="center" textRotation="0" wrapText="false" indent="0" shrinkToFit="false"/>
      <protection locked="true" hidden="false"/>
    </xf>
    <xf numFmtId="165" fontId="4" fillId="0" borderId="0" xfId="19" applyFont="true" applyBorder="true" applyAlignment="true" applyProtection="true">
      <alignment horizontal="righ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7" fontId="13" fillId="8" borderId="0" xfId="0" applyFont="true" applyBorder="false" applyAlignment="false" applyProtection="false">
      <alignment horizontal="general" vertical="bottom" textRotation="0" wrapText="false" indent="0" shrinkToFit="false"/>
      <protection locked="true" hidden="false"/>
    </xf>
    <xf numFmtId="167" fontId="0" fillId="8" borderId="21" xfId="0" applyFont="true" applyBorder="true" applyAlignment="false" applyProtection="false">
      <alignment horizontal="general" vertical="bottom" textRotation="0" wrapText="false" indent="0" shrinkToFit="false"/>
      <protection locked="true" hidden="false"/>
    </xf>
    <xf numFmtId="167" fontId="13" fillId="8" borderId="0" xfId="0" applyFont="true" applyBorder="false" applyAlignment="true" applyProtection="false">
      <alignment horizontal="general" vertical="center" textRotation="0" wrapText="false" indent="0" shrinkToFit="false"/>
      <protection locked="true" hidden="false"/>
    </xf>
    <xf numFmtId="167" fontId="13" fillId="8" borderId="0" xfId="0" applyFont="true" applyBorder="true" applyAlignment="false" applyProtection="false">
      <alignment horizontal="general" vertical="bottom" textRotation="0" wrapText="false" indent="0" shrinkToFit="false"/>
      <protection locked="true" hidden="false"/>
    </xf>
    <xf numFmtId="167" fontId="13" fillId="8" borderId="21" xfId="0" applyFont="true" applyBorder="true" applyAlignment="false" applyProtection="false">
      <alignment horizontal="general" vertical="bottom" textRotation="0" wrapText="false" indent="0" shrinkToFit="false"/>
      <protection locked="true" hidden="false"/>
    </xf>
    <xf numFmtId="170" fontId="25" fillId="9" borderId="0" xfId="19" applyFont="true" applyBorder="true" applyAlignment="true" applyProtection="true">
      <alignment horizontal="general" vertical="bottom" textRotation="0" wrapText="false" indent="0" shrinkToFit="false"/>
      <protection locked="true" hidden="false"/>
    </xf>
    <xf numFmtId="165" fontId="25" fillId="9" borderId="0" xfId="0" applyFont="true" applyBorder="false" applyAlignment="false" applyProtection="false">
      <alignment horizontal="general" vertical="bottom" textRotation="0" wrapText="false" indent="0" shrinkToFit="false"/>
      <protection locked="true" hidden="false"/>
    </xf>
    <xf numFmtId="167" fontId="25" fillId="9" borderId="0" xfId="0" applyFont="true" applyBorder="false" applyAlignment="false" applyProtection="false">
      <alignment horizontal="general" vertical="bottom" textRotation="0" wrapText="false" indent="0" shrinkToFit="false"/>
      <protection locked="true" hidden="false"/>
    </xf>
    <xf numFmtId="165" fontId="25" fillId="9" borderId="21" xfId="0" applyFont="true" applyBorder="true" applyAlignment="false" applyProtection="false">
      <alignment horizontal="general" vertical="bottom" textRotation="0" wrapText="false" indent="0" shrinkToFit="false"/>
      <protection locked="true" hidden="false"/>
    </xf>
    <xf numFmtId="167" fontId="25" fillId="9" borderId="21" xfId="0" applyFont="true" applyBorder="true" applyAlignment="false" applyProtection="false">
      <alignment horizontal="general" vertical="bottom" textRotation="0" wrapText="false" indent="0" shrinkToFit="false"/>
      <protection locked="true" hidden="false"/>
    </xf>
    <xf numFmtId="167" fontId="25" fillId="9" borderId="0"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20" fillId="6" borderId="0" xfId="0" applyFont="true" applyBorder="false" applyAlignment="true" applyProtection="false">
      <alignment horizontal="general" vertical="center" textRotation="0" wrapText="false" indent="0" shrinkToFit="false"/>
      <protection locked="true" hidden="false"/>
    </xf>
    <xf numFmtId="165" fontId="22" fillId="0" borderId="0" xfId="19" applyFont="true" applyBorder="true" applyAlignment="true" applyProtection="true">
      <alignment horizontal="general" vertical="bottom" textRotation="0" wrapText="false" indent="0" shrinkToFit="false"/>
      <protection locked="true" hidden="false"/>
    </xf>
    <xf numFmtId="167" fontId="35" fillId="7" borderId="0" xfId="19" applyFont="true" applyBorder="true" applyAlignment="true" applyProtection="true">
      <alignment horizontal="center" vertical="center" textRotation="0" wrapText="true" indent="0" shrinkToFit="false"/>
      <protection locked="true" hidden="false"/>
    </xf>
    <xf numFmtId="165" fontId="0" fillId="0" borderId="0" xfId="23" applyFont="true" applyBorder="true" applyAlignment="true" applyProtection="true">
      <alignment horizontal="general" vertical="bottom" textRotation="0" wrapText="false" indent="0" shrinkToFit="false"/>
      <protection locked="true" hidden="false"/>
    </xf>
    <xf numFmtId="167" fontId="13" fillId="0" borderId="0" xfId="23" applyFont="true" applyBorder="true" applyAlignment="true" applyProtection="true">
      <alignment horizontal="general" vertical="bottom" textRotation="0" wrapText="false" indent="0" shrinkToFit="false"/>
      <protection locked="true" hidden="false"/>
    </xf>
    <xf numFmtId="167" fontId="24" fillId="9" borderId="0" xfId="23" applyFont="true" applyBorder="true" applyAlignment="true" applyProtection="true">
      <alignment horizontal="general" vertical="bottom" textRotation="0" wrapText="false" indent="0" shrinkToFit="false"/>
      <protection locked="true" hidden="false"/>
    </xf>
    <xf numFmtId="167" fontId="0" fillId="0" borderId="21" xfId="0" applyFont="true" applyBorder="true" applyAlignment="true" applyProtection="false">
      <alignment horizontal="right" vertical="bottom" textRotation="0" wrapText="false" indent="0" shrinkToFit="false"/>
      <protection locked="true" hidden="false"/>
    </xf>
    <xf numFmtId="167" fontId="0" fillId="8" borderId="0" xfId="0" applyFont="true" applyBorder="false" applyAlignment="false" applyProtection="false">
      <alignment horizontal="general" vertical="bottom" textRotation="0" wrapText="false" indent="0" shrinkToFit="false"/>
      <protection locked="true" hidden="false"/>
    </xf>
    <xf numFmtId="167" fontId="0" fillId="8" borderId="21" xfId="19" applyFont="true" applyBorder="true" applyAlignment="true" applyProtection="true">
      <alignment horizontal="general" vertical="bottom" textRotation="0" wrapText="false" indent="0" shrinkToFit="false"/>
      <protection locked="true" hidden="false"/>
    </xf>
    <xf numFmtId="167" fontId="13" fillId="4" borderId="0" xfId="0" applyFont="true" applyBorder="true" applyAlignment="true" applyProtection="false">
      <alignment horizontal="center" vertical="center" textRotation="0" wrapText="true" indent="0" shrinkToFit="false"/>
      <protection locked="true" hidden="false"/>
    </xf>
    <xf numFmtId="167" fontId="0" fillId="7" borderId="21" xfId="0" applyFont="true" applyBorder="true" applyAlignment="true" applyProtection="false">
      <alignment horizontal="center" vertical="center" textRotation="0" wrapText="true" indent="0" shrinkToFit="false"/>
      <protection locked="true" hidden="false"/>
    </xf>
    <xf numFmtId="167" fontId="13" fillId="8" borderId="0" xfId="19" applyFont="true" applyBorder="true" applyAlignment="true" applyProtection="true">
      <alignment horizontal="general" vertical="bottom" textRotation="0" wrapText="false" indent="0" shrinkToFit="false"/>
      <protection locked="true" hidden="false"/>
    </xf>
    <xf numFmtId="165" fontId="0" fillId="0" borderId="21" xfId="0" applyFont="true" applyBorder="true" applyAlignment="false" applyProtection="false">
      <alignment horizontal="general" vertical="bottom" textRotation="0" wrapText="false" indent="0" shrinkToFit="false"/>
      <protection locked="true" hidden="false"/>
    </xf>
    <xf numFmtId="167" fontId="0" fillId="0" borderId="21" xfId="0" applyFont="false" applyBorder="true" applyAlignment="false" applyProtection="false">
      <alignment horizontal="general" vertical="bottom" textRotation="0" wrapText="false" indent="0" shrinkToFit="false"/>
      <protection locked="true" hidden="false"/>
    </xf>
    <xf numFmtId="165" fontId="0" fillId="0" borderId="21" xfId="0" applyFont="false" applyBorder="true" applyAlignment="false" applyProtection="false">
      <alignment horizontal="general" vertical="bottom" textRotation="0" wrapText="false" indent="0" shrinkToFit="false"/>
      <protection locked="true" hidden="false"/>
    </xf>
    <xf numFmtId="168" fontId="13" fillId="0" borderId="0" xfId="0" applyFont="true" applyBorder="true" applyAlignment="true" applyProtection="false">
      <alignment horizontal="center" vertical="center" textRotation="0" wrapText="true" indent="0" shrinkToFit="false"/>
      <protection locked="true" hidden="false"/>
    </xf>
    <xf numFmtId="167" fontId="13" fillId="4" borderId="0" xfId="0" applyFont="true" applyBorder="false" applyAlignment="true" applyProtection="false">
      <alignment horizontal="center" vertical="center" textRotation="0" wrapText="true" indent="0" shrinkToFit="false"/>
      <protection locked="true" hidden="false"/>
    </xf>
    <xf numFmtId="170" fontId="13" fillId="8" borderId="0" xfId="19" applyFont="true" applyBorder="true" applyAlignment="true" applyProtection="true">
      <alignment horizontal="general" vertical="bottom" textRotation="0" wrapText="false" indent="0" shrinkToFit="false"/>
      <protection locked="true" hidden="false"/>
    </xf>
    <xf numFmtId="167" fontId="0" fillId="8" borderId="0" xfId="19" applyFont="true" applyBorder="true" applyAlignment="true" applyProtection="true">
      <alignment horizontal="general" vertical="bottom" textRotation="0" wrapText="false" indent="0" shrinkToFit="false"/>
      <protection locked="true" hidden="false"/>
    </xf>
    <xf numFmtId="167" fontId="36" fillId="8" borderId="21" xfId="23" applyFont="true" applyBorder="true" applyAlignment="true" applyProtection="true">
      <alignment horizontal="general" vertical="bottom" textRotation="0" wrapText="false" indent="0" shrinkToFit="false"/>
      <protection locked="true" hidden="false"/>
    </xf>
    <xf numFmtId="165" fontId="10" fillId="7" borderId="21" xfId="20" applyFont="true" applyBorder="true" applyAlignment="true" applyProtection="true">
      <alignment horizontal="center" vertical="center" textRotation="0" wrapText="true" indent="0" shrinkToFit="false"/>
      <protection locked="true" hidden="false"/>
    </xf>
    <xf numFmtId="165" fontId="10" fillId="4" borderId="0" xfId="20" applyFont="true" applyBorder="true" applyAlignment="true" applyProtection="true">
      <alignment horizontal="center" vertical="center" textRotation="0" wrapText="true" indent="0" shrinkToFit="false"/>
      <protection locked="true" hidden="false"/>
    </xf>
    <xf numFmtId="167" fontId="36" fillId="8" borderId="2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10" fillId="4" borderId="21"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38" fillId="8" borderId="0" xfId="21" applyFont="true" applyBorder="false" applyAlignment="false" applyProtection="false">
      <alignment horizontal="general" vertical="bottom" textRotation="0" wrapText="false" indent="0" shrinkToFit="false"/>
      <protection locked="true" hidden="false"/>
    </xf>
    <xf numFmtId="164" fontId="13" fillId="9" borderId="0" xfId="0" applyFont="true" applyBorder="false" applyAlignment="false" applyProtection="false">
      <alignment horizontal="general" vertical="bottom" textRotation="0" wrapText="false" indent="0" shrinkToFit="false"/>
      <protection locked="true" hidden="false"/>
    </xf>
    <xf numFmtId="167" fontId="0" fillId="8" borderId="0" xfId="0" applyFont="true" applyBorder="true" applyAlignment="false" applyProtection="false">
      <alignment horizontal="general" vertical="bottom" textRotation="0" wrapText="false" indent="0" shrinkToFit="false"/>
      <protection locked="true" hidden="false"/>
    </xf>
    <xf numFmtId="167" fontId="20" fillId="6" borderId="0" xfId="0" applyFont="true" applyBorder="false" applyAlignment="true" applyProtection="false">
      <alignment horizontal="left" vertical="center" textRotation="0" wrapText="false" indent="0" shrinkToFit="false"/>
      <protection locked="true" hidden="false"/>
    </xf>
    <xf numFmtId="167" fontId="22"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left" vertical="bottom" textRotation="0" wrapText="false" indent="0" shrinkToFit="false"/>
      <protection locked="true" hidden="false"/>
    </xf>
    <xf numFmtId="167" fontId="36" fillId="8" borderId="0" xfId="0" applyFont="true" applyBorder="false" applyAlignment="true" applyProtection="false">
      <alignment horizontal="left" vertical="bottom" textRotation="0" wrapText="false" indent="0" shrinkToFit="false"/>
      <protection locked="true" hidden="false"/>
    </xf>
    <xf numFmtId="167" fontId="36" fillId="8" borderId="0" xfId="0" applyFont="true" applyBorder="false" applyAlignment="false" applyProtection="false">
      <alignment horizontal="general" vertical="bottom" textRotation="0" wrapText="false" indent="0" shrinkToFit="false"/>
      <protection locked="true" hidden="false"/>
    </xf>
    <xf numFmtId="167" fontId="35" fillId="8" borderId="0" xfId="0" applyFont="true" applyBorder="false" applyAlignment="false" applyProtection="false">
      <alignment horizontal="general" vertical="bottom" textRotation="0" wrapText="false" indent="0" shrinkToFit="false"/>
      <protection locked="true" hidden="false"/>
    </xf>
    <xf numFmtId="167" fontId="0" fillId="8" borderId="0" xfId="0" applyFont="true" applyBorder="false" applyAlignment="true" applyProtection="false">
      <alignment horizontal="left" vertical="bottom" textRotation="0" wrapText="false" indent="0" shrinkToFit="false"/>
      <protection locked="true" hidden="false"/>
    </xf>
    <xf numFmtId="167" fontId="25" fillId="9" borderId="0" xfId="19" applyFont="true" applyBorder="true" applyAlignment="true" applyProtection="true">
      <alignment horizontal="left" vertical="bottom" textRotation="0" wrapText="false" indent="0" shrinkToFit="false"/>
      <protection locked="true" hidden="false"/>
    </xf>
    <xf numFmtId="167" fontId="25" fillId="9" borderId="0" xfId="19" applyFont="true" applyBorder="true" applyAlignment="true" applyProtection="true">
      <alignment horizontal="center" vertical="bottom" textRotation="0" wrapText="false" indent="0" shrinkToFit="false"/>
      <protection locked="true" hidden="false"/>
    </xf>
    <xf numFmtId="168" fontId="20" fillId="0" borderId="0" xfId="0" applyFont="true" applyBorder="false" applyAlignment="true" applyProtection="false">
      <alignment horizontal="left" vertical="center" textRotation="0" wrapText="false" indent="0" shrinkToFit="false"/>
      <protection locked="true" hidden="false"/>
    </xf>
    <xf numFmtId="167" fontId="20" fillId="6" borderId="21" xfId="0" applyFont="true" applyBorder="true" applyAlignment="true" applyProtection="false">
      <alignment horizontal="left" vertical="center" textRotation="0" wrapText="false" indent="0" shrinkToFit="false"/>
      <protection locked="true" hidden="false"/>
    </xf>
    <xf numFmtId="165" fontId="20" fillId="6" borderId="0" xfId="19"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false">
      <alignment horizontal="left" vertical="center" textRotation="0" wrapText="false" indent="0" shrinkToFit="false"/>
      <protection locked="true" hidden="false"/>
    </xf>
    <xf numFmtId="168"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7" fontId="0" fillId="4" borderId="0" xfId="0" applyFont="true" applyBorder="false" applyAlignment="true" applyProtection="false">
      <alignment horizontal="center" vertical="center" textRotation="0" wrapText="true" indent="0" shrinkToFit="false"/>
      <protection locked="true" hidden="false"/>
    </xf>
    <xf numFmtId="167" fontId="36" fillId="0" borderId="0" xfId="0" applyFont="true" applyBorder="false" applyAlignment="false" applyProtection="false">
      <alignment horizontal="general" vertical="bottom" textRotation="0" wrapText="false" indent="0" shrinkToFit="false"/>
      <protection locked="true" hidden="false"/>
    </xf>
    <xf numFmtId="165" fontId="36" fillId="0" borderId="0" xfId="19" applyFont="true" applyBorder="true" applyAlignment="true" applyProtection="true">
      <alignment horizontal="general" vertical="bottom" textRotation="0" wrapText="false" indent="0" shrinkToFit="false"/>
      <protection locked="true" hidden="false"/>
    </xf>
    <xf numFmtId="167" fontId="0" fillId="4" borderId="21" xfId="19" applyFont="true" applyBorder="true" applyAlignment="true" applyProtection="true">
      <alignment horizontal="center" vertical="center" textRotation="0" wrapText="tru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7" fontId="0" fillId="0" borderId="22" xfId="19" applyFont="true" applyBorder="true" applyAlignment="true" applyProtection="true">
      <alignment horizontal="general" vertical="bottom" textRotation="0" wrapText="false" indent="0" shrinkToFit="false"/>
      <protection locked="true" hidden="false"/>
    </xf>
    <xf numFmtId="167" fontId="13" fillId="0" borderId="23" xfId="0" applyFont="true" applyBorder="true" applyAlignment="false" applyProtection="false">
      <alignment horizontal="general" vertical="bottom" textRotation="0" wrapText="false" indent="0" shrinkToFit="false"/>
      <protection locked="true" hidden="false"/>
    </xf>
    <xf numFmtId="167" fontId="20" fillId="6" borderId="22" xfId="0" applyFont="true" applyBorder="true" applyAlignment="true" applyProtection="false">
      <alignment horizontal="general" vertical="center" textRotation="0" wrapText="false" indent="0" shrinkToFit="false"/>
      <protection locked="true" hidden="false"/>
    </xf>
    <xf numFmtId="167" fontId="20" fillId="6" borderId="23" xfId="0" applyFont="true" applyBorder="true" applyAlignment="true" applyProtection="false">
      <alignment horizontal="general" vertical="center" textRotation="0" wrapText="false" indent="0" shrinkToFit="false"/>
      <protection locked="true" hidden="false"/>
    </xf>
    <xf numFmtId="167" fontId="22" fillId="0" borderId="22" xfId="19" applyFont="true" applyBorder="true" applyAlignment="true" applyProtection="true">
      <alignment horizontal="general" vertical="bottom" textRotation="0" wrapText="false" indent="0" shrinkToFit="false"/>
      <protection locked="true" hidden="false"/>
    </xf>
    <xf numFmtId="167" fontId="23" fillId="0" borderId="23" xfId="0" applyFont="true" applyBorder="true" applyAlignment="false" applyProtection="false">
      <alignment horizontal="general" vertical="bottom" textRotation="0" wrapText="false" indent="0" shrinkToFit="false"/>
      <protection locked="true" hidden="false"/>
    </xf>
    <xf numFmtId="167" fontId="39" fillId="0" borderId="0" xfId="0" applyFont="true" applyBorder="false" applyAlignment="false" applyProtection="false">
      <alignment horizontal="general" vertical="bottom" textRotation="0" wrapText="false" indent="0" shrinkToFit="false"/>
      <protection locked="true" hidden="false"/>
    </xf>
    <xf numFmtId="167" fontId="10" fillId="7" borderId="22" xfId="20" applyFont="true" applyBorder="true" applyAlignment="true" applyProtection="true">
      <alignment horizontal="center" vertical="center" textRotation="0" wrapText="true" indent="0" shrinkToFit="false"/>
      <protection locked="true" hidden="false"/>
    </xf>
    <xf numFmtId="167" fontId="30" fillId="7" borderId="23" xfId="20" applyFont="true" applyBorder="true" applyAlignment="true" applyProtection="true">
      <alignment horizontal="center" vertical="center" textRotation="0" wrapText="true" indent="0" shrinkToFit="false"/>
      <protection locked="true" hidden="false"/>
    </xf>
    <xf numFmtId="167" fontId="0" fillId="0" borderId="22" xfId="19" applyFont="true" applyBorder="true" applyAlignment="true" applyProtection="true">
      <alignment horizontal="right" vertical="bottom" textRotation="0" wrapText="false" indent="0" shrinkToFit="false"/>
      <protection locked="true" hidden="false"/>
    </xf>
    <xf numFmtId="167" fontId="13" fillId="0" borderId="23" xfId="0" applyFont="true" applyBorder="true" applyAlignment="true" applyProtection="false">
      <alignment horizontal="right" vertical="bottom" textRotation="0" wrapText="false" indent="0" shrinkToFit="false"/>
      <protection locked="true" hidden="false"/>
    </xf>
    <xf numFmtId="167" fontId="25" fillId="9" borderId="22" xfId="19" applyFont="true" applyBorder="true" applyAlignment="true" applyProtection="true">
      <alignment horizontal="general" vertical="bottom" textRotation="0" wrapText="false" indent="0" shrinkToFit="false"/>
      <protection locked="true" hidden="false"/>
    </xf>
    <xf numFmtId="167" fontId="24" fillId="9" borderId="23" xfId="19" applyFont="true" applyBorder="true" applyAlignment="true" applyProtection="tru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Percent 2" xfId="22" builtinId="53" customBuiltin="true"/>
    <cellStyle name="*unknown*" xfId="20" builtinId="8" customBuiltin="false"/>
    <cellStyle name="Excel Built-in Bad" xfId="23" builtinId="53" customBuiltin="true"/>
  </cellStyles>
  <dxfs count="1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name val="Calibri"/>
        <charset val="1"/>
        <family val="2"/>
        <color rgb="FF9C0006"/>
      </font>
      <fill>
        <patternFill>
          <bgColor rgb="FFFFC7CE"/>
        </patternFill>
      </fill>
    </dxf>
    <dxf>
      <font>
        <name val="Calibri"/>
        <charset val="1"/>
        <family val="2"/>
        <color rgb="FF9C0006"/>
      </font>
      <fill>
        <patternFill>
          <bgColor rgb="FFFFC7CE"/>
        </patternFill>
      </fill>
    </dxf>
    <dxf>
      <font>
        <name val="Calibri"/>
        <charset val="1"/>
        <family val="2"/>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bgColor rgb="FF7F7F8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9C5700"/>
      </font>
      <fill>
        <patternFill>
          <bgColor rgb="FFFFEB9C"/>
        </patternFill>
      </fill>
    </dxf>
    <dxf>
      <font>
        <color rgb="FF9C0006"/>
      </font>
      <fill>
        <patternFill>
          <bgColor rgb="FF7F7F80"/>
        </patternFill>
      </fill>
    </dxf>
    <dxf>
      <font>
        <color rgb="FF9C0006"/>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bgColor rgb="FF7F7F80"/>
        </patternFill>
      </fill>
    </dxf>
    <dxf>
      <font>
        <color rgb="FFC00000"/>
      </font>
      <fill>
        <patternFill>
          <bgColor rgb="FF7F7F80"/>
        </patternFill>
      </fill>
    </dxf>
    <dxf>
      <font>
        <color rgb="FFC00000"/>
      </font>
      <fill>
        <patternFill>
          <bgColor rgb="FF7F7F80"/>
        </patternFill>
      </fill>
    </dxf>
    <dxf>
      <font>
        <color rgb="FF9C0006"/>
      </font>
      <fill>
        <patternFill>
          <bgColor rgb="FFFFC7CE"/>
        </patternFill>
      </fill>
    </dxf>
    <dxf>
      <font>
        <color rgb="FFC00000"/>
      </font>
      <fill>
        <patternFill>
          <bgColor rgb="FF7F7F8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EB84"/>
      <rgbColor rgb="FFFF00FF"/>
      <rgbColor rgb="FF00FFFF"/>
      <rgbColor rgb="FF9C0006"/>
      <rgbColor rgb="FF006100"/>
      <rgbColor rgb="FF000080"/>
      <rgbColor rgb="FF7F7F7F"/>
      <rgbColor rgb="FF800080"/>
      <rgbColor rgb="FF008080"/>
      <rgbColor rgb="FFBFBFBF"/>
      <rgbColor rgb="FF7F7F80"/>
      <rgbColor rgb="FF9999FF"/>
      <rgbColor rgb="FF993366"/>
      <rgbColor rgb="FFFFF2CC"/>
      <rgbColor rgb="FFE7E6E6"/>
      <rgbColor rgb="FF660066"/>
      <rgbColor rgb="FFFF8080"/>
      <rgbColor rgb="FF0563C1"/>
      <rgbColor rgb="FFC2D8D8"/>
      <rgbColor rgb="FF000080"/>
      <rgbColor rgb="FFFF00FF"/>
      <rgbColor rgb="FFFFFF00"/>
      <rgbColor rgb="FF00FFFF"/>
      <rgbColor rgb="FF800080"/>
      <rgbColor rgb="FFC00000"/>
      <rgbColor rgb="FF008080"/>
      <rgbColor rgb="FF0000FF"/>
      <rgbColor rgb="FF00CCFF"/>
      <rgbColor rgb="FFD9D9D9"/>
      <rgbColor rgb="FFC6EFCE"/>
      <rgbColor rgb="FFFFEB9C"/>
      <rgbColor rgb="FF9CBEBD"/>
      <rgbColor rgb="FFE4E0A7"/>
      <rgbColor rgb="FFCC99FF"/>
      <rgbColor rgb="FFFFC7CE"/>
      <rgbColor rgb="FF4472C4"/>
      <rgbColor rgb="FF63BE7B"/>
      <rgbColor rgb="FF99CC00"/>
      <rgbColor rgb="FFFFCC00"/>
      <rgbColor rgb="FFFF9900"/>
      <rgbColor rgb="FFED7D31"/>
      <rgbColor rgb="FF595959"/>
      <rgbColor rgb="FFA5A5A5"/>
      <rgbColor rgb="FF003366"/>
      <rgbColor rgb="FF339966"/>
      <rgbColor rgb="FF003300"/>
      <rgbColor rgb="FF333300"/>
      <rgbColor rgb="FF9C57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FY21 Projections</a:t>
            </a:r>
          </a:p>
        </c:rich>
      </c:tx>
      <c:overlay val="0"/>
      <c:spPr>
        <a:noFill/>
        <a:ln>
          <a:noFill/>
        </a:ln>
      </c:spPr>
    </c:title>
    <c:autoTitleDeleted val="0"/>
    <c:plotArea>
      <c:barChart>
        <c:barDir val="col"/>
        <c:grouping val="stacked"/>
        <c:varyColors val="0"/>
        <c:ser>
          <c:idx val="0"/>
          <c:order val="0"/>
          <c:tx>
            <c:strRef>
              <c:f>Summary!$D$23</c:f>
              <c:strCache>
                <c:ptCount val="1"/>
                <c:pt idx="0">
                  <c:v/>
                </c:pt>
              </c:strCache>
            </c:strRef>
          </c:tx>
          <c:spPr>
            <a:solidFill>
              <a:srgbClr val="4472c4"/>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(FY22)</c:v>
                </c:pt>
                <c:pt idx="1">
                  <c:v/>
                </c:pt>
                <c:pt idx="2">
                  <c:v/>
                </c:pt>
                <c:pt idx="3">
                  <c:v/>
                </c:pt>
              </c:strCache>
            </c:strRef>
          </c:cat>
          <c:val>
            <c:numRef>
              <c:f>Summary!$E$23:$H$23</c:f>
              <c:numCache>
                <c:formatCode>General</c:formatCode>
                <c:ptCount val="4"/>
                <c:pt idx="0">
                  <c:v/>
                </c:pt>
                <c:pt idx="1">
                  <c:v/>
                </c:pt>
                <c:pt idx="2">
                  <c:v/>
                </c:pt>
                <c:pt idx="3">
                  <c:v/>
                </c:pt>
              </c:numCache>
            </c:numRef>
          </c:val>
        </c:ser>
        <c:ser>
          <c:idx val="1"/>
          <c:order val="1"/>
          <c:tx>
            <c:strRef>
              <c:f>Summary!$D$24</c:f>
              <c:strCache>
                <c:ptCount val="1"/>
                <c:pt idx="0">
                  <c:v>&lt;15</c:v>
                </c:pt>
              </c:strCache>
            </c:strRef>
          </c:tx>
          <c:spPr>
            <a:solidFill>
              <a:srgbClr val="ed7d31"/>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(FY22)</c:v>
                </c:pt>
                <c:pt idx="1">
                  <c:v/>
                </c:pt>
                <c:pt idx="2">
                  <c:v/>
                </c:pt>
                <c:pt idx="3">
                  <c:v/>
                </c:pt>
              </c:strCache>
            </c:strRef>
          </c:cat>
          <c:val>
            <c:numRef>
              <c:f>Summary!$E$24:$H$24</c:f>
              <c:numCache>
                <c:formatCode>General</c:formatCode>
                <c:ptCount val="4"/>
                <c:pt idx="0">
                  <c:v>0</c:v>
                </c:pt>
                <c:pt idx="1">
                  <c:v>0</c:v>
                </c:pt>
                <c:pt idx="2">
                  <c:v>0</c:v>
                </c:pt>
                <c:pt idx="3">
                  <c:v>0</c:v>
                </c:pt>
              </c:numCache>
            </c:numRef>
          </c:val>
        </c:ser>
        <c:ser>
          <c:idx val="2"/>
          <c:order val="2"/>
          <c:tx>
            <c:strRef>
              <c:f>Summary!$D$25</c:f>
              <c:strCache>
                <c:ptCount val="1"/>
                <c:pt idx="0">
                  <c:v>Females, 15+</c:v>
                </c:pt>
              </c:strCache>
            </c:strRef>
          </c:tx>
          <c:spPr>
            <a:solidFill>
              <a:srgbClr val="a5a5a5"/>
            </a:solidFill>
            <a:ln>
              <a:noFill/>
            </a:ln>
          </c:spPr>
          <c:invertIfNegative val="0"/>
          <c:dLbls>
            <c:numFmt formatCode="General" sourceLinked="1"/>
            <c:dLblPos val="ctr"/>
            <c:showLegendKey val="0"/>
            <c:showVal val="0"/>
            <c:showCatName val="0"/>
            <c:showSerName val="0"/>
            <c:showPercent val="0"/>
            <c:showLeaderLines val="0"/>
          </c:dLbls>
          <c:cat>
            <c:strRef>
              <c:f>Summary!$E$22:$H$22</c:f>
              <c:strCache>
                <c:ptCount val="4"/>
                <c:pt idx="0">
                  <c:v>(FY22)</c:v>
                </c:pt>
                <c:pt idx="1">
                  <c:v/>
                </c:pt>
                <c:pt idx="2">
                  <c:v/>
                </c:pt>
                <c:pt idx="3">
                  <c:v/>
                </c:pt>
              </c:strCache>
            </c:strRef>
          </c:cat>
          <c:val>
            <c:numRef>
              <c:f>Summary!$E$25:$H$25</c:f>
              <c:numCache>
                <c:formatCode>General</c:formatCode>
                <c:ptCount val="4"/>
                <c:pt idx="0">
                  <c:v>0</c:v>
                </c:pt>
                <c:pt idx="1">
                  <c:v>0</c:v>
                </c:pt>
                <c:pt idx="2">
                  <c:v>0</c:v>
                </c:pt>
                <c:pt idx="3">
                  <c:v>0</c:v>
                </c:pt>
              </c:numCache>
            </c:numRef>
          </c:val>
        </c:ser>
        <c:gapWidth val="150"/>
        <c:overlap val="100"/>
        <c:axId val="66291544"/>
        <c:axId val="66221919"/>
      </c:barChart>
      <c:catAx>
        <c:axId val="66291544"/>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6221919"/>
        <c:crosses val="autoZero"/>
        <c:auto val="1"/>
        <c:lblAlgn val="ctr"/>
        <c:lblOffset val="100"/>
      </c:catAx>
      <c:valAx>
        <c:axId val="66221919"/>
        <c:scaling>
          <c:orientation val="minMax"/>
        </c:scaling>
        <c:delete val="0"/>
        <c:axPos val="l"/>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66291544"/>
        <c:crosses val="autoZero"/>
      </c:valAx>
      <c:spPr>
        <a:noFill/>
        <a:ln>
          <a:noFill/>
        </a:ln>
      </c:spPr>
    </c:plotArea>
    <c:plotVisOnly val="1"/>
    <c:dispBlanksAs val="gap"/>
  </c:chart>
  <c:spPr>
    <a:solidFill>
      <a:srgbClr val="ffffff"/>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Host Country Overview</a:t>
            </a:r>
          </a:p>
        </c:rich>
      </c:tx>
      <c:overlay val="0"/>
      <c:spPr>
        <a:noFill/>
        <a:ln>
          <a:noFill/>
        </a:ln>
      </c:spPr>
    </c:title>
    <c:autoTitleDeleted val="0"/>
    <c:plotArea>
      <c:barChart>
        <c:barDir val="col"/>
        <c:grouping val="stacked"/>
        <c:varyColors val="0"/>
        <c:ser>
          <c:idx val="0"/>
          <c:order val="0"/>
          <c:tx>
            <c:strRef>
              <c:f>Summary!$D$24</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(FY22)</c:v>
                </c:pt>
                <c:pt idx="1">
                  <c:v>PLHIV</c:v>
                </c:pt>
                <c:pt idx="2">
                  <c:v/>
                </c:pt>
                <c:pt idx="3">
                  <c:v>DIAGNOSED_SUBNAT</c:v>
                </c:pt>
                <c:pt idx="4">
                  <c:v/>
                </c:pt>
                <c:pt idx="5">
                  <c:v>TX_CURR_SUBNAT</c:v>
                </c:pt>
                <c:pt idx="6">
                  <c:v/>
                </c:pt>
                <c:pt idx="7">
                  <c:v>VL_SUPPRESSION_SUBNAT</c:v>
                </c:pt>
                <c:pt idx="8">
                  <c:v>(FY23)</c:v>
                </c:pt>
                <c:pt idx="9">
                  <c:v>DIAGNOSED_SUBNAT</c:v>
                </c:pt>
                <c:pt idx="10">
                  <c:v/>
                </c:pt>
                <c:pt idx="11">
                  <c:v>TX_CURR_SUBNAT</c:v>
                </c:pt>
                <c:pt idx="12">
                  <c:v/>
                </c:pt>
                <c:pt idx="13">
                  <c:v>VL_SUPPRESSION_SUBNAT</c:v>
                </c:pt>
              </c:strCache>
            </c:strRef>
          </c:cat>
          <c:val>
            <c:numRef>
              <c:f>Summary!$E$24:$K$24</c:f>
              <c:numCache>
                <c:formatCode>General</c:formatCode>
                <c:ptCount val="7"/>
                <c:pt idx="0">
                  <c:v>0</c:v>
                </c:pt>
                <c:pt idx="1">
                  <c:v>0</c:v>
                </c:pt>
                <c:pt idx="2">
                  <c:v>0</c:v>
                </c:pt>
                <c:pt idx="3">
                  <c:v>0</c:v>
                </c:pt>
                <c:pt idx="4">
                  <c:v/>
                </c:pt>
                <c:pt idx="5">
                  <c:v/>
                </c:pt>
                <c:pt idx="6">
                  <c:v/>
                </c:pt>
              </c:numCache>
            </c:numRef>
          </c:val>
        </c:ser>
        <c:ser>
          <c:idx val="1"/>
          <c:order val="1"/>
          <c:tx>
            <c:strRef>
              <c:f>Summary!$D$25</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(FY22)</c:v>
                </c:pt>
                <c:pt idx="1">
                  <c:v>PLHIV</c:v>
                </c:pt>
                <c:pt idx="2">
                  <c:v/>
                </c:pt>
                <c:pt idx="3">
                  <c:v>DIAGNOSED_SUBNAT</c:v>
                </c:pt>
                <c:pt idx="4">
                  <c:v/>
                </c:pt>
                <c:pt idx="5">
                  <c:v>TX_CURR_SUBNAT</c:v>
                </c:pt>
                <c:pt idx="6">
                  <c:v/>
                </c:pt>
                <c:pt idx="7">
                  <c:v>VL_SUPPRESSION_SUBNAT</c:v>
                </c:pt>
                <c:pt idx="8">
                  <c:v>(FY23)</c:v>
                </c:pt>
                <c:pt idx="9">
                  <c:v>DIAGNOSED_SUBNAT</c:v>
                </c:pt>
                <c:pt idx="10">
                  <c:v/>
                </c:pt>
                <c:pt idx="11">
                  <c:v>TX_CURR_SUBNAT</c:v>
                </c:pt>
                <c:pt idx="12">
                  <c:v/>
                </c:pt>
                <c:pt idx="13">
                  <c:v>VL_SUPPRESSION_SUBNAT</c:v>
                </c:pt>
              </c:strCache>
            </c:strRef>
          </c:cat>
          <c:val>
            <c:numRef>
              <c:f>Summary!$E$25:$K$25</c:f>
              <c:numCache>
                <c:formatCode>General</c:formatCode>
                <c:ptCount val="7"/>
                <c:pt idx="0">
                  <c:v>0</c:v>
                </c:pt>
                <c:pt idx="1">
                  <c:v>0</c:v>
                </c:pt>
                <c:pt idx="2">
                  <c:v>0</c:v>
                </c:pt>
                <c:pt idx="3">
                  <c:v>0</c:v>
                </c:pt>
                <c:pt idx="4">
                  <c:v/>
                </c:pt>
                <c:pt idx="5">
                  <c:v/>
                </c:pt>
                <c:pt idx="6">
                  <c:v/>
                </c:pt>
              </c:numCache>
            </c:numRef>
          </c:val>
        </c:ser>
        <c:ser>
          <c:idx val="2"/>
          <c:order val="2"/>
          <c:tx>
            <c:strRef>
              <c:f>Summary!$D$26</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Summary!$E$22:$K$23</c:f>
              <c:strCache>
                <c:ptCount val="14"/>
                <c:pt idx="0">
                  <c:v>(FY22)</c:v>
                </c:pt>
                <c:pt idx="1">
                  <c:v>PLHIV</c:v>
                </c:pt>
                <c:pt idx="2">
                  <c:v/>
                </c:pt>
                <c:pt idx="3">
                  <c:v>DIAGNOSED_SUBNAT</c:v>
                </c:pt>
                <c:pt idx="4">
                  <c:v/>
                </c:pt>
                <c:pt idx="5">
                  <c:v>TX_CURR_SUBNAT</c:v>
                </c:pt>
                <c:pt idx="6">
                  <c:v/>
                </c:pt>
                <c:pt idx="7">
                  <c:v>VL_SUPPRESSION_SUBNAT</c:v>
                </c:pt>
                <c:pt idx="8">
                  <c:v>(FY23)</c:v>
                </c:pt>
                <c:pt idx="9">
                  <c:v>DIAGNOSED_SUBNAT</c:v>
                </c:pt>
                <c:pt idx="10">
                  <c:v/>
                </c:pt>
                <c:pt idx="11">
                  <c:v>TX_CURR_SUBNAT</c:v>
                </c:pt>
                <c:pt idx="12">
                  <c:v/>
                </c:pt>
                <c:pt idx="13">
                  <c:v>VL_SUPPRESSION_SUBNAT</c:v>
                </c:pt>
              </c:strCache>
            </c:strRef>
          </c:cat>
          <c:val>
            <c:numRef>
              <c:f>Summary!$E$26:$K$26</c:f>
              <c:numCache>
                <c:formatCode>General</c:formatCode>
                <c:ptCount val="7"/>
                <c:pt idx="0">
                  <c:v>0</c:v>
                </c:pt>
                <c:pt idx="1">
                  <c:v>0</c:v>
                </c:pt>
                <c:pt idx="2">
                  <c:v>0</c:v>
                </c:pt>
                <c:pt idx="3">
                  <c:v>0</c:v>
                </c:pt>
                <c:pt idx="4">
                  <c:v/>
                </c:pt>
                <c:pt idx="5">
                  <c:v/>
                </c:pt>
                <c:pt idx="6">
                  <c:v/>
                </c:pt>
              </c:numCache>
            </c:numRef>
          </c:val>
        </c:ser>
        <c:gapWidth val="150"/>
        <c:overlap val="100"/>
        <c:axId val="43354271"/>
        <c:axId val="11113108"/>
      </c:barChart>
      <c:catAx>
        <c:axId val="43354271"/>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1113108"/>
        <c:crosses val="autoZero"/>
        <c:auto val="1"/>
        <c:lblAlgn val="ctr"/>
        <c:lblOffset val="100"/>
      </c:catAx>
      <c:valAx>
        <c:axId val="11113108"/>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3354271"/>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400" spc="-1" strike="noStrike">
                <a:solidFill>
                  <a:srgbClr val="595959"/>
                </a:solidFill>
                <a:latin typeface="Calibri"/>
              </a:defRPr>
            </a:pPr>
            <a:r>
              <a:rPr b="1" sz="1400" spc="-1" strike="noStrike">
                <a:solidFill>
                  <a:srgbClr val="595959"/>
                </a:solidFill>
                <a:latin typeface="Calibri"/>
              </a:rPr>
              <a:t>PEPFAR FY23 Targets Overview</a:t>
            </a:r>
          </a:p>
        </c:rich>
      </c:tx>
      <c:overlay val="0"/>
      <c:spPr>
        <a:noFill/>
        <a:ln>
          <a:noFill/>
        </a:ln>
      </c:spPr>
    </c:title>
    <c:autoTitleDeleted val="0"/>
    <c:plotArea>
      <c:barChart>
        <c:barDir val="col"/>
        <c:grouping val="stacked"/>
        <c:varyColors val="0"/>
        <c:ser>
          <c:idx val="0"/>
          <c:order val="0"/>
          <c:tx>
            <c:strRef>
              <c:f>Summary!$D$42</c:f>
              <c:strCache>
                <c:ptCount val="1"/>
                <c:pt idx="0">
                  <c:v>&lt;15</c:v>
                </c:pt>
              </c:strCache>
            </c:strRef>
          </c:tx>
          <c:spPr>
            <a:solidFill>
              <a:srgbClr val="4472c4"/>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General</c:formatCode>
                <c:ptCount val="6"/>
                <c:pt idx="0">
                  <c:v>0</c:v>
                </c:pt>
                <c:pt idx="1">
                  <c:v>0</c:v>
                </c:pt>
                <c:pt idx="2">
                  <c:v/>
                </c:pt>
                <c:pt idx="3">
                  <c:v/>
                </c:pt>
                <c:pt idx="4">
                  <c:v/>
                </c:pt>
                <c:pt idx="5">
                  <c:v/>
                </c:pt>
              </c:numCache>
            </c:numRef>
          </c:val>
        </c:ser>
        <c:ser>
          <c:idx val="1"/>
          <c:order val="1"/>
          <c:tx>
            <c:strRef>
              <c:f>Summary!$D$43</c:f>
              <c:strCache>
                <c:ptCount val="1"/>
                <c:pt idx="0">
                  <c:v>Females, 15+</c:v>
                </c:pt>
              </c:strCache>
            </c:strRef>
          </c:tx>
          <c:spPr>
            <a:solidFill>
              <a:srgbClr val="ed7d31"/>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General</c:formatCode>
                <c:ptCount val="6"/>
                <c:pt idx="0">
                  <c:v>0</c:v>
                </c:pt>
                <c:pt idx="1">
                  <c:v>0</c:v>
                </c:pt>
                <c:pt idx="2">
                  <c:v/>
                </c:pt>
                <c:pt idx="3">
                  <c:v/>
                </c:pt>
                <c:pt idx="4">
                  <c:v/>
                </c:pt>
                <c:pt idx="5">
                  <c:v/>
                </c:pt>
              </c:numCache>
            </c:numRef>
          </c:val>
        </c:ser>
        <c:ser>
          <c:idx val="2"/>
          <c:order val="2"/>
          <c:tx>
            <c:strRef>
              <c:f>Summary!$D$44</c:f>
              <c:strCache>
                <c:ptCount val="1"/>
                <c:pt idx="0">
                  <c:v>Males, 15+</c:v>
                </c:pt>
              </c:strCache>
            </c:strRef>
          </c:tx>
          <c:spPr>
            <a:solidFill>
              <a:srgbClr val="a5a5a5"/>
            </a:solidFill>
            <a:ln>
              <a:noFill/>
            </a:ln>
          </c:spPr>
          <c:invertIfNegative val="0"/>
          <c:dLbls>
            <c:numFmt formatCode="#,##0" sourceLinked="1"/>
            <c:dLblPos val="ctr"/>
            <c:showLegendKey val="0"/>
            <c:showVal val="0"/>
            <c:showCatName val="0"/>
            <c:showSerName val="0"/>
            <c:showPercent val="0"/>
            <c:showLeaderLines val="0"/>
          </c:dLbls>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General</c:formatCode>
                <c:ptCount val="6"/>
                <c:pt idx="0">
                  <c:v>0</c:v>
                </c:pt>
                <c:pt idx="1">
                  <c:v>0</c:v>
                </c:pt>
                <c:pt idx="2">
                  <c:v/>
                </c:pt>
                <c:pt idx="3">
                  <c:v/>
                </c:pt>
                <c:pt idx="4">
                  <c:v/>
                </c:pt>
                <c:pt idx="5">
                  <c:v/>
                </c:pt>
              </c:numCache>
            </c:numRef>
          </c:val>
        </c:ser>
        <c:gapWidth val="150"/>
        <c:overlap val="100"/>
        <c:axId val="81714465"/>
        <c:axId val="23421029"/>
      </c:barChart>
      <c:catAx>
        <c:axId val="8171446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23421029"/>
        <c:crosses val="autoZero"/>
        <c:auto val="1"/>
        <c:lblAlgn val="ctr"/>
        <c:lblOffset val="100"/>
      </c:catAx>
      <c:valAx>
        <c:axId val="23421029"/>
        <c:scaling>
          <c:orientation val="minMax"/>
        </c:scaling>
        <c:delete val="0"/>
        <c:axPos val="l"/>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81714465"/>
        <c:crosses val="autoZero"/>
      </c:valAx>
      <c:spPr>
        <a:noFill/>
        <a:ln>
          <a:noFill/>
        </a:ln>
      </c:spPr>
    </c:plotArea>
    <c:legend>
      <c:legendPos val="l"/>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28800</xdr:colOff>
      <xdr:row>10</xdr:row>
      <xdr:rowOff>7920</xdr:rowOff>
    </xdr:from>
    <xdr:to>
      <xdr:col>8</xdr:col>
      <xdr:colOff>473040</xdr:colOff>
      <xdr:row>20</xdr:row>
      <xdr:rowOff>253440</xdr:rowOff>
    </xdr:to>
    <xdr:graphicFrame>
      <xdr:nvGraphicFramePr>
        <xdr:cNvPr id="0" name="Chart 5"/>
        <xdr:cNvGraphicFramePr/>
      </xdr:nvGraphicFramePr>
      <xdr:xfrm>
        <a:off x="2493000" y="2941560"/>
        <a:ext cx="5410080" cy="40554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28800</xdr:colOff>
      <xdr:row>10</xdr:row>
      <xdr:rowOff>7920</xdr:rowOff>
    </xdr:from>
    <xdr:to>
      <xdr:col>17</xdr:col>
      <xdr:colOff>992880</xdr:colOff>
      <xdr:row>20</xdr:row>
      <xdr:rowOff>253440</xdr:rowOff>
    </xdr:to>
    <xdr:graphicFrame>
      <xdr:nvGraphicFramePr>
        <xdr:cNvPr id="1" name="Chart 6"/>
        <xdr:cNvGraphicFramePr/>
      </xdr:nvGraphicFramePr>
      <xdr:xfrm>
        <a:off x="2493000" y="2941560"/>
        <a:ext cx="14868000" cy="40554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28800</xdr:colOff>
      <xdr:row>28</xdr:row>
      <xdr:rowOff>7920</xdr:rowOff>
    </xdr:from>
    <xdr:to>
      <xdr:col>17</xdr:col>
      <xdr:colOff>992880</xdr:colOff>
      <xdr:row>38</xdr:row>
      <xdr:rowOff>253440</xdr:rowOff>
    </xdr:to>
    <xdr:graphicFrame>
      <xdr:nvGraphicFramePr>
        <xdr:cNvPr id="2" name="Chart 7"/>
        <xdr:cNvGraphicFramePr/>
      </xdr:nvGraphicFramePr>
      <xdr:xfrm>
        <a:off x="2493000" y="9266040"/>
        <a:ext cx="14868000" cy="40554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2.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4.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5.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6.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7.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8.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9.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0.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B29"/>
  <sheetViews>
    <sheetView showFormulas="false" showGridLines="false" showRowColHeaders="true" showZeros="true" rightToLeft="false" tabSelected="false" showOutlineSymbols="true" defaultGridColor="true" view="normal" topLeftCell="A7" colorId="64" zoomScale="100" zoomScaleNormal="100" zoomScalePageLayoutView="100" workbookViewId="0">
      <selection pane="topLeft" activeCell="B26" activeCellId="1" sqref="A15:E15 B26"/>
    </sheetView>
  </sheetViews>
  <sheetFormatPr defaultRowHeight="16" zeroHeight="false" outlineLevelRow="0" outlineLevelCol="0"/>
  <cols>
    <col collapsed="false" customWidth="true" hidden="false" outlineLevel="0" max="1" min="1" style="0" width="4.83"/>
    <col collapsed="false" customWidth="true" hidden="false" outlineLevel="0" max="1025" min="2" style="0" width="10.61"/>
  </cols>
  <sheetData>
    <row r="2" customFormat="false" ht="47" hidden="false" customHeight="false" outlineLevel="0" collapsed="false">
      <c r="B2" s="1" t="s">
        <v>0</v>
      </c>
    </row>
    <row r="10" customFormat="false" ht="97" hidden="false" customHeight="false" outlineLevel="0" collapsed="false">
      <c r="B10" s="2" t="s">
        <v>1</v>
      </c>
    </row>
    <row r="20" customFormat="false" ht="82" hidden="false" customHeight="false" outlineLevel="0" collapsed="false">
      <c r="B20" s="3" t="s">
        <v>2</v>
      </c>
    </row>
    <row r="25" customFormat="false" ht="16" hidden="false" customHeight="false" outlineLevel="0" collapsed="false">
      <c r="B25" s="0" t="s">
        <v>3</v>
      </c>
    </row>
    <row r="26" customFormat="false" ht="15" hidden="false" customHeight="false" outlineLevel="0" collapsed="false">
      <c r="B26" s="0" t="s">
        <v>2</v>
      </c>
    </row>
    <row r="27" customFormat="false" ht="15" hidden="false" customHeight="false" outlineLevel="0" collapsed="false">
      <c r="B27" s="0" t="s">
        <v>4</v>
      </c>
    </row>
    <row r="29" customFormat="false" ht="15" hidden="false" customHeight="false" outlineLevel="0" collapsed="false">
      <c r="B29" s="0"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O2" activeCellId="1" sqref="A15:E15 O2"/>
    </sheetView>
  </sheetViews>
  <sheetFormatPr defaultRowHeight="16" zeroHeight="false" outlineLevelRow="0" outlineLevelCol="0"/>
  <cols>
    <col collapsed="false" customWidth="true" hidden="false" outlineLevel="0" max="1" min="1" style="4" width="4.5"/>
    <col collapsed="false" customWidth="true" hidden="false" outlineLevel="0" max="2" min="2" style="5" width="23.51"/>
    <col collapsed="false" customWidth="true" hidden="false" outlineLevel="0" max="3" min="3" style="6" width="3.83"/>
    <col collapsed="false" customWidth="true" hidden="false" outlineLevel="0" max="18" min="4" style="6" width="12.83"/>
    <col collapsed="false" customWidth="true" hidden="false" outlineLevel="0" max="19" min="19" style="6" width="3.83"/>
    <col collapsed="false" customWidth="true" hidden="false" outlineLevel="0" max="1025" min="20" style="6" width="10.83"/>
  </cols>
  <sheetData>
    <row r="1" customFormat="false" ht="48" hidden="false" customHeight="true" outlineLevel="0" collapsed="false">
      <c r="A1" s="7" t="s">
        <v>6</v>
      </c>
      <c r="B1" s="7"/>
      <c r="D1" s="8" t="str">
        <f aca="false">"Hello, "&amp;Home!$B$20&amp;" Team"</f>
        <v>Hello, Lesotho Team</v>
      </c>
      <c r="R1" s="9" t="str">
        <f aca="true">TEXT(TODAY(),"ddd, mmm dd")</f>
        <v>Wed, Mar 30</v>
      </c>
    </row>
    <row r="2" customFormat="false" ht="21" hidden="false" customHeight="false" outlineLevel="0" collapsed="false">
      <c r="A2" s="10" t="s">
        <v>7</v>
      </c>
      <c r="B2" s="10"/>
    </row>
    <row r="3" customFormat="false" ht="16" hidden="false" customHeight="false" outlineLevel="0" collapsed="false">
      <c r="A3" s="11"/>
      <c r="B3" s="12"/>
    </row>
    <row r="4" customFormat="false" ht="16" hidden="false" customHeight="false" outlineLevel="0" collapsed="false">
      <c r="A4" s="11"/>
      <c r="B4" s="12"/>
    </row>
    <row r="5" customFormat="false" ht="20" hidden="false" customHeight="true" outlineLevel="0" collapsed="false">
      <c r="A5" s="13" t="n">
        <v>1</v>
      </c>
      <c r="B5" s="14" t="s">
        <v>8</v>
      </c>
      <c r="D5" s="15" t="s">
        <v>9</v>
      </c>
      <c r="E5" s="16"/>
      <c r="F5" s="17"/>
      <c r="H5" s="15" t="s">
        <v>10</v>
      </c>
      <c r="I5" s="16"/>
      <c r="J5" s="17"/>
      <c r="L5" s="15" t="s">
        <v>11</v>
      </c>
      <c r="M5" s="18"/>
      <c r="N5" s="17"/>
      <c r="P5" s="15" t="s">
        <v>12</v>
      </c>
      <c r="Q5" s="16"/>
      <c r="R5" s="17"/>
    </row>
    <row r="6" customFormat="false" ht="20" hidden="false" customHeight="true" outlineLevel="0" collapsed="false">
      <c r="A6" s="13"/>
      <c r="B6" s="14"/>
      <c r="D6" s="19" t="str">
        <f aca="false">IFERROR(SUM(Cascade!$T:$T)/SUM(Cascade!$H:$H),"")</f>
        <v/>
      </c>
      <c r="E6" s="19"/>
      <c r="F6" s="19"/>
      <c r="H6" s="20" t="n">
        <f aca="false">SUM(Cascade!$T:$T)-Cascade!$T$4</f>
        <v>0</v>
      </c>
      <c r="I6" s="20"/>
      <c r="J6" s="20"/>
      <c r="L6" s="20" t="n">
        <f aca="false">SUM(Cascade!$BQ:$BQ)-Cascade!$BQ$4</f>
        <v>0</v>
      </c>
      <c r="M6" s="20"/>
      <c r="N6" s="20"/>
      <c r="P6" s="19" t="str">
        <f aca="false">IFERROR(SUM(Cascade!$H:$H)/SUM(Cascade!$F:$F),"")</f>
        <v/>
      </c>
      <c r="Q6" s="19"/>
      <c r="R6" s="19"/>
    </row>
    <row r="7" customFormat="false" ht="20" hidden="false" customHeight="true" outlineLevel="0" collapsed="false">
      <c r="A7" s="21" t="n">
        <v>2</v>
      </c>
      <c r="B7" s="14" t="s">
        <v>13</v>
      </c>
      <c r="D7" s="19"/>
      <c r="E7" s="19"/>
      <c r="F7" s="19"/>
      <c r="H7" s="20"/>
      <c r="I7" s="20"/>
      <c r="J7" s="20"/>
      <c r="L7" s="20"/>
      <c r="M7" s="20"/>
      <c r="N7" s="20"/>
      <c r="P7" s="19"/>
      <c r="Q7" s="19"/>
      <c r="R7" s="19"/>
    </row>
    <row r="8" customFormat="false" ht="20" hidden="false" customHeight="true" outlineLevel="0" collapsed="false">
      <c r="A8" s="13"/>
      <c r="B8" s="14"/>
      <c r="D8" s="19"/>
      <c r="E8" s="19"/>
      <c r="F8" s="19"/>
      <c r="H8" s="20"/>
      <c r="I8" s="20"/>
      <c r="J8" s="20"/>
      <c r="L8" s="20"/>
      <c r="M8" s="20"/>
      <c r="N8" s="20"/>
      <c r="P8" s="19"/>
      <c r="Q8" s="19"/>
      <c r="R8" s="19"/>
    </row>
    <row r="9" customFormat="false" ht="20" hidden="false" customHeight="true" outlineLevel="0" collapsed="false">
      <c r="A9" s="13"/>
      <c r="B9" s="14"/>
      <c r="D9" s="22"/>
      <c r="E9" s="23"/>
      <c r="F9" s="24"/>
      <c r="H9" s="22"/>
      <c r="I9" s="23"/>
      <c r="J9" s="24"/>
      <c r="L9" s="22"/>
      <c r="M9" s="23"/>
      <c r="N9" s="24"/>
      <c r="P9" s="22"/>
      <c r="Q9" s="23"/>
      <c r="R9" s="24"/>
    </row>
    <row r="10" customFormat="false" ht="30" hidden="false" customHeight="true" outlineLevel="0" collapsed="false">
      <c r="A10" s="11"/>
      <c r="B10" s="12"/>
      <c r="C10" s="25"/>
      <c r="D10" s="25"/>
      <c r="E10" s="25"/>
      <c r="F10" s="25"/>
      <c r="G10" s="25"/>
      <c r="H10" s="25"/>
      <c r="I10" s="25"/>
      <c r="J10" s="25"/>
      <c r="K10" s="25"/>
      <c r="L10" s="25"/>
      <c r="M10" s="25"/>
      <c r="N10" s="25"/>
      <c r="O10" s="25"/>
      <c r="P10" s="25"/>
      <c r="Q10" s="25"/>
      <c r="R10" s="25"/>
      <c r="S10" s="25"/>
    </row>
    <row r="11" customFormat="false" ht="30" hidden="false" customHeight="true" outlineLevel="0" collapsed="false">
      <c r="A11" s="11"/>
      <c r="B11" s="12"/>
      <c r="C11" s="25"/>
      <c r="D11" s="26"/>
      <c r="E11" s="27"/>
      <c r="F11" s="27"/>
      <c r="G11" s="27"/>
      <c r="H11" s="27"/>
      <c r="I11" s="27"/>
      <c r="J11" s="27"/>
      <c r="K11" s="27"/>
      <c r="L11" s="27"/>
      <c r="M11" s="27"/>
      <c r="N11" s="27"/>
      <c r="O11" s="27"/>
      <c r="P11" s="27"/>
      <c r="Q11" s="27"/>
      <c r="R11" s="28"/>
      <c r="S11" s="25"/>
    </row>
    <row r="12" customFormat="false" ht="30" hidden="false" customHeight="true" outlineLevel="0" collapsed="false">
      <c r="A12" s="11"/>
      <c r="B12" s="12"/>
      <c r="C12" s="25"/>
      <c r="D12" s="29"/>
      <c r="E12" s="25"/>
      <c r="F12" s="25"/>
      <c r="G12" s="25"/>
      <c r="H12" s="25"/>
      <c r="I12" s="25"/>
      <c r="J12" s="25"/>
      <c r="K12" s="25"/>
      <c r="L12" s="25"/>
      <c r="M12" s="25"/>
      <c r="N12" s="25"/>
      <c r="O12" s="25"/>
      <c r="P12" s="25"/>
      <c r="Q12" s="25"/>
      <c r="R12" s="30"/>
      <c r="S12" s="25"/>
    </row>
    <row r="13" customFormat="false" ht="30" hidden="false" customHeight="true" outlineLevel="0" collapsed="false">
      <c r="A13" s="11"/>
      <c r="B13" s="12"/>
      <c r="C13" s="25"/>
      <c r="D13" s="29"/>
      <c r="E13" s="25"/>
      <c r="F13" s="25"/>
      <c r="G13" s="25"/>
      <c r="H13" s="25"/>
      <c r="I13" s="25"/>
      <c r="J13" s="25"/>
      <c r="K13" s="25"/>
      <c r="L13" s="25"/>
      <c r="M13" s="25"/>
      <c r="N13" s="25"/>
      <c r="O13" s="25"/>
      <c r="P13" s="25"/>
      <c r="Q13" s="25"/>
      <c r="R13" s="30"/>
      <c r="S13" s="25"/>
    </row>
    <row r="14" customFormat="false" ht="30" hidden="false" customHeight="true" outlineLevel="0" collapsed="false">
      <c r="A14" s="11"/>
      <c r="B14" s="12"/>
      <c r="C14" s="25"/>
      <c r="D14" s="29"/>
      <c r="E14" s="25"/>
      <c r="F14" s="25"/>
      <c r="G14" s="25"/>
      <c r="H14" s="25"/>
      <c r="I14" s="25"/>
      <c r="J14" s="25"/>
      <c r="K14" s="25"/>
      <c r="L14" s="25"/>
      <c r="M14" s="25"/>
      <c r="N14" s="25"/>
      <c r="O14" s="25"/>
      <c r="P14" s="25"/>
      <c r="Q14" s="25"/>
      <c r="R14" s="30"/>
      <c r="S14" s="25"/>
    </row>
    <row r="15" customFormat="false" ht="30" hidden="false" customHeight="true" outlineLevel="0" collapsed="false">
      <c r="A15" s="11"/>
      <c r="B15" s="12"/>
      <c r="C15" s="25"/>
      <c r="D15" s="29"/>
      <c r="E15" s="25"/>
      <c r="F15" s="25"/>
      <c r="G15" s="25"/>
      <c r="H15" s="25"/>
      <c r="I15" s="25"/>
      <c r="J15" s="25"/>
      <c r="K15" s="25"/>
      <c r="L15" s="25"/>
      <c r="M15" s="25"/>
      <c r="N15" s="25"/>
      <c r="O15" s="25"/>
      <c r="P15" s="25"/>
      <c r="Q15" s="25"/>
      <c r="R15" s="30"/>
      <c r="S15" s="25"/>
    </row>
    <row r="16" customFormat="false" ht="30" hidden="false" customHeight="true" outlineLevel="0" collapsed="false">
      <c r="A16" s="11"/>
      <c r="B16" s="12"/>
      <c r="C16" s="25"/>
      <c r="D16" s="29"/>
      <c r="E16" s="25"/>
      <c r="F16" s="25"/>
      <c r="G16" s="25"/>
      <c r="H16" s="25"/>
      <c r="I16" s="25"/>
      <c r="J16" s="25"/>
      <c r="K16" s="25"/>
      <c r="L16" s="25"/>
      <c r="M16" s="25"/>
      <c r="N16" s="25"/>
      <c r="O16" s="25"/>
      <c r="P16" s="25"/>
      <c r="Q16" s="25"/>
      <c r="R16" s="30"/>
      <c r="S16" s="25"/>
    </row>
    <row r="17" customFormat="false" ht="30" hidden="false" customHeight="true" outlineLevel="0" collapsed="false">
      <c r="A17" s="11"/>
      <c r="B17" s="12"/>
      <c r="C17" s="25"/>
      <c r="D17" s="29"/>
      <c r="E17" s="25"/>
      <c r="F17" s="25"/>
      <c r="G17" s="25"/>
      <c r="H17" s="25"/>
      <c r="I17" s="25"/>
      <c r="J17" s="25"/>
      <c r="K17" s="25"/>
      <c r="L17" s="25"/>
      <c r="M17" s="25"/>
      <c r="N17" s="25"/>
      <c r="O17" s="25"/>
      <c r="P17" s="25"/>
      <c r="Q17" s="25"/>
      <c r="R17" s="30"/>
      <c r="S17" s="25"/>
    </row>
    <row r="18" customFormat="false" ht="30" hidden="false" customHeight="true" outlineLevel="0" collapsed="false">
      <c r="A18" s="11"/>
      <c r="B18" s="12"/>
      <c r="C18" s="25"/>
      <c r="D18" s="29"/>
      <c r="E18" s="25"/>
      <c r="F18" s="25"/>
      <c r="G18" s="25"/>
      <c r="H18" s="25"/>
      <c r="I18" s="25"/>
      <c r="J18" s="25"/>
      <c r="K18" s="25"/>
      <c r="L18" s="25"/>
      <c r="M18" s="25"/>
      <c r="N18" s="25"/>
      <c r="O18" s="25"/>
      <c r="P18" s="25"/>
      <c r="Q18" s="25"/>
      <c r="R18" s="30"/>
      <c r="S18" s="25"/>
    </row>
    <row r="19" customFormat="false" ht="30" hidden="false" customHeight="true" outlineLevel="0" collapsed="false">
      <c r="A19" s="11"/>
      <c r="B19" s="12"/>
      <c r="C19" s="25"/>
      <c r="D19" s="29"/>
      <c r="E19" s="25"/>
      <c r="F19" s="25"/>
      <c r="G19" s="25"/>
      <c r="H19" s="25"/>
      <c r="I19" s="25"/>
      <c r="J19" s="25"/>
      <c r="K19" s="25"/>
      <c r="L19" s="25"/>
      <c r="M19" s="25"/>
      <c r="N19" s="25"/>
      <c r="O19" s="25"/>
      <c r="P19" s="25"/>
      <c r="Q19" s="25"/>
      <c r="R19" s="30"/>
      <c r="S19" s="25"/>
    </row>
    <row r="20" customFormat="false" ht="30" hidden="false" customHeight="true" outlineLevel="0" collapsed="false">
      <c r="A20" s="11"/>
      <c r="B20" s="12"/>
      <c r="C20" s="25"/>
      <c r="D20" s="29"/>
      <c r="E20" s="25"/>
      <c r="F20" s="25"/>
      <c r="G20" s="25"/>
      <c r="H20" s="25"/>
      <c r="I20" s="25"/>
      <c r="J20" s="25"/>
      <c r="K20" s="25"/>
      <c r="L20" s="25"/>
      <c r="M20" s="25"/>
      <c r="N20" s="25"/>
      <c r="O20" s="25"/>
      <c r="P20" s="25"/>
      <c r="Q20" s="25"/>
      <c r="R20" s="30"/>
      <c r="S20" s="25"/>
    </row>
    <row r="21" customFormat="false" ht="30" hidden="false" customHeight="true" outlineLevel="0" collapsed="false">
      <c r="A21" s="11"/>
      <c r="B21" s="12"/>
      <c r="C21" s="25"/>
      <c r="D21" s="29"/>
      <c r="E21" s="25"/>
      <c r="F21" s="25"/>
      <c r="G21" s="25"/>
      <c r="H21" s="25"/>
      <c r="I21" s="25"/>
      <c r="J21" s="25"/>
      <c r="K21" s="25"/>
      <c r="L21" s="25"/>
      <c r="M21" s="25"/>
      <c r="N21" s="25"/>
      <c r="O21" s="25"/>
      <c r="P21" s="25"/>
      <c r="Q21" s="25"/>
      <c r="R21" s="30"/>
      <c r="S21" s="25"/>
    </row>
    <row r="22" customFormat="false" ht="30" hidden="false" customHeight="true" outlineLevel="0" collapsed="false">
      <c r="A22" s="11"/>
      <c r="B22" s="12"/>
      <c r="C22" s="25"/>
      <c r="D22" s="29"/>
      <c r="E22" s="31" t="s">
        <v>14</v>
      </c>
      <c r="F22" s="31"/>
      <c r="G22" s="31"/>
      <c r="H22" s="31"/>
      <c r="I22" s="32" t="s">
        <v>15</v>
      </c>
      <c r="J22" s="32"/>
      <c r="K22" s="32"/>
      <c r="L22" s="25"/>
      <c r="M22" s="25"/>
      <c r="N22" s="25"/>
      <c r="O22" s="25"/>
      <c r="P22" s="25"/>
      <c r="Q22" s="25"/>
      <c r="R22" s="30"/>
      <c r="S22" s="25"/>
    </row>
    <row r="23" customFormat="false" ht="30" hidden="false" customHeight="true" outlineLevel="0" collapsed="false">
      <c r="A23" s="11"/>
      <c r="B23" s="12"/>
      <c r="C23" s="25"/>
      <c r="D23" s="33"/>
      <c r="E23" s="34" t="s">
        <v>16</v>
      </c>
      <c r="F23" s="34" t="s">
        <v>17</v>
      </c>
      <c r="G23" s="34" t="s">
        <v>18</v>
      </c>
      <c r="H23" s="34" t="s">
        <v>19</v>
      </c>
      <c r="I23" s="34" t="s">
        <v>17</v>
      </c>
      <c r="J23" s="34" t="s">
        <v>18</v>
      </c>
      <c r="K23" s="35" t="s">
        <v>19</v>
      </c>
      <c r="M23" s="25"/>
      <c r="N23" s="25"/>
      <c r="O23" s="25"/>
      <c r="P23" s="25"/>
      <c r="Q23" s="25"/>
      <c r="R23" s="30"/>
      <c r="S23" s="25"/>
    </row>
    <row r="24" customFormat="false" ht="16" hidden="false" customHeight="true" outlineLevel="0" collapsed="false">
      <c r="A24" s="11"/>
      <c r="B24" s="12"/>
      <c r="C24" s="25"/>
      <c r="D24" s="36" t="s">
        <v>20</v>
      </c>
      <c r="E24" s="37" t="n">
        <f aca="false" t="array" ref="E24:E24">SUM(SUMIFS(Cascade!$H:$H,Cascade!$C:$C,{"=&lt;01","01-04","05-09","10-14"}))</f>
        <v>0</v>
      </c>
      <c r="F24" s="37" t="n">
        <f aca="false" t="array" ref="F24:F24">SUM(SUMIFS(Cascade!$P:$P,Cascade!$C:$C,{"=&lt;01","01-04","05-09","10-14"}))</f>
        <v>0</v>
      </c>
      <c r="G24" s="37" t="n">
        <f aca="false" t="array" ref="G24:G24">SUM(SUMIFS(Cascade!$T:$T,Cascade!$C:$C,{"=&lt;01","01-04","05-09","10-14"}))</f>
        <v>0</v>
      </c>
      <c r="H24" s="37" t="n">
        <f aca="false" t="array" ref="H24:H24">SUM(SUMIFS(Cascade!$X:$X,Cascade!$C:$C,{"=&lt;01","01-04","05-09","10-14"}))</f>
        <v>0</v>
      </c>
      <c r="I24" s="37" t="e">
        <f aca="false" t="array" ref="I24:I24">SUM(SUMIFS(cascade!#ref!,Cascade!$C:$C,{"=&lt;01","01-04","05-09","10-14"}))</f>
        <v>#NAME?</v>
      </c>
      <c r="J24" s="37" t="e">
        <f aca="false" t="array" ref="J24:J24">SUM(SUMIFS(cascade!#ref!,Cascade!$C:$C,{"=&lt;01","01-04","05-09","10-14"}))</f>
        <v>#NAME?</v>
      </c>
      <c r="K24" s="38" t="e">
        <f aca="false" t="array" ref="K24:K24">SUM(SUMIFS(cascade!#ref!,Cascade!$C:$C,{"=&lt;01","01-04","05-09","10-14"}))</f>
        <v>#NAME?</v>
      </c>
      <c r="M24" s="25"/>
      <c r="N24" s="25"/>
      <c r="O24" s="25"/>
      <c r="P24" s="25"/>
      <c r="Q24" s="25"/>
      <c r="R24" s="30"/>
      <c r="S24" s="25"/>
    </row>
    <row r="25" customFormat="false" ht="16" hidden="false" customHeight="true" outlineLevel="0" collapsed="false">
      <c r="A25" s="11"/>
      <c r="B25" s="12"/>
      <c r="C25" s="25"/>
      <c r="D25" s="39" t="s">
        <v>21</v>
      </c>
      <c r="E25" s="37" t="n">
        <f aca="false" t="array" ref="E25:E25">SUM(SUMIFS(Cascade!$H:$H,Cascade!$C:$C,{"15-19","20-24","25-29","30-34","35-39","40-44","45-49","50+"},Cascade!$D:$D,"Female"))</f>
        <v>0</v>
      </c>
      <c r="F25" s="37" t="n">
        <f aca="false" t="array" ref="F25:F25">SUM(SUMIFS(Cascade!$P:$P,Cascade!$C:$C,{"15-19","20-24","25-29","30-34","35-39","40-44","45-49","50+"},Cascade!$D:$D,"Female"))</f>
        <v>0</v>
      </c>
      <c r="G25" s="37" t="n">
        <f aca="false" t="array" ref="G25:G25">SUM(SUMIFS(Cascade!$T:$T,Cascade!$C:$C,{"15-19","20-24","25-29","30-34","35-39","40-44","45-49","50+"},Cascade!$D:$D,"Female"))</f>
        <v>0</v>
      </c>
      <c r="H25" s="37" t="n">
        <f aca="false" t="array" ref="H25:H25">SUM(SUMIFS(Cascade!$X:$X,Cascade!$C:$C,{"15-19","20-24","25-29","30-34","35-39","40-44","45-49","50+"},Cascade!$D:$D,"Female"))</f>
        <v>0</v>
      </c>
      <c r="I25" s="37" t="e">
        <f aca="false" t="array" ref="I25:I25">SUM(SUMIFS(cascade!#ref!,Cascade!$C:$C,{"15-19","20-24","25-29","30-34","35-39","40-44","45-49","50+"},Cascade!$D:$D,"Female"))</f>
        <v>#NAME?</v>
      </c>
      <c r="J25" s="37" t="e">
        <f aca="false" t="array" ref="J25:J25">SUM(SUMIFS(cascade!#ref!,Cascade!$C:$C,{"15-19","20-24","25-29","30-34","35-39","40-44","45-49","50+"},Cascade!$D:$D,"Female"))</f>
        <v>#NAME?</v>
      </c>
      <c r="K25" s="38" t="e">
        <f aca="false" t="array" ref="K25:K25">SUM(SUMIFS(cascade!#ref!,Cascade!$C:$C,{"15-19","20-24","25-29","30-34","35-39","40-44","45-49","50+"},Cascade!$D:$D,"Female"))</f>
        <v>#NAME?</v>
      </c>
      <c r="M25" s="25"/>
      <c r="N25" s="25"/>
      <c r="O25" s="25"/>
      <c r="P25" s="25"/>
      <c r="Q25" s="25"/>
      <c r="R25" s="30"/>
      <c r="S25" s="25"/>
    </row>
    <row r="26" customFormat="false" ht="16" hidden="false" customHeight="true" outlineLevel="0" collapsed="false">
      <c r="A26" s="11"/>
      <c r="B26" s="12"/>
      <c r="C26" s="25"/>
      <c r="D26" s="40" t="s">
        <v>22</v>
      </c>
      <c r="E26" s="41" t="n">
        <f aca="false" t="array" ref="E26:E26">SUM(SUMIFS(Cascade!$H:$H,Cascade!$C:$C,{"15-19","20-24","25-29","30-34","35-39","40-44","45-49","50+"},Cascade!$D:$D,"Male"))</f>
        <v>0</v>
      </c>
      <c r="F26" s="41" t="n">
        <f aca="false" t="array" ref="F26:F26">SUM(SUMIFS(Cascade!$P:$P,Cascade!$C:$C,{"15-19","20-24","25-29","30-34","35-39","40-44","45-49","50+"},Cascade!$D:$D,"Male"))</f>
        <v>0</v>
      </c>
      <c r="G26" s="41" t="n">
        <f aca="false" t="array" ref="G26:G26">SUM(SUMIFS(Cascade!$T:$T,Cascade!$C:$C,{"15-19","20-24","25-29","30-34","35-39","40-44","45-49","50+"},Cascade!$D:$D,"Male"))</f>
        <v>0</v>
      </c>
      <c r="H26" s="41" t="n">
        <f aca="false" t="array" ref="H26:H26">SUM(SUMIFS(Cascade!$X:$X,Cascade!$C:$C,{"15-19","20-24","25-29","30-34","35-39","40-44","45-49","50+"},Cascade!$D:$D,"Male"))</f>
        <v>0</v>
      </c>
      <c r="I26" s="41" t="e">
        <f aca="false" t="array" ref="I26:I26">SUM(SUMIFS(cascade!#ref!,Cascade!$C:$C,{"15-19","20-24","25-29","30-34","35-39","40-44","45-49","50+"},Cascade!$D:$D,"Male"))</f>
        <v>#NAME?</v>
      </c>
      <c r="J26" s="41" t="e">
        <f aca="false" t="array" ref="J26:J26">SUM(SUMIFS(cascade!#ref!,Cascade!$C:$C,{"15-19","20-24","25-29","30-34","35-39","40-44","45-49","50+"},Cascade!$D:$D,"Male"))</f>
        <v>#NAME?</v>
      </c>
      <c r="K26" s="42" t="e">
        <f aca="false" t="array" ref="K26:K26">SUM(SUMIFS(cascade!#ref!,Cascade!$C:$C,{"15-19","20-24","25-29","30-34","35-39","40-44","45-49","50+"},Cascade!$D:$D,"Male"))</f>
        <v>#NAME?</v>
      </c>
      <c r="M26" s="25"/>
      <c r="N26" s="25"/>
      <c r="O26" s="25"/>
      <c r="P26" s="25"/>
      <c r="Q26" s="25"/>
      <c r="R26" s="30"/>
      <c r="S26" s="25"/>
    </row>
    <row r="27" customFormat="false" ht="30" hidden="false" customHeight="true" outlineLevel="0" collapsed="false">
      <c r="A27" s="11"/>
      <c r="B27" s="12"/>
      <c r="C27" s="25"/>
      <c r="D27" s="43"/>
      <c r="E27" s="44"/>
      <c r="F27" s="44"/>
      <c r="G27" s="44"/>
      <c r="H27" s="44"/>
      <c r="I27" s="44"/>
      <c r="J27" s="44"/>
      <c r="K27" s="44"/>
      <c r="L27" s="44"/>
      <c r="M27" s="44"/>
      <c r="N27" s="44"/>
      <c r="O27" s="44"/>
      <c r="P27" s="44"/>
      <c r="Q27" s="44"/>
      <c r="R27" s="45"/>
      <c r="S27" s="25"/>
    </row>
    <row r="28" customFormat="false" ht="30" hidden="false" customHeight="true" outlineLevel="0" collapsed="false">
      <c r="A28" s="11"/>
      <c r="B28" s="12"/>
      <c r="C28" s="25"/>
      <c r="D28" s="25"/>
      <c r="E28" s="25"/>
      <c r="F28" s="25"/>
      <c r="G28" s="25"/>
      <c r="H28" s="25"/>
      <c r="I28" s="25"/>
      <c r="J28" s="25"/>
      <c r="K28" s="25"/>
      <c r="L28" s="25"/>
      <c r="M28" s="25"/>
      <c r="N28" s="25"/>
      <c r="O28" s="25"/>
      <c r="P28" s="25"/>
      <c r="Q28" s="25"/>
      <c r="R28" s="25"/>
      <c r="S28" s="25"/>
    </row>
    <row r="29" customFormat="false" ht="30" hidden="false" customHeight="true" outlineLevel="0" collapsed="false">
      <c r="A29" s="11"/>
      <c r="B29" s="12"/>
      <c r="C29" s="25"/>
      <c r="D29" s="26"/>
      <c r="E29" s="27"/>
      <c r="F29" s="27"/>
      <c r="G29" s="27"/>
      <c r="H29" s="27"/>
      <c r="I29" s="27"/>
      <c r="J29" s="27"/>
      <c r="K29" s="27"/>
      <c r="L29" s="27"/>
      <c r="M29" s="27"/>
      <c r="N29" s="27"/>
      <c r="O29" s="27"/>
      <c r="P29" s="27"/>
      <c r="Q29" s="27"/>
      <c r="R29" s="28"/>
      <c r="S29" s="25"/>
    </row>
    <row r="30" customFormat="false" ht="30" hidden="false" customHeight="true" outlineLevel="0" collapsed="false">
      <c r="A30" s="11"/>
      <c r="B30" s="12"/>
      <c r="C30" s="25"/>
      <c r="D30" s="29"/>
      <c r="E30" s="25"/>
      <c r="F30" s="25"/>
      <c r="G30" s="25"/>
      <c r="H30" s="25"/>
      <c r="I30" s="25"/>
      <c r="J30" s="25"/>
      <c r="K30" s="25"/>
      <c r="L30" s="25"/>
      <c r="M30" s="25"/>
      <c r="N30" s="25"/>
      <c r="O30" s="25"/>
      <c r="P30" s="25"/>
      <c r="Q30" s="25"/>
      <c r="R30" s="30"/>
      <c r="S30" s="25"/>
    </row>
    <row r="31" customFormat="false" ht="30" hidden="false" customHeight="true" outlineLevel="0" collapsed="false">
      <c r="A31" s="11"/>
      <c r="B31" s="12"/>
      <c r="C31" s="25"/>
      <c r="D31" s="29"/>
      <c r="E31" s="25"/>
      <c r="F31" s="25"/>
      <c r="G31" s="25"/>
      <c r="H31" s="25"/>
      <c r="I31" s="25"/>
      <c r="J31" s="25"/>
      <c r="K31" s="25"/>
      <c r="L31" s="25"/>
      <c r="M31" s="25"/>
      <c r="N31" s="25"/>
      <c r="O31" s="25"/>
      <c r="P31" s="25"/>
      <c r="Q31" s="25"/>
      <c r="R31" s="30"/>
      <c r="S31" s="25"/>
    </row>
    <row r="32" customFormat="false" ht="30" hidden="false" customHeight="true" outlineLevel="0" collapsed="false">
      <c r="A32" s="11"/>
      <c r="B32" s="12"/>
      <c r="C32" s="25"/>
      <c r="D32" s="29"/>
      <c r="E32" s="25"/>
      <c r="F32" s="25"/>
      <c r="G32" s="25"/>
      <c r="H32" s="25"/>
      <c r="I32" s="25"/>
      <c r="J32" s="25"/>
      <c r="K32" s="25"/>
      <c r="L32" s="25"/>
      <c r="M32" s="25"/>
      <c r="N32" s="25"/>
      <c r="O32" s="25"/>
      <c r="P32" s="25"/>
      <c r="Q32" s="25"/>
      <c r="R32" s="30"/>
      <c r="S32" s="25"/>
    </row>
    <row r="33" customFormat="false" ht="30" hidden="false" customHeight="true" outlineLevel="0" collapsed="false">
      <c r="A33" s="11"/>
      <c r="B33" s="12"/>
      <c r="C33" s="25"/>
      <c r="D33" s="29"/>
      <c r="E33" s="25"/>
      <c r="F33" s="25"/>
      <c r="G33" s="25"/>
      <c r="H33" s="25"/>
      <c r="I33" s="25"/>
      <c r="J33" s="25"/>
      <c r="K33" s="25"/>
      <c r="L33" s="25"/>
      <c r="M33" s="25"/>
      <c r="N33" s="25"/>
      <c r="O33" s="25"/>
      <c r="P33" s="25"/>
      <c r="Q33" s="25"/>
      <c r="R33" s="30"/>
      <c r="S33" s="25"/>
    </row>
    <row r="34" customFormat="false" ht="30" hidden="false" customHeight="true" outlineLevel="0" collapsed="false">
      <c r="A34" s="11"/>
      <c r="B34" s="12"/>
      <c r="C34" s="25"/>
      <c r="D34" s="29"/>
      <c r="E34" s="25"/>
      <c r="F34" s="25"/>
      <c r="G34" s="25"/>
      <c r="H34" s="25"/>
      <c r="I34" s="25"/>
      <c r="J34" s="25"/>
      <c r="K34" s="25"/>
      <c r="L34" s="25"/>
      <c r="M34" s="25"/>
      <c r="N34" s="25"/>
      <c r="O34" s="25"/>
      <c r="P34" s="25"/>
      <c r="Q34" s="25"/>
      <c r="R34" s="30"/>
      <c r="S34" s="25"/>
    </row>
    <row r="35" customFormat="false" ht="30" hidden="false" customHeight="true" outlineLevel="0" collapsed="false">
      <c r="A35" s="11"/>
      <c r="B35" s="12"/>
      <c r="C35" s="25"/>
      <c r="D35" s="29"/>
      <c r="E35" s="25"/>
      <c r="F35" s="25"/>
      <c r="G35" s="25"/>
      <c r="H35" s="25"/>
      <c r="I35" s="25"/>
      <c r="J35" s="25"/>
      <c r="K35" s="25"/>
      <c r="L35" s="25"/>
      <c r="M35" s="25"/>
      <c r="N35" s="25"/>
      <c r="O35" s="25"/>
      <c r="P35" s="25"/>
      <c r="Q35" s="25"/>
      <c r="R35" s="30"/>
      <c r="S35" s="25"/>
    </row>
    <row r="36" customFormat="false" ht="30" hidden="false" customHeight="true" outlineLevel="0" collapsed="false">
      <c r="A36" s="11"/>
      <c r="B36" s="12"/>
      <c r="C36" s="25"/>
      <c r="D36" s="29"/>
      <c r="E36" s="25"/>
      <c r="F36" s="25"/>
      <c r="G36" s="25"/>
      <c r="H36" s="25"/>
      <c r="I36" s="25"/>
      <c r="J36" s="25"/>
      <c r="K36" s="25"/>
      <c r="L36" s="25"/>
      <c r="M36" s="25"/>
      <c r="N36" s="25"/>
      <c r="O36" s="25"/>
      <c r="P36" s="25"/>
      <c r="Q36" s="25"/>
      <c r="R36" s="30"/>
      <c r="S36" s="25"/>
    </row>
    <row r="37" customFormat="false" ht="30" hidden="false" customHeight="true" outlineLevel="0" collapsed="false">
      <c r="A37" s="11"/>
      <c r="B37" s="12"/>
      <c r="C37" s="25"/>
      <c r="D37" s="29"/>
      <c r="E37" s="25"/>
      <c r="F37" s="25"/>
      <c r="G37" s="25"/>
      <c r="H37" s="25"/>
      <c r="I37" s="25"/>
      <c r="J37" s="25"/>
      <c r="K37" s="25"/>
      <c r="L37" s="25"/>
      <c r="M37" s="25"/>
      <c r="N37" s="25"/>
      <c r="O37" s="25"/>
      <c r="P37" s="25"/>
      <c r="Q37" s="25"/>
      <c r="R37" s="30"/>
      <c r="S37" s="25"/>
    </row>
    <row r="38" customFormat="false" ht="30" hidden="false" customHeight="true" outlineLevel="0" collapsed="false">
      <c r="A38" s="11"/>
      <c r="B38" s="12"/>
      <c r="C38" s="25"/>
      <c r="D38" s="29"/>
      <c r="E38" s="25"/>
      <c r="F38" s="25"/>
      <c r="G38" s="25"/>
      <c r="H38" s="25"/>
      <c r="I38" s="25"/>
      <c r="J38" s="25"/>
      <c r="K38" s="25"/>
      <c r="L38" s="25"/>
      <c r="M38" s="25"/>
      <c r="N38" s="25"/>
      <c r="O38" s="25"/>
      <c r="P38" s="25"/>
      <c r="Q38" s="25"/>
      <c r="R38" s="30"/>
      <c r="S38" s="25"/>
    </row>
    <row r="39" customFormat="false" ht="30" hidden="false" customHeight="true" outlineLevel="0" collapsed="false">
      <c r="A39" s="11"/>
      <c r="B39" s="12"/>
      <c r="C39" s="25"/>
      <c r="D39" s="29"/>
      <c r="E39" s="25"/>
      <c r="F39" s="25"/>
      <c r="G39" s="25"/>
      <c r="H39" s="25"/>
      <c r="I39" s="25"/>
      <c r="J39" s="25"/>
      <c r="K39" s="25"/>
      <c r="L39" s="25"/>
      <c r="M39" s="25"/>
      <c r="N39" s="25"/>
      <c r="O39" s="25"/>
      <c r="P39" s="25"/>
      <c r="Q39" s="25"/>
      <c r="R39" s="30"/>
      <c r="S39" s="25"/>
    </row>
    <row r="40" customFormat="false" ht="30" hidden="false" customHeight="true" outlineLevel="0" collapsed="false">
      <c r="A40" s="11"/>
      <c r="B40" s="12"/>
      <c r="C40" s="25"/>
      <c r="D40" s="29"/>
      <c r="E40" s="46" t="s">
        <v>15</v>
      </c>
      <c r="F40" s="46"/>
      <c r="G40" s="46"/>
      <c r="H40" s="46"/>
      <c r="I40" s="46"/>
      <c r="J40" s="46"/>
      <c r="Q40" s="25"/>
      <c r="R40" s="30"/>
      <c r="S40" s="25"/>
    </row>
    <row r="41" customFormat="false" ht="30" hidden="false" customHeight="true" outlineLevel="0" collapsed="false">
      <c r="A41" s="11"/>
      <c r="B41" s="12"/>
      <c r="C41" s="25"/>
      <c r="D41" s="33"/>
      <c r="E41" s="34" t="s">
        <v>23</v>
      </c>
      <c r="F41" s="34" t="s">
        <v>24</v>
      </c>
      <c r="G41" s="34" t="s">
        <v>25</v>
      </c>
      <c r="H41" s="34" t="s">
        <v>26</v>
      </c>
      <c r="I41" s="34" t="s">
        <v>27</v>
      </c>
      <c r="J41" s="35" t="s">
        <v>28</v>
      </c>
      <c r="Q41" s="25"/>
      <c r="R41" s="30"/>
      <c r="S41" s="25"/>
    </row>
    <row r="42" customFormat="false" ht="16" hidden="false" customHeight="true" outlineLevel="0" collapsed="false">
      <c r="A42" s="11"/>
      <c r="B42" s="12"/>
      <c r="C42" s="25"/>
      <c r="D42" s="36" t="s">
        <v>20</v>
      </c>
      <c r="E42" s="37" t="n">
        <f aca="false" t="array" ref="E42:E42">SUM(SUMIFS(HTS!$BY:$BY,HTS!$C:$C,{"=&lt;01","01-04","05-09","10-14"}))</f>
        <v>0</v>
      </c>
      <c r="F42" s="37" t="n">
        <f aca="false" t="array" ref="F42:F42">SUM(SUMIFS(HTS!$BP:$BP,HTS!$C:$C,{"=&lt;01","01-04","05-09","10-14"}))</f>
        <v>0</v>
      </c>
      <c r="G42" s="37" t="e">
        <f aca="false" t="array" ref="G42:G42">SUM(SUMIFS(cascade!#ref!,Cascade!$C:$C,{"=&lt;01","01-04","05-09","10-14"}))</f>
        <v>#NAME?</v>
      </c>
      <c r="H42" s="37" t="e">
        <f aca="false" t="array" ref="H42:H42">SUM(SUMIFS(cascade!#ref!,Cascade!$C:$C,{"=&lt;01","01-04","05-09","10-14"}))</f>
        <v>#NAME?</v>
      </c>
      <c r="I42" s="37" t="e">
        <f aca="false" t="array" ref="I42:I42">SUM(SUMIFS(cascade!#ref!,Cascade!$C:$C,{"=&lt;01","01-04","05-09","10-14"}))</f>
        <v>#NAME?</v>
      </c>
      <c r="J42" s="38" t="e">
        <f aca="false" t="array" ref="J42:J42">SUM(SUMIFS(cascade!#ref!,Cascade!$C:$C,{"=&lt;01","01-04","05-09","10-14"}))</f>
        <v>#NAME?</v>
      </c>
      <c r="Q42" s="25"/>
      <c r="R42" s="30"/>
      <c r="S42" s="25"/>
    </row>
    <row r="43" customFormat="false" ht="16" hidden="false" customHeight="true" outlineLevel="0" collapsed="false">
      <c r="A43" s="11"/>
      <c r="B43" s="12"/>
      <c r="C43" s="25"/>
      <c r="D43" s="39" t="s">
        <v>21</v>
      </c>
      <c r="E43" s="37" t="n">
        <f aca="false" t="array" ref="E43:E43">SUM(SUMIFS(HTS!$BY:$BY,HTS!$C:$C,{"15-19","20-24","25-29","30-34","35-39","40-44","45-49","50+"},HTS!$D:$D,"Female"))</f>
        <v>0</v>
      </c>
      <c r="F43" s="37" t="n">
        <f aca="false" t="array" ref="F43:F43">SUM(SUMIFS(HTS!$BP:$BP,HTS!$C:$C,{"15-19","20-24","25-29","30-34","35-39","40-44","45-49","50+"},HTS!$D:$D,"Female"))</f>
        <v>0</v>
      </c>
      <c r="G43" s="37" t="e">
        <f aca="false" t="array" ref="G43:G43">SUM(SUMIFS(cascade!#ref!,Cascade!$C:$C,{"15-19","20-24","25-29","30-34","35-39","40-44","45-49","50+"},Cascade!$D:$D,"Female"))</f>
        <v>#NAME?</v>
      </c>
      <c r="H43" s="37" t="e">
        <f aca="false" t="array" ref="H43:H43">SUM(SUMIFS(cascade!#ref!,Cascade!$C:$C,{"15-19","20-24","25-29","30-34","35-39","40-44","45-49","50+"},Cascade!$D:$D,"Female"))</f>
        <v>#NAME?</v>
      </c>
      <c r="I43" s="37" t="e">
        <f aca="false" t="array" ref="I43:I43">SUM(SUMIFS(cascade!#ref!,Cascade!$C:$C,{"15-19","20-24","25-29","30-34","35-39","40-44","45-49","50+"},Cascade!$D:$D,"Female"))</f>
        <v>#NAME?</v>
      </c>
      <c r="J43" s="38" t="e">
        <f aca="false" t="array" ref="J43:J43">SUM(SUMIFS(cascade!#ref!,Cascade!$C:$C,{"15-19","20-24","25-29","30-34","35-39","40-44","45-49","50+"},Cascade!$D:$D,"Female"))</f>
        <v>#NAME?</v>
      </c>
      <c r="Q43" s="25"/>
      <c r="R43" s="30"/>
      <c r="S43" s="25"/>
    </row>
    <row r="44" customFormat="false" ht="16" hidden="false" customHeight="true" outlineLevel="0" collapsed="false">
      <c r="A44" s="11"/>
      <c r="B44" s="12"/>
      <c r="C44" s="25"/>
      <c r="D44" s="40" t="s">
        <v>22</v>
      </c>
      <c r="E44" s="41" t="n">
        <f aca="false" t="array" ref="E44:E44">SUM(SUMIFS(HTS!$BY:$BY,HTS!$C:$C,{"15-19","20-24","25-29","30-34","35-39","40-44","45-49","50+"},HTS!$D:$D,"Male"))</f>
        <v>0</v>
      </c>
      <c r="F44" s="41" t="n">
        <f aca="false" t="array" ref="F44:F44">SUM(SUMIFS(HTS!$BP:$BP,HTS!$C:$C,{"15-19","20-24","25-29","30-34","35-39","40-44","45-49","50+"},HTS!$D:$D,"Male"))</f>
        <v>0</v>
      </c>
      <c r="G44" s="41" t="e">
        <f aca="false" t="array" ref="G44:G44">SUM(SUMIFS(cascade!#ref!,Cascade!$C:$C,{"15-19","20-24","25-29","30-34","35-39","40-44","45-49","50+"},Cascade!$D:$D,"Male"))</f>
        <v>#NAME?</v>
      </c>
      <c r="H44" s="41" t="e">
        <f aca="false" t="array" ref="H44:H44">SUM(SUMIFS(cascade!#ref!,Cascade!$C:$C,{"15-19","20-24","25-29","30-34","35-39","40-44","45-49","50+"},Cascade!$D:$D,"Male"))</f>
        <v>#NAME?</v>
      </c>
      <c r="I44" s="41" t="e">
        <f aca="false" t="array" ref="I44:I44">SUM(SUMIFS(cascade!#ref!,Cascade!$C:$C,{"15-19","20-24","25-29","30-34","35-39","40-44","45-49","50+"},Cascade!$D:$D,"Male"))</f>
        <v>#NAME?</v>
      </c>
      <c r="J44" s="42" t="e">
        <f aca="false" t="array" ref="J44:J44">SUM(SUMIFS(cascade!#ref!,Cascade!$C:$C,{"15-19","20-24","25-29","30-34","35-39","40-44","45-49","50+"},Cascade!$D:$D,"Male"))</f>
        <v>#NAME?</v>
      </c>
      <c r="Q44" s="25"/>
      <c r="R44" s="30"/>
      <c r="S44" s="25"/>
    </row>
    <row r="45" customFormat="false" ht="30" hidden="false" customHeight="true" outlineLevel="0" collapsed="false">
      <c r="A45" s="11"/>
      <c r="B45" s="12"/>
      <c r="C45" s="25"/>
      <c r="D45" s="43"/>
      <c r="E45" s="44"/>
      <c r="F45" s="44"/>
      <c r="G45" s="44"/>
      <c r="H45" s="44"/>
      <c r="I45" s="44"/>
      <c r="J45" s="44"/>
      <c r="K45" s="44"/>
      <c r="L45" s="44"/>
      <c r="M45" s="44"/>
      <c r="N45" s="44"/>
      <c r="O45" s="44"/>
      <c r="P45" s="44"/>
      <c r="Q45" s="44"/>
      <c r="R45" s="45"/>
      <c r="S45" s="25"/>
    </row>
    <row r="46" customFormat="false" ht="30" hidden="false" customHeight="true" outlineLevel="0" collapsed="false">
      <c r="A46" s="11"/>
      <c r="B46" s="12"/>
    </row>
    <row r="47" customFormat="false" ht="30" hidden="false" customHeight="true" outlineLevel="0" collapsed="false">
      <c r="A47" s="11"/>
      <c r="B47" s="12"/>
    </row>
    <row r="1048576" customFormat="false" ht="16" hidden="false" customHeight="false" outlineLevel="0" collapsed="false"/>
  </sheetData>
  <mergeCells count="9">
    <mergeCell ref="A1:B1"/>
    <mergeCell ref="A2:B2"/>
    <mergeCell ref="D6:F8"/>
    <mergeCell ref="H6:J8"/>
    <mergeCell ref="L6:N8"/>
    <mergeCell ref="P6:R8"/>
    <mergeCell ref="E22:H22"/>
    <mergeCell ref="I22:K22"/>
    <mergeCell ref="E40:J40"/>
  </mergeCells>
  <hyperlinks>
    <hyperlink ref="A1" location="Summary!A4" display="Data Pack"/>
    <hyperlink ref="A2" location="Summary!A4" display="COP 22"/>
    <hyperlink ref="B5" location="Summary!D5" display="Host Country Overview"/>
    <hyperlink ref="B7" location="Summary!D29" display="PEPFAR FY22 Target Overvie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U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A15:E15 A5"/>
    </sheetView>
  </sheetViews>
  <sheetFormatPr defaultRowHeight="16" zeroHeight="false" outlineLevelRow="0" outlineLevelCol="0"/>
  <cols>
    <col collapsed="false" customWidth="true" hidden="false" outlineLevel="0" max="1" min="1" style="47" width="1.83"/>
    <col collapsed="false" customWidth="true" hidden="false" outlineLevel="0" max="2" min="2" style="47" width="49"/>
    <col collapsed="false" customWidth="true" hidden="false" outlineLevel="0" max="3" min="3" style="47" width="3.17"/>
    <col collapsed="false" customWidth="true" hidden="false" outlineLevel="0" max="4" min="4" style="48" width="32"/>
    <col collapsed="false" customWidth="true" hidden="false" outlineLevel="0" max="6" min="5" style="48" width="14.33"/>
    <col collapsed="false" customWidth="true" hidden="false" outlineLevel="0" max="8" min="7" style="48" width="35.33"/>
    <col collapsed="false" customWidth="true" hidden="false" outlineLevel="0" max="9" min="9" style="49" width="5.83"/>
    <col collapsed="false" customWidth="true" hidden="false" outlineLevel="0" max="10" min="10" style="48" width="13.83"/>
    <col collapsed="false" customWidth="true" hidden="false" outlineLevel="0" max="11" min="11" style="48" width="7.33"/>
    <col collapsed="false" customWidth="true" hidden="false" outlineLevel="0" max="12" min="12" style="48" width="12.83"/>
    <col collapsed="false" customWidth="true" hidden="false" outlineLevel="0" max="13" min="13" style="48" width="10.33"/>
    <col collapsed="false" customWidth="true" hidden="false" outlineLevel="0" max="14" min="14" style="48" width="10.16"/>
    <col collapsed="false" customWidth="true" hidden="false" outlineLevel="0" max="15" min="15" style="48" width="11.33"/>
    <col collapsed="false" customWidth="true" hidden="false" outlineLevel="0" max="16" min="16" style="48" width="10.33"/>
    <col collapsed="false" customWidth="true" hidden="false" outlineLevel="0" max="1025" min="17" style="48" width="10.83"/>
  </cols>
  <sheetData>
    <row r="1" customFormat="false" ht="17" hidden="false" customHeight="false" outlineLevel="0" collapsed="false">
      <c r="D1" s="50" t="s">
        <v>29</v>
      </c>
      <c r="E1" s="50" t="s">
        <v>30</v>
      </c>
      <c r="F1" s="50" t="s">
        <v>31</v>
      </c>
      <c r="G1" s="50" t="s">
        <v>32</v>
      </c>
      <c r="H1" s="50" t="s">
        <v>33</v>
      </c>
      <c r="I1" s="51" t="s">
        <v>34</v>
      </c>
      <c r="J1" s="50" t="s">
        <v>35</v>
      </c>
      <c r="K1" s="50" t="s">
        <v>36</v>
      </c>
      <c r="L1" s="50" t="s">
        <v>37</v>
      </c>
      <c r="M1" s="50" t="s">
        <v>38</v>
      </c>
      <c r="N1" s="50" t="s">
        <v>39</v>
      </c>
      <c r="O1" s="50" t="s">
        <v>40</v>
      </c>
      <c r="P1" s="50" t="s">
        <v>41</v>
      </c>
      <c r="Q1" s="50" t="s">
        <v>42</v>
      </c>
    </row>
    <row r="2" customFormat="false" ht="15" hidden="false" customHeight="false" outlineLevel="0" collapsed="false">
      <c r="B2" s="52" t="s">
        <v>43</v>
      </c>
      <c r="C2" s="53" t="s">
        <v>44</v>
      </c>
      <c r="D2" s="0" t="s">
        <v>45</v>
      </c>
      <c r="E2" s="0" t="s">
        <v>46</v>
      </c>
      <c r="F2" s="0" t="s">
        <v>47</v>
      </c>
      <c r="G2" s="0" t="s">
        <v>48</v>
      </c>
      <c r="H2" s="0" t="s">
        <v>49</v>
      </c>
      <c r="I2" s="0" t="s">
        <v>50</v>
      </c>
      <c r="J2" s="0" t="s">
        <v>51</v>
      </c>
      <c r="K2" s="0" t="s">
        <v>52</v>
      </c>
      <c r="L2" s="0" t="s">
        <v>53</v>
      </c>
      <c r="M2" s="0" t="s">
        <v>54</v>
      </c>
      <c r="N2" s="0" t="n">
        <v>20</v>
      </c>
      <c r="O2" s="0" t="n">
        <v>0.25</v>
      </c>
      <c r="P2" s="0" t="n">
        <v>0.02</v>
      </c>
      <c r="Q2" s="25" t="str">
        <f aca="false">IF($D2&lt;&gt;"","["&amp;$E2&amp;"]"&amp;"|"&amp;SUBSTITUTE(SUBSTITUTE($I2,CHAR(61),""),CHAR(34),"")&amp;"|"&amp;$K2&amp;"|"&amp;$G2&amp;"|"&amp;IF($G2="TX_CURR_SUBNAT.R","CY2021Q4",$M2),"")</f>
        <v>[tKOXiaNhAyJ]|&lt;01|Female|TX_CURR_SUBNAT.R|CY2021Q4</v>
      </c>
      <c r="R2" s="0"/>
      <c r="S2" s="0"/>
      <c r="T2" s="0"/>
      <c r="U2" s="0"/>
    </row>
    <row r="3" customFormat="false" ht="15" hidden="false" customHeight="false" outlineLevel="0" collapsed="false">
      <c r="D3" s="0" t="s">
        <v>45</v>
      </c>
      <c r="E3" s="0" t="s">
        <v>46</v>
      </c>
      <c r="F3" s="0" t="s">
        <v>47</v>
      </c>
      <c r="G3" s="0" t="s">
        <v>48</v>
      </c>
      <c r="H3" s="0" t="s">
        <v>49</v>
      </c>
      <c r="I3" s="0" t="s">
        <v>55</v>
      </c>
      <c r="J3" s="0" t="s">
        <v>56</v>
      </c>
      <c r="K3" s="0" t="s">
        <v>52</v>
      </c>
      <c r="L3" s="0" t="s">
        <v>53</v>
      </c>
      <c r="M3" s="0" t="s">
        <v>54</v>
      </c>
      <c r="N3" s="0" t="n">
        <v>30</v>
      </c>
      <c r="O3" s="0" t="n">
        <v>0.1</v>
      </c>
      <c r="P3" s="0" t="n">
        <v>0.04</v>
      </c>
      <c r="Q3" s="25" t="str">
        <f aca="false">IF($D3&lt;&gt;"","["&amp;$E3&amp;"]"&amp;"|"&amp;SUBSTITUTE(SUBSTITUTE($I3,CHAR(61),""),CHAR(34),"")&amp;"|"&amp;$K3&amp;"|"&amp;$G3&amp;"|"&amp;IF($G3="TX_CURR_SUBNAT.R","CY2021Q4",$M3),"")</f>
        <v>[tKOXiaNhAyJ]|01-04|Female|TX_CURR_SUBNAT.R|CY2021Q4</v>
      </c>
      <c r="R3" s="0"/>
      <c r="S3" s="0"/>
      <c r="T3" s="0"/>
      <c r="U3" s="0"/>
    </row>
    <row r="4" customFormat="false" ht="15" hidden="false" customHeight="false" outlineLevel="0" collapsed="false">
      <c r="B4" s="54" t="s">
        <v>57</v>
      </c>
      <c r="D4" s="0" t="s">
        <v>45</v>
      </c>
      <c r="E4" s="0" t="s">
        <v>46</v>
      </c>
      <c r="F4" s="0" t="s">
        <v>47</v>
      </c>
      <c r="G4" s="0" t="s">
        <v>48</v>
      </c>
      <c r="H4" s="0" t="s">
        <v>49</v>
      </c>
      <c r="I4" s="0" t="s">
        <v>58</v>
      </c>
      <c r="J4" s="0" t="s">
        <v>59</v>
      </c>
      <c r="K4" s="0" t="s">
        <v>52</v>
      </c>
      <c r="L4" s="0" t="s">
        <v>53</v>
      </c>
      <c r="M4" s="0" t="s">
        <v>54</v>
      </c>
      <c r="N4" s="0" t="n">
        <v>40</v>
      </c>
      <c r="O4" s="0" t="n">
        <v>0.46</v>
      </c>
      <c r="P4" s="0" t="n">
        <v>0.05</v>
      </c>
      <c r="Q4" s="25" t="str">
        <f aca="false">IF($D4&lt;&gt;"","["&amp;$E4&amp;"]"&amp;"|"&amp;SUBSTITUTE(SUBSTITUTE($I4,CHAR(61),""),CHAR(34),"")&amp;"|"&amp;$K4&amp;"|"&amp;$G4&amp;"|"&amp;IF($G4="TX_CURR_SUBNAT.R","CY2021Q4",$M4),"")</f>
        <v>[tKOXiaNhAyJ]|05-09|Female|TX_CURR_SUBNAT.R|CY2021Q4</v>
      </c>
      <c r="R4" s="0"/>
      <c r="S4" s="0"/>
      <c r="T4" s="0"/>
      <c r="U4" s="0"/>
    </row>
    <row r="5" customFormat="false" ht="16" hidden="false" customHeight="false" outlineLevel="0" collapsed="false">
      <c r="D5" s="49"/>
      <c r="E5" s="49"/>
      <c r="F5" s="49"/>
      <c r="G5" s="49"/>
      <c r="H5" s="49"/>
      <c r="J5" s="49"/>
      <c r="K5" s="49"/>
      <c r="L5" s="49"/>
    </row>
    <row r="6" customFormat="false" ht="16" hidden="false" customHeight="true" outlineLevel="0" collapsed="false">
      <c r="B6" s="55" t="s">
        <v>60</v>
      </c>
      <c r="D6" s="49"/>
      <c r="E6" s="49"/>
      <c r="F6" s="49"/>
      <c r="G6" s="49"/>
      <c r="H6" s="49"/>
      <c r="J6" s="49"/>
      <c r="K6" s="49"/>
      <c r="L6" s="49"/>
    </row>
    <row r="7" customFormat="false" ht="16" hidden="false" customHeight="false" outlineLevel="0" collapsed="false">
      <c r="B7" s="55"/>
      <c r="D7" s="49"/>
      <c r="E7" s="49"/>
      <c r="F7" s="49"/>
      <c r="G7" s="49"/>
      <c r="H7" s="49"/>
      <c r="J7" s="49"/>
      <c r="K7" s="49"/>
      <c r="L7" s="49"/>
    </row>
    <row r="8" customFormat="false" ht="16" hidden="false" customHeight="false" outlineLevel="0" collapsed="false">
      <c r="B8" s="56"/>
      <c r="D8" s="49"/>
      <c r="E8" s="49"/>
      <c r="F8" s="49"/>
      <c r="G8" s="49"/>
      <c r="H8" s="49"/>
      <c r="J8" s="49"/>
      <c r="K8" s="49"/>
      <c r="L8" s="49"/>
    </row>
    <row r="9" customFormat="false" ht="17" hidden="false" customHeight="false" outlineLevel="0" collapsed="false">
      <c r="B9" s="56" t="s">
        <v>61</v>
      </c>
      <c r="D9" s="49"/>
      <c r="E9" s="49"/>
      <c r="F9" s="49"/>
      <c r="G9" s="49"/>
      <c r="H9" s="49"/>
      <c r="J9" s="49"/>
      <c r="K9" s="49"/>
      <c r="L9" s="49"/>
    </row>
    <row r="10" customFormat="false" ht="16" hidden="false" customHeight="false" outlineLevel="0" collapsed="false">
      <c r="B10" s="56"/>
      <c r="D10" s="49"/>
      <c r="E10" s="49"/>
      <c r="F10" s="49"/>
      <c r="G10" s="49"/>
      <c r="H10" s="49"/>
      <c r="J10" s="49"/>
      <c r="K10" s="49"/>
      <c r="L10" s="49"/>
    </row>
    <row r="11" customFormat="false" ht="16" hidden="false" customHeight="true" outlineLevel="0" collapsed="false">
      <c r="B11" s="55" t="s">
        <v>62</v>
      </c>
      <c r="D11" s="49"/>
      <c r="E11" s="49"/>
      <c r="F11" s="49"/>
      <c r="G11" s="49"/>
      <c r="H11" s="49"/>
      <c r="J11" s="49"/>
      <c r="K11" s="49"/>
      <c r="L11" s="49"/>
    </row>
    <row r="12" customFormat="false" ht="16" hidden="false" customHeight="false" outlineLevel="0" collapsed="false">
      <c r="B12" s="55"/>
      <c r="D12" s="49"/>
      <c r="E12" s="49"/>
      <c r="F12" s="49"/>
      <c r="G12" s="49"/>
      <c r="H12" s="49"/>
      <c r="J12" s="49"/>
      <c r="K12" s="49"/>
      <c r="L12" s="49"/>
    </row>
    <row r="13" customFormat="false" ht="16" hidden="false" customHeight="false" outlineLevel="0" collapsed="false">
      <c r="B13" s="56"/>
      <c r="D13" s="49"/>
      <c r="E13" s="49"/>
      <c r="F13" s="49"/>
      <c r="G13" s="49"/>
      <c r="H13" s="49"/>
      <c r="J13" s="49"/>
      <c r="K13" s="49"/>
      <c r="L13" s="49"/>
    </row>
    <row r="14" customFormat="false" ht="17" hidden="false" customHeight="false" outlineLevel="0" collapsed="false">
      <c r="B14" s="56" t="s">
        <v>63</v>
      </c>
      <c r="D14" s="49"/>
      <c r="E14" s="49"/>
      <c r="F14" s="49"/>
      <c r="G14" s="49"/>
      <c r="H14" s="49"/>
      <c r="J14" s="49"/>
      <c r="K14" s="49"/>
      <c r="L14" s="49"/>
    </row>
    <row r="15" customFormat="false" ht="16" hidden="false" customHeight="false" outlineLevel="0" collapsed="false">
      <c r="B15" s="56"/>
      <c r="D15" s="49"/>
      <c r="E15" s="49"/>
      <c r="F15" s="49"/>
      <c r="G15" s="49"/>
      <c r="H15" s="49"/>
      <c r="J15" s="49"/>
      <c r="K15" s="49"/>
      <c r="L15" s="49"/>
    </row>
    <row r="16" customFormat="false" ht="16" hidden="false" customHeight="true" outlineLevel="0" collapsed="false">
      <c r="B16" s="55" t="s">
        <v>64</v>
      </c>
      <c r="D16" s="49"/>
      <c r="E16" s="49"/>
      <c r="F16" s="49"/>
      <c r="G16" s="49"/>
      <c r="H16" s="49"/>
      <c r="J16" s="49"/>
      <c r="K16" s="49"/>
      <c r="L16" s="49"/>
    </row>
    <row r="17" customFormat="false" ht="16" hidden="false" customHeight="false" outlineLevel="0" collapsed="false">
      <c r="B17" s="55"/>
      <c r="D17" s="49"/>
      <c r="E17" s="49"/>
      <c r="F17" s="49"/>
      <c r="G17" s="49"/>
      <c r="H17" s="49"/>
      <c r="J17" s="49"/>
      <c r="K17" s="49"/>
      <c r="L17" s="49"/>
    </row>
    <row r="18" customFormat="false" ht="16" hidden="false" customHeight="false" outlineLevel="0" collapsed="false">
      <c r="B18" s="56"/>
      <c r="D18" s="49"/>
      <c r="E18" s="49"/>
      <c r="F18" s="49"/>
      <c r="G18" s="49"/>
      <c r="H18" s="49"/>
      <c r="J18" s="49"/>
      <c r="K18" s="49"/>
      <c r="L18" s="49"/>
    </row>
    <row r="19" customFormat="false" ht="16" hidden="false" customHeight="true" outlineLevel="0" collapsed="false">
      <c r="B19" s="55" t="s">
        <v>65</v>
      </c>
      <c r="D19" s="49"/>
      <c r="E19" s="49"/>
      <c r="F19" s="49"/>
      <c r="G19" s="49"/>
      <c r="H19" s="49"/>
      <c r="J19" s="49"/>
      <c r="K19" s="49"/>
      <c r="L19" s="49"/>
    </row>
    <row r="20" customFormat="false" ht="16" hidden="false" customHeight="false" outlineLevel="0" collapsed="false">
      <c r="B20" s="55"/>
      <c r="D20" s="49"/>
      <c r="E20" s="49"/>
      <c r="F20" s="49"/>
      <c r="G20" s="49"/>
      <c r="H20" s="49"/>
      <c r="J20" s="49"/>
      <c r="K20" s="49"/>
      <c r="L20" s="49"/>
    </row>
    <row r="21" customFormat="false" ht="16" hidden="false" customHeight="false" outlineLevel="0" collapsed="false">
      <c r="D21" s="49"/>
      <c r="E21" s="49"/>
      <c r="F21" s="49"/>
      <c r="G21" s="49"/>
      <c r="H21" s="49"/>
      <c r="J21" s="49"/>
      <c r="K21" s="49"/>
      <c r="L21" s="49"/>
    </row>
    <row r="22" customFormat="false" ht="16" hidden="false" customHeight="true" outlineLevel="0" collapsed="false">
      <c r="B22" s="56" t="s">
        <v>66</v>
      </c>
      <c r="D22" s="49"/>
      <c r="E22" s="49"/>
      <c r="F22" s="49"/>
      <c r="G22" s="49"/>
      <c r="H22" s="49"/>
      <c r="J22" s="49"/>
      <c r="K22" s="49"/>
      <c r="L22" s="49"/>
    </row>
    <row r="23" customFormat="false" ht="16" hidden="false" customHeight="false" outlineLevel="0" collapsed="false">
      <c r="B23" s="56"/>
      <c r="D23" s="49"/>
      <c r="E23" s="49"/>
      <c r="F23" s="49"/>
      <c r="G23" s="49"/>
      <c r="H23" s="49"/>
      <c r="J23" s="49"/>
      <c r="K23" s="49"/>
      <c r="L23" s="49"/>
    </row>
    <row r="24" customFormat="false" ht="16" hidden="false" customHeight="false" outlineLevel="0" collapsed="false">
      <c r="B24" s="47" t="s">
        <v>67</v>
      </c>
      <c r="D24" s="49"/>
      <c r="E24" s="49"/>
      <c r="F24" s="49"/>
      <c r="G24" s="49"/>
      <c r="H24" s="49"/>
      <c r="J24" s="49"/>
      <c r="K24" s="49"/>
      <c r="L24" s="49"/>
    </row>
    <row r="25" customFormat="false" ht="16" hidden="false" customHeight="false" outlineLevel="0" collapsed="false">
      <c r="D25" s="49"/>
      <c r="E25" s="49"/>
      <c r="F25" s="49"/>
      <c r="G25" s="49"/>
      <c r="H25" s="49"/>
      <c r="J25" s="49"/>
      <c r="K25" s="49"/>
      <c r="L25" s="49"/>
    </row>
    <row r="26" customFormat="false" ht="16" hidden="false" customHeight="true" outlineLevel="0" collapsed="false">
      <c r="B26" s="55" t="s">
        <v>68</v>
      </c>
      <c r="D26" s="49"/>
      <c r="E26" s="49"/>
      <c r="F26" s="49"/>
      <c r="G26" s="49"/>
      <c r="H26" s="49"/>
      <c r="J26" s="49"/>
      <c r="K26" s="49"/>
      <c r="L26" s="49"/>
    </row>
  </sheetData>
  <mergeCells count="5">
    <mergeCell ref="B6:B7"/>
    <mergeCell ref="B11:B12"/>
    <mergeCell ref="B16:B17"/>
    <mergeCell ref="B19:B20"/>
    <mergeCell ref="B26:B2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63BE7B"/>
    <pageSetUpPr fitToPage="false"/>
  </sheetPr>
  <dimension ref="A1:E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5" activeCellId="0" sqref="A15:E15"/>
    </sheetView>
  </sheetViews>
  <sheetFormatPr defaultRowHeight="16" zeroHeight="false" outlineLevelRow="0" outlineLevelCol="0"/>
  <cols>
    <col collapsed="false" customWidth="true" hidden="false" outlineLevel="0" max="1" min="1" style="49" width="16.16"/>
    <col collapsed="false" customWidth="true" hidden="false" outlineLevel="0" max="2" min="2" style="49" width="30.83"/>
    <col collapsed="false" customWidth="true" hidden="false" outlineLevel="0" max="3" min="3" style="57" width="13.16"/>
    <col collapsed="false" customWidth="true" hidden="false" outlineLevel="0" max="4" min="4" style="58" width="13.16"/>
    <col collapsed="false" customWidth="true" hidden="false" outlineLevel="0" max="5" min="5" style="0" width="28"/>
    <col collapsed="false" customWidth="true" hidden="false" outlineLevel="0" max="1025" min="6" style="0" width="10.61"/>
  </cols>
  <sheetData>
    <row r="1" s="63" customFormat="true" ht="31" hidden="false" customHeight="true" outlineLevel="0" collapsed="false">
      <c r="A1" s="59" t="s">
        <v>69</v>
      </c>
      <c r="B1" s="59"/>
      <c r="C1" s="60" t="s">
        <v>69</v>
      </c>
      <c r="D1" s="61"/>
      <c r="E1" s="62"/>
    </row>
    <row r="2" s="68" customFormat="true" ht="19" hidden="false" customHeight="false" outlineLevel="0" collapsed="false">
      <c r="A2" s="64"/>
      <c r="B2" s="64"/>
      <c r="C2" s="65" t="s">
        <v>70</v>
      </c>
      <c r="D2" s="66" t="s">
        <v>71</v>
      </c>
      <c r="E2" s="67"/>
    </row>
    <row r="3" customFormat="false" ht="117" hidden="false" customHeight="true" outlineLevel="0" collapsed="false">
      <c r="A3" s="69"/>
      <c r="B3" s="69"/>
      <c r="C3" s="70" t="s">
        <v>72</v>
      </c>
      <c r="D3" s="71" t="s">
        <v>73</v>
      </c>
      <c r="E3" s="72" t="s">
        <v>74</v>
      </c>
    </row>
    <row r="4" customFormat="false" ht="16" hidden="false" customHeight="false" outlineLevel="0" collapsed="false">
      <c r="A4" s="73"/>
      <c r="B4" s="73" t="s">
        <v>75</v>
      </c>
      <c r="C4" s="74"/>
      <c r="D4" s="75"/>
      <c r="E4" s="76" t="str">
        <f aca="false">IF(COUNTIF(D$15:INDEX($D:$D,COUNTA($B:$B)+14-COUNTA($B$1:$B$14)),"")&gt;0,"BLANK PRIORITIZATIONS","")</f>
        <v/>
      </c>
    </row>
    <row r="5" customFormat="false" ht="16" hidden="false" customHeight="false" outlineLevel="0" collapsed="false">
      <c r="A5" s="49" t="s">
        <v>76</v>
      </c>
      <c r="B5" s="49" t="s">
        <v>76</v>
      </c>
      <c r="C5" s="74" t="s">
        <v>77</v>
      </c>
      <c r="D5" s="75" t="s">
        <v>77</v>
      </c>
      <c r="E5" s="0" t="s">
        <v>76</v>
      </c>
    </row>
    <row r="6" customFormat="false" ht="16" hidden="false" customHeight="false" outlineLevel="0" collapsed="false">
      <c r="A6" s="49" t="s">
        <v>78</v>
      </c>
      <c r="B6" s="49" t="s">
        <v>78</v>
      </c>
      <c r="C6" s="74" t="s">
        <v>79</v>
      </c>
      <c r="D6" s="75" t="s">
        <v>80</v>
      </c>
      <c r="E6" s="0" t="s">
        <v>81</v>
      </c>
    </row>
    <row r="7" customFormat="false" ht="16" hidden="false" customHeight="false" outlineLevel="0" collapsed="false">
      <c r="A7" s="49" t="s">
        <v>82</v>
      </c>
      <c r="B7" s="49" t="s">
        <v>82</v>
      </c>
      <c r="C7" s="74" t="s">
        <v>83</v>
      </c>
      <c r="D7" s="75" t="s">
        <v>83</v>
      </c>
      <c r="E7" s="0" t="s">
        <v>82</v>
      </c>
    </row>
    <row r="8" customFormat="false" ht="16" hidden="false" customHeight="false" outlineLevel="0" collapsed="false">
      <c r="C8" s="77" t="s">
        <v>84</v>
      </c>
      <c r="D8" s="78" t="s">
        <v>84</v>
      </c>
    </row>
    <row r="9" customFormat="false" ht="16" hidden="false" customHeight="false" outlineLevel="0" collapsed="false">
      <c r="C9" s="77"/>
      <c r="D9" s="78"/>
    </row>
    <row r="10" customFormat="false" ht="16" hidden="false" customHeight="false" outlineLevel="0" collapsed="false">
      <c r="C10" s="77"/>
      <c r="D10" s="78"/>
    </row>
    <row r="11" customFormat="false" ht="16" hidden="false" customHeight="false" outlineLevel="0" collapsed="false">
      <c r="C11" s="74"/>
      <c r="D11" s="75"/>
    </row>
    <row r="12" customFormat="false" ht="16" hidden="false" customHeight="false" outlineLevel="0" collapsed="false">
      <c r="C12" s="74"/>
      <c r="D12" s="75"/>
    </row>
    <row r="13" customFormat="false" ht="16" hidden="false" customHeight="false" outlineLevel="0" collapsed="false">
      <c r="C13" s="74"/>
      <c r="D13" s="75"/>
    </row>
    <row r="14" customFormat="false" ht="16" hidden="false" customHeight="false" outlineLevel="0" collapsed="false">
      <c r="A14" s="79" t="s">
        <v>85</v>
      </c>
      <c r="B14" s="79" t="s">
        <v>86</v>
      </c>
      <c r="C14" s="80" t="s">
        <v>87</v>
      </c>
      <c r="D14" s="81" t="s">
        <v>88</v>
      </c>
      <c r="E14" s="82" t="s">
        <v>89</v>
      </c>
    </row>
    <row r="15" customFormat="false" ht="15" hidden="false" customHeight="false" outlineLevel="0" collapsed="false">
      <c r="A15" s="0" t="s">
        <v>45</v>
      </c>
      <c r="B15" s="0" t="s">
        <v>90</v>
      </c>
      <c r="C15" s="83" t="n">
        <v>1</v>
      </c>
      <c r="D15" s="84" t="n">
        <f aca="false">IF(LEFT($B15,4)="_Mil","M",IF(SUM($C15)=0,"",$C15))</f>
        <v>1</v>
      </c>
      <c r="E15" s="0" t="str">
        <f aca="false">IF($D15=1,"Scale-up: Saturation",IF($D15=2,"Scale-up: Aggressive",IF($D15=4,"Sustained",IF($D15=5,"Centrally Supported",IF($D15=6,"Sustained:Commodities",IF($D15=7,"Attained",IF($D15=8,"Not PEPFAR Supported",IF($D15="M","Military",IF($D15="NA","Not a PSNU","INVALID")))))))))</f>
        <v>Scale-up: Saturation</v>
      </c>
    </row>
  </sheetData>
  <conditionalFormatting sqref="E4">
    <cfRule type="containsText" priority="2" operator="containsText" aboveAverage="0" equalAverage="0" bottom="0" percent="0" rank="0" text="BLANK PRIORITIZATIONS" dxfId="0"/>
  </conditionalFormatting>
  <conditionalFormatting sqref="C16:D1048576 C1:D14">
    <cfRule type="expression" priority="3" aboveAverage="0" equalAverage="0" bottom="0" percent="0" rank="0" text="" dxfId="1">
      <formula>AND(ROW(C1)&gt;14,$B1&lt;&gt;"",C1&lt;&gt;1,C1&lt;&gt;2,C1&lt;&gt;4,C1&lt;&gt;5,C1&lt;&gt;6,C1&lt;&gt;7,C1&lt;&gt;8,C1&lt;&gt;"M",C1&lt;&gt;"NA")</formula>
    </cfRule>
  </conditionalFormatting>
  <conditionalFormatting sqref="D16:D1048576 D1:D14">
    <cfRule type="expression" priority="4" aboveAverage="0" equalAverage="0" bottom="0" percent="0" rank="0" text="" dxfId="2">
      <formula>AND(ROW($D1)&gt;14,$D1="",$B1&lt;&gt;"")</formula>
    </cfRule>
    <cfRule type="expression" priority="5" aboveAverage="0" equalAverage="0" bottom="0" percent="0" rank="0" text="" dxfId="3">
      <formula>AND(ROW($D1)&gt;14,$D1&lt;&gt;$C1,$B1&lt;&gt;"")</formula>
    </cfRule>
  </conditionalFormatting>
  <conditionalFormatting sqref="C15:D15">
    <cfRule type="expression" priority="6" aboveAverage="0" equalAverage="0" bottom="0" percent="0" rank="0" text="" dxfId="4">
      <formula>AND(ROW(C15)&gt;14,$B15&lt;&gt;"",C15&lt;&gt;1,C15&lt;&gt;2,C15&lt;&gt;4,C15&lt;&gt;5,C15&lt;&gt;6,C15&lt;&gt;7,C15&lt;&gt;8,C15&lt;&gt;"M",C15&lt;&gt;"NA")</formula>
    </cfRule>
  </conditionalFormatting>
  <conditionalFormatting sqref="D15">
    <cfRule type="expression" priority="7" aboveAverage="0" equalAverage="0" bottom="0" percent="0" rank="0" text="" dxfId="5">
      <formula>AND(ROW($D15)&gt;14,$D15="",$B15&lt;&gt;"")</formula>
    </cfRule>
    <cfRule type="expression" priority="8" aboveAverage="0" equalAverage="0" bottom="0" percent="0" rank="0" text="" dxfId="6">
      <formula>AND(LEFT($B15,4)&lt;&gt;"_Mil",ROW($D15)&gt;14,$D15&lt;&gt;$C15,$B15&lt;&gt;"")</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DC1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39"/>
    <col collapsed="false" customWidth="true" hidden="false" outlineLevel="0" max="6" min="6" style="85" width="13.16"/>
    <col collapsed="false" customWidth="true" hidden="true" outlineLevel="0" max="7" min="7" style="0" width="12"/>
    <col collapsed="false" customWidth="true" hidden="false" outlineLevel="0" max="8" min="8" style="0" width="11.83"/>
    <col collapsed="false" customWidth="true" hidden="true" outlineLevel="0" max="9" min="9" style="0" width="11.83"/>
    <col collapsed="false" customWidth="true" hidden="false" outlineLevel="0" max="10" min="10" style="0" width="11.83"/>
    <col collapsed="false" customWidth="true" hidden="true" outlineLevel="0" max="11" min="11" style="0" width="11.83"/>
    <col collapsed="false" customWidth="true" hidden="false" outlineLevel="0" max="12" min="12" style="86" width="11.83"/>
    <col collapsed="false" customWidth="true" hidden="true" outlineLevel="0" max="13" min="13" style="0" width="11.83"/>
    <col collapsed="false" customWidth="true" hidden="false" outlineLevel="0" max="14" min="14" style="86" width="11.83"/>
    <col collapsed="false" customWidth="true" hidden="true" outlineLevel="0" max="15" min="15" style="0" width="11.83"/>
    <col collapsed="false" customWidth="true" hidden="false" outlineLevel="0" max="16" min="16" style="0" width="11.83"/>
    <col collapsed="false" customWidth="true" hidden="true" outlineLevel="0" max="17" min="17" style="0" width="11.83"/>
    <col collapsed="false" customWidth="true" hidden="false" outlineLevel="0" max="18" min="18" style="0" width="11.83"/>
    <col collapsed="false" customWidth="true" hidden="true" outlineLevel="0" max="19" min="19" style="0" width="11.83"/>
    <col collapsed="false" customWidth="true" hidden="false" outlineLevel="0" max="20" min="20" style="0" width="11.83"/>
    <col collapsed="false" customWidth="true" hidden="true" outlineLevel="0" max="21" min="21" style="0" width="11.83"/>
    <col collapsed="false" customWidth="true" hidden="false" outlineLevel="0" max="22" min="22" style="0" width="11.83"/>
    <col collapsed="false" customWidth="true" hidden="true" outlineLevel="0" max="23" min="23" style="0" width="11.83"/>
    <col collapsed="false" customWidth="true" hidden="false" outlineLevel="0" max="24" min="24" style="0" width="11.83"/>
    <col collapsed="false" customWidth="true" hidden="true" outlineLevel="0" max="25" min="25" style="0" width="11.83"/>
    <col collapsed="false" customWidth="true" hidden="false" outlineLevel="0" max="26" min="26" style="85" width="11.83"/>
    <col collapsed="false" customWidth="true" hidden="false" outlineLevel="0" max="30" min="27" style="0" width="11.83"/>
    <col collapsed="false" customWidth="true" hidden="false" outlineLevel="0" max="31" min="31" style="85" width="11.83"/>
    <col collapsed="false" customWidth="true" hidden="false" outlineLevel="0" max="35" min="32" style="0" width="11.83"/>
    <col collapsed="false" customWidth="true" hidden="false" outlineLevel="0" max="36" min="36" style="85" width="11.83"/>
    <col collapsed="false" customWidth="true" hidden="false" outlineLevel="0" max="38" min="37" style="87" width="11.83"/>
    <col collapsed="false" customWidth="true" hidden="false" outlineLevel="0" max="39" min="39" style="88" width="11.83"/>
    <col collapsed="false" customWidth="true" hidden="false" outlineLevel="0" max="40" min="40" style="87" width="11.83"/>
    <col collapsed="false" customWidth="true" hidden="false" outlineLevel="0" max="41" min="41" style="89" width="11.83"/>
    <col collapsed="false" customWidth="true" hidden="false" outlineLevel="0" max="42" min="42" style="87" width="11.83"/>
    <col collapsed="false" customWidth="true" hidden="false" outlineLevel="0" max="43" min="43" style="85" width="11.83"/>
    <col collapsed="false" customWidth="true" hidden="false" outlineLevel="0" max="47" min="44" style="87" width="11.83"/>
    <col collapsed="false" customWidth="true" hidden="false" outlineLevel="0" max="48" min="48" style="85" width="11.83"/>
    <col collapsed="false" customWidth="true" hidden="false" outlineLevel="0" max="49" min="49" style="0" width="11.83"/>
    <col collapsed="false" customWidth="true" hidden="false" outlineLevel="0" max="51" min="50" style="87" width="11.83"/>
    <col collapsed="false" customWidth="true" hidden="false" outlineLevel="0" max="52" min="52" style="0" width="11.83"/>
    <col collapsed="false" customWidth="true" hidden="false" outlineLevel="0" max="59" min="53" style="87" width="11.83"/>
    <col collapsed="false" customWidth="true" hidden="false" outlineLevel="0" max="61" min="60" style="0" width="11.83"/>
    <col collapsed="false" customWidth="true" hidden="false" outlineLevel="0" max="64" min="62" style="87" width="11.83"/>
    <col collapsed="false" customWidth="true" hidden="false" outlineLevel="0" max="65" min="65" style="85" width="11.83"/>
    <col collapsed="false" customWidth="true" hidden="false" outlineLevel="0" max="66" min="66" style="87" width="11.83"/>
    <col collapsed="false" customWidth="true" hidden="false" outlineLevel="0" max="67" min="67" style="85" width="11.83"/>
    <col collapsed="false" customWidth="true" hidden="false" outlineLevel="0" max="69" min="68" style="87" width="11.83"/>
    <col collapsed="false" customWidth="true" hidden="false" outlineLevel="0" max="70" min="70" style="85" width="11.83"/>
    <col collapsed="false" customWidth="true" hidden="false" outlineLevel="0" max="72" min="71" style="87" width="11.83"/>
    <col collapsed="false" customWidth="true" hidden="false" outlineLevel="0" max="73" min="73" style="85" width="11.83"/>
    <col collapsed="false" customWidth="true" hidden="false" outlineLevel="0" max="85" min="74" style="0" width="11.83"/>
    <col collapsed="false" customWidth="true" hidden="false" outlineLevel="0" max="86" min="86" style="85" width="11.83"/>
    <col collapsed="false" customWidth="true" hidden="false" outlineLevel="0" max="92" min="87" style="0" width="11.83"/>
    <col collapsed="false" customWidth="true" hidden="false" outlineLevel="0" max="93" min="93" style="85" width="11.83"/>
    <col collapsed="false" customWidth="true" hidden="false" outlineLevel="0" max="100" min="94" style="0" width="11.83"/>
    <col collapsed="false" customWidth="true" hidden="false" outlineLevel="0" max="101" min="101" style="85" width="11.83"/>
    <col collapsed="false" customWidth="true" hidden="false" outlineLevel="0" max="1025" min="102" style="0" width="10.61"/>
  </cols>
  <sheetData>
    <row r="1" s="63" customFormat="true" ht="31" hidden="false" customHeight="true" outlineLevel="0" collapsed="false">
      <c r="A1" s="90" t="s">
        <v>91</v>
      </c>
      <c r="B1" s="90"/>
      <c r="C1" s="90"/>
      <c r="D1" s="91"/>
      <c r="E1" s="90"/>
      <c r="F1" s="92" t="s">
        <v>92</v>
      </c>
      <c r="G1" s="93"/>
      <c r="H1" s="94"/>
      <c r="I1" s="95"/>
      <c r="J1" s="96"/>
      <c r="K1" s="95"/>
      <c r="L1" s="97"/>
      <c r="M1" s="95"/>
      <c r="N1" s="98"/>
      <c r="O1" s="95"/>
      <c r="P1" s="94"/>
      <c r="Q1" s="95"/>
      <c r="R1" s="94"/>
      <c r="S1" s="95"/>
      <c r="T1" s="94"/>
      <c r="U1" s="95"/>
      <c r="V1" s="94"/>
      <c r="W1" s="95"/>
      <c r="X1" s="98"/>
      <c r="Y1" s="95"/>
      <c r="Z1" s="92" t="s">
        <v>93</v>
      </c>
      <c r="AA1" s="99"/>
      <c r="AB1" s="100"/>
      <c r="AC1" s="101"/>
      <c r="AD1" s="100"/>
      <c r="AE1" s="92" t="s">
        <v>94</v>
      </c>
      <c r="AF1" s="99"/>
      <c r="AG1" s="99"/>
      <c r="AH1" s="101"/>
      <c r="AI1" s="100"/>
      <c r="AJ1" s="102" t="s">
        <v>19</v>
      </c>
      <c r="AK1" s="93"/>
      <c r="AL1" s="93"/>
      <c r="AM1" s="95"/>
      <c r="AN1" s="100"/>
      <c r="AO1" s="103" t="s">
        <v>28</v>
      </c>
      <c r="AP1" s="100"/>
      <c r="AQ1" s="102" t="s">
        <v>27</v>
      </c>
      <c r="AR1" s="93"/>
      <c r="AS1" s="93"/>
      <c r="AT1" s="93"/>
      <c r="AU1" s="100"/>
      <c r="AV1" s="102" t="s">
        <v>95</v>
      </c>
      <c r="AW1" s="98"/>
      <c r="AX1" s="95"/>
      <c r="AY1" s="101"/>
      <c r="AZ1" s="93"/>
      <c r="BA1" s="104"/>
      <c r="BB1" s="105"/>
      <c r="BC1" s="93"/>
      <c r="BD1" s="93"/>
      <c r="BE1" s="93"/>
      <c r="BF1" s="93"/>
      <c r="BG1" s="93"/>
      <c r="BH1" s="98"/>
      <c r="BI1" s="98"/>
      <c r="BJ1" s="100"/>
      <c r="BK1" s="100"/>
      <c r="BL1" s="98"/>
      <c r="BM1" s="102" t="s">
        <v>25</v>
      </c>
      <c r="BN1" s="100"/>
      <c r="BO1" s="102" t="s">
        <v>26</v>
      </c>
      <c r="BP1" s="93"/>
      <c r="BQ1" s="100"/>
      <c r="BR1" s="103" t="s">
        <v>18</v>
      </c>
      <c r="BS1" s="93"/>
      <c r="BT1" s="93"/>
      <c r="BU1" s="102" t="s">
        <v>96</v>
      </c>
      <c r="BV1" s="106"/>
      <c r="BW1" s="106"/>
      <c r="BX1" s="105"/>
      <c r="BY1" s="105"/>
      <c r="BZ1" s="100"/>
      <c r="CA1" s="100"/>
      <c r="CB1" s="100"/>
      <c r="CC1" s="100"/>
      <c r="CD1" s="100"/>
      <c r="CE1" s="100"/>
      <c r="CF1" s="100"/>
      <c r="CG1" s="100"/>
      <c r="CH1" s="102" t="s">
        <v>97</v>
      </c>
      <c r="CI1" s="95"/>
      <c r="CJ1" s="95"/>
      <c r="CK1" s="95"/>
      <c r="CL1" s="95"/>
      <c r="CM1" s="95"/>
      <c r="CN1" s="95"/>
      <c r="CO1" s="102" t="s">
        <v>98</v>
      </c>
      <c r="CP1" s="93"/>
      <c r="CQ1" s="93"/>
      <c r="CR1" s="98"/>
      <c r="CS1" s="98"/>
      <c r="CT1" s="98"/>
      <c r="CU1" s="98"/>
      <c r="CV1" s="95"/>
      <c r="CW1" s="92" t="s">
        <v>17</v>
      </c>
    </row>
    <row r="2" s="123" customFormat="true" ht="19" hidden="false" customHeight="true" outlineLevel="0" collapsed="false">
      <c r="A2" s="107" t="s">
        <v>99</v>
      </c>
      <c r="B2" s="107"/>
      <c r="C2" s="108"/>
      <c r="D2" s="109"/>
      <c r="E2" s="108"/>
      <c r="F2" s="110" t="s">
        <v>70</v>
      </c>
      <c r="G2" s="111"/>
      <c r="H2" s="112"/>
      <c r="I2" s="111"/>
      <c r="J2" s="113"/>
      <c r="K2" s="111"/>
      <c r="L2" s="113"/>
      <c r="M2" s="111"/>
      <c r="N2" s="112"/>
      <c r="O2" s="111"/>
      <c r="P2" s="112"/>
      <c r="Q2" s="111"/>
      <c r="R2" s="112"/>
      <c r="S2" s="111"/>
      <c r="T2" s="112"/>
      <c r="U2" s="111"/>
      <c r="V2" s="112"/>
      <c r="W2" s="111"/>
      <c r="X2" s="112"/>
      <c r="Y2" s="111"/>
      <c r="Z2" s="114" t="s">
        <v>70</v>
      </c>
      <c r="AA2" s="115"/>
      <c r="AB2" s="115"/>
      <c r="AC2" s="116"/>
      <c r="AD2" s="115"/>
      <c r="AE2" s="114" t="s">
        <v>70</v>
      </c>
      <c r="AF2" s="115"/>
      <c r="AG2" s="115"/>
      <c r="AH2" s="116"/>
      <c r="AI2" s="115"/>
      <c r="AJ2" s="117" t="s">
        <v>100</v>
      </c>
      <c r="AK2" s="111"/>
      <c r="AL2" s="111"/>
      <c r="AM2" s="111"/>
      <c r="AN2" s="118" t="s">
        <v>71</v>
      </c>
      <c r="AO2" s="119" t="s">
        <v>71</v>
      </c>
      <c r="AP2" s="118"/>
      <c r="AQ2" s="117" t="s">
        <v>70</v>
      </c>
      <c r="AR2" s="111"/>
      <c r="AS2" s="111"/>
      <c r="AT2" s="111" t="s">
        <v>100</v>
      </c>
      <c r="AU2" s="118" t="s">
        <v>71</v>
      </c>
      <c r="AV2" s="117" t="s">
        <v>70</v>
      </c>
      <c r="AW2" s="116"/>
      <c r="AX2" s="111"/>
      <c r="AY2" s="116"/>
      <c r="AZ2" s="111" t="s">
        <v>100</v>
      </c>
      <c r="BA2" s="120"/>
      <c r="BB2" s="120"/>
      <c r="BC2" s="111"/>
      <c r="BD2" s="111"/>
      <c r="BE2" s="121"/>
      <c r="BF2" s="111"/>
      <c r="BG2" s="111"/>
      <c r="BH2" s="112" t="s">
        <v>71</v>
      </c>
      <c r="BI2" s="112"/>
      <c r="BJ2" s="118"/>
      <c r="BK2" s="118"/>
      <c r="BL2" s="112"/>
      <c r="BM2" s="117" t="s">
        <v>100</v>
      </c>
      <c r="BN2" s="118"/>
      <c r="BO2" s="117" t="s">
        <v>100</v>
      </c>
      <c r="BP2" s="111"/>
      <c r="BQ2" s="118" t="s">
        <v>71</v>
      </c>
      <c r="BR2" s="119" t="s">
        <v>71</v>
      </c>
      <c r="BS2" s="111"/>
      <c r="BT2" s="121"/>
      <c r="BU2" s="117" t="s">
        <v>100</v>
      </c>
      <c r="BV2" s="116"/>
      <c r="BW2" s="122"/>
      <c r="BX2" s="120"/>
      <c r="BY2" s="120"/>
      <c r="BZ2" s="118" t="s">
        <v>71</v>
      </c>
      <c r="CA2" s="118"/>
      <c r="CB2" s="118"/>
      <c r="CC2" s="118"/>
      <c r="CD2" s="118"/>
      <c r="CE2" s="118"/>
      <c r="CF2" s="118"/>
      <c r="CG2" s="118"/>
      <c r="CH2" s="117" t="s">
        <v>101</v>
      </c>
      <c r="CI2" s="111"/>
      <c r="CJ2" s="111"/>
      <c r="CK2" s="111"/>
      <c r="CL2" s="111"/>
      <c r="CM2" s="111"/>
      <c r="CN2" s="111"/>
      <c r="CO2" s="117" t="s">
        <v>100</v>
      </c>
      <c r="CP2" s="111"/>
      <c r="CQ2" s="111"/>
      <c r="CR2" s="112" t="s">
        <v>71</v>
      </c>
      <c r="CS2" s="112"/>
      <c r="CT2" s="112"/>
      <c r="CU2" s="112"/>
      <c r="CV2" s="111" t="s">
        <v>70</v>
      </c>
      <c r="CW2" s="110" t="s">
        <v>71</v>
      </c>
    </row>
    <row r="3" s="25" customFormat="true" ht="134" hidden="false" customHeight="true" outlineLevel="0" collapsed="false">
      <c r="A3" s="107"/>
      <c r="B3" s="107"/>
      <c r="C3" s="124"/>
      <c r="D3" s="125"/>
      <c r="E3" s="124"/>
      <c r="F3" s="126" t="s">
        <v>102</v>
      </c>
      <c r="G3" s="127" t="s">
        <v>103</v>
      </c>
      <c r="H3" s="128" t="s">
        <v>104</v>
      </c>
      <c r="I3" s="127" t="s">
        <v>105</v>
      </c>
      <c r="J3" s="129" t="s">
        <v>106</v>
      </c>
      <c r="K3" s="127" t="s">
        <v>107</v>
      </c>
      <c r="L3" s="129" t="s">
        <v>108</v>
      </c>
      <c r="M3" s="127" t="s">
        <v>109</v>
      </c>
      <c r="N3" s="128" t="s">
        <v>110</v>
      </c>
      <c r="O3" s="127" t="s">
        <v>111</v>
      </c>
      <c r="P3" s="128" t="s">
        <v>112</v>
      </c>
      <c r="Q3" s="127" t="s">
        <v>113</v>
      </c>
      <c r="R3" s="128" t="s">
        <v>114</v>
      </c>
      <c r="S3" s="127" t="s">
        <v>115</v>
      </c>
      <c r="T3" s="128" t="s">
        <v>116</v>
      </c>
      <c r="U3" s="127" t="s">
        <v>117</v>
      </c>
      <c r="V3" s="128" t="s">
        <v>118</v>
      </c>
      <c r="W3" s="127" t="s">
        <v>119</v>
      </c>
      <c r="X3" s="128" t="s">
        <v>120</v>
      </c>
      <c r="Y3" s="127" t="s">
        <v>121</v>
      </c>
      <c r="Z3" s="130" t="s">
        <v>122</v>
      </c>
      <c r="AA3" s="131" t="s">
        <v>25</v>
      </c>
      <c r="AB3" s="131" t="s">
        <v>26</v>
      </c>
      <c r="AC3" s="132" t="s">
        <v>27</v>
      </c>
      <c r="AD3" s="131" t="s">
        <v>28</v>
      </c>
      <c r="AE3" s="130" t="s">
        <v>122</v>
      </c>
      <c r="AF3" s="131" t="s">
        <v>25</v>
      </c>
      <c r="AG3" s="131" t="s">
        <v>26</v>
      </c>
      <c r="AH3" s="132" t="s">
        <v>27</v>
      </c>
      <c r="AI3" s="131" t="s">
        <v>28</v>
      </c>
      <c r="AJ3" s="133" t="s">
        <v>123</v>
      </c>
      <c r="AK3" s="134" t="s">
        <v>124</v>
      </c>
      <c r="AL3" s="127" t="s">
        <v>125</v>
      </c>
      <c r="AM3" s="134" t="s">
        <v>126</v>
      </c>
      <c r="AN3" s="135" t="s">
        <v>127</v>
      </c>
      <c r="AO3" s="136" t="s">
        <v>128</v>
      </c>
      <c r="AP3" s="135" t="s">
        <v>129</v>
      </c>
      <c r="AQ3" s="133" t="s">
        <v>130</v>
      </c>
      <c r="AR3" s="127" t="s">
        <v>131</v>
      </c>
      <c r="AS3" s="127" t="s">
        <v>132</v>
      </c>
      <c r="AT3" s="134" t="s">
        <v>133</v>
      </c>
      <c r="AU3" s="135" t="s">
        <v>134</v>
      </c>
      <c r="AV3" s="133" t="s">
        <v>135</v>
      </c>
      <c r="AW3" s="132" t="s">
        <v>136</v>
      </c>
      <c r="AX3" s="127" t="s">
        <v>137</v>
      </c>
      <c r="AY3" s="132" t="s">
        <v>138</v>
      </c>
      <c r="AZ3" s="134" t="s">
        <v>139</v>
      </c>
      <c r="BA3" s="137" t="s">
        <v>140</v>
      </c>
      <c r="BB3" s="137" t="s">
        <v>141</v>
      </c>
      <c r="BC3" s="134" t="s">
        <v>142</v>
      </c>
      <c r="BD3" s="134" t="s">
        <v>143</v>
      </c>
      <c r="BE3" s="127" t="s">
        <v>144</v>
      </c>
      <c r="BF3" s="127" t="s">
        <v>145</v>
      </c>
      <c r="BG3" s="134" t="s">
        <v>146</v>
      </c>
      <c r="BH3" s="138" t="s">
        <v>147</v>
      </c>
      <c r="BI3" s="138" t="s">
        <v>148</v>
      </c>
      <c r="BJ3" s="135" t="s">
        <v>149</v>
      </c>
      <c r="BK3" s="135" t="s">
        <v>150</v>
      </c>
      <c r="BL3" s="138" t="s">
        <v>151</v>
      </c>
      <c r="BM3" s="139" t="s">
        <v>152</v>
      </c>
      <c r="BN3" s="135" t="s">
        <v>153</v>
      </c>
      <c r="BO3" s="139" t="s">
        <v>154</v>
      </c>
      <c r="BP3" s="134" t="s">
        <v>155</v>
      </c>
      <c r="BQ3" s="135" t="s">
        <v>156</v>
      </c>
      <c r="BR3" s="140" t="s">
        <v>157</v>
      </c>
      <c r="BS3" s="127" t="s">
        <v>158</v>
      </c>
      <c r="BT3" s="141" t="s">
        <v>159</v>
      </c>
      <c r="BU3" s="142" t="s">
        <v>160</v>
      </c>
      <c r="BV3" s="143" t="s">
        <v>161</v>
      </c>
      <c r="BW3" s="143" t="s">
        <v>162</v>
      </c>
      <c r="BX3" s="137" t="s">
        <v>163</v>
      </c>
      <c r="BY3" s="144" t="s">
        <v>164</v>
      </c>
      <c r="BZ3" s="145" t="s">
        <v>165</v>
      </c>
      <c r="CA3" s="146" t="s">
        <v>166</v>
      </c>
      <c r="CB3" s="146" t="s">
        <v>167</v>
      </c>
      <c r="CC3" s="146" t="s">
        <v>168</v>
      </c>
      <c r="CD3" s="146" t="s">
        <v>169</v>
      </c>
      <c r="CE3" s="146" t="s">
        <v>170</v>
      </c>
      <c r="CF3" s="146" t="s">
        <v>171</v>
      </c>
      <c r="CG3" s="146" t="s">
        <v>172</v>
      </c>
      <c r="CH3" s="133" t="s">
        <v>173</v>
      </c>
      <c r="CI3" s="147" t="s">
        <v>174</v>
      </c>
      <c r="CJ3" s="147" t="s">
        <v>175</v>
      </c>
      <c r="CK3" s="147" t="s">
        <v>176</v>
      </c>
      <c r="CL3" s="147" t="s">
        <v>177</v>
      </c>
      <c r="CM3" s="147" t="s">
        <v>178</v>
      </c>
      <c r="CN3" s="147" t="s">
        <v>179</v>
      </c>
      <c r="CO3" s="139" t="s">
        <v>180</v>
      </c>
      <c r="CP3" s="134" t="s">
        <v>181</v>
      </c>
      <c r="CQ3" s="134" t="s">
        <v>182</v>
      </c>
      <c r="CR3" s="145" t="s">
        <v>183</v>
      </c>
      <c r="CS3" s="145" t="s">
        <v>184</v>
      </c>
      <c r="CT3" s="145" t="s">
        <v>185</v>
      </c>
      <c r="CU3" s="145" t="s">
        <v>186</v>
      </c>
      <c r="CV3" s="127" t="s">
        <v>187</v>
      </c>
      <c r="CW3" s="148" t="s">
        <v>188</v>
      </c>
    </row>
    <row r="4" s="25" customFormat="true" ht="16" hidden="false" customHeight="false" outlineLevel="0" collapsed="false">
      <c r="A4" s="149"/>
      <c r="B4" s="149"/>
      <c r="C4" s="149"/>
      <c r="D4" s="150" t="s">
        <v>75</v>
      </c>
      <c r="E4" s="149"/>
      <c r="F4" s="151" t="n">
        <f aca="false">SUBTOTAL(109,F$15:INDEX(F:F,COUNTA($B:$B)+14-COUNTA($B$1:$B$14)))</f>
        <v>0</v>
      </c>
      <c r="G4" s="152"/>
      <c r="H4" s="153" t="n">
        <f aca="false">SUBTOTAL(109,H$15:INDEX(H:H,COUNTA($B:$B)+14-COUNTA($B$1:$B$14)))</f>
        <v>0</v>
      </c>
      <c r="I4" s="152"/>
      <c r="J4" s="154" t="str">
        <f aca="false">IF(SUM($F4)=0,"",SUM($H4)/$F4)</f>
        <v/>
      </c>
      <c r="K4" s="152"/>
      <c r="L4" s="154" t="str">
        <f aca="false">IF(SUM($F4)=0,"",SUM($N4)/$F4)</f>
        <v/>
      </c>
      <c r="M4" s="152"/>
      <c r="N4" s="153" t="n">
        <f aca="false">SUBTOTAL(109,N$15:INDEX(N:N,COUNTA($B:$B)+14-COUNTA($B$1:$B$14)))</f>
        <v>0</v>
      </c>
      <c r="O4" s="152"/>
      <c r="P4" s="153" t="n">
        <f aca="false">SUBTOTAL(109,P$15:INDEX(P:P,COUNTA($B:$B)+14-COUNTA($B$1:$B$14)))</f>
        <v>0</v>
      </c>
      <c r="Q4" s="152"/>
      <c r="R4" s="153" t="n">
        <f aca="false">SUBTOTAL(109,R$15:INDEX(R:R,COUNTA($B:$B)+14-COUNTA($B$1:$B$14)))</f>
        <v>0</v>
      </c>
      <c r="S4" s="152"/>
      <c r="T4" s="153" t="n">
        <f aca="false">SUBTOTAL(109,T$15:INDEX(T:T,COUNTA($B:$B)+14-COUNTA($B$1:$B$14)))</f>
        <v>0</v>
      </c>
      <c r="U4" s="152"/>
      <c r="V4" s="153" t="n">
        <f aca="false">SUBTOTAL(109,V$15:INDEX(V:V,COUNTA($B:$B)+14-COUNTA($B$1:$B$14)))</f>
        <v>0</v>
      </c>
      <c r="W4" s="152"/>
      <c r="X4" s="153" t="n">
        <f aca="false">SUBTOTAL(109,X$15:INDEX(X:X,COUNTA($B:$B)+14-COUNTA($B$1:$B$14)))</f>
        <v>0</v>
      </c>
      <c r="Y4" s="152"/>
      <c r="Z4" s="155" t="n">
        <f aca="false">SUBTOTAL(109,Z$15:INDEX(Z:Z,COUNTA($B:$B)+14-COUNTA($B$1:$B$14)))</f>
        <v>0</v>
      </c>
      <c r="AA4" s="156" t="n">
        <f aca="false">SUBTOTAL(109,AA$15:INDEX(AA:AA,COUNTA($B:$B)+14-COUNTA($B$1:$B$14)))</f>
        <v>0</v>
      </c>
      <c r="AB4" s="156" t="n">
        <f aca="false">SUBTOTAL(109,AB$15:INDEX(AB:AB,COUNTA($B:$B)+14-COUNTA($B$1:$B$14)))</f>
        <v>0</v>
      </c>
      <c r="AC4" s="157" t="n">
        <f aca="false">SUBTOTAL(109,AC$15:INDEX(AC:AC,COUNTA($B:$B)+14-COUNTA($B$1:$B$14)))</f>
        <v>0</v>
      </c>
      <c r="AD4" s="156" t="n">
        <f aca="false">SUBTOTAL(109,AD$15:INDEX(AD:AD,COUNTA($B:$B)+14-COUNTA($B$1:$B$14)))</f>
        <v>0</v>
      </c>
      <c r="AE4" s="155" t="n">
        <f aca="false">SUBTOTAL(109,AE$15:INDEX(AE:AE,COUNTA($B:$B)+14-COUNTA($B$1:$B$14)))</f>
        <v>0</v>
      </c>
      <c r="AF4" s="156" t="n">
        <f aca="false">SUBTOTAL(109,AF$15:INDEX(AF:AF,COUNTA($B:$B)+14-COUNTA($B$1:$B$14)))</f>
        <v>0</v>
      </c>
      <c r="AG4" s="156" t="n">
        <f aca="false">SUBTOTAL(109,AG$15:INDEX(AG:AG,COUNTA($B:$B)+14-COUNTA($B$1:$B$14)))</f>
        <v>0</v>
      </c>
      <c r="AH4" s="157" t="n">
        <f aca="false">SUBTOTAL(109,AH$15:INDEX(AH:AH,COUNTA($B:$B)+14-COUNTA($B$1:$B$14)))</f>
        <v>0</v>
      </c>
      <c r="AI4" s="156" t="n">
        <f aca="false">SUBTOTAL(109,AI$15:INDEX(AI:AI,COUNTA($B:$B)+14-COUNTA($B$1:$B$14)))</f>
        <v>0</v>
      </c>
      <c r="AJ4" s="158" t="str">
        <f aca="false">IF(SUM($T4)=0,IF(SUM($R4)=0,IF(AND(SUM($AG4)=0,SUM($AB4)=0),"",1),IF(SUM($AB4)=0,SUM($AG4),$AB4)/$R4),IF(SUM($AG4)=0,IF(SUM($R4)=0,SUM($AB4)/$T4,SUM($AB4)/$R4),$AG4/$T4))</f>
        <v/>
      </c>
      <c r="AK4" s="152" t="str">
        <f aca="false">IF(SUM($AN4)=0,"",SUM($AP4)/$AN4)</f>
        <v/>
      </c>
      <c r="AL4" s="152" t="str">
        <f aca="false">IF(SUM($H4)=0,"",IF(SUM($X4)=0,IF(SUM($AI4)=0,SUM($AD4),$AI4)/IF(SUM($AJ4)=0,1,$AJ4)/$H4,$X4/$H4))</f>
        <v/>
      </c>
      <c r="AM4" s="152" t="str">
        <f aca="false">IF(SUM($H4,$N4)=0,"",SUM($AN4)/SUM($H4,$N4))</f>
        <v/>
      </c>
      <c r="AN4" s="159" t="n">
        <f aca="false">SUBTOTAL(109,AN$15:INDEX(AN:AN,COUNTA($B:$B)+14-COUNTA($B$1:$B$14)))</f>
        <v>0</v>
      </c>
      <c r="AO4" s="160" t="n">
        <f aca="false">SUBTOTAL(109,AO$15:INDEX(AO:AO,COUNTA($B:$B)+14-COUNTA($B$1:$B$14)))</f>
        <v>0</v>
      </c>
      <c r="AP4" s="159" t="n">
        <f aca="false">SUBTOTAL(109,AP$15:INDEX(AP:AP,COUNTA($B:$B)+14-COUNTA($B$1:$B$14)))</f>
        <v>0</v>
      </c>
      <c r="AQ4" s="158" t="str">
        <f aca="false">IF(SUM($V4)=0,"",SUM($X4)/$V4)</f>
        <v/>
      </c>
      <c r="AR4" s="152" t="str">
        <f aca="false">IF(SUM($AC4)=0,"",SUM($AD4)/$AC4)</f>
        <v/>
      </c>
      <c r="AS4" s="152" t="str">
        <f aca="false">IF(SUM($AH4)=0,"",SUM($AI4)/$AH4)</f>
        <v/>
      </c>
      <c r="AT4" s="152" t="str">
        <f aca="false">IF(SUM($AU4)=0,"",SUM($AP4)/$AU4)</f>
        <v/>
      </c>
      <c r="AU4" s="159" t="n">
        <f aca="false">SUBTOTAL(109,AU$15:INDEX(AU:AU,COUNTA($B:$B)+14-COUNTA($B$1:$B$14)))</f>
        <v>0</v>
      </c>
      <c r="AV4" s="158" t="str">
        <f aca="false">IF(SUM($H4)=0,"",SUM($P4)/$H4)</f>
        <v/>
      </c>
      <c r="AW4" s="157" t="n">
        <f aca="false">SUBTOTAL(109,AW$15:INDEX(AW:AW,COUNTA($B:$B)+14-COUNTA($B$1:$B$14)))</f>
        <v>0</v>
      </c>
      <c r="AX4" s="152" t="str">
        <f aca="false">IF(SUM($P4)=0,"",SUM($T4)/$P4)</f>
        <v/>
      </c>
      <c r="AY4" s="157" t="n">
        <f aca="false">SUBTOTAL(109,AY$15:INDEX(AY:AY,COUNTA($B:$B)+14-COUNTA($B$1:$B$14)))</f>
        <v>0</v>
      </c>
      <c r="AZ4" s="152" t="str">
        <f aca="false">IF($N$4=0,"",($BH$4/$AK$4)/$N$4)</f>
        <v/>
      </c>
      <c r="BA4" s="161" t="str">
        <f aca="false">IF(SUM($Z4)=0,"",SUM($AA4)/$Z4)</f>
        <v/>
      </c>
      <c r="BB4" s="161" t="str">
        <f aca="false">IF(SUM($AE4)=0,"",SUM($AF4)/$AE4)</f>
        <v/>
      </c>
      <c r="BC4" s="152" t="str">
        <f aca="false">IF($BZ$4=0,"",$BN$4/$BZ$4)</f>
        <v/>
      </c>
      <c r="BD4" s="152" t="str">
        <f aca="false">IF(SUM($BH$4,$BI$4)=0,"",$BJ$4/SUM($BH$4,$BI$4))</f>
        <v/>
      </c>
      <c r="BE4" s="152" t="str">
        <f aca="false">IF(SUM($T4)=0,"",SUM($V4)/$T4)</f>
        <v/>
      </c>
      <c r="BF4" s="152" t="str">
        <f aca="false">IF(SUM($AG4)=0,"",SUM($AH4)/$AG4)</f>
        <v/>
      </c>
      <c r="BG4" s="152" t="str">
        <f aca="false">IF(SUM($BK$4)=0,"",SUM($AU$4)/SUM($BK$4))</f>
        <v/>
      </c>
      <c r="BH4" s="153" t="n">
        <f aca="false">SUBTOTAL(109,BH$15:INDEX(BH:BH,COUNTA($B:$B)+14-COUNTA($B$1:$B$14)))</f>
        <v>0</v>
      </c>
      <c r="BI4" s="153" t="n">
        <f aca="false">SUBTOTAL(109,BI$15:INDEX(BI:BI,COUNTA($B:$B)+14-COUNTA($B$1:$B$14)))</f>
        <v>0</v>
      </c>
      <c r="BJ4" s="153" t="n">
        <f aca="false">SUBTOTAL(109,BJ$15:INDEX(BJ:BJ,COUNTA($B:$B)+14-COUNTA($B$1:$B$14)))</f>
        <v>0</v>
      </c>
      <c r="BK4" s="159" t="n">
        <f aca="false">SUBTOTAL(109,BK$15:INDEX(BK:BK,COUNTA($B:$B)+14-COUNTA($B$1:$B$14)))</f>
        <v>0</v>
      </c>
      <c r="BL4" s="153" t="str">
        <f aca="false">IF(SUM($BK$4)=0,"",SUM($AU$4)/SUM($BK$4))</f>
        <v/>
      </c>
      <c r="BM4" s="158" t="str">
        <f aca="false">IF($BI$4=0,"",($BN$4-$BH$4)/$BI$4)</f>
        <v/>
      </c>
      <c r="BN4" s="153" t="n">
        <f aca="false">SUBTOTAL(109,BN$15:INDEX(BN:BN,COUNTA($B:$B)+14-COUNTA($B$1:$B$14)))</f>
        <v>0</v>
      </c>
      <c r="BO4" s="158"/>
      <c r="BP4" s="152"/>
      <c r="BQ4" s="159" t="n">
        <f aca="false">SUBTOTAL(109,BQ$15:INDEX(BQ:BQ,COUNTA($B:$B)+14-COUNTA($B$1:$B$14)))</f>
        <v>0</v>
      </c>
      <c r="BR4" s="160" t="n">
        <f aca="false">SUBTOTAL(109,BR$15:INDEX(BR:BR,COUNTA($B:$B)+14-COUNTA($B$1:$B$14)))</f>
        <v>0</v>
      </c>
      <c r="BS4" s="152" t="str">
        <f aca="false">IF(SUM($H4)=0,"",SUM($T4)/$H4)</f>
        <v/>
      </c>
      <c r="BT4" s="162" t="str">
        <f aca="false">IF(SUM($H4,$N4)=0,"",SUM($BR4)/SUM($H4,$N4))</f>
        <v/>
      </c>
      <c r="BU4" s="158" t="str">
        <f aca="false">IF(SUM($BN4)=0,"",SUM($BV4)/$BN4)</f>
        <v/>
      </c>
      <c r="BV4" s="163" t="n">
        <f aca="false">SUBTOTAL(109,BV$15:INDEX(BV:BV,COUNTA($B:$B)+14-COUNTA($B$1:$B$14)))</f>
        <v>0</v>
      </c>
      <c r="BW4" s="163" t="n">
        <f aca="false">SUBTOTAL(109,BW$15:INDEX(BW:BW,COUNTA($B:$B)+14-COUNTA($B$1:$B$14)))</f>
        <v>0</v>
      </c>
      <c r="BX4" s="161"/>
      <c r="BY4" s="161" t="str">
        <f aca="false">IF(SUM($BZ4)=0,"",SUM($CA4)/$BZ4)</f>
        <v/>
      </c>
      <c r="BZ4" s="159" t="n">
        <f aca="false">SUBTOTAL(109,BZ$15:INDEX(BZ:BZ,COUNTA($B:$B)+14-COUNTA($B$1:$B$14)))</f>
        <v>0</v>
      </c>
      <c r="CA4" s="159" t="n">
        <f aca="false">SUBTOTAL(109,CA$15:INDEX(CA:CA,COUNTA($B:$B)+14-COUNTA($B$1:$B$14)))</f>
        <v>0</v>
      </c>
      <c r="CB4" s="153" t="n">
        <f aca="false">SUBTOTAL(109,CB$15:INDEX(CB:CB,COUNTA($B:$B)+14-COUNTA($B$1:$B$14)))</f>
        <v>0</v>
      </c>
      <c r="CC4" s="153" t="n">
        <f aca="false">SUBTOTAL(109,CC$15:INDEX(CC:CC,COUNTA($B:$B)+14-COUNTA($B$1:$B$14)))</f>
        <v>0</v>
      </c>
      <c r="CD4" s="164" t="n">
        <f aca="false">SUBTOTAL(109,CD$15:INDEX(CD:CD,COUNTA($B:$B)+14-COUNTA($B$1:$B$14)))</f>
        <v>0</v>
      </c>
      <c r="CE4" s="164" t="n">
        <f aca="false">SUBTOTAL(109,CE$15:INDEX(CE:CE,COUNTA($B:$B)+14-COUNTA($B$1:$B$14)))</f>
        <v>0</v>
      </c>
      <c r="CF4" s="164" t="n">
        <f aca="false">SUBTOTAL(109,CF$15:INDEX(CF:CF,COUNTA($B:$B)+14-COUNTA($B$1:$B$14)))</f>
        <v>0</v>
      </c>
      <c r="CG4" s="159" t="n">
        <f aca="false">SUBTOTAL(109,CG$15:INDEX(CG:CG,COUNTA($B:$B)+14-COUNTA($B$1:$B$14)))</f>
        <v>0</v>
      </c>
      <c r="CH4" s="158" t="str">
        <f aca="false">IF(SUM($BZ4)=0,"",SUM($CA4)/$BZ4)</f>
        <v/>
      </c>
      <c r="CI4" s="152" t="str">
        <f aca="false">IF(SUM($BZ4)=0,"",SUM($CB4)/$BZ4)</f>
        <v/>
      </c>
      <c r="CJ4" s="152" t="str">
        <f aca="false">IF(SUM($BZ4)=0,"",SUM($CC4)/$BZ4)</f>
        <v/>
      </c>
      <c r="CK4" s="152" t="str">
        <f aca="false">IF(SUM($BZ4)=0,"",SUM($CD4)/$BZ4)</f>
        <v/>
      </c>
      <c r="CL4" s="152" t="str">
        <f aca="false">IF(SUM($BZ4)=0,"",SUM($CE4)/$BZ4)</f>
        <v/>
      </c>
      <c r="CM4" s="152" t="str">
        <f aca="false">IF(SUM($BZ4)=0,"",SUM($CF4)/$BZ4)</f>
        <v/>
      </c>
      <c r="CN4" s="152" t="str">
        <f aca="false">IF(SUM($BZ4)=0,"",SUM($CG4)/$BZ4)</f>
        <v/>
      </c>
      <c r="CO4" s="158" t="str">
        <f aca="false">IF(SUM($CA4)=0,"",SUM($CR4)/$CA4)</f>
        <v/>
      </c>
      <c r="CP4" s="152" t="str">
        <f aca="false">IF(SUM($CS4,$CR4)=0,"",SUM($CR4)/SUM($CS4,$CR4))</f>
        <v/>
      </c>
      <c r="CQ4" s="152" t="str">
        <f aca="false">IF(SUM($CT4,$CU4)=0,"",SUM($CT4)/SUM($CT4,$CU4))</f>
        <v/>
      </c>
      <c r="CR4" s="164" t="n">
        <f aca="false">SUBTOTAL(109,CR$15:INDEX(CR:CR,COUNTA($B:$B)+14-COUNTA($B$1:$B$14)))</f>
        <v>0</v>
      </c>
      <c r="CS4" s="164" t="n">
        <f aca="false">SUBTOTAL(109,CS$15:INDEX(CS:CS,COUNTA($B:$B)+14-COUNTA($B$1:$B$14)))</f>
        <v>0</v>
      </c>
      <c r="CT4" s="164" t="n">
        <f aca="false">SUBTOTAL(109,CT$15:INDEX(CT:CT,COUNTA($B:$B)+14-COUNTA($B$1:$B$14)))</f>
        <v>0</v>
      </c>
      <c r="CU4" s="164" t="n">
        <f aca="false">SUBTOTAL(109,CU$15:INDEX(CU:CU,COUNTA($B:$B)+14-COUNTA($B$1:$B$14)))</f>
        <v>0</v>
      </c>
      <c r="CV4" s="152" t="str">
        <f aca="false">IF(SUM($BZ4)=0,"",SUM($CR4,$CT4)/$BZ4)</f>
        <v/>
      </c>
      <c r="CW4" s="151" t="n">
        <f aca="false">SUBTOTAL(109,CW$15:INDEX(CW:CW,COUNTA($B:$B)+14-COUNTA($B$1:$B$14)))</f>
        <v>0</v>
      </c>
    </row>
    <row r="5" s="25" customFormat="true" ht="16" hidden="false" customHeight="false" outlineLevel="0" collapsed="false">
      <c r="A5" s="165" t="s">
        <v>76</v>
      </c>
      <c r="B5" s="165" t="s">
        <v>76</v>
      </c>
      <c r="C5" s="165" t="s">
        <v>76</v>
      </c>
      <c r="D5" s="166" t="s">
        <v>76</v>
      </c>
      <c r="E5" s="165" t="s">
        <v>76</v>
      </c>
      <c r="F5" s="167" t="s">
        <v>77</v>
      </c>
      <c r="G5" s="168" t="s">
        <v>76</v>
      </c>
      <c r="H5" s="84" t="s">
        <v>77</v>
      </c>
      <c r="I5" s="168" t="s">
        <v>76</v>
      </c>
      <c r="J5" s="169" t="s">
        <v>77</v>
      </c>
      <c r="K5" s="168" t="s">
        <v>76</v>
      </c>
      <c r="L5" s="170" t="s">
        <v>76</v>
      </c>
      <c r="M5" s="168" t="s">
        <v>76</v>
      </c>
      <c r="N5" s="171" t="s">
        <v>76</v>
      </c>
      <c r="O5" s="168" t="s">
        <v>76</v>
      </c>
      <c r="P5" s="84" t="s">
        <v>189</v>
      </c>
      <c r="Q5" s="168" t="s">
        <v>76</v>
      </c>
      <c r="R5" s="84" t="s">
        <v>189</v>
      </c>
      <c r="S5" s="168" t="s">
        <v>76</v>
      </c>
      <c r="T5" s="84" t="s">
        <v>189</v>
      </c>
      <c r="U5" s="168" t="s">
        <v>76</v>
      </c>
      <c r="V5" s="84" t="s">
        <v>189</v>
      </c>
      <c r="W5" s="168" t="s">
        <v>76</v>
      </c>
      <c r="X5" s="84" t="s">
        <v>189</v>
      </c>
      <c r="Y5" s="168" t="s">
        <v>76</v>
      </c>
      <c r="Z5" s="172" t="s">
        <v>76</v>
      </c>
      <c r="AA5" s="173" t="s">
        <v>190</v>
      </c>
      <c r="AB5" s="173" t="s">
        <v>190</v>
      </c>
      <c r="AC5" s="174" t="s">
        <v>190</v>
      </c>
      <c r="AD5" s="174" t="s">
        <v>190</v>
      </c>
      <c r="AE5" s="172" t="s">
        <v>76</v>
      </c>
      <c r="AF5" s="173" t="s">
        <v>190</v>
      </c>
      <c r="AG5" s="173" t="s">
        <v>190</v>
      </c>
      <c r="AH5" s="174" t="s">
        <v>190</v>
      </c>
      <c r="AI5" s="174" t="s">
        <v>190</v>
      </c>
      <c r="AJ5" s="175" t="s">
        <v>76</v>
      </c>
      <c r="AK5" s="168" t="s">
        <v>76</v>
      </c>
      <c r="AL5" s="168" t="s">
        <v>76</v>
      </c>
      <c r="AM5" s="168" t="s">
        <v>76</v>
      </c>
      <c r="AN5" s="176" t="s">
        <v>189</v>
      </c>
      <c r="AO5" s="167" t="s">
        <v>76</v>
      </c>
      <c r="AP5" s="176" t="s">
        <v>190</v>
      </c>
      <c r="AQ5" s="175" t="s">
        <v>76</v>
      </c>
      <c r="AR5" s="168" t="s">
        <v>76</v>
      </c>
      <c r="AS5" s="168" t="s">
        <v>76</v>
      </c>
      <c r="AT5" s="168" t="s">
        <v>76</v>
      </c>
      <c r="AU5" s="176" t="s">
        <v>190</v>
      </c>
      <c r="AV5" s="175" t="s">
        <v>76</v>
      </c>
      <c r="AW5" s="177" t="s">
        <v>76</v>
      </c>
      <c r="AX5" s="168" t="s">
        <v>76</v>
      </c>
      <c r="AY5" s="174" t="s">
        <v>76</v>
      </c>
      <c r="AZ5" s="168" t="s">
        <v>76</v>
      </c>
      <c r="BA5" s="178" t="s">
        <v>76</v>
      </c>
      <c r="BB5" s="178" t="s">
        <v>76</v>
      </c>
      <c r="BC5" s="168" t="s">
        <v>76</v>
      </c>
      <c r="BD5" s="168" t="s">
        <v>76</v>
      </c>
      <c r="BE5" s="168" t="s">
        <v>76</v>
      </c>
      <c r="BF5" s="168" t="s">
        <v>76</v>
      </c>
      <c r="BG5" s="168" t="s">
        <v>76</v>
      </c>
      <c r="BH5" s="171" t="s">
        <v>76</v>
      </c>
      <c r="BI5" s="171" t="s">
        <v>76</v>
      </c>
      <c r="BJ5" s="171" t="s">
        <v>76</v>
      </c>
      <c r="BK5" s="176" t="s">
        <v>76</v>
      </c>
      <c r="BL5" s="171" t="s">
        <v>76</v>
      </c>
      <c r="BM5" s="175" t="s">
        <v>76</v>
      </c>
      <c r="BN5" s="171" t="s">
        <v>190</v>
      </c>
      <c r="BO5" s="175" t="s">
        <v>76</v>
      </c>
      <c r="BP5" s="168" t="s">
        <v>76</v>
      </c>
      <c r="BQ5" s="176" t="s">
        <v>190</v>
      </c>
      <c r="BR5" s="167" t="s">
        <v>189</v>
      </c>
      <c r="BS5" s="178" t="s">
        <v>76</v>
      </c>
      <c r="BT5" s="179" t="s">
        <v>76</v>
      </c>
      <c r="BU5" s="175" t="s">
        <v>76</v>
      </c>
      <c r="BV5" s="83" t="s">
        <v>76</v>
      </c>
      <c r="BW5" s="83" t="s">
        <v>76</v>
      </c>
      <c r="BX5" s="178" t="s">
        <v>76</v>
      </c>
      <c r="BY5" s="178" t="s">
        <v>76</v>
      </c>
      <c r="BZ5" s="176" t="s">
        <v>76</v>
      </c>
      <c r="CA5" s="84" t="s">
        <v>76</v>
      </c>
      <c r="CB5" s="84" t="s">
        <v>76</v>
      </c>
      <c r="CC5" s="84" t="s">
        <v>76</v>
      </c>
      <c r="CD5" s="84" t="s">
        <v>76</v>
      </c>
      <c r="CE5" s="84" t="s">
        <v>76</v>
      </c>
      <c r="CF5" s="84" t="s">
        <v>76</v>
      </c>
      <c r="CG5" s="84" t="s">
        <v>76</v>
      </c>
      <c r="CH5" s="175" t="s">
        <v>76</v>
      </c>
      <c r="CI5" s="168" t="s">
        <v>76</v>
      </c>
      <c r="CJ5" s="168" t="s">
        <v>76</v>
      </c>
      <c r="CK5" s="168" t="s">
        <v>76</v>
      </c>
      <c r="CL5" s="168" t="s">
        <v>76</v>
      </c>
      <c r="CM5" s="168" t="s">
        <v>76</v>
      </c>
      <c r="CN5" s="168" t="s">
        <v>76</v>
      </c>
      <c r="CO5" s="175" t="s">
        <v>76</v>
      </c>
      <c r="CP5" s="168" t="s">
        <v>76</v>
      </c>
      <c r="CQ5" s="168" t="s">
        <v>76</v>
      </c>
      <c r="CR5" s="84" t="s">
        <v>190</v>
      </c>
      <c r="CS5" s="84" t="s">
        <v>190</v>
      </c>
      <c r="CT5" s="84" t="s">
        <v>190</v>
      </c>
      <c r="CU5" s="84" t="s">
        <v>190</v>
      </c>
      <c r="CV5" s="168" t="s">
        <v>76</v>
      </c>
      <c r="CW5" s="180" t="s">
        <v>189</v>
      </c>
    </row>
    <row r="6" s="25" customFormat="true" ht="16" hidden="false" customHeight="false" outlineLevel="0" collapsed="false">
      <c r="A6" s="165" t="s">
        <v>78</v>
      </c>
      <c r="B6" s="165" t="s">
        <v>78</v>
      </c>
      <c r="C6" s="165" t="s">
        <v>78</v>
      </c>
      <c r="D6" s="166" t="s">
        <v>78</v>
      </c>
      <c r="E6" s="165" t="s">
        <v>78</v>
      </c>
      <c r="F6" s="167" t="s">
        <v>80</v>
      </c>
      <c r="G6" s="168" t="s">
        <v>81</v>
      </c>
      <c r="H6" s="84" t="s">
        <v>80</v>
      </c>
      <c r="I6" s="168" t="s">
        <v>81</v>
      </c>
      <c r="J6" s="169" t="s">
        <v>80</v>
      </c>
      <c r="K6" s="168" t="s">
        <v>81</v>
      </c>
      <c r="L6" s="170" t="s">
        <v>81</v>
      </c>
      <c r="M6" s="168" t="s">
        <v>81</v>
      </c>
      <c r="N6" s="171" t="s">
        <v>81</v>
      </c>
      <c r="O6" s="168" t="s">
        <v>81</v>
      </c>
      <c r="P6" s="84" t="s">
        <v>80</v>
      </c>
      <c r="Q6" s="168" t="s">
        <v>81</v>
      </c>
      <c r="R6" s="84" t="s">
        <v>191</v>
      </c>
      <c r="S6" s="168" t="s">
        <v>81</v>
      </c>
      <c r="T6" s="84" t="s">
        <v>80</v>
      </c>
      <c r="U6" s="168" t="s">
        <v>81</v>
      </c>
      <c r="V6" s="84" t="s">
        <v>80</v>
      </c>
      <c r="W6" s="168" t="s">
        <v>81</v>
      </c>
      <c r="X6" s="84" t="s">
        <v>80</v>
      </c>
      <c r="Y6" s="168" t="s">
        <v>81</v>
      </c>
      <c r="Z6" s="172" t="s">
        <v>192</v>
      </c>
      <c r="AA6" s="173" t="s">
        <v>79</v>
      </c>
      <c r="AB6" s="173" t="s">
        <v>79</v>
      </c>
      <c r="AC6" s="174" t="s">
        <v>79</v>
      </c>
      <c r="AD6" s="174" t="s">
        <v>79</v>
      </c>
      <c r="AE6" s="172" t="s">
        <v>192</v>
      </c>
      <c r="AF6" s="173" t="s">
        <v>79</v>
      </c>
      <c r="AG6" s="173" t="s">
        <v>79</v>
      </c>
      <c r="AH6" s="83" t="s">
        <v>79</v>
      </c>
      <c r="AI6" s="174" t="s">
        <v>79</v>
      </c>
      <c r="AJ6" s="175" t="s">
        <v>81</v>
      </c>
      <c r="AK6" s="168" t="s">
        <v>193</v>
      </c>
      <c r="AL6" s="168" t="s">
        <v>81</v>
      </c>
      <c r="AM6" s="168" t="s">
        <v>193</v>
      </c>
      <c r="AN6" s="176" t="s">
        <v>80</v>
      </c>
      <c r="AO6" s="167" t="s">
        <v>81</v>
      </c>
      <c r="AP6" s="176" t="s">
        <v>80</v>
      </c>
      <c r="AQ6" s="175" t="s">
        <v>81</v>
      </c>
      <c r="AR6" s="168" t="s">
        <v>81</v>
      </c>
      <c r="AS6" s="168" t="s">
        <v>81</v>
      </c>
      <c r="AT6" s="168" t="s">
        <v>193</v>
      </c>
      <c r="AU6" s="176" t="s">
        <v>80</v>
      </c>
      <c r="AV6" s="175" t="s">
        <v>81</v>
      </c>
      <c r="AW6" s="177" t="s">
        <v>81</v>
      </c>
      <c r="AX6" s="168" t="s">
        <v>81</v>
      </c>
      <c r="AY6" s="174" t="s">
        <v>81</v>
      </c>
      <c r="AZ6" s="168" t="s">
        <v>193</v>
      </c>
      <c r="BA6" s="178" t="s">
        <v>81</v>
      </c>
      <c r="BB6" s="178" t="s">
        <v>81</v>
      </c>
      <c r="BC6" s="168" t="s">
        <v>193</v>
      </c>
      <c r="BD6" s="168" t="s">
        <v>193</v>
      </c>
      <c r="BE6" s="168" t="s">
        <v>81</v>
      </c>
      <c r="BF6" s="168" t="s">
        <v>81</v>
      </c>
      <c r="BG6" s="168" t="s">
        <v>193</v>
      </c>
      <c r="BH6" s="171" t="s">
        <v>81</v>
      </c>
      <c r="BI6" s="171" t="s">
        <v>81</v>
      </c>
      <c r="BJ6" s="171" t="s">
        <v>81</v>
      </c>
      <c r="BK6" s="176" t="s">
        <v>81</v>
      </c>
      <c r="BL6" s="171" t="s">
        <v>81</v>
      </c>
      <c r="BM6" s="175" t="s">
        <v>193</v>
      </c>
      <c r="BN6" s="171" t="s">
        <v>80</v>
      </c>
      <c r="BO6" s="175" t="s">
        <v>193</v>
      </c>
      <c r="BP6" s="168" t="s">
        <v>193</v>
      </c>
      <c r="BQ6" s="176" t="s">
        <v>80</v>
      </c>
      <c r="BR6" s="167" t="s">
        <v>80</v>
      </c>
      <c r="BS6" s="178" t="s">
        <v>81</v>
      </c>
      <c r="BT6" s="179" t="s">
        <v>81</v>
      </c>
      <c r="BU6" s="175" t="s">
        <v>193</v>
      </c>
      <c r="BV6" s="83" t="s">
        <v>81</v>
      </c>
      <c r="BW6" s="83" t="s">
        <v>81</v>
      </c>
      <c r="BX6" s="178" t="s">
        <v>192</v>
      </c>
      <c r="BY6" s="178" t="s">
        <v>193</v>
      </c>
      <c r="BZ6" s="176" t="s">
        <v>81</v>
      </c>
      <c r="CA6" s="84" t="s">
        <v>81</v>
      </c>
      <c r="CB6" s="84" t="s">
        <v>81</v>
      </c>
      <c r="CC6" s="84" t="s">
        <v>81</v>
      </c>
      <c r="CD6" s="84" t="s">
        <v>81</v>
      </c>
      <c r="CE6" s="84" t="s">
        <v>81</v>
      </c>
      <c r="CF6" s="84" t="s">
        <v>81</v>
      </c>
      <c r="CG6" s="84" t="s">
        <v>81</v>
      </c>
      <c r="CH6" s="175" t="s">
        <v>81</v>
      </c>
      <c r="CI6" s="168" t="s">
        <v>81</v>
      </c>
      <c r="CJ6" s="168" t="s">
        <v>81</v>
      </c>
      <c r="CK6" s="168" t="s">
        <v>81</v>
      </c>
      <c r="CL6" s="168" t="s">
        <v>81</v>
      </c>
      <c r="CM6" s="168" t="s">
        <v>81</v>
      </c>
      <c r="CN6" s="168" t="s">
        <v>81</v>
      </c>
      <c r="CO6" s="175" t="s">
        <v>192</v>
      </c>
      <c r="CP6" s="168" t="s">
        <v>192</v>
      </c>
      <c r="CQ6" s="168" t="s">
        <v>192</v>
      </c>
      <c r="CR6" s="84" t="s">
        <v>80</v>
      </c>
      <c r="CS6" s="84" t="s">
        <v>80</v>
      </c>
      <c r="CT6" s="84" t="s">
        <v>80</v>
      </c>
      <c r="CU6" s="84" t="s">
        <v>80</v>
      </c>
      <c r="CV6" s="168" t="s">
        <v>81</v>
      </c>
      <c r="CW6" s="180" t="s">
        <v>80</v>
      </c>
    </row>
    <row r="7" s="25" customFormat="true" ht="16" hidden="false" customHeight="false" outlineLevel="0" collapsed="false">
      <c r="A7" s="165" t="s">
        <v>82</v>
      </c>
      <c r="B7" s="165" t="s">
        <v>82</v>
      </c>
      <c r="C7" s="165" t="s">
        <v>82</v>
      </c>
      <c r="D7" s="166" t="s">
        <v>82</v>
      </c>
      <c r="E7" s="165" t="s">
        <v>82</v>
      </c>
      <c r="F7" s="167" t="s">
        <v>83</v>
      </c>
      <c r="G7" s="168" t="s">
        <v>194</v>
      </c>
      <c r="H7" s="84" t="s">
        <v>83</v>
      </c>
      <c r="I7" s="168" t="s">
        <v>194</v>
      </c>
      <c r="J7" s="169" t="s">
        <v>194</v>
      </c>
      <c r="K7" s="168" t="s">
        <v>194</v>
      </c>
      <c r="L7" s="170" t="s">
        <v>194</v>
      </c>
      <c r="M7" s="168" t="s">
        <v>194</v>
      </c>
      <c r="N7" s="171" t="s">
        <v>83</v>
      </c>
      <c r="O7" s="168" t="s">
        <v>194</v>
      </c>
      <c r="P7" s="84" t="s">
        <v>83</v>
      </c>
      <c r="Q7" s="168" t="s">
        <v>194</v>
      </c>
      <c r="R7" s="84" t="s">
        <v>83</v>
      </c>
      <c r="S7" s="168" t="s">
        <v>194</v>
      </c>
      <c r="T7" s="84" t="s">
        <v>83</v>
      </c>
      <c r="U7" s="168" t="s">
        <v>194</v>
      </c>
      <c r="V7" s="84" t="s">
        <v>83</v>
      </c>
      <c r="W7" s="168" t="s">
        <v>194</v>
      </c>
      <c r="X7" s="84" t="s">
        <v>83</v>
      </c>
      <c r="Y7" s="168" t="s">
        <v>194</v>
      </c>
      <c r="Z7" s="172" t="s">
        <v>83</v>
      </c>
      <c r="AA7" s="173" t="s">
        <v>83</v>
      </c>
      <c r="AB7" s="173" t="s">
        <v>83</v>
      </c>
      <c r="AC7" s="174" t="s">
        <v>83</v>
      </c>
      <c r="AD7" s="174" t="s">
        <v>83</v>
      </c>
      <c r="AE7" s="172" t="s">
        <v>83</v>
      </c>
      <c r="AF7" s="173" t="s">
        <v>83</v>
      </c>
      <c r="AG7" s="173" t="s">
        <v>83</v>
      </c>
      <c r="AH7" s="83" t="s">
        <v>83</v>
      </c>
      <c r="AI7" s="174" t="s">
        <v>83</v>
      </c>
      <c r="AJ7" s="175" t="s">
        <v>194</v>
      </c>
      <c r="AK7" s="168" t="s">
        <v>194</v>
      </c>
      <c r="AL7" s="168" t="s">
        <v>194</v>
      </c>
      <c r="AM7" s="168" t="s">
        <v>194</v>
      </c>
      <c r="AN7" s="176" t="s">
        <v>83</v>
      </c>
      <c r="AO7" s="167" t="s">
        <v>83</v>
      </c>
      <c r="AP7" s="176" t="s">
        <v>83</v>
      </c>
      <c r="AQ7" s="175" t="s">
        <v>194</v>
      </c>
      <c r="AR7" s="168" t="s">
        <v>194</v>
      </c>
      <c r="AS7" s="168" t="s">
        <v>194</v>
      </c>
      <c r="AT7" s="168" t="s">
        <v>194</v>
      </c>
      <c r="AU7" s="176" t="s">
        <v>83</v>
      </c>
      <c r="AV7" s="175" t="s">
        <v>194</v>
      </c>
      <c r="AW7" s="177" t="s">
        <v>83</v>
      </c>
      <c r="AX7" s="168" t="s">
        <v>194</v>
      </c>
      <c r="AY7" s="174" t="s">
        <v>83</v>
      </c>
      <c r="AZ7" s="168" t="s">
        <v>194</v>
      </c>
      <c r="BA7" s="178" t="s">
        <v>194</v>
      </c>
      <c r="BB7" s="178" t="s">
        <v>194</v>
      </c>
      <c r="BC7" s="168" t="s">
        <v>194</v>
      </c>
      <c r="BD7" s="168" t="s">
        <v>194</v>
      </c>
      <c r="BE7" s="168" t="s">
        <v>194</v>
      </c>
      <c r="BF7" s="168" t="s">
        <v>194</v>
      </c>
      <c r="BG7" s="168" t="s">
        <v>194</v>
      </c>
      <c r="BH7" s="171" t="s">
        <v>83</v>
      </c>
      <c r="BI7" s="171" t="s">
        <v>83</v>
      </c>
      <c r="BJ7" s="171" t="s">
        <v>83</v>
      </c>
      <c r="BK7" s="176" t="s">
        <v>83</v>
      </c>
      <c r="BL7" s="171" t="s">
        <v>194</v>
      </c>
      <c r="BM7" s="175" t="s">
        <v>194</v>
      </c>
      <c r="BN7" s="171" t="s">
        <v>83</v>
      </c>
      <c r="BO7" s="175" t="s">
        <v>194</v>
      </c>
      <c r="BP7" s="168" t="s">
        <v>194</v>
      </c>
      <c r="BQ7" s="176" t="s">
        <v>83</v>
      </c>
      <c r="BR7" s="167" t="s">
        <v>83</v>
      </c>
      <c r="BS7" s="178" t="s">
        <v>194</v>
      </c>
      <c r="BT7" s="179" t="s">
        <v>194</v>
      </c>
      <c r="BU7" s="175" t="s">
        <v>194</v>
      </c>
      <c r="BV7" s="83" t="s">
        <v>83</v>
      </c>
      <c r="BW7" s="83" t="s">
        <v>83</v>
      </c>
      <c r="BX7" s="178" t="s">
        <v>194</v>
      </c>
      <c r="BY7" s="178" t="s">
        <v>194</v>
      </c>
      <c r="BZ7" s="176" t="s">
        <v>83</v>
      </c>
      <c r="CA7" s="84" t="s">
        <v>83</v>
      </c>
      <c r="CB7" s="84" t="s">
        <v>83</v>
      </c>
      <c r="CC7" s="84" t="s">
        <v>83</v>
      </c>
      <c r="CD7" s="84" t="s">
        <v>83</v>
      </c>
      <c r="CE7" s="84" t="s">
        <v>83</v>
      </c>
      <c r="CF7" s="84" t="s">
        <v>83</v>
      </c>
      <c r="CG7" s="84" t="s">
        <v>83</v>
      </c>
      <c r="CH7" s="175" t="s">
        <v>194</v>
      </c>
      <c r="CI7" s="168" t="s">
        <v>194</v>
      </c>
      <c r="CJ7" s="168" t="s">
        <v>194</v>
      </c>
      <c r="CK7" s="168" t="s">
        <v>194</v>
      </c>
      <c r="CL7" s="168" t="s">
        <v>194</v>
      </c>
      <c r="CM7" s="168" t="s">
        <v>194</v>
      </c>
      <c r="CN7" s="168" t="s">
        <v>194</v>
      </c>
      <c r="CO7" s="175" t="s">
        <v>194</v>
      </c>
      <c r="CP7" s="168" t="s">
        <v>194</v>
      </c>
      <c r="CQ7" s="168" t="s">
        <v>194</v>
      </c>
      <c r="CR7" s="84" t="s">
        <v>83</v>
      </c>
      <c r="CS7" s="84" t="s">
        <v>83</v>
      </c>
      <c r="CT7" s="84" t="s">
        <v>83</v>
      </c>
      <c r="CU7" s="84" t="s">
        <v>83</v>
      </c>
      <c r="CV7" s="168" t="s">
        <v>194</v>
      </c>
      <c r="CW7" s="180" t="s">
        <v>83</v>
      </c>
    </row>
    <row r="8" s="190" customFormat="true" ht="16" hidden="false" customHeight="false" outlineLevel="0" collapsed="false">
      <c r="A8" s="181"/>
      <c r="B8" s="181"/>
      <c r="C8" s="181"/>
      <c r="D8" s="182"/>
      <c r="E8" s="181"/>
      <c r="F8" s="183" t="s">
        <v>195</v>
      </c>
      <c r="G8" s="168"/>
      <c r="H8" s="184" t="s">
        <v>196</v>
      </c>
      <c r="I8" s="168"/>
      <c r="J8" s="185" t="s">
        <v>197</v>
      </c>
      <c r="K8" s="168"/>
      <c r="L8" s="170"/>
      <c r="M8" s="168"/>
      <c r="N8" s="171"/>
      <c r="O8" s="168"/>
      <c r="P8" s="184" t="s">
        <v>198</v>
      </c>
      <c r="Q8" s="168"/>
      <c r="R8" s="184" t="s">
        <v>49</v>
      </c>
      <c r="S8" s="168"/>
      <c r="T8" s="184" t="s">
        <v>199</v>
      </c>
      <c r="U8" s="168"/>
      <c r="V8" s="184"/>
      <c r="W8" s="168"/>
      <c r="X8" s="184" t="s">
        <v>200</v>
      </c>
      <c r="Y8" s="168"/>
      <c r="Z8" s="186"/>
      <c r="AA8" s="173" t="s">
        <v>201</v>
      </c>
      <c r="AB8" s="173" t="s">
        <v>202</v>
      </c>
      <c r="AC8" s="182" t="s">
        <v>203</v>
      </c>
      <c r="AD8" s="182" t="s">
        <v>204</v>
      </c>
      <c r="AE8" s="186"/>
      <c r="AF8" s="173" t="s">
        <v>205</v>
      </c>
      <c r="AG8" s="173" t="s">
        <v>206</v>
      </c>
      <c r="AH8" s="187" t="s">
        <v>207</v>
      </c>
      <c r="AI8" s="182" t="s">
        <v>208</v>
      </c>
      <c r="AJ8" s="175"/>
      <c r="AK8" s="168"/>
      <c r="AL8" s="168"/>
      <c r="AM8" s="168"/>
      <c r="AN8" s="188" t="s">
        <v>200</v>
      </c>
      <c r="AO8" s="183"/>
      <c r="AP8" s="188" t="s">
        <v>208</v>
      </c>
      <c r="AQ8" s="175"/>
      <c r="AR8" s="168"/>
      <c r="AS8" s="168"/>
      <c r="AT8" s="168"/>
      <c r="AU8" s="188" t="s">
        <v>207</v>
      </c>
      <c r="AV8" s="175"/>
      <c r="AW8" s="177"/>
      <c r="AX8" s="168"/>
      <c r="AY8" s="182"/>
      <c r="AZ8" s="168"/>
      <c r="BA8" s="189"/>
      <c r="BB8" s="189"/>
      <c r="BC8" s="168"/>
      <c r="BD8" s="168"/>
      <c r="BE8" s="168"/>
      <c r="BF8" s="168"/>
      <c r="BG8" s="168"/>
      <c r="BH8" s="171"/>
      <c r="BI8" s="171"/>
      <c r="BJ8" s="171"/>
      <c r="BK8" s="188"/>
      <c r="BL8" s="171"/>
      <c r="BM8" s="175"/>
      <c r="BN8" s="171" t="s">
        <v>205</v>
      </c>
      <c r="BO8" s="175"/>
      <c r="BP8" s="168"/>
      <c r="BQ8" s="188" t="s">
        <v>206</v>
      </c>
      <c r="BR8" s="183" t="s">
        <v>199</v>
      </c>
      <c r="BS8" s="189"/>
      <c r="BT8" s="179"/>
      <c r="BU8" s="175"/>
      <c r="BV8" s="187"/>
      <c r="BW8" s="187"/>
      <c r="BX8" s="189"/>
      <c r="BY8" s="189"/>
      <c r="BZ8" s="188"/>
      <c r="CA8" s="188"/>
      <c r="CB8" s="184"/>
      <c r="CC8" s="188"/>
      <c r="CD8" s="184"/>
      <c r="CE8" s="184"/>
      <c r="CF8" s="184"/>
      <c r="CG8" s="188"/>
      <c r="CH8" s="175"/>
      <c r="CI8" s="168"/>
      <c r="CJ8" s="168"/>
      <c r="CK8" s="168"/>
      <c r="CL8" s="168"/>
      <c r="CM8" s="168"/>
      <c r="CN8" s="168"/>
      <c r="CO8" s="175"/>
      <c r="CP8" s="168"/>
      <c r="CQ8" s="168"/>
      <c r="CR8" s="184" t="s">
        <v>209</v>
      </c>
      <c r="CS8" s="184" t="s">
        <v>209</v>
      </c>
      <c r="CT8" s="184" t="s">
        <v>210</v>
      </c>
      <c r="CU8" s="184" t="s">
        <v>210</v>
      </c>
      <c r="CV8" s="168"/>
      <c r="CW8" s="180"/>
      <c r="CX8" s="6"/>
      <c r="CY8" s="6"/>
      <c r="CZ8" s="6"/>
      <c r="DA8" s="6"/>
      <c r="DB8" s="6"/>
      <c r="DC8" s="6"/>
    </row>
    <row r="9" s="190" customFormat="true" ht="16" hidden="false" customHeight="false" outlineLevel="0" collapsed="false">
      <c r="A9" s="181"/>
      <c r="B9" s="181"/>
      <c r="C9" s="181"/>
      <c r="D9" s="182"/>
      <c r="E9" s="181"/>
      <c r="F9" s="183"/>
      <c r="G9" s="168"/>
      <c r="H9" s="184"/>
      <c r="I9" s="168"/>
      <c r="J9" s="185"/>
      <c r="K9" s="168"/>
      <c r="L9" s="170"/>
      <c r="M9" s="168"/>
      <c r="N9" s="171"/>
      <c r="O9" s="168"/>
      <c r="P9" s="184"/>
      <c r="Q9" s="168"/>
      <c r="R9" s="184"/>
      <c r="S9" s="168"/>
      <c r="T9" s="184"/>
      <c r="U9" s="168"/>
      <c r="V9" s="184"/>
      <c r="W9" s="168"/>
      <c r="X9" s="184"/>
      <c r="Y9" s="168"/>
      <c r="Z9" s="186"/>
      <c r="AA9" s="173" t="s">
        <v>211</v>
      </c>
      <c r="AB9" s="173" t="s">
        <v>212</v>
      </c>
      <c r="AC9" s="182" t="s">
        <v>213</v>
      </c>
      <c r="AD9" s="182" t="s">
        <v>214</v>
      </c>
      <c r="AE9" s="186"/>
      <c r="AF9" s="173" t="s">
        <v>215</v>
      </c>
      <c r="AG9" s="173" t="s">
        <v>216</v>
      </c>
      <c r="AH9" s="187" t="s">
        <v>217</v>
      </c>
      <c r="AI9" s="182" t="s">
        <v>218</v>
      </c>
      <c r="AJ9" s="175"/>
      <c r="AK9" s="168"/>
      <c r="AL9" s="168"/>
      <c r="AM9" s="168"/>
      <c r="AN9" s="188"/>
      <c r="AO9" s="183"/>
      <c r="AP9" s="188" t="s">
        <v>218</v>
      </c>
      <c r="AQ9" s="175"/>
      <c r="AR9" s="168"/>
      <c r="AS9" s="168"/>
      <c r="AT9" s="168"/>
      <c r="AU9" s="188" t="s">
        <v>217</v>
      </c>
      <c r="AV9" s="175"/>
      <c r="AW9" s="177"/>
      <c r="AX9" s="168"/>
      <c r="AY9" s="182"/>
      <c r="AZ9" s="168"/>
      <c r="BA9" s="189"/>
      <c r="BB9" s="189"/>
      <c r="BC9" s="168"/>
      <c r="BD9" s="168"/>
      <c r="BE9" s="168"/>
      <c r="BF9" s="168"/>
      <c r="BG9" s="168"/>
      <c r="BH9" s="171"/>
      <c r="BI9" s="171"/>
      <c r="BJ9" s="171"/>
      <c r="BK9" s="188"/>
      <c r="BL9" s="171"/>
      <c r="BM9" s="175"/>
      <c r="BN9" s="171" t="s">
        <v>215</v>
      </c>
      <c r="BO9" s="175"/>
      <c r="BP9" s="168"/>
      <c r="BQ9" s="188" t="s">
        <v>216</v>
      </c>
      <c r="BR9" s="183"/>
      <c r="BS9" s="189"/>
      <c r="BT9" s="179"/>
      <c r="BU9" s="175"/>
      <c r="BV9" s="187"/>
      <c r="BW9" s="187"/>
      <c r="BX9" s="189"/>
      <c r="BY9" s="189"/>
      <c r="BZ9" s="188"/>
      <c r="CA9" s="188"/>
      <c r="CB9" s="184"/>
      <c r="CC9" s="188"/>
      <c r="CD9" s="184"/>
      <c r="CE9" s="184"/>
      <c r="CF9" s="184"/>
      <c r="CG9" s="188"/>
      <c r="CH9" s="175"/>
      <c r="CI9" s="168"/>
      <c r="CJ9" s="168"/>
      <c r="CK9" s="168"/>
      <c r="CL9" s="168"/>
      <c r="CM9" s="168"/>
      <c r="CN9" s="168"/>
      <c r="CO9" s="175"/>
      <c r="CP9" s="168"/>
      <c r="CQ9" s="168"/>
      <c r="CR9" s="184" t="s">
        <v>219</v>
      </c>
      <c r="CS9" s="184" t="s">
        <v>219</v>
      </c>
      <c r="CT9" s="184" t="s">
        <v>220</v>
      </c>
      <c r="CU9" s="184" t="s">
        <v>220</v>
      </c>
      <c r="CV9" s="191"/>
      <c r="CW9" s="180"/>
      <c r="CX9" s="6"/>
      <c r="CY9" s="6"/>
      <c r="CZ9" s="6"/>
      <c r="DA9" s="6"/>
      <c r="DB9" s="6"/>
      <c r="DC9" s="6"/>
    </row>
    <row r="10" s="190" customFormat="true" ht="16" hidden="false" customHeight="false" outlineLevel="0" collapsed="false">
      <c r="A10" s="181"/>
      <c r="B10" s="181"/>
      <c r="C10" s="181"/>
      <c r="D10" s="182"/>
      <c r="E10" s="181"/>
      <c r="F10" s="183"/>
      <c r="G10" s="168"/>
      <c r="H10" s="184" t="s">
        <v>221</v>
      </c>
      <c r="I10" s="168"/>
      <c r="J10" s="185"/>
      <c r="K10" s="168"/>
      <c r="L10" s="170"/>
      <c r="M10" s="168"/>
      <c r="N10" s="171"/>
      <c r="O10" s="168"/>
      <c r="P10" s="184" t="s">
        <v>221</v>
      </c>
      <c r="Q10" s="168"/>
      <c r="R10" s="184" t="s">
        <v>221</v>
      </c>
      <c r="S10" s="168"/>
      <c r="T10" s="184" t="s">
        <v>221</v>
      </c>
      <c r="U10" s="168"/>
      <c r="V10" s="184"/>
      <c r="W10" s="168"/>
      <c r="X10" s="184" t="s">
        <v>221</v>
      </c>
      <c r="Y10" s="168"/>
      <c r="Z10" s="186"/>
      <c r="AA10" s="173" t="s">
        <v>221</v>
      </c>
      <c r="AB10" s="173" t="s">
        <v>221</v>
      </c>
      <c r="AC10" s="182" t="s">
        <v>203</v>
      </c>
      <c r="AD10" s="182" t="s">
        <v>203</v>
      </c>
      <c r="AE10" s="186"/>
      <c r="AF10" s="173" t="s">
        <v>221</v>
      </c>
      <c r="AG10" s="173" t="s">
        <v>221</v>
      </c>
      <c r="AH10" s="173" t="s">
        <v>203</v>
      </c>
      <c r="AI10" s="173" t="s">
        <v>203</v>
      </c>
      <c r="AJ10" s="175"/>
      <c r="AK10" s="168"/>
      <c r="AL10" s="168"/>
      <c r="AM10" s="168"/>
      <c r="AN10" s="188" t="s">
        <v>221</v>
      </c>
      <c r="AO10" s="183"/>
      <c r="AP10" s="188" t="s">
        <v>203</v>
      </c>
      <c r="AQ10" s="175"/>
      <c r="AR10" s="168"/>
      <c r="AS10" s="168"/>
      <c r="AT10" s="168"/>
      <c r="AU10" s="188" t="s">
        <v>203</v>
      </c>
      <c r="AV10" s="175"/>
      <c r="AW10" s="177"/>
      <c r="AX10" s="168"/>
      <c r="AY10" s="182"/>
      <c r="AZ10" s="168"/>
      <c r="BA10" s="189"/>
      <c r="BB10" s="189"/>
      <c r="BC10" s="168"/>
      <c r="BD10" s="168"/>
      <c r="BE10" s="168"/>
      <c r="BF10" s="168"/>
      <c r="BG10" s="168"/>
      <c r="BH10" s="171"/>
      <c r="BI10" s="171"/>
      <c r="BJ10" s="171"/>
      <c r="BK10" s="188"/>
      <c r="BL10" s="171"/>
      <c r="BM10" s="175"/>
      <c r="BN10" s="171" t="s">
        <v>221</v>
      </c>
      <c r="BO10" s="175"/>
      <c r="BP10" s="168"/>
      <c r="BQ10" s="188" t="s">
        <v>221</v>
      </c>
      <c r="BR10" s="183" t="s">
        <v>221</v>
      </c>
      <c r="BS10" s="189"/>
      <c r="BT10" s="179"/>
      <c r="BU10" s="175"/>
      <c r="BV10" s="187"/>
      <c r="BW10" s="187"/>
      <c r="BX10" s="189"/>
      <c r="BY10" s="189"/>
      <c r="BZ10" s="188"/>
      <c r="CA10" s="188"/>
      <c r="CB10" s="184"/>
      <c r="CC10" s="188"/>
      <c r="CD10" s="184"/>
      <c r="CE10" s="184"/>
      <c r="CF10" s="184"/>
      <c r="CG10" s="188"/>
      <c r="CH10" s="175"/>
      <c r="CI10" s="168"/>
      <c r="CJ10" s="168"/>
      <c r="CK10" s="168"/>
      <c r="CL10" s="168"/>
      <c r="CM10" s="168"/>
      <c r="CN10" s="168"/>
      <c r="CO10" s="175"/>
      <c r="CP10" s="168"/>
      <c r="CQ10" s="168"/>
      <c r="CR10" s="184" t="s">
        <v>222</v>
      </c>
      <c r="CS10" s="184" t="s">
        <v>223</v>
      </c>
      <c r="CT10" s="184" t="s">
        <v>222</v>
      </c>
      <c r="CU10" s="184" t="s">
        <v>223</v>
      </c>
      <c r="CV10" s="168"/>
      <c r="CW10" s="180"/>
      <c r="CX10" s="6"/>
      <c r="CY10" s="6"/>
      <c r="CZ10" s="6"/>
      <c r="DA10" s="6"/>
      <c r="DB10" s="6"/>
      <c r="DC10" s="6"/>
    </row>
    <row r="11" s="25" customFormat="true" ht="16" hidden="false" customHeight="false" outlineLevel="0" collapsed="false">
      <c r="A11" s="165"/>
      <c r="B11" s="165"/>
      <c r="C11" s="165"/>
      <c r="D11" s="174"/>
      <c r="E11" s="165"/>
      <c r="F11" s="167" t="s">
        <v>224</v>
      </c>
      <c r="G11" s="168" t="s">
        <v>224</v>
      </c>
      <c r="H11" s="84" t="s">
        <v>224</v>
      </c>
      <c r="I11" s="168" t="s">
        <v>224</v>
      </c>
      <c r="J11" s="169" t="s">
        <v>224</v>
      </c>
      <c r="K11" s="168" t="s">
        <v>224</v>
      </c>
      <c r="L11" s="170" t="s">
        <v>224</v>
      </c>
      <c r="M11" s="168" t="s">
        <v>224</v>
      </c>
      <c r="N11" s="171" t="s">
        <v>224</v>
      </c>
      <c r="O11" s="168" t="s">
        <v>224</v>
      </c>
      <c r="P11" s="84" t="s">
        <v>224</v>
      </c>
      <c r="Q11" s="168" t="s">
        <v>224</v>
      </c>
      <c r="R11" s="84" t="s">
        <v>224</v>
      </c>
      <c r="S11" s="168" t="s">
        <v>224</v>
      </c>
      <c r="T11" s="84" t="s">
        <v>224</v>
      </c>
      <c r="U11" s="168" t="s">
        <v>224</v>
      </c>
      <c r="V11" s="84" t="s">
        <v>224</v>
      </c>
      <c r="W11" s="168" t="s">
        <v>224</v>
      </c>
      <c r="X11" s="84" t="s">
        <v>224</v>
      </c>
      <c r="Y11" s="168" t="s">
        <v>224</v>
      </c>
      <c r="Z11" s="172" t="s">
        <v>224</v>
      </c>
      <c r="AA11" s="173" t="s">
        <v>224</v>
      </c>
      <c r="AB11" s="173" t="s">
        <v>224</v>
      </c>
      <c r="AC11" s="174" t="s">
        <v>224</v>
      </c>
      <c r="AD11" s="174" t="s">
        <v>224</v>
      </c>
      <c r="AE11" s="172" t="s">
        <v>224</v>
      </c>
      <c r="AF11" s="173" t="s">
        <v>224</v>
      </c>
      <c r="AG11" s="173" t="s">
        <v>224</v>
      </c>
      <c r="AH11" s="83" t="s">
        <v>224</v>
      </c>
      <c r="AI11" s="173" t="s">
        <v>224</v>
      </c>
      <c r="AJ11" s="175" t="s">
        <v>224</v>
      </c>
      <c r="AK11" s="168" t="s">
        <v>224</v>
      </c>
      <c r="AL11" s="168" t="s">
        <v>224</v>
      </c>
      <c r="AM11" s="168" t="s">
        <v>224</v>
      </c>
      <c r="AN11" s="176" t="s">
        <v>224</v>
      </c>
      <c r="AO11" s="167" t="s">
        <v>225</v>
      </c>
      <c r="AP11" s="176" t="s">
        <v>224</v>
      </c>
      <c r="AQ11" s="175" t="s">
        <v>226</v>
      </c>
      <c r="AR11" s="168" t="s">
        <v>226</v>
      </c>
      <c r="AS11" s="168" t="s">
        <v>226</v>
      </c>
      <c r="AT11" s="168" t="s">
        <v>226</v>
      </c>
      <c r="AU11" s="176" t="s">
        <v>224</v>
      </c>
      <c r="AV11" s="175" t="s">
        <v>226</v>
      </c>
      <c r="AW11" s="177" t="s">
        <v>226</v>
      </c>
      <c r="AX11" s="168" t="s">
        <v>226</v>
      </c>
      <c r="AY11" s="174" t="s">
        <v>226</v>
      </c>
      <c r="AZ11" s="168" t="s">
        <v>226</v>
      </c>
      <c r="BA11" s="178" t="s">
        <v>226</v>
      </c>
      <c r="BB11" s="178" t="s">
        <v>226</v>
      </c>
      <c r="BC11" s="168" t="s">
        <v>226</v>
      </c>
      <c r="BD11" s="168" t="s">
        <v>226</v>
      </c>
      <c r="BE11" s="168" t="s">
        <v>226</v>
      </c>
      <c r="BF11" s="168" t="s">
        <v>226</v>
      </c>
      <c r="BG11" s="168" t="s">
        <v>226</v>
      </c>
      <c r="BH11" s="171" t="s">
        <v>224</v>
      </c>
      <c r="BI11" s="171" t="s">
        <v>226</v>
      </c>
      <c r="BJ11" s="171" t="s">
        <v>224</v>
      </c>
      <c r="BK11" s="176" t="s">
        <v>224</v>
      </c>
      <c r="BL11" s="171" t="s">
        <v>224</v>
      </c>
      <c r="BM11" s="175" t="s">
        <v>226</v>
      </c>
      <c r="BN11" s="171" t="s">
        <v>224</v>
      </c>
      <c r="BO11" s="175" t="s">
        <v>226</v>
      </c>
      <c r="BP11" s="168" t="s">
        <v>226</v>
      </c>
      <c r="BQ11" s="176" t="s">
        <v>224</v>
      </c>
      <c r="BR11" s="167" t="s">
        <v>224</v>
      </c>
      <c r="BS11" s="178" t="s">
        <v>224</v>
      </c>
      <c r="BT11" s="179" t="s">
        <v>224</v>
      </c>
      <c r="BU11" s="175" t="s">
        <v>226</v>
      </c>
      <c r="BV11" s="83" t="s">
        <v>226</v>
      </c>
      <c r="BW11" s="83" t="s">
        <v>224</v>
      </c>
      <c r="BX11" s="178" t="s">
        <v>226</v>
      </c>
      <c r="BY11" s="178" t="s">
        <v>226</v>
      </c>
      <c r="BZ11" s="176" t="s">
        <v>224</v>
      </c>
      <c r="CA11" s="176" t="s">
        <v>226</v>
      </c>
      <c r="CB11" s="84" t="s">
        <v>227</v>
      </c>
      <c r="CC11" s="176" t="s">
        <v>227</v>
      </c>
      <c r="CD11" s="84" t="s">
        <v>226</v>
      </c>
      <c r="CE11" s="84" t="s">
        <v>228</v>
      </c>
      <c r="CF11" s="84" t="s">
        <v>225</v>
      </c>
      <c r="CG11" s="176" t="s">
        <v>226</v>
      </c>
      <c r="CH11" s="175" t="s">
        <v>226</v>
      </c>
      <c r="CI11" s="168" t="s">
        <v>227</v>
      </c>
      <c r="CJ11" s="168" t="s">
        <v>227</v>
      </c>
      <c r="CK11" s="168" t="s">
        <v>226</v>
      </c>
      <c r="CL11" s="168" t="s">
        <v>228</v>
      </c>
      <c r="CM11" s="168" t="s">
        <v>225</v>
      </c>
      <c r="CN11" s="168" t="s">
        <v>226</v>
      </c>
      <c r="CO11" s="175" t="s">
        <v>226</v>
      </c>
      <c r="CP11" s="168" t="s">
        <v>226</v>
      </c>
      <c r="CQ11" s="168" t="s">
        <v>226</v>
      </c>
      <c r="CR11" s="84" t="s">
        <v>226</v>
      </c>
      <c r="CS11" s="84" t="s">
        <v>226</v>
      </c>
      <c r="CT11" s="84" t="s">
        <v>226</v>
      </c>
      <c r="CU11" s="84" t="s">
        <v>226</v>
      </c>
      <c r="CV11" s="168" t="s">
        <v>226</v>
      </c>
      <c r="CW11" s="180" t="s">
        <v>224</v>
      </c>
    </row>
    <row r="12" s="25" customFormat="true" ht="16" hidden="false" customHeight="false" outlineLevel="0" collapsed="false">
      <c r="A12" s="165"/>
      <c r="B12" s="165"/>
      <c r="C12" s="165"/>
      <c r="D12" s="174"/>
      <c r="E12" s="165"/>
      <c r="F12" s="167" t="s">
        <v>229</v>
      </c>
      <c r="G12" s="168" t="s">
        <v>229</v>
      </c>
      <c r="H12" s="84" t="s">
        <v>229</v>
      </c>
      <c r="I12" s="168" t="s">
        <v>229</v>
      </c>
      <c r="J12" s="169" t="s">
        <v>229</v>
      </c>
      <c r="K12" s="168" t="s">
        <v>229</v>
      </c>
      <c r="L12" s="170" t="s">
        <v>229</v>
      </c>
      <c r="M12" s="168" t="s">
        <v>229</v>
      </c>
      <c r="N12" s="171" t="s">
        <v>229</v>
      </c>
      <c r="O12" s="168" t="s">
        <v>229</v>
      </c>
      <c r="P12" s="84" t="s">
        <v>229</v>
      </c>
      <c r="Q12" s="168" t="s">
        <v>229</v>
      </c>
      <c r="R12" s="84" t="s">
        <v>229</v>
      </c>
      <c r="S12" s="168" t="s">
        <v>229</v>
      </c>
      <c r="T12" s="84" t="s">
        <v>229</v>
      </c>
      <c r="U12" s="168" t="s">
        <v>229</v>
      </c>
      <c r="V12" s="84" t="s">
        <v>229</v>
      </c>
      <c r="W12" s="168" t="s">
        <v>229</v>
      </c>
      <c r="X12" s="84" t="s">
        <v>229</v>
      </c>
      <c r="Y12" s="168" t="s">
        <v>229</v>
      </c>
      <c r="Z12" s="172" t="s">
        <v>229</v>
      </c>
      <c r="AA12" s="173" t="s">
        <v>229</v>
      </c>
      <c r="AB12" s="173" t="s">
        <v>229</v>
      </c>
      <c r="AC12" s="174" t="s">
        <v>229</v>
      </c>
      <c r="AD12" s="174" t="s">
        <v>229</v>
      </c>
      <c r="AE12" s="172" t="s">
        <v>229</v>
      </c>
      <c r="AF12" s="173" t="s">
        <v>229</v>
      </c>
      <c r="AG12" s="173" t="s">
        <v>229</v>
      </c>
      <c r="AH12" s="83" t="s">
        <v>229</v>
      </c>
      <c r="AI12" s="173" t="s">
        <v>229</v>
      </c>
      <c r="AJ12" s="175" t="s">
        <v>229</v>
      </c>
      <c r="AK12" s="168" t="s">
        <v>229</v>
      </c>
      <c r="AL12" s="168" t="s">
        <v>229</v>
      </c>
      <c r="AM12" s="168" t="s">
        <v>229</v>
      </c>
      <c r="AN12" s="176" t="s">
        <v>229</v>
      </c>
      <c r="AO12" s="167" t="s">
        <v>229</v>
      </c>
      <c r="AP12" s="176" t="s">
        <v>229</v>
      </c>
      <c r="AQ12" s="175" t="s">
        <v>229</v>
      </c>
      <c r="AR12" s="168" t="s">
        <v>229</v>
      </c>
      <c r="AS12" s="168" t="s">
        <v>229</v>
      </c>
      <c r="AT12" s="168" t="s">
        <v>229</v>
      </c>
      <c r="AU12" s="176" t="s">
        <v>229</v>
      </c>
      <c r="AV12" s="175" t="s">
        <v>229</v>
      </c>
      <c r="AW12" s="177" t="s">
        <v>229</v>
      </c>
      <c r="AX12" s="168" t="s">
        <v>229</v>
      </c>
      <c r="AY12" s="174" t="s">
        <v>229</v>
      </c>
      <c r="AZ12" s="168" t="s">
        <v>229</v>
      </c>
      <c r="BA12" s="178" t="s">
        <v>229</v>
      </c>
      <c r="BB12" s="178" t="s">
        <v>229</v>
      </c>
      <c r="BC12" s="168" t="s">
        <v>229</v>
      </c>
      <c r="BD12" s="168" t="s">
        <v>229</v>
      </c>
      <c r="BE12" s="168" t="s">
        <v>229</v>
      </c>
      <c r="BF12" s="168" t="s">
        <v>229</v>
      </c>
      <c r="BG12" s="168" t="s">
        <v>229</v>
      </c>
      <c r="BH12" s="171" t="s">
        <v>229</v>
      </c>
      <c r="BI12" s="171" t="s">
        <v>229</v>
      </c>
      <c r="BJ12" s="171" t="s">
        <v>229</v>
      </c>
      <c r="BK12" s="176" t="s">
        <v>229</v>
      </c>
      <c r="BL12" s="171" t="s">
        <v>229</v>
      </c>
      <c r="BM12" s="175" t="s">
        <v>229</v>
      </c>
      <c r="BN12" s="171" t="s">
        <v>229</v>
      </c>
      <c r="BO12" s="175" t="s">
        <v>229</v>
      </c>
      <c r="BP12" s="168" t="s">
        <v>229</v>
      </c>
      <c r="BQ12" s="176" t="s">
        <v>229</v>
      </c>
      <c r="BR12" s="167" t="s">
        <v>229</v>
      </c>
      <c r="BS12" s="178" t="s">
        <v>229</v>
      </c>
      <c r="BT12" s="179" t="s">
        <v>229</v>
      </c>
      <c r="BU12" s="175" t="s">
        <v>229</v>
      </c>
      <c r="BV12" s="83" t="s">
        <v>229</v>
      </c>
      <c r="BW12" s="83" t="s">
        <v>229</v>
      </c>
      <c r="BX12" s="178" t="s">
        <v>229</v>
      </c>
      <c r="BY12" s="178" t="s">
        <v>229</v>
      </c>
      <c r="BZ12" s="176" t="s">
        <v>229</v>
      </c>
      <c r="CA12" s="176" t="s">
        <v>229</v>
      </c>
      <c r="CB12" s="84" t="s">
        <v>230</v>
      </c>
      <c r="CC12" s="176" t="s">
        <v>230</v>
      </c>
      <c r="CD12" s="84" t="s">
        <v>229</v>
      </c>
      <c r="CE12" s="84" t="s">
        <v>231</v>
      </c>
      <c r="CF12" s="84" t="s">
        <v>229</v>
      </c>
      <c r="CG12" s="176" t="s">
        <v>229</v>
      </c>
      <c r="CH12" s="175" t="s">
        <v>229</v>
      </c>
      <c r="CI12" s="168" t="s">
        <v>230</v>
      </c>
      <c r="CJ12" s="168" t="s">
        <v>230</v>
      </c>
      <c r="CK12" s="168" t="s">
        <v>229</v>
      </c>
      <c r="CL12" s="168" t="s">
        <v>231</v>
      </c>
      <c r="CM12" s="168" t="s">
        <v>229</v>
      </c>
      <c r="CN12" s="168" t="s">
        <v>229</v>
      </c>
      <c r="CO12" s="175" t="s">
        <v>229</v>
      </c>
      <c r="CP12" s="168" t="s">
        <v>229</v>
      </c>
      <c r="CQ12" s="168" t="s">
        <v>229</v>
      </c>
      <c r="CR12" s="84" t="s">
        <v>229</v>
      </c>
      <c r="CS12" s="84" t="s">
        <v>229</v>
      </c>
      <c r="CT12" s="84" t="s">
        <v>229</v>
      </c>
      <c r="CU12" s="84" t="s">
        <v>229</v>
      </c>
      <c r="CV12" s="168" t="s">
        <v>229</v>
      </c>
      <c r="CW12" s="180" t="s">
        <v>229</v>
      </c>
    </row>
    <row r="13" s="25" customFormat="true" ht="16" hidden="false" customHeight="false" outlineLevel="0" collapsed="false">
      <c r="A13" s="165"/>
      <c r="B13" s="165"/>
      <c r="C13" s="165"/>
      <c r="D13" s="174"/>
      <c r="E13" s="165"/>
      <c r="F13" s="167"/>
      <c r="G13" s="168"/>
      <c r="H13" s="84"/>
      <c r="I13" s="168"/>
      <c r="J13" s="169"/>
      <c r="K13" s="168"/>
      <c r="L13" s="170"/>
      <c r="M13" s="168"/>
      <c r="N13" s="171"/>
      <c r="O13" s="168"/>
      <c r="P13" s="84"/>
      <c r="Q13" s="168"/>
      <c r="R13" s="84"/>
      <c r="S13" s="168"/>
      <c r="T13" s="84"/>
      <c r="U13" s="168"/>
      <c r="V13" s="84"/>
      <c r="W13" s="168"/>
      <c r="X13" s="84"/>
      <c r="Y13" s="168"/>
      <c r="Z13" s="172"/>
      <c r="AA13" s="173"/>
      <c r="AB13" s="173"/>
      <c r="AC13" s="174"/>
      <c r="AD13" s="174"/>
      <c r="AE13" s="172"/>
      <c r="AF13" s="173"/>
      <c r="AG13" s="173"/>
      <c r="AH13" s="83"/>
      <c r="AI13" s="174"/>
      <c r="AJ13" s="175"/>
      <c r="AK13" s="168"/>
      <c r="AL13" s="168"/>
      <c r="AM13" s="168"/>
      <c r="AN13" s="176"/>
      <c r="AO13" s="167"/>
      <c r="AP13" s="176"/>
      <c r="AQ13" s="175"/>
      <c r="AR13" s="168"/>
      <c r="AS13" s="168"/>
      <c r="AT13" s="168"/>
      <c r="AU13" s="176"/>
      <c r="AV13" s="175"/>
      <c r="AW13" s="177"/>
      <c r="AX13" s="168"/>
      <c r="AY13" s="174"/>
      <c r="AZ13" s="168"/>
      <c r="BA13" s="178"/>
      <c r="BB13" s="178"/>
      <c r="BC13" s="168"/>
      <c r="BD13" s="168"/>
      <c r="BE13" s="168"/>
      <c r="BF13" s="168"/>
      <c r="BG13" s="168"/>
      <c r="BH13" s="171"/>
      <c r="BI13" s="171"/>
      <c r="BJ13" s="171"/>
      <c r="BK13" s="176"/>
      <c r="BL13" s="171"/>
      <c r="BM13" s="175"/>
      <c r="BN13" s="171"/>
      <c r="BO13" s="175"/>
      <c r="BP13" s="168"/>
      <c r="BQ13" s="176"/>
      <c r="BR13" s="167"/>
      <c r="BS13" s="178"/>
      <c r="BT13" s="179"/>
      <c r="BU13" s="175"/>
      <c r="BV13" s="83"/>
      <c r="BW13" s="83"/>
      <c r="BX13" s="178"/>
      <c r="BY13" s="178"/>
      <c r="BZ13" s="176"/>
      <c r="CA13" s="176"/>
      <c r="CB13" s="84"/>
      <c r="CC13" s="176"/>
      <c r="CD13" s="84"/>
      <c r="CE13" s="84"/>
      <c r="CF13" s="84"/>
      <c r="CG13" s="176"/>
      <c r="CH13" s="175"/>
      <c r="CI13" s="168"/>
      <c r="CJ13" s="168"/>
      <c r="CK13" s="168"/>
      <c r="CL13" s="168"/>
      <c r="CM13" s="168"/>
      <c r="CN13" s="168"/>
      <c r="CO13" s="175"/>
      <c r="CP13" s="168"/>
      <c r="CQ13" s="168"/>
      <c r="CR13" s="84"/>
      <c r="CS13" s="84"/>
      <c r="CT13" s="84"/>
      <c r="CU13" s="84"/>
      <c r="CV13" s="168"/>
      <c r="CW13" s="180"/>
    </row>
    <row r="14" s="213" customFormat="true" ht="16" hidden="false" customHeight="false" outlineLevel="0" collapsed="false">
      <c r="A14" s="192" t="s">
        <v>85</v>
      </c>
      <c r="B14" s="192" t="s">
        <v>86</v>
      </c>
      <c r="C14" s="79" t="s">
        <v>232</v>
      </c>
      <c r="D14" s="193" t="s">
        <v>233</v>
      </c>
      <c r="E14" s="79" t="s">
        <v>42</v>
      </c>
      <c r="F14" s="194" t="s">
        <v>234</v>
      </c>
      <c r="G14" s="195" t="s">
        <v>235</v>
      </c>
      <c r="H14" s="196" t="s">
        <v>236</v>
      </c>
      <c r="I14" s="195" t="s">
        <v>237</v>
      </c>
      <c r="J14" s="197" t="s">
        <v>238</v>
      </c>
      <c r="K14" s="195" t="s">
        <v>239</v>
      </c>
      <c r="L14" s="197" t="s">
        <v>240</v>
      </c>
      <c r="M14" s="195" t="s">
        <v>241</v>
      </c>
      <c r="N14" s="196" t="s">
        <v>242</v>
      </c>
      <c r="O14" s="195" t="s">
        <v>243</v>
      </c>
      <c r="P14" s="196" t="s">
        <v>244</v>
      </c>
      <c r="Q14" s="198" t="s">
        <v>245</v>
      </c>
      <c r="R14" s="196" t="s">
        <v>48</v>
      </c>
      <c r="S14" s="195" t="s">
        <v>246</v>
      </c>
      <c r="T14" s="196" t="s">
        <v>247</v>
      </c>
      <c r="U14" s="195" t="s">
        <v>248</v>
      </c>
      <c r="V14" s="196" t="s">
        <v>249</v>
      </c>
      <c r="W14" s="195" t="s">
        <v>250</v>
      </c>
      <c r="X14" s="199" t="s">
        <v>251</v>
      </c>
      <c r="Y14" s="195" t="s">
        <v>252</v>
      </c>
      <c r="Z14" s="200" t="s">
        <v>253</v>
      </c>
      <c r="AA14" s="201" t="s">
        <v>254</v>
      </c>
      <c r="AB14" s="201" t="s">
        <v>255</v>
      </c>
      <c r="AC14" s="199" t="s">
        <v>256</v>
      </c>
      <c r="AD14" s="202" t="s">
        <v>257</v>
      </c>
      <c r="AE14" s="200" t="s">
        <v>258</v>
      </c>
      <c r="AF14" s="201" t="s">
        <v>259</v>
      </c>
      <c r="AG14" s="201" t="s">
        <v>260</v>
      </c>
      <c r="AH14" s="199" t="s">
        <v>261</v>
      </c>
      <c r="AI14" s="202" t="s">
        <v>262</v>
      </c>
      <c r="AJ14" s="203" t="s">
        <v>263</v>
      </c>
      <c r="AK14" s="204" t="s">
        <v>264</v>
      </c>
      <c r="AL14" s="204" t="s">
        <v>265</v>
      </c>
      <c r="AM14" s="195" t="s">
        <v>266</v>
      </c>
      <c r="AN14" s="202" t="s">
        <v>267</v>
      </c>
      <c r="AO14" s="205" t="s">
        <v>268</v>
      </c>
      <c r="AP14" s="202" t="s">
        <v>269</v>
      </c>
      <c r="AQ14" s="206" t="s">
        <v>270</v>
      </c>
      <c r="AR14" s="204" t="s">
        <v>271</v>
      </c>
      <c r="AS14" s="204" t="s">
        <v>272</v>
      </c>
      <c r="AT14" s="204" t="s">
        <v>273</v>
      </c>
      <c r="AU14" s="202" t="s">
        <v>274</v>
      </c>
      <c r="AV14" s="206" t="s">
        <v>275</v>
      </c>
      <c r="AW14" s="199" t="s">
        <v>276</v>
      </c>
      <c r="AX14" s="195" t="s">
        <v>277</v>
      </c>
      <c r="AY14" s="199" t="s">
        <v>278</v>
      </c>
      <c r="AZ14" s="195" t="s">
        <v>279</v>
      </c>
      <c r="BA14" s="207" t="s">
        <v>280</v>
      </c>
      <c r="BB14" s="207" t="s">
        <v>281</v>
      </c>
      <c r="BC14" s="204" t="s">
        <v>282</v>
      </c>
      <c r="BD14" s="204" t="s">
        <v>283</v>
      </c>
      <c r="BE14" s="195" t="s">
        <v>284</v>
      </c>
      <c r="BF14" s="204" t="s">
        <v>285</v>
      </c>
      <c r="BG14" s="204" t="s">
        <v>286</v>
      </c>
      <c r="BH14" s="196" t="s">
        <v>287</v>
      </c>
      <c r="BI14" s="196" t="s">
        <v>288</v>
      </c>
      <c r="BJ14" s="208" t="s">
        <v>289</v>
      </c>
      <c r="BK14" s="202" t="s">
        <v>290</v>
      </c>
      <c r="BL14" s="208" t="s">
        <v>291</v>
      </c>
      <c r="BM14" s="203" t="s">
        <v>292</v>
      </c>
      <c r="BN14" s="208" t="s">
        <v>293</v>
      </c>
      <c r="BO14" s="203" t="s">
        <v>294</v>
      </c>
      <c r="BP14" s="204" t="s">
        <v>295</v>
      </c>
      <c r="BQ14" s="202" t="s">
        <v>296</v>
      </c>
      <c r="BR14" s="205" t="s">
        <v>297</v>
      </c>
      <c r="BS14" s="195" t="s">
        <v>298</v>
      </c>
      <c r="BT14" s="204" t="s">
        <v>299</v>
      </c>
      <c r="BU14" s="209" t="s">
        <v>300</v>
      </c>
      <c r="BV14" s="210" t="s">
        <v>301</v>
      </c>
      <c r="BW14" s="210" t="s">
        <v>302</v>
      </c>
      <c r="BX14" s="207" t="s">
        <v>303</v>
      </c>
      <c r="BY14" s="207" t="s">
        <v>304</v>
      </c>
      <c r="BZ14" s="202" t="s">
        <v>305</v>
      </c>
      <c r="CA14" s="202" t="s">
        <v>306</v>
      </c>
      <c r="CB14" s="211" t="s">
        <v>307</v>
      </c>
      <c r="CC14" s="211" t="s">
        <v>308</v>
      </c>
      <c r="CD14" s="196" t="s">
        <v>309</v>
      </c>
      <c r="CE14" s="196" t="s">
        <v>310</v>
      </c>
      <c r="CF14" s="196" t="s">
        <v>311</v>
      </c>
      <c r="CG14" s="202" t="s">
        <v>312</v>
      </c>
      <c r="CH14" s="209" t="s">
        <v>313</v>
      </c>
      <c r="CI14" s="212" t="s">
        <v>314</v>
      </c>
      <c r="CJ14" s="212" t="s">
        <v>315</v>
      </c>
      <c r="CK14" s="212" t="s">
        <v>316</v>
      </c>
      <c r="CL14" s="212" t="s">
        <v>317</v>
      </c>
      <c r="CM14" s="212" t="s">
        <v>318</v>
      </c>
      <c r="CN14" s="212" t="s">
        <v>319</v>
      </c>
      <c r="CO14" s="206" t="s">
        <v>320</v>
      </c>
      <c r="CP14" s="195" t="s">
        <v>321</v>
      </c>
      <c r="CQ14" s="195" t="s">
        <v>322</v>
      </c>
      <c r="CR14" s="199" t="s">
        <v>323</v>
      </c>
      <c r="CS14" s="199" t="s">
        <v>324</v>
      </c>
      <c r="CT14" s="199" t="s">
        <v>325</v>
      </c>
      <c r="CU14" s="199" t="s">
        <v>326</v>
      </c>
      <c r="CV14" s="195" t="s">
        <v>327</v>
      </c>
      <c r="CW14" s="194" t="s">
        <v>328</v>
      </c>
    </row>
    <row r="15" s="25" customFormat="true" ht="16" hidden="false" customHeight="false" outlineLevel="0" collapsed="false">
      <c r="A15" s="165"/>
      <c r="B15" s="165"/>
      <c r="C15" s="165"/>
      <c r="D15" s="166"/>
      <c r="E15" s="165" t="str">
        <f aca="false">B15&amp;"|"&amp;C15&amp;"|"&amp;D15</f>
        <v>||</v>
      </c>
      <c r="F15" s="167" t="str">
        <f aca="false">IF(LEFT($B15,4)="_Mil","",_xlfn.IFNA(ROUND(INDEX(Spectrum!$N:$N,MATCH(RIGHT($B15,13)&amp;"|"&amp;$C15&amp;"|"&amp;$D15&amp;"|"&amp;F$14&amp;"|"&amp;"CY2022Q3",Spectrum!$Q:$Q,0)),0),""))</f>
        <v/>
      </c>
      <c r="G15" s="168" t="str">
        <f aca="false">IF(OR($F15="",LEFT($B15,4)="_Mil"),"",_xlfn.IFNA(INDEX(Spectrum!$P:$P,MATCH(RIGHT($B15,13)&amp;"|"&amp;$C15&amp;"|"&amp;$D15&amp;"|"&amp;F$14&amp;"|"&amp;"CY2022Q3",Spectrum!$Q:$Q,0)),""))</f>
        <v/>
      </c>
      <c r="H15" s="171" t="str">
        <f aca="false">IF(LEFT($B15,4)="_Mil","",_xlfn.IFNA(ROUND(INDEX(Spectrum!$N:$N,MATCH(RIGHT($B15,13)&amp;"|"&amp;$C15&amp;"|"&amp;$D15&amp;"|"&amp;H$14&amp;"|"&amp;"CY2022Q3",Spectrum!$Q:$Q,0)),0),""))</f>
        <v/>
      </c>
      <c r="I15" s="168" t="str">
        <f aca="false">IF(OR($H15="",LEFT($B15,4)="_Mil"),"",_xlfn.IFNA(INDEX(Spectrum!$P:$P,MATCH(RIGHT($B15,13)&amp;"|"&amp;$C15&amp;"|"&amp;$D15&amp;"|"&amp;H$14&amp;"|"&amp;"CY2022Q3",Spectrum!$Q:$Q,0)),""))</f>
        <v/>
      </c>
      <c r="J15" s="214" t="str">
        <f aca="false">IF(LEFT($B15,4)="_Mil","",_xlfn.IFNA(INDEX(Spectrum!$N:$N,MATCH(RIGHT($B15,13)&amp;"|"&amp;$C15&amp;"|"&amp;$D15&amp;"|"&amp;J$14&amp;"|"&amp;"CY2022Q3",Spectrum!$Q:$Q,0)),""))</f>
        <v/>
      </c>
      <c r="K15" s="168" t="str">
        <f aca="false">IF(OR($J15="",LEFT($B15,4)="_Mil"),"",_xlfn.IFNA(INDEX(Spectrum!$P:$P,MATCH(RIGHT($B15,13)&amp;"|"&amp;$C15&amp;"|"&amp;$D15&amp;"|"&amp;J$14&amp;"|"&amp;"CY2022Q3",Spectrum!$Q:$Q,0)),""))</f>
        <v/>
      </c>
      <c r="L15" s="170" t="str">
        <f aca="false">IF(LEFT($B15,4)="_Mil","",_xlfn.IFNA(INDEX(Spectrum!$N:$N,MATCH(RIGHT($B15,13)&amp;"|"&amp;$C15&amp;"|"&amp;$D15&amp;"|"&amp;L$14&amp;"|"&amp;"CY2022Q3",Spectrum!$Q:$Q,0)),""))</f>
        <v/>
      </c>
      <c r="M15" s="168" t="str">
        <f aca="false">IF(OR($J15="",LEFT($B15,4)="_Mil"),"",_xlfn.IFNA(INDEX(Spectrum!$P:$P,MATCH(RIGHT($B15,13)&amp;"|"&amp;$C15&amp;"|"&amp;$D15&amp;"|"&amp;L$14&amp;"|"&amp;"CY2022Q3",Spectrum!$Q:$Q,0)),""))</f>
        <v/>
      </c>
      <c r="N15" s="171" t="str">
        <f aca="false">IF(LEFT($B15,4)="_Mil","",_xlfn.IFNA(ROUND(INDEX(Spectrum!$N:$N,MATCH(RIGHT($B15,13)&amp;"|"&amp;$C15&amp;"|"&amp;$D15&amp;"|"&amp;N$14&amp;"|"&amp;"CY2022Q3",Spectrum!$Q:$Q,0)),0),""))</f>
        <v/>
      </c>
      <c r="O15" s="168" t="str">
        <f aca="false">IF(OR($P15="",LEFT($B15,4)="_Mil"),"",_xlfn.IFNA(INDEX(Spectrum!$P:$P,MATCH(RIGHT($B15,13)&amp;"|"&amp;$C15&amp;"|"&amp;$D15&amp;"|"&amp;N$14&amp;"|"&amp;"CY2022Q3",Spectrum!$Q:$Q,0)),""))</f>
        <v/>
      </c>
      <c r="P15" s="171" t="str">
        <f aca="false">IF(LEFT($B15,4)="_Mil","",_xlfn.IFNA(ROUND(INDEX(Spectrum!$N:$N,MATCH(RIGHT($B15,13)&amp;"|"&amp;$C15&amp;"|"&amp;$D15&amp;"|"&amp;P$14&amp;"|"&amp;"CY2022Q3",Spectrum!$Q:$Q,0)),0),""))</f>
        <v/>
      </c>
      <c r="Q15" s="168" t="str">
        <f aca="false">IF(OR($P15="",LEFT($B15,4)="_Mil"),"",_xlfn.IFNA(INDEX(Spectrum!$P:$P,MATCH(RIGHT($B15,13)&amp;"|"&amp;$C15&amp;"|"&amp;$D15&amp;"|"&amp;P$14&amp;"|"&amp;"CY2022Q3",Spectrum!$Q:$Q,0)),""))</f>
        <v/>
      </c>
      <c r="R15" s="84" t="str">
        <f aca="false">IF(LEFT($B15,4)="_Mil","",_xlfn.IFNA(ROUND(INDEX(Spectrum!$N:$N,MATCH(RIGHT($B15,13)&amp;"|"&amp;$C15&amp;"|"&amp;$D15&amp;"|"&amp;R$14&amp;"|"&amp;"CY2021Q4",Spectrum!$Q:$Q,0)),0),""))</f>
        <v/>
      </c>
      <c r="S15" s="168" t="str">
        <f aca="false">IF(OR($R15="",LEFT($B15,4)="_Mil"),"",_xlfn.IFNA(INDEX(Spectrum!$P:$P,MATCH(RIGHT($B15,13)&amp;"|"&amp;$C15&amp;"|"&amp;$D15&amp;"|"&amp;R$14&amp;"|"&amp;"CY2021Q4",Spectrum!$Q:$Q,0)),""))</f>
        <v/>
      </c>
      <c r="T15" s="84" t="str">
        <f aca="false">IF(LEFT($B15,4)="_Mil","",_xlfn.IFNA(ROUND(INDEX(Spectrum!$N:$N,MATCH(RIGHT($B15,13)&amp;"|"&amp;$C15&amp;"|"&amp;$D15&amp;"|"&amp;T$14&amp;"|"&amp;"CY2022Q3",Spectrum!$Q:$Q,0)),0),""))</f>
        <v/>
      </c>
      <c r="U15" s="168" t="str">
        <f aca="false">IF(OR($T15="",LEFT($B15,4)="_Mil"),"",_xlfn.IFNA(INDEX(Spectrum!$P:$P,MATCH(RIGHT($B15,13)&amp;"|"&amp;$C15&amp;"|"&amp;$D15&amp;"|"&amp;T$14&amp;"|"&amp;"CY2022Q3",Spectrum!$Q:$Q,0)),""))</f>
        <v/>
      </c>
      <c r="V15" s="84" t="str">
        <f aca="false">IF(LEFT($B15,4)="_Mil","",_xlfn.IFNA(ROUND(INDEX(Spectrum!$N:$N,MATCH(RIGHT($B15,13)&amp;"|"&amp;$C15&amp;"|"&amp;$D15&amp;"|"&amp;V$14&amp;"|"&amp;"CY2022Q3",Spectrum!$Q:$Q,0)),0),""))</f>
        <v/>
      </c>
      <c r="W15" s="168" t="str">
        <f aca="false">IF(OR($V15="",LEFT($B15,4)="_Mil"),"",_xlfn.IFNA(INDEX(Spectrum!$P:$P,MATCH(RIGHT($B15,13)&amp;"|"&amp;$C15&amp;"|"&amp;$D15&amp;"|"&amp;V$14&amp;"|"&amp;"CY2022Q3",Spectrum!$Q:$Q,0)),""))</f>
        <v/>
      </c>
      <c r="X15" s="171" t="str">
        <f aca="false">IF(LEFT($B15,4)="_Mil","",_xlfn.IFNA(ROUND(INDEX(Spectrum!$N:$N,MATCH(RIGHT($B15,13)&amp;"|"&amp;$C15&amp;"|"&amp;$D15&amp;"|"&amp;X$14&amp;"|"&amp;"CY2022Q3",Spectrum!$Q:$Q,0)),0),""))</f>
        <v/>
      </c>
      <c r="Y15" s="168" t="str">
        <f aca="false">IF(OR($X15="",LEFT($B15,4)="_Mil"),"",_xlfn.IFNA(INDEX(Spectrum!$P:$P,MATCH(RIGHT($B15,13)&amp;"|"&amp;$C15&amp;"|"&amp;$D15&amp;"|"&amp;X$14&amp;"|"&amp;"CY2022Q3",Spectrum!$Q:$Q,0)),""))</f>
        <v/>
      </c>
      <c r="Z15" s="215"/>
      <c r="AA15" s="177"/>
      <c r="AB15" s="177"/>
      <c r="AC15" s="177"/>
      <c r="AD15" s="177"/>
      <c r="AE15" s="215"/>
      <c r="AF15" s="177"/>
      <c r="AG15" s="177"/>
      <c r="AH15" s="177"/>
      <c r="AI15" s="177"/>
      <c r="AJ15" s="175" t="str">
        <f aca="false">IF(LEFT($B15,4)="_Mil","",IF(SUM($T15)=0,IF(SUM($R15)=0,IF(AND(SUM($AG15)=0,SUM($AB15)=0),"",1),IF(SUM($AB15)=0,SUM($AG15),$AB15)/$R15),IF(SUM($AG15)=0,IF(SUM($R15)=0,SUM($AB15)/$T15,SUM($AB15)/$R15),$AG15/$T15)))</f>
        <v/>
      </c>
      <c r="AK15" s="168" t="str">
        <f aca="false">$AJ15</f>
        <v/>
      </c>
      <c r="AL15" s="168" t="str">
        <f aca="false">IF(SUM($H15)=0,"",IF(SUM($X15)=0,IF(SUM($AI15)=0,SUM($AD15),$AI15)/IF(SUM($AJ15)=0,1,$AJ15),$X15)/$H15)</f>
        <v/>
      </c>
      <c r="AM15" s="168" t="n">
        <f aca="false">IF(LEFT($B15,4)="_Mil","",MAX($AL15,95%*95%*95%))</f>
        <v>0.857375</v>
      </c>
      <c r="AN15" s="171" t="n">
        <f aca="false">IF(LEFT($B15,4)="_Mil","",ROUND($AM15*SUM($H15,$N15),0))</f>
        <v>0</v>
      </c>
      <c r="AO15" s="180" t="str">
        <f aca="false">IF($C15="&lt;01",IFERROR(ROUND(INDEX(EID!$V:$V,MATCH($B15,EID!$B:$B,0))/2,0),""),"")</f>
        <v/>
      </c>
      <c r="AP15" s="171" t="str">
        <f aca="false">IF(LEFT($B15,4)="_Mil",HYPERLINK("","Paste _Mil Targets Here"),IF($C15="&lt;01",HYPERLINK("",$AO15),IFERROR(HYPERLINK("",ROUND(SUM($AN15)*AK15,0)),HYPERLINK("#Cascade!AK"&amp;ROW($AK15),"&lt;- Add PEPFAR Contribution %"))))</f>
        <v>&lt;- Add PEPFAR Contribution %</v>
      </c>
      <c r="AQ15" s="175" t="str">
        <f aca="false">IF(OR(LEFT($B15,4)="_Mil",$C15="&lt;01",SUM($V15)=0),"",SUM($X15)/SUM($V15))</f>
        <v/>
      </c>
      <c r="AR15" s="168" t="str">
        <f aca="false">IF($C15="&lt;01","",IFERROR(SUM($AD15)/SUM($AC15),""))</f>
        <v/>
      </c>
      <c r="AS15" s="168" t="str">
        <f aca="false">IF($C15="&lt;01","",IFERROR(SUM($AI15)/SUM($AH15),""))</f>
        <v/>
      </c>
      <c r="AT15" s="168" t="n">
        <f aca="false">IF($C15="&lt;01","",MAX(95%,$AQ15,$AS15,$AR15))</f>
        <v>0.95</v>
      </c>
      <c r="AU15" s="171" t="n">
        <f aca="false">IF(AND(LEFT($B15,4)="_Mil",SUM($AP15)=0),"",IF($C15="&lt;01",HYPERLINK("",IFERROR(ROUND(INDEX(EID!$T:$T,MATCH($B15,EID!$B:$B,0))/2,0),0)),IF($AT15="",HYPERLINK("#Cascade!AT"&amp;ROW(AU15),"&lt;- Add VLS Rate"),HYPERLINK("",ROUND(SUM($AP15)/$AT15,0)))))</f>
        <v>0</v>
      </c>
      <c r="AV15" s="175" t="str">
        <f aca="false">IF(OR(SUM($H15)=0,LEFT($B15,4)="_Mil",$C15="&lt;01"),"",SUM($P15)/$H15)</f>
        <v/>
      </c>
      <c r="AW15" s="177" t="n">
        <f aca="false">IF(OR(LEFT($B15,4)="_Mil",$C15="&lt;01"),"",SUM($H15)-SUM($P15))</f>
        <v>0</v>
      </c>
      <c r="AX15" s="168" t="str">
        <f aca="false">IF(OR(LEFT($B15,4)="_Mil",$C15="&lt;01",SUM($P15)=0),"",IF(SUM($T15)=0,SUM($R15),$T15)/$P15)</f>
        <v/>
      </c>
      <c r="AY15" s="177" t="n">
        <f aca="false">IF(OR(LEFT($B15,4)="_Mil",$C15="&lt;01"),"",SUM($P15)-IF(SUM($T15)=0,SUM($R15),$T15))</f>
        <v>0</v>
      </c>
      <c r="AZ15" s="168" t="n">
        <f aca="false">IF($C15="&lt;01","",MAX(95%*95%,SUM($AV15)))</f>
        <v>0.9025</v>
      </c>
      <c r="BA15" s="178" t="str">
        <f aca="false">IF(OR(SUM($Z15)=0,$C15="&lt;01"),"",SUM($AA15)/$Z15)</f>
        <v/>
      </c>
      <c r="BB15" s="178" t="str">
        <f aca="false">IF(OR(SUM($AE15)=0,$C15="&lt;01"),"",SUM($AF15)/$AE15)</f>
        <v/>
      </c>
      <c r="BC15" s="168" t="n">
        <f aca="false">IF($C15="&lt;01","",MIN(MAX(95%,$AX15,$BB15,$BA15),1))</f>
        <v>0.95</v>
      </c>
      <c r="BD15" s="168" t="n">
        <f aca="false">IF($C15="&lt;01","",70%)</f>
        <v>0.7</v>
      </c>
      <c r="BE15" s="168" t="str">
        <f aca="false">IF(OR(LEFT($B15,4)="_Mil",$C15="&lt;01"),"",IFERROR(SUM($V15)/IF(SUM($T15)=0,SUM($R15),$T15),""))</f>
        <v/>
      </c>
      <c r="BF15" s="168" t="str">
        <f aca="false">IF($C15="&lt;01","",IFERROR(SUM($AH15)/SUM($AG15),""))</f>
        <v/>
      </c>
      <c r="BG15" s="168" t="n">
        <f aca="false">IF($C15="&lt;01","",100%)</f>
        <v>1</v>
      </c>
      <c r="BH15" s="171" t="str">
        <f aca="false">IF($C15="&lt;01",HYPERLINK("",IFERROR(ROUND(INDEX(EID!$N:$N,MATCH($B15,EID!$B:$B,0)),0),0)),IF($AK15="",HYPERLINK("#Cascade!AK"&amp;ROW(AK15),"&lt;- Add PEPFAR Contribution %"),IF($AZ15="",HYPERLINK("#Cascade!AZ"&amp;ROW(AZ15),"&lt;- Add % New Infections Diagnosed &amp; Linked"),IF($BC15="",HYPERLINK("#Cascade!BC"&amp;ROW(BC15),"&lt;- Add Linkage"),HYPERLINK("",ROUND(SUM($N15)*$AK15*$AZ15*$BC15,0))))))</f>
        <v>&lt;- Add PEPFAR Contribution %</v>
      </c>
      <c r="BI15" s="171" t="n">
        <f aca="false">IF($C15="&lt;01","",IF($BG15="",HYPERLINK("#Cascade!BG"&amp;ROW($BG15),"&lt;- Add VLT Coverage"),IF($BD15="",HYPERLINK("#Cascade!BD"&amp;ROW($BD15),"&lt;- Add Eligibility Rate"),HYPERLINK("",MAX(ROUND(((SUM($AU15)/SUM($BG15)-SUM($AG15))/SUM($BD15))-SUM($BH15),0),0)))))</f>
        <v>0</v>
      </c>
      <c r="BJ15" s="171" t="n">
        <f aca="false">IF(AND(LEFT($B15,4)="_Mil",SUM($AP15)=0),"",SUM($BH15,$BI15))</f>
        <v>0</v>
      </c>
      <c r="BK15" s="171" t="n">
        <f aca="false">IF(AND(LEFT($B15,4)="_Mil",SUM($AP15)=0),"",IF($C15="&lt;01",IFERROR(ROUND(INDEX(EID!$R:$R,MATCH($B15,EID!$B:$B,0))/2,0),0),SUM($AG15)+SUM($BJ15)*SUM($BD15)))</f>
        <v>0</v>
      </c>
      <c r="BL15" s="171" t="str">
        <f aca="false">IF(SUM($BK15)=0,"",SUM($AU15)/SUM($BK15))</f>
        <v/>
      </c>
      <c r="BM15" s="175" t="n">
        <f aca="false">IF($C15="&lt;01","",100%)</f>
        <v>1</v>
      </c>
      <c r="BN15" s="171" t="n">
        <f aca="false">SUM($BH15)+ROUND(SUM($BI15)*SUM($BM15),0)</f>
        <v>0</v>
      </c>
      <c r="BO15" s="175" t="n">
        <f aca="false">IF($C15="&lt;01","",98%)</f>
        <v>0.98</v>
      </c>
      <c r="BP15" s="168" t="n">
        <f aca="false">IF($C15="&lt;01","",98%)</f>
        <v>0.98</v>
      </c>
      <c r="BQ15" s="171" t="n">
        <f aca="false">IF(AND(LEFT($B15,4)="_Mil",SUM($AP15)=0),"",ROUND(IF($C15="&lt;01",IFERROR(INDEX(EID!P:$P,MATCH($B15,EID!$B:$B,0))/2,0),SUM($AG15)*SUM($BP15)+SUM($BJ15)*SUM($BO15)),0))</f>
        <v>0</v>
      </c>
      <c r="BR15" s="180" t="str">
        <f aca="false">IF(LEFT($B15,4)="_Mil","",IF($AK15="",HYPERLINK("#Cascade!AK"&amp;ROW($AK15),"&lt;- Add PEPFAR Contribution %"),HYPERLINK("",ROUND($BQ15/$AK15,0))))</f>
        <v>&lt;- Add PEPFAR Contribution %</v>
      </c>
      <c r="BS15" s="168" t="str">
        <f aca="false">IF(LEFT($B15,4)="_Mil","",IFERROR(1/(1/INDEX(Spectrum!$N:$N,MATCH(RIGHT($B15,13)&amp;"|"&amp;$C15&amp;"|"&amp;$D15&amp;"|"&amp;BS$14&amp;"|"&amp;"CY2022Q3",Spectrum!$Q:$Q,0))),IF(SUM($H15)=0,"",IF(SUM($T15)=0,SUM($R15),$T15)/$H15)))</f>
        <v/>
      </c>
      <c r="BT15" s="179" t="str">
        <f aca="false">IF(SUM($H15,$N15)=0,"",SUM($BR15)/SUM($H15,$N15))</f>
        <v/>
      </c>
      <c r="BU15" s="175" t="n">
        <f aca="false">IF($C15="&lt;01","",0%)</f>
        <v>0</v>
      </c>
      <c r="BV15" s="83" t="n">
        <f aca="false">IF($C15="&lt;01","",ROUND(SUM($BU15)*(SUM($BN15)-SUM($BH15)),0))</f>
        <v>0</v>
      </c>
      <c r="BW15" s="83" t="n">
        <f aca="false">SUM($BN15)-SUM($BV15)</f>
        <v>0</v>
      </c>
      <c r="BX15" s="178"/>
      <c r="BY15" s="178" t="str">
        <f aca="false">IF(OR(SUM($BW15)=0,$C15="&lt;01"),"",SUM($BX15))</f>
        <v/>
      </c>
      <c r="BZ15" s="176" t="str">
        <f aca="false">IF($C15="&lt;01",HYPERLINK("",IFERROR(ROUND(INDEX(EID!$L:$L,MATCH($B15,EID!$B:$B,0))/2,0),0)),IF(SUM($BW15)=0,"",IF($BC15="",HYPERLINK("#Cascade!BC"&amp;ROW($BC15),"&lt;- Add Linkage Rate"),HYPERLINK("",ROUND($BW15/$BC15,0)))))</f>
        <v/>
      </c>
      <c r="CA15" s="176" t="str">
        <f aca="false">IF($C15="&lt;01","",IF(SUM($BZ15)=0,"",ROUND($BZ15*SUM($BY15),0)))</f>
        <v/>
      </c>
      <c r="CB15" s="176" t="str">
        <f aca="false">IF(OR($D15&lt;&gt;"Female",$C15="&lt;01",$C15="01-04",$C15="05-09"),"",_xlfn.IFNA(INDEX(PMTCT!$AF:$AF,MATCH($E15,PMTCT!$E:$E,0)),""))</f>
        <v/>
      </c>
      <c r="CC15" s="176" t="str">
        <f aca="false">IF(OR($D15&lt;&gt;"Female",$C15="&lt;01",$C15="01-04",$C15="05-09"),"",_xlfn.IFNA(INDEX(PMTCT!$AV:$AV,MATCH($E15,PMTCT!$E:$E,0)),""))</f>
        <v/>
      </c>
      <c r="CD15" s="176" t="n">
        <f aca="false">IF($C15="&lt;01","",_xlfn.IFNA(INDEX(TB!$Q:$Q,MATCH($E15,TB!$E:$E,0)),""))</f>
        <v>0</v>
      </c>
      <c r="CE15" s="176" t="str">
        <f aca="false">IF(OR($D15&lt;&gt;"Male",$C15="&lt;01",$C15="01-04",$C15="05-09",$C15="10-14"),"",_xlfn.IFNA(INDEX(VMMC!$AC:$AC,MATCH($E15,VMMC!$E:$E,0)),""))</f>
        <v/>
      </c>
      <c r="CF15" s="176" t="str">
        <f aca="false">IF($C15="&lt;01",$BZ15,"")</f>
        <v/>
      </c>
      <c r="CG15" s="176" t="str">
        <f aca="false">IF(SUM($BZ15)=0,"",$BZ15-SUM($CA15:$CF15))</f>
        <v/>
      </c>
      <c r="CH15" s="175" t="str">
        <f aca="false">IF(OR(SUM($BZ15)=0,SUM($CA15)=0),"",$CA15/$BZ15)</f>
        <v/>
      </c>
      <c r="CI15" s="168" t="str">
        <f aca="false">IF(OR(SUM($BZ15)=0,SUM($CB15)=0),"",$CB15/$BZ15)</f>
        <v/>
      </c>
      <c r="CJ15" s="168" t="str">
        <f aca="false">IF(OR(SUM($BZ15)=0,SUM($CC15)=0),"",$CC15/$BZ15)</f>
        <v/>
      </c>
      <c r="CK15" s="168" t="str">
        <f aca="false">IF(OR(SUM($BZ15)=0,SUM($CD15)=0),"",$CD15/$BZ15)</f>
        <v/>
      </c>
      <c r="CL15" s="168" t="str">
        <f aca="false">IF(OR(SUM($BZ15)=0,SUM($CE15)=0),"",$CE15/$BZ15)</f>
        <v/>
      </c>
      <c r="CM15" s="168" t="str">
        <f aca="false">IF(OR(SUM($BZ15)=0,SUM($CF15)=0),"",$CF15/$BZ15)</f>
        <v/>
      </c>
      <c r="CN15" s="168" t="str">
        <f aca="false">IF(OR(SUM($BZ15)=0,SUM($CG15)=0),"",$CG15/$BZ15)</f>
        <v/>
      </c>
      <c r="CO15" s="175"/>
      <c r="CP15" s="168"/>
      <c r="CQ15" s="168"/>
      <c r="CR15" s="171" t="str">
        <f aca="false">IF(OR(SUM($CA15)=0,SUM($CO15)=0),"",ROUND($CA15*$CO15,0))</f>
        <v/>
      </c>
      <c r="CS15" s="171" t="str">
        <f aca="false">IF(SUM($CR15)=0,"",IF($CP15="",HYPERLINK("#Cascade!CP"&amp;ROW(CP$15),"&lt;- Add Community Yield"),HYPERLINK("",ROUND($CR15/$CP15,0)-$CR15)))</f>
        <v/>
      </c>
      <c r="CT15" s="171" t="str">
        <f aca="false">IF(SUM($CA15)=0,"",$CA15-SUM($CR15))</f>
        <v/>
      </c>
      <c r="CU15" s="171" t="str">
        <f aca="false">IF(SUM($CT15)=0,"",IF($CQ15="",HYPERLINK("#Cascade!CQ"&amp;ROW(CQ$15),"&lt;- Add Facility Yield"),HYPERLINK("",ROUND($CT15/$CQ15,0)-$CT15)))</f>
        <v/>
      </c>
      <c r="CV15" s="168" t="str">
        <f aca="false">IF(OR(SUM($BZ15)=0,$C15="&lt;01"),"",SUM($CR15,$CT15)/$BZ15)</f>
        <v/>
      </c>
      <c r="CW15" s="180" t="str">
        <f aca="false" t="array" ref="CW15:CW15">IF(LEFT($B15,4)="_Mil","",IF($AK15="",HYPERLINK("#Cascade!AK"&amp;ROW($AK15),"&lt;- Add % PEPFAR Contribution"),HYPERLINK("",um($P15,$BZ15/$AK15))))</f>
        <v>&lt;- Add % PEPFAR Contribution</v>
      </c>
    </row>
  </sheetData>
  <mergeCells count="1">
    <mergeCell ref="A2:B3"/>
  </mergeCells>
  <conditionalFormatting sqref="BU1:BV1048576">
    <cfRule type="expression" priority="2" aboveAverage="0" equalAverage="0" bottom="0" percent="0" rank="0" text="" dxfId="0">
      <formula>AND(ISNUMBER(BU1),ROUND(BU1,2)&gt;0)</formula>
    </cfRule>
  </conditionalFormatting>
  <conditionalFormatting sqref="F1:Y1048576 AJ1:AN1048576 AQ1:AQ1048576 AV1:AY1048576 BE1:BE1048576 BR1:BT1048576 CW1:CW1048576">
    <cfRule type="expression" priority="3" aboveAverage="0" equalAverage="0" bottom="0" percent="0" rank="0" text="" dxfId="1">
      <formula>LEFT($B1,4)="_Mil"</formula>
    </cfRule>
  </conditionalFormatting>
  <conditionalFormatting sqref="AQ1:AT1048576 AV1:BG1048576 BI1:BI1048576 BM1:BM1048576 BO1:BP1048576 BU1:BV1048576 BX1:BY1048576 CA1:CE1048576 CG1:CL1048576 CN1:CV1048576">
    <cfRule type="expression" priority="4" aboveAverage="0" equalAverage="0" bottom="0" percent="0" rank="0" text="" dxfId="2">
      <formula>$C1="&lt;01"</formula>
    </cfRule>
  </conditionalFormatting>
  <conditionalFormatting sqref="BO1:BP1048576">
    <cfRule type="expression" priority="5" aboveAverage="0" equalAverage="0" bottom="0" percent="0" rank="0" text="" dxfId="3">
      <formula>AND(ISNUMBER(BO1),ROUND(BO1,2)&lt;98%)</formula>
    </cfRule>
  </conditionalFormatting>
  <conditionalFormatting sqref="AO1:AO1048576 CF1:CF1048576 CM1:CM1048576">
    <cfRule type="expression" priority="6" aboveAverage="0" equalAverage="0" bottom="0" percent="0" rank="0" text="" dxfId="4">
      <formula>AND(ROW(AO1)&gt;14,$B1&lt;&gt;"",NOT($C1="&lt;01"))</formula>
    </cfRule>
  </conditionalFormatting>
  <conditionalFormatting sqref="BY1:BY1048576">
    <cfRule type="expression" priority="7" aboveAverage="0" equalAverage="0" bottom="0" percent="0" rank="0" text="" dxfId="5">
      <formula>AND(ISNUMBER($BY1),$BY1&lt;&gt;$BX1)</formula>
    </cfRule>
  </conditionalFormatting>
  <conditionalFormatting sqref="J1:J1048576 L1:L1048576 AJ1:AM1048576 AQ1:AT1048576 AV1:AV1048576 AX1:AX1048576 AZ1:BG1048576 BL1:BM1048576 BO1:BP1048576 BS1:BU1048576 BX1:BY1048576 CH1:CQ1048576 CV1:CV1048576">
    <cfRule type="expression" priority="8" aboveAverage="0" equalAverage="0" bottom="0" percent="0" rank="0" text="" dxfId="6">
      <formula>AND(ISNUMBER(J1),OR(ROUND(J1,2)&lt;0,ROUND(J1,2)&gt;1))</formula>
    </cfRule>
  </conditionalFormatting>
  <conditionalFormatting sqref="AQ1:AT1048576 AV1:AV1048576 AX1:AX1048576 BA1:BC1048576">
    <cfRule type="expression" priority="9" aboveAverage="0" equalAverage="0" bottom="0" percent="0" rank="0" text="" dxfId="7">
      <formula>AND(ISNUMBER(AQ1),ROUND(AQ1,2)&lt;95%)</formula>
    </cfRule>
  </conditionalFormatting>
  <conditionalFormatting sqref="BS1:BT1048576">
    <cfRule type="expression" priority="10" aboveAverage="0" equalAverage="0" bottom="0" percent="0" rank="0" text="" dxfId="8">
      <formula>AND(ISNUMBER(BS1),ROUND(BS1,2)&lt;ROUND(90%*90%,2))</formula>
    </cfRule>
  </conditionalFormatting>
  <conditionalFormatting sqref="BE1:BG1048576 BM1:BM1048576">
    <cfRule type="expression" priority="11" aboveAverage="0" equalAverage="0" bottom="0" percent="0" rank="0" text="" dxfId="9">
      <formula>AND(ISNUMBER(BE1),ROUND(BE1,2)&lt;1)</formula>
    </cfRule>
  </conditionalFormatting>
  <conditionalFormatting sqref="CL1:CL1048576 CE1:CE1048576">
    <cfRule type="expression" priority="12" aboveAverage="0" equalAverage="0" bottom="0" percent="0" rank="0" text="" dxfId="10">
      <formula>AND(ROW(CE1)&gt;14,$B1&lt;&gt;"",$D1&lt;&gt;"Male")</formula>
    </cfRule>
  </conditionalFormatting>
  <conditionalFormatting sqref="AL1:AM1048576">
    <cfRule type="expression" priority="13" aboveAverage="0" equalAverage="0" bottom="0" percent="0" rank="0" text="" dxfId="11">
      <formula>AND(ISNUMBER(AL1),ROUND(AL1,2)&lt;POWER(0.95,3))</formula>
    </cfRule>
  </conditionalFormatting>
  <conditionalFormatting sqref="BD1:BD1048576">
    <cfRule type="expression" priority="14" aboveAverage="0" equalAverage="0" bottom="0" percent="0" rank="0" text="" dxfId="12">
      <formula>AND(ISNUMBER(BD1),ROUND(BD1,2)&lt;70%)</formula>
    </cfRule>
  </conditionalFormatting>
  <conditionalFormatting sqref="F1:F1048576 H1:H1048576 N1:N1048576 P1:P1048576 R1:R1048576 T1:T1048576 V1:V1048576 X1:X1048576 Z1:AI1048576 AN1:AP1048576 AU1:AU1048576 AW1:AW1048576 AY1:AY1048576 BH1:BK1048576 BN1:BN1048576 BQ1:BR1048576 BV1:BW1048576 BZ1:CG1048576 CR1:CU1048576 CW1:CW1048576">
    <cfRule type="expression" priority="15" aboveAverage="0" equalAverage="0" bottom="0" percent="0" rank="0" text="" dxfId="13">
      <formula>AND(ISNUMBER(F1),ROUND(F1,0)&lt;0)</formula>
    </cfRule>
  </conditionalFormatting>
  <conditionalFormatting sqref="CE1:CE1048576 CL1:CL1048576">
    <cfRule type="expression" priority="16" aboveAverage="0" equalAverage="0" bottom="0" percent="0" rank="0" text="" dxfId="14">
      <formula>AND(ROW(CE1)&gt;14,$B1&lt;&gt;"",OR($C1="&lt;01",$C1="01-04",$C1="05-09",$C1="10-14"))</formula>
    </cfRule>
  </conditionalFormatting>
  <conditionalFormatting sqref="CO1:CO1048576">
    <cfRule type="expression" priority="17" aboveAverage="0" equalAverage="0" bottom="0" percent="0" rank="0" text="" dxfId="15">
      <formula>AND(ISNUMBER($CA1),$CA1&gt;0,CO1="")</formula>
    </cfRule>
  </conditionalFormatting>
  <conditionalFormatting sqref="F1:F1048576 H1:H1048576 J1:J1048576 L1:L1048576 N1:N1048576 P1:P1048576 R1:R1048576 T1:T1048576 V1:V1048576 X1:X1048576">
    <cfRule type="expression" priority="18" aboveAverage="0" equalAverage="0" bottom="0" percent="0" rank="0" text="" dxfId="16">
      <formula>AND(ISNUMBER(G1),ISNUMBER(F1),G1&gt;=40%)</formula>
    </cfRule>
    <cfRule type="expression" priority="19" aboveAverage="0" equalAverage="0" bottom="0" percent="0" rank="0" text="" dxfId="17">
      <formula>AND(ISNUMBER(G1),ISNUMBER(F1),G1&gt;=20%,G1&lt;40%)</formula>
    </cfRule>
    <cfRule type="expression" priority="20" aboveAverage="0" equalAverage="0" bottom="0" percent="0" rank="0" text="" dxfId="18">
      <formula>AND(ISNUMBER(G1),ISNUMBER(F1),G1&lt;20%)</formula>
    </cfRule>
  </conditionalFormatting>
  <conditionalFormatting sqref="AZ1:AZ1048576">
    <cfRule type="expression" priority="21" aboveAverage="0" equalAverage="0" bottom="0" percent="0" rank="0" text="" dxfId="19">
      <formula>AND(ISNUMBER($AZ1),ROUND($AZ1,2)&lt;ROUND(95%*95%,2))</formula>
    </cfRule>
  </conditionalFormatting>
  <conditionalFormatting sqref="CB1:CC1048576 CI1:CJ1048576">
    <cfRule type="expression" priority="22" aboveAverage="0" equalAverage="0" bottom="0" percent="0" rank="0" text="" dxfId="20">
      <formula>AND(ROW(CB1)&gt;14,$B1&lt;&gt;"",$D1&lt;&gt;"Female")</formula>
    </cfRule>
    <cfRule type="expression" priority="23" aboveAverage="0" equalAverage="0" bottom="0" percent="0" rank="0" text="" dxfId="21">
      <formula>AND(ROW(CB1)&gt;14,$B1&lt;&gt;"",OR($C1="&lt;01",$C1="01-04",$C1="05-09"))</formula>
    </cfRule>
  </conditionalFormatting>
  <conditionalFormatting sqref="BZ1:CN1048576">
    <cfRule type="expression" priority="24" aboveAverage="0" equalAverage="0" bottom="0" percent="0" rank="0" text="" dxfId="22">
      <formula>AND(ROW(BZ1)&gt;14,$B1&lt;&gt;"",OR(SUM($CG1)&lt;0,ROUND(SUM($CN1),2)&lt;0))</formula>
    </cfRule>
    <cfRule type="expression" priority="25" aboveAverage="0" equalAverage="0" bottom="0" percent="0" rank="0" text="" dxfId="23">
      <formula>AND(ROW($CG1)&gt;14,$B1&lt;&gt;"",$C1="&lt;01",OR(SUM($CG1)&lt;&gt;0,ROUND(SUM($CN1),2)&lt;&gt;0,SUM($CA1:$CE1)&lt;&gt;0))</formula>
    </cfRule>
  </conditionalFormatting>
  <conditionalFormatting sqref="CP1:CQ1048576">
    <cfRule type="expression" priority="26" aboveAverage="0" equalAverage="0" bottom="0" percent="0" rank="0" text="" dxfId="24">
      <formula>AND(ISNUMBER($CA1),$CA1&lt;&gt;0,SUM(CP1)=0)</formula>
    </cfRule>
    <cfRule type="expression" priority="27" aboveAverage="0" equalAverage="0" bottom="0" percent="0" rank="0" text="" dxfId="25">
      <formula>AND(OR($C1="15-19",$C1="20-24",$C1="25-29",$C1="30-34",$C1="35-39",$C1="40-44",$C1="45-49",$C1="50-54",$C1="55-59",$C1="60-64",$C1="65+"),CP1&lt;20%,CP1&lt;&gt;"")</formula>
    </cfRule>
  </conditionalFormatting>
  <hyperlinks>
    <hyperlink ref="AO3" location="EID!U:U" display="PMTCT_HEI_POS Virally Suppressed (FY23)"/>
    <hyperlink ref="CA3" location="Cascade!CI:CK" display="HTS_INDEX Positives&#10;(FY23)"/>
    <hyperlink ref="CB3" location="PMTCT!AF:AF" display="PMTCT_STAT New Positives (FY23)"/>
    <hyperlink ref="CC3" location="PMTCT!AV:AV" display="HTS_TST Post ANC1 New Positives (FY23)"/>
    <hyperlink ref="CD3" location="TB!Q:Q" display="TB_STAT New Positives (FY23)"/>
    <hyperlink ref="CE3" location="VMMC!AC:AC" display="VMMC Tested Positives (FY23)"/>
    <hyperlink ref="CF3" location="EID!Q:Q" display="PMTCT_HEI_POS&#10;(FY23)"/>
    <hyperlink ref="CG3" location="HTS!O:O" display="HTS_TST_POS from All Other Modalities (FY2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B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2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15.51"/>
    <col collapsed="false" customWidth="true" hidden="false" outlineLevel="0" max="7" min="6" style="177" width="11.83"/>
    <col collapsed="false" customWidth="true" hidden="false" outlineLevel="0" max="8" min="8" style="216" width="11.83"/>
    <col collapsed="false" customWidth="true" hidden="false" outlineLevel="0" max="9" min="9" style="177" width="11.83"/>
    <col collapsed="false" customWidth="true" hidden="false" outlineLevel="0" max="11" min="10" style="168" width="11.83"/>
    <col collapsed="false" customWidth="true" hidden="false" outlineLevel="0" max="18" min="12" style="171" width="11.83"/>
    <col collapsed="false" customWidth="true" hidden="false" outlineLevel="0" max="19" min="19" style="215" width="11.83"/>
    <col collapsed="false" customWidth="true" hidden="false" outlineLevel="0" max="20" min="20" style="168" width="11.83"/>
    <col collapsed="false" customWidth="true" hidden="false" outlineLevel="0" max="21" min="21" style="217" width="11.83"/>
    <col collapsed="false" customWidth="true" hidden="false" outlineLevel="0" max="22" min="22" style="175" width="11.83"/>
    <col collapsed="false" customWidth="true" hidden="false" outlineLevel="0" max="23" min="23" style="168" width="11.83"/>
    <col collapsed="false" customWidth="true" hidden="false" outlineLevel="0" max="24" min="24" style="217" width="11.83"/>
    <col collapsed="false" customWidth="true" hidden="false" outlineLevel="0" max="25" min="25" style="175" width="11.83"/>
    <col collapsed="false" customWidth="true" hidden="false" outlineLevel="0" max="29" min="26" style="168" width="11.83"/>
    <col collapsed="false" customWidth="true" hidden="false" outlineLevel="0" max="30" min="30" style="84" width="11.83"/>
    <col collapsed="false" customWidth="true" hidden="false" outlineLevel="0" max="31" min="31" style="218" width="11.83"/>
    <col collapsed="false" customWidth="true" hidden="false" outlineLevel="0" max="33" min="32" style="84" width="11.83"/>
    <col collapsed="false" customWidth="true" hidden="false" outlineLevel="0" max="34" min="34" style="167" width="11.83"/>
    <col collapsed="false" customWidth="true" hidden="false" outlineLevel="0" max="37" min="35" style="84" width="11.83"/>
    <col collapsed="false" customWidth="true" hidden="false" outlineLevel="0" max="38" min="38" style="219" width="11.83"/>
    <col collapsed="false" customWidth="true" hidden="false" outlineLevel="0" max="39" min="39" style="176" width="11.83"/>
    <col collapsed="false" customWidth="true" hidden="false" outlineLevel="0" max="40" min="40" style="84" width="11.83"/>
    <col collapsed="false" customWidth="true" hidden="false" outlineLevel="0" max="41" min="41" style="167" width="11.83"/>
    <col collapsed="false" customWidth="true" hidden="false" outlineLevel="0" max="42" min="42" style="176" width="11.83"/>
    <col collapsed="false" customWidth="true" hidden="false" outlineLevel="0" max="43" min="43" style="84" width="11.83"/>
    <col collapsed="false" customWidth="true" hidden="false" outlineLevel="0" max="44" min="44" style="172" width="11.83"/>
    <col collapsed="false" customWidth="true" hidden="false" outlineLevel="0" max="47" min="45" style="168" width="11.83"/>
    <col collapsed="false" customWidth="true" hidden="false" outlineLevel="0" max="48" min="48" style="176" width="11.83"/>
    <col collapsed="false" customWidth="true" hidden="false" outlineLevel="0" max="49" min="49" style="84" width="11.83"/>
    <col collapsed="false" customWidth="true" hidden="false" outlineLevel="0" max="50" min="50" style="83" width="11.83"/>
    <col collapsed="false" customWidth="true" hidden="false" outlineLevel="0" max="51" min="51" style="172" width="11.83"/>
    <col collapsed="false" customWidth="true" hidden="false" outlineLevel="0" max="52" min="52" style="174" width="11.83"/>
    <col collapsed="false" customWidth="true" hidden="false" outlineLevel="0" max="57" min="53" style="168" width="11.83"/>
    <col collapsed="false" customWidth="true" hidden="false" outlineLevel="0" max="1025" min="58" style="25" width="10.83"/>
  </cols>
  <sheetData>
    <row r="1" s="220" customFormat="true" ht="31" hidden="false" customHeight="true" outlineLevel="0" collapsed="false">
      <c r="A1" s="90" t="s">
        <v>329</v>
      </c>
      <c r="C1" s="90"/>
      <c r="D1" s="90"/>
      <c r="E1" s="90"/>
      <c r="F1" s="98" t="s">
        <v>92</v>
      </c>
      <c r="G1" s="101"/>
      <c r="H1" s="221"/>
      <c r="I1" s="101"/>
      <c r="J1" s="95"/>
      <c r="K1" s="95"/>
      <c r="L1" s="98"/>
      <c r="M1" s="98"/>
      <c r="N1" s="98"/>
      <c r="O1" s="98"/>
      <c r="P1" s="98"/>
      <c r="Q1" s="98"/>
      <c r="R1" s="98"/>
      <c r="S1" s="92" t="s">
        <v>330</v>
      </c>
      <c r="T1" s="93"/>
      <c r="U1" s="222"/>
      <c r="V1" s="102" t="s">
        <v>331</v>
      </c>
      <c r="W1" s="93"/>
      <c r="X1" s="222"/>
      <c r="Y1" s="102" t="s">
        <v>332</v>
      </c>
      <c r="Z1" s="93"/>
      <c r="AA1" s="93"/>
      <c r="AB1" s="93"/>
      <c r="AC1" s="93"/>
      <c r="AD1" s="94"/>
      <c r="AE1" s="94"/>
      <c r="AF1" s="94"/>
      <c r="AG1" s="94"/>
      <c r="AH1" s="103" t="s">
        <v>333</v>
      </c>
      <c r="AI1" s="94"/>
      <c r="AJ1" s="94"/>
      <c r="AK1" s="94"/>
      <c r="AL1" s="102" t="s">
        <v>334</v>
      </c>
      <c r="AM1" s="98"/>
      <c r="AN1" s="98"/>
      <c r="AO1" s="92" t="s">
        <v>335</v>
      </c>
      <c r="AP1" s="98"/>
      <c r="AQ1" s="98"/>
      <c r="AR1" s="103" t="s">
        <v>336</v>
      </c>
      <c r="AS1" s="93"/>
      <c r="AT1" s="93"/>
      <c r="AU1" s="93"/>
      <c r="AV1" s="100"/>
      <c r="AW1" s="94"/>
      <c r="AX1" s="94"/>
      <c r="AY1" s="103" t="s">
        <v>337</v>
      </c>
      <c r="AZ1" s="100"/>
      <c r="BA1" s="93"/>
      <c r="BB1" s="93"/>
      <c r="BC1" s="93"/>
      <c r="BD1" s="93"/>
      <c r="BE1" s="93"/>
    </row>
    <row r="2" s="123" customFormat="true" ht="19" hidden="false" customHeight="true" outlineLevel="0" collapsed="false">
      <c r="A2" s="223" t="s">
        <v>338</v>
      </c>
      <c r="B2" s="223"/>
      <c r="D2" s="108"/>
      <c r="E2" s="108"/>
      <c r="F2" s="116" t="s">
        <v>70</v>
      </c>
      <c r="G2" s="116"/>
      <c r="H2" s="224"/>
      <c r="I2" s="116"/>
      <c r="J2" s="111"/>
      <c r="K2" s="111"/>
      <c r="L2" s="112"/>
      <c r="M2" s="112"/>
      <c r="N2" s="112"/>
      <c r="O2" s="112"/>
      <c r="P2" s="112"/>
      <c r="Q2" s="112"/>
      <c r="R2" s="112"/>
      <c r="S2" s="114" t="s">
        <v>70</v>
      </c>
      <c r="T2" s="111" t="s">
        <v>100</v>
      </c>
      <c r="U2" s="225" t="s">
        <v>71</v>
      </c>
      <c r="V2" s="117" t="s">
        <v>70</v>
      </c>
      <c r="W2" s="111" t="s">
        <v>100</v>
      </c>
      <c r="X2" s="225" t="s">
        <v>71</v>
      </c>
      <c r="Y2" s="117" t="s">
        <v>100</v>
      </c>
      <c r="Z2" s="111"/>
      <c r="AA2" s="111"/>
      <c r="AB2" s="111"/>
      <c r="AC2" s="111"/>
      <c r="AD2" s="226" t="s">
        <v>71</v>
      </c>
      <c r="AE2" s="227"/>
      <c r="AF2" s="226"/>
      <c r="AG2" s="226"/>
      <c r="AH2" s="119" t="s">
        <v>71</v>
      </c>
      <c r="AI2" s="226"/>
      <c r="AJ2" s="226"/>
      <c r="AK2" s="226"/>
      <c r="AL2" s="117" t="s">
        <v>70</v>
      </c>
      <c r="AM2" s="118" t="s">
        <v>71</v>
      </c>
      <c r="AN2" s="226"/>
      <c r="AO2" s="119" t="s">
        <v>71</v>
      </c>
      <c r="AP2" s="118"/>
      <c r="AQ2" s="226"/>
      <c r="AR2" s="228" t="s">
        <v>100</v>
      </c>
      <c r="AS2" s="111"/>
      <c r="AT2" s="111"/>
      <c r="AU2" s="111"/>
      <c r="AV2" s="118" t="s">
        <v>71</v>
      </c>
      <c r="AW2" s="226"/>
      <c r="AX2" s="116"/>
      <c r="AY2" s="228" t="s">
        <v>101</v>
      </c>
      <c r="AZ2" s="115"/>
      <c r="BA2" s="111"/>
      <c r="BB2" s="111"/>
      <c r="BC2" s="111"/>
      <c r="BD2" s="111"/>
      <c r="BE2" s="111"/>
    </row>
    <row r="3" customFormat="false" ht="117" hidden="false" customHeight="true" outlineLevel="0" collapsed="false">
      <c r="A3" s="223"/>
      <c r="B3" s="223"/>
      <c r="D3" s="124"/>
      <c r="E3" s="124"/>
      <c r="F3" s="229" t="s">
        <v>339</v>
      </c>
      <c r="G3" s="229" t="s">
        <v>340</v>
      </c>
      <c r="H3" s="230" t="s">
        <v>341</v>
      </c>
      <c r="I3" s="229" t="s">
        <v>342</v>
      </c>
      <c r="J3" s="231" t="s">
        <v>343</v>
      </c>
      <c r="K3" s="231" t="s">
        <v>344</v>
      </c>
      <c r="L3" s="128" t="s">
        <v>345</v>
      </c>
      <c r="M3" s="128" t="s">
        <v>346</v>
      </c>
      <c r="N3" s="128" t="s">
        <v>347</v>
      </c>
      <c r="O3" s="128" t="s">
        <v>348</v>
      </c>
      <c r="P3" s="128" t="s">
        <v>349</v>
      </c>
      <c r="Q3" s="128" t="s">
        <v>350</v>
      </c>
      <c r="R3" s="128" t="s">
        <v>351</v>
      </c>
      <c r="S3" s="130" t="s">
        <v>352</v>
      </c>
      <c r="T3" s="134" t="s">
        <v>353</v>
      </c>
      <c r="U3" s="232" t="s">
        <v>354</v>
      </c>
      <c r="V3" s="133" t="s">
        <v>355</v>
      </c>
      <c r="W3" s="134" t="s">
        <v>356</v>
      </c>
      <c r="X3" s="232" t="s">
        <v>357</v>
      </c>
      <c r="Y3" s="139" t="s">
        <v>358</v>
      </c>
      <c r="Z3" s="127" t="s">
        <v>359</v>
      </c>
      <c r="AA3" s="134" t="s">
        <v>360</v>
      </c>
      <c r="AB3" s="127" t="s">
        <v>361</v>
      </c>
      <c r="AC3" s="134" t="s">
        <v>362</v>
      </c>
      <c r="AD3" s="233" t="s">
        <v>363</v>
      </c>
      <c r="AE3" s="145" t="s">
        <v>364</v>
      </c>
      <c r="AF3" s="146" t="s">
        <v>365</v>
      </c>
      <c r="AG3" s="145" t="s">
        <v>366</v>
      </c>
      <c r="AH3" s="234" t="s">
        <v>367</v>
      </c>
      <c r="AI3" s="145" t="s">
        <v>368</v>
      </c>
      <c r="AJ3" s="145" t="s">
        <v>369</v>
      </c>
      <c r="AK3" s="145" t="s">
        <v>370</v>
      </c>
      <c r="AL3" s="235" t="s">
        <v>371</v>
      </c>
      <c r="AM3" s="236" t="s">
        <v>372</v>
      </c>
      <c r="AN3" s="145" t="s">
        <v>373</v>
      </c>
      <c r="AO3" s="234" t="s">
        <v>374</v>
      </c>
      <c r="AP3" s="236" t="s">
        <v>375</v>
      </c>
      <c r="AQ3" s="145" t="s">
        <v>376</v>
      </c>
      <c r="AR3" s="237" t="s">
        <v>377</v>
      </c>
      <c r="AS3" s="238" t="s">
        <v>378</v>
      </c>
      <c r="AT3" s="239" t="s">
        <v>379</v>
      </c>
      <c r="AU3" s="238" t="s">
        <v>371</v>
      </c>
      <c r="AV3" s="146" t="s">
        <v>380</v>
      </c>
      <c r="AW3" s="145" t="s">
        <v>381</v>
      </c>
      <c r="AX3" s="143" t="s">
        <v>382</v>
      </c>
      <c r="AY3" s="240" t="s">
        <v>383</v>
      </c>
      <c r="AZ3" s="229" t="s">
        <v>384</v>
      </c>
      <c r="BA3" s="231" t="s">
        <v>385</v>
      </c>
      <c r="BB3" s="231" t="s">
        <v>175</v>
      </c>
      <c r="BC3" s="231" t="s">
        <v>173</v>
      </c>
      <c r="BD3" s="231" t="s">
        <v>176</v>
      </c>
      <c r="BE3" s="231" t="s">
        <v>179</v>
      </c>
    </row>
    <row r="4" customFormat="false" ht="16" hidden="false" customHeight="false" outlineLevel="0" collapsed="false">
      <c r="B4" s="149"/>
      <c r="C4" s="149"/>
      <c r="D4" s="149" t="s">
        <v>75</v>
      </c>
      <c r="E4" s="149"/>
      <c r="F4" s="157" t="n">
        <f aca="false">SUBTOTAL(109,F$15:INDEX(F:F,COUNTA($B:$B)+14-COUNTA($B$1:$B$14)))</f>
        <v>0</v>
      </c>
      <c r="G4" s="157" t="n">
        <f aca="false">SUBTOTAL(109,G$15:INDEX(G:G,COUNTA($B:$B)+14-COUNTA($B$1:$B$14)))</f>
        <v>0</v>
      </c>
      <c r="H4" s="241" t="str">
        <f aca="false">IF($F$4=0,"",$G4/$F4)</f>
        <v/>
      </c>
      <c r="I4" s="157" t="n">
        <f aca="false">SUBTOTAL(109,I$15:INDEX(I:I,COUNTA($B:$B)+14-COUNTA($B$1:$B$14)))</f>
        <v>0</v>
      </c>
      <c r="J4" s="152" t="str">
        <f aca="false">IF($G$4=0,"",$I4/$G4)</f>
        <v/>
      </c>
      <c r="K4" s="152"/>
      <c r="L4" s="153" t="n">
        <f aca="false">SUBTOTAL(109,L$15:INDEX(L:L,COUNTA($B:$B)+14-COUNTA($B$1:$B$14)))</f>
        <v>0</v>
      </c>
      <c r="M4" s="153" t="n">
        <f aca="false">SUBTOTAL(109,M$15:INDEX(M:M,COUNTA($B:$B)+14-COUNTA($B$1:$B$14)))</f>
        <v>0</v>
      </c>
      <c r="N4" s="153" t="n">
        <f aca="false">SUBTOTAL(109,N$15:INDEX(N:N,COUNTA($B:$B)+14-COUNTA($B$1:$B$14)))</f>
        <v>0</v>
      </c>
      <c r="O4" s="153" t="n">
        <f aca="false">SUBTOTAL(109,O$15:INDEX(O:O,COUNTA($B:$B)+14-COUNTA($B$1:$B$14)))</f>
        <v>0</v>
      </c>
      <c r="P4" s="153" t="n">
        <f aca="false">SUBTOTAL(109,P$15:INDEX(P:P,COUNTA($B:$B)+14-COUNTA($B$1:$B$14)))</f>
        <v>0</v>
      </c>
      <c r="Q4" s="153" t="n">
        <f aca="false">SUBTOTAL(109,Q$15:INDEX(Q:Q,COUNTA($B:$B)+14-COUNTA($B$1:$B$14)))</f>
        <v>0</v>
      </c>
      <c r="R4" s="153" t="n">
        <f aca="false">SUBTOTAL(109,R$15:INDEX(R:R,COUNTA($B:$B)+14-COUNTA($B$1:$B$14)))</f>
        <v>0</v>
      </c>
      <c r="S4" s="155" t="n">
        <f aca="false">SUBTOTAL(109,S$15:INDEX(S:S,COUNTA($B:$B)+14-COUNTA($B$1:$B$14)))</f>
        <v>0</v>
      </c>
      <c r="T4" s="152" t="str">
        <f aca="false">IF(SUM($S$4,$L$4)=0,"",$U$4/MIN($S$4,$L$4)-1)</f>
        <v/>
      </c>
      <c r="U4" s="242" t="n">
        <f aca="false">SUBTOTAL(109,U$15:INDEX(U:U,COUNTA($B:$B)+14-COUNTA($B$1:$B$14)))</f>
        <v>0</v>
      </c>
      <c r="V4" s="158" t="str">
        <f aca="false">IF($L$4=0,"",$S$4/$L$4)</f>
        <v/>
      </c>
      <c r="W4" s="152" t="str">
        <f aca="false">IF($X$4=0,"",$U$4/$X$4)</f>
        <v/>
      </c>
      <c r="X4" s="242" t="n">
        <f aca="false">SUBTOTAL(109,X$15:INDEX(X:X,COUNTA($B:$B)+14-COUNTA($B$1:$B$14)))</f>
        <v>0</v>
      </c>
      <c r="Y4" s="158" t="str">
        <f aca="false">IF($U$4=0,"",$AD$4/$U$4)</f>
        <v/>
      </c>
      <c r="Z4" s="152"/>
      <c r="AA4" s="152" t="str">
        <f aca="false">IF($AD$4=0,"",$AE$4/$AD$4)</f>
        <v/>
      </c>
      <c r="AB4" s="152"/>
      <c r="AC4" s="152" t="str">
        <f aca="false">IF($AD$4=0,"",$AF$4/($AD$4-$AE$4))</f>
        <v/>
      </c>
      <c r="AD4" s="153" t="n">
        <f aca="false">SUBTOTAL(109,AD$15:INDEX(AD:AD,COUNTA($B:$B)+14-COUNTA($B$1:$B$14)))</f>
        <v>0</v>
      </c>
      <c r="AE4" s="243" t="n">
        <f aca="false">IF(COUNTIF(AE$15:INDEX($AE:$AE,COUNTA($B:$B)+14-COUNTA($B$1:$B$14)),"&lt;0")&gt;0,"RESOLVE NEGATIVES",SUBTOTAL(109,AE$15:INDEX(AE:AE,COUNTA($B:$B)+14-COUNTA($B$1:$B$14))))</f>
        <v>0</v>
      </c>
      <c r="AF4" s="153" t="n">
        <f aca="false">SUBTOTAL(109,AF$15:INDEX(AF:AF,COUNTA($B:$B)+14-COUNTA($B$1:$B$14)))</f>
        <v>0</v>
      </c>
      <c r="AG4" s="153" t="n">
        <f aca="false">SUBTOTAL(109,AG$15:INDEX(AG:AG,COUNTA($B:$B)+14-COUNTA($B$1:$B$14)))</f>
        <v>0</v>
      </c>
      <c r="AH4" s="151" t="n">
        <f aca="false">SUBTOTAL(109,AH$15:INDEX(AH:AH,COUNTA($B:$B)+14-COUNTA($B$1:$B$14)))</f>
        <v>0</v>
      </c>
      <c r="AI4" s="153" t="n">
        <f aca="false">SUBTOTAL(109,AI$15:INDEX(AI:AI,COUNTA($B:$B)+14-COUNTA($B$1:$B$14)))</f>
        <v>0</v>
      </c>
      <c r="AJ4" s="153" t="n">
        <f aca="false">SUBTOTAL(109,AJ$15:INDEX(AJ:AJ,COUNTA($B:$B)+14-COUNTA($B$1:$B$14)))</f>
        <v>0</v>
      </c>
      <c r="AK4" s="153" t="n">
        <f aca="false">SUBTOTAL(109,AK$15:INDEX(AK:AK,COUNTA($B:$B)+14-COUNTA($B$1:$B$14)))</f>
        <v>0</v>
      </c>
      <c r="AL4" s="158" t="str">
        <f aca="false">IF($AF$4=0,"",$AN$4/$AF$4)</f>
        <v/>
      </c>
      <c r="AM4" s="153" t="n">
        <f aca="false">SUBTOTAL(109,AM$15:INDEX(AM:AM,COUNTA($B:$B)+14-COUNTA($B$1:$B$14)))</f>
        <v>0</v>
      </c>
      <c r="AN4" s="153" t="n">
        <f aca="false">SUBTOTAL(109,AN$15:INDEX(AN:AN,COUNTA($B:$B)+14-COUNTA($B$1:$B$14)))</f>
        <v>0</v>
      </c>
      <c r="AO4" s="151" t="n">
        <f aca="false">SUBTOTAL(109,AO$15:INDEX(AO:AO,COUNTA($B:$B)+14-COUNTA($B$1:$B$14)))</f>
        <v>0</v>
      </c>
      <c r="AP4" s="153" t="n">
        <f aca="false">SUBTOTAL(109,AP$15:INDEX(AP:AP,COUNTA($B:$B)+14-COUNTA($B$1:$B$14)))</f>
        <v>0</v>
      </c>
      <c r="AQ4" s="153" t="n">
        <f aca="false">SUBTOTAL(109,AQ$15:INDEX(AQ:AQ,COUNTA($B:$B)+14-COUNTA($B$1:$B$14)))</f>
        <v>0</v>
      </c>
      <c r="AR4" s="155" t="n">
        <f aca="false">SUBTOTAL(109,AR$15:INDEX(AR:AR,COUNTA($B:$B)+14-COUNTA($B$1:$B$14)))</f>
        <v>0</v>
      </c>
      <c r="AS4" s="244"/>
      <c r="AT4" s="244" t="str">
        <f aca="false">IF($AR$4=0,"",$AV$4/$AR$4)</f>
        <v/>
      </c>
      <c r="AU4" s="244" t="str">
        <f aca="false">IF($AV$4=0,"",$AX$4/$AV$4)</f>
        <v/>
      </c>
      <c r="AV4" s="153" t="n">
        <f aca="false">SUBTOTAL(109,AV$15:INDEX(AV:AV,COUNTA($B:$B)+14-COUNTA($B$1:$B$14)))</f>
        <v>0</v>
      </c>
      <c r="AW4" s="153" t="n">
        <f aca="false">SUBTOTAL(109,AW$15:INDEX(AW:AW,COUNTA($B:$B)+14-COUNTA($B$1:$B$14)))</f>
        <v>0</v>
      </c>
      <c r="AX4" s="157" t="n">
        <f aca="false">SUBTOTAL(109,AX$15:INDEX(AX:AX,COUNTA($B:$B)+14-COUNTA($B$1:$B$14)))</f>
        <v>0</v>
      </c>
      <c r="AY4" s="155" t="n">
        <f aca="false">SUBTOTAL(109,AY$15:INDEX(AY:AY,COUNTA($B:$B)+14-COUNTA($B$1:$B$14)))</f>
        <v>0</v>
      </c>
      <c r="AZ4" s="157" t="n">
        <f aca="false">SUBTOTAL(109,AZ$15:INDEX(AZ:AZ,COUNTA($B:$B)+14-COUNTA($B$1:$B$14)))</f>
        <v>0</v>
      </c>
      <c r="BA4" s="168" t="str">
        <f aca="false">IF($AF4=0,"",$AF4/$AZ4)</f>
        <v/>
      </c>
      <c r="BB4" s="168" t="str">
        <f aca="false">IF($AV4=0,"",$AV4/$AZ4)</f>
        <v/>
      </c>
    </row>
    <row r="5" customFormat="false" ht="16" hidden="false" customHeight="false" outlineLevel="0" collapsed="false">
      <c r="A5" s="25" t="s">
        <v>76</v>
      </c>
      <c r="B5" s="165" t="s">
        <v>76</v>
      </c>
      <c r="C5" s="165" t="s">
        <v>76</v>
      </c>
      <c r="D5" s="165" t="s">
        <v>76</v>
      </c>
      <c r="E5" s="165" t="s">
        <v>76</v>
      </c>
      <c r="F5" s="83" t="s">
        <v>76</v>
      </c>
      <c r="G5" s="83" t="s">
        <v>76</v>
      </c>
      <c r="H5" s="216" t="s">
        <v>76</v>
      </c>
      <c r="I5" s="83" t="s">
        <v>76</v>
      </c>
      <c r="J5" s="168" t="s">
        <v>76</v>
      </c>
      <c r="K5" s="178" t="s">
        <v>76</v>
      </c>
      <c r="L5" s="84" t="s">
        <v>189</v>
      </c>
      <c r="M5" s="84" t="s">
        <v>189</v>
      </c>
      <c r="N5" s="84" t="s">
        <v>189</v>
      </c>
      <c r="O5" s="84" t="s">
        <v>189</v>
      </c>
      <c r="P5" s="84" t="s">
        <v>189</v>
      </c>
      <c r="Q5" s="84" t="s">
        <v>189</v>
      </c>
      <c r="R5" s="84" t="s">
        <v>189</v>
      </c>
      <c r="S5" s="172" t="s">
        <v>190</v>
      </c>
      <c r="T5" s="168" t="s">
        <v>76</v>
      </c>
      <c r="U5" s="84" t="s">
        <v>190</v>
      </c>
      <c r="V5" s="175" t="s">
        <v>76</v>
      </c>
      <c r="W5" s="168" t="s">
        <v>76</v>
      </c>
      <c r="X5" s="84" t="s">
        <v>189</v>
      </c>
      <c r="Y5" s="175" t="s">
        <v>76</v>
      </c>
      <c r="Z5" s="168" t="s">
        <v>76</v>
      </c>
      <c r="AA5" s="168" t="s">
        <v>76</v>
      </c>
      <c r="AB5" s="168" t="s">
        <v>76</v>
      </c>
      <c r="AC5" s="168" t="s">
        <v>76</v>
      </c>
      <c r="AD5" s="84" t="s">
        <v>76</v>
      </c>
      <c r="AE5" s="218" t="s">
        <v>190</v>
      </c>
      <c r="AF5" s="84" t="s">
        <v>190</v>
      </c>
      <c r="AG5" s="84" t="s">
        <v>190</v>
      </c>
      <c r="AH5" s="167" t="s">
        <v>76</v>
      </c>
      <c r="AI5" s="84" t="s">
        <v>189</v>
      </c>
      <c r="AJ5" s="84" t="s">
        <v>189</v>
      </c>
      <c r="AK5" s="84" t="s">
        <v>189</v>
      </c>
      <c r="AL5" s="175" t="s">
        <v>76</v>
      </c>
      <c r="AM5" s="176" t="s">
        <v>190</v>
      </c>
      <c r="AN5" s="84" t="s">
        <v>190</v>
      </c>
      <c r="AO5" s="167" t="s">
        <v>189</v>
      </c>
      <c r="AP5" s="176" t="s">
        <v>189</v>
      </c>
      <c r="AQ5" s="84" t="s">
        <v>189</v>
      </c>
      <c r="AR5" s="172" t="s">
        <v>76</v>
      </c>
      <c r="AS5" s="168" t="s">
        <v>76</v>
      </c>
      <c r="AT5" s="168" t="s">
        <v>76</v>
      </c>
      <c r="AU5" s="168" t="s">
        <v>76</v>
      </c>
      <c r="AV5" s="176" t="s">
        <v>190</v>
      </c>
      <c r="AW5" s="84" t="s">
        <v>190</v>
      </c>
      <c r="AX5" s="83" t="s">
        <v>76</v>
      </c>
      <c r="AY5" s="172" t="s">
        <v>76</v>
      </c>
      <c r="AZ5" s="174" t="s">
        <v>76</v>
      </c>
      <c r="BA5" s="168" t="s">
        <v>76</v>
      </c>
      <c r="BB5" s="168" t="s">
        <v>76</v>
      </c>
      <c r="BC5" s="168" t="s">
        <v>76</v>
      </c>
      <c r="BD5" s="168" t="s">
        <v>76</v>
      </c>
      <c r="BE5" s="168" t="s">
        <v>76</v>
      </c>
    </row>
    <row r="6" customFormat="false" ht="16" hidden="false" customHeight="false" outlineLevel="0" collapsed="false">
      <c r="A6" s="25" t="s">
        <v>78</v>
      </c>
      <c r="B6" s="165" t="s">
        <v>78</v>
      </c>
      <c r="C6" s="165" t="s">
        <v>78</v>
      </c>
      <c r="D6" s="165" t="s">
        <v>78</v>
      </c>
      <c r="E6" s="165" t="s">
        <v>78</v>
      </c>
      <c r="F6" s="83" t="s">
        <v>81</v>
      </c>
      <c r="G6" s="83" t="s">
        <v>81</v>
      </c>
      <c r="H6" s="216" t="s">
        <v>81</v>
      </c>
      <c r="I6" s="83" t="s">
        <v>81</v>
      </c>
      <c r="J6" s="168" t="s">
        <v>81</v>
      </c>
      <c r="K6" s="245" t="s">
        <v>81</v>
      </c>
      <c r="L6" s="84" t="s">
        <v>80</v>
      </c>
      <c r="M6" s="84" t="s">
        <v>80</v>
      </c>
      <c r="N6" s="84" t="s">
        <v>80</v>
      </c>
      <c r="O6" s="84" t="s">
        <v>80</v>
      </c>
      <c r="P6" s="84" t="s">
        <v>80</v>
      </c>
      <c r="Q6" s="84" t="s">
        <v>80</v>
      </c>
      <c r="R6" s="84" t="s">
        <v>80</v>
      </c>
      <c r="S6" s="172" t="s">
        <v>79</v>
      </c>
      <c r="T6" s="168" t="s">
        <v>193</v>
      </c>
      <c r="U6" s="84" t="s">
        <v>80</v>
      </c>
      <c r="V6" s="175" t="s">
        <v>81</v>
      </c>
      <c r="W6" s="168" t="s">
        <v>193</v>
      </c>
      <c r="X6" s="84" t="s">
        <v>80</v>
      </c>
      <c r="Y6" s="175" t="s">
        <v>193</v>
      </c>
      <c r="Z6" s="168" t="s">
        <v>192</v>
      </c>
      <c r="AA6" s="168" t="s">
        <v>193</v>
      </c>
      <c r="AB6" s="168" t="s">
        <v>192</v>
      </c>
      <c r="AC6" s="168" t="s">
        <v>193</v>
      </c>
      <c r="AD6" s="84" t="s">
        <v>81</v>
      </c>
      <c r="AE6" s="218" t="s">
        <v>80</v>
      </c>
      <c r="AF6" s="84" t="s">
        <v>80</v>
      </c>
      <c r="AG6" s="84" t="s">
        <v>80</v>
      </c>
      <c r="AH6" s="167" t="s">
        <v>81</v>
      </c>
      <c r="AI6" s="84" t="s">
        <v>80</v>
      </c>
      <c r="AJ6" s="84" t="s">
        <v>80</v>
      </c>
      <c r="AK6" s="84" t="s">
        <v>80</v>
      </c>
      <c r="AL6" s="175" t="s">
        <v>81</v>
      </c>
      <c r="AM6" s="176" t="s">
        <v>80</v>
      </c>
      <c r="AN6" s="84" t="s">
        <v>80</v>
      </c>
      <c r="AO6" s="167" t="s">
        <v>80</v>
      </c>
      <c r="AP6" s="176" t="s">
        <v>80</v>
      </c>
      <c r="AQ6" s="84" t="s">
        <v>80</v>
      </c>
      <c r="AR6" s="172" t="s">
        <v>193</v>
      </c>
      <c r="AS6" s="168" t="s">
        <v>192</v>
      </c>
      <c r="AT6" s="168" t="s">
        <v>193</v>
      </c>
      <c r="AU6" s="168" t="s">
        <v>81</v>
      </c>
      <c r="AV6" s="176" t="s">
        <v>80</v>
      </c>
      <c r="AW6" s="84" t="s">
        <v>80</v>
      </c>
      <c r="AX6" s="83" t="s">
        <v>81</v>
      </c>
      <c r="AY6" s="172" t="s">
        <v>81</v>
      </c>
      <c r="AZ6" s="174" t="s">
        <v>81</v>
      </c>
      <c r="BA6" s="168" t="s">
        <v>81</v>
      </c>
      <c r="BB6" s="168" t="s">
        <v>81</v>
      </c>
      <c r="BC6" s="168" t="s">
        <v>81</v>
      </c>
      <c r="BD6" s="168" t="s">
        <v>81</v>
      </c>
      <c r="BE6" s="168" t="s">
        <v>81</v>
      </c>
    </row>
    <row r="7" customFormat="false" ht="16" hidden="false" customHeight="false" outlineLevel="0" collapsed="false">
      <c r="A7" s="25" t="s">
        <v>82</v>
      </c>
      <c r="B7" s="165" t="s">
        <v>82</v>
      </c>
      <c r="C7" s="165" t="s">
        <v>82</v>
      </c>
      <c r="D7" s="165" t="s">
        <v>82</v>
      </c>
      <c r="E7" s="165" t="s">
        <v>82</v>
      </c>
      <c r="F7" s="83" t="s">
        <v>83</v>
      </c>
      <c r="G7" s="83" t="s">
        <v>83</v>
      </c>
      <c r="H7" s="216" t="s">
        <v>194</v>
      </c>
      <c r="I7" s="83" t="s">
        <v>83</v>
      </c>
      <c r="J7" s="168" t="s">
        <v>194</v>
      </c>
      <c r="K7" s="245" t="s">
        <v>194</v>
      </c>
      <c r="L7" s="84" t="s">
        <v>83</v>
      </c>
      <c r="M7" s="84" t="s">
        <v>83</v>
      </c>
      <c r="N7" s="84" t="s">
        <v>83</v>
      </c>
      <c r="O7" s="84" t="s">
        <v>83</v>
      </c>
      <c r="P7" s="84" t="s">
        <v>83</v>
      </c>
      <c r="Q7" s="84" t="s">
        <v>83</v>
      </c>
      <c r="R7" s="84" t="s">
        <v>83</v>
      </c>
      <c r="S7" s="172" t="s">
        <v>83</v>
      </c>
      <c r="T7" s="168" t="s">
        <v>194</v>
      </c>
      <c r="U7" s="84" t="s">
        <v>83</v>
      </c>
      <c r="V7" s="175" t="s">
        <v>194</v>
      </c>
      <c r="W7" s="168" t="s">
        <v>194</v>
      </c>
      <c r="X7" s="84" t="s">
        <v>83</v>
      </c>
      <c r="Y7" s="175" t="s">
        <v>194</v>
      </c>
      <c r="Z7" s="168" t="s">
        <v>194</v>
      </c>
      <c r="AA7" s="168" t="s">
        <v>194</v>
      </c>
      <c r="AB7" s="168" t="s">
        <v>194</v>
      </c>
      <c r="AC7" s="168" t="s">
        <v>194</v>
      </c>
      <c r="AD7" s="84" t="s">
        <v>83</v>
      </c>
      <c r="AE7" s="218" t="s">
        <v>83</v>
      </c>
      <c r="AF7" s="84" t="s">
        <v>83</v>
      </c>
      <c r="AG7" s="84" t="s">
        <v>83</v>
      </c>
      <c r="AH7" s="167" t="s">
        <v>83</v>
      </c>
      <c r="AI7" s="84" t="s">
        <v>83</v>
      </c>
      <c r="AJ7" s="84" t="s">
        <v>83</v>
      </c>
      <c r="AK7" s="84" t="s">
        <v>83</v>
      </c>
      <c r="AL7" s="175" t="s">
        <v>194</v>
      </c>
      <c r="AM7" s="176" t="s">
        <v>83</v>
      </c>
      <c r="AN7" s="84" t="s">
        <v>83</v>
      </c>
      <c r="AO7" s="167" t="s">
        <v>83</v>
      </c>
      <c r="AP7" s="176" t="s">
        <v>83</v>
      </c>
      <c r="AQ7" s="84" t="s">
        <v>83</v>
      </c>
      <c r="AR7" s="172" t="s">
        <v>83</v>
      </c>
      <c r="AS7" s="168" t="s">
        <v>194</v>
      </c>
      <c r="AT7" s="168" t="s">
        <v>194</v>
      </c>
      <c r="AU7" s="168" t="s">
        <v>194</v>
      </c>
      <c r="AV7" s="176" t="s">
        <v>83</v>
      </c>
      <c r="AW7" s="84" t="s">
        <v>83</v>
      </c>
      <c r="AX7" s="83" t="s">
        <v>83</v>
      </c>
      <c r="AY7" s="172" t="s">
        <v>83</v>
      </c>
      <c r="AZ7" s="174" t="s">
        <v>83</v>
      </c>
      <c r="BA7" s="168" t="s">
        <v>194</v>
      </c>
      <c r="BB7" s="168" t="s">
        <v>194</v>
      </c>
      <c r="BC7" s="168" t="s">
        <v>194</v>
      </c>
      <c r="BD7" s="168" t="s">
        <v>194</v>
      </c>
      <c r="BE7" s="168" t="s">
        <v>194</v>
      </c>
    </row>
    <row r="8" customFormat="false" ht="16" hidden="false" customHeight="false" outlineLevel="0" collapsed="false">
      <c r="F8" s="83"/>
      <c r="G8" s="83"/>
      <c r="I8" s="83"/>
      <c r="K8" s="245"/>
      <c r="L8" s="246" t="s">
        <v>386</v>
      </c>
      <c r="M8" s="246" t="s">
        <v>387</v>
      </c>
      <c r="N8" s="246" t="s">
        <v>387</v>
      </c>
      <c r="O8" s="246" t="s">
        <v>387</v>
      </c>
      <c r="P8" s="246" t="s">
        <v>388</v>
      </c>
      <c r="Q8" s="246" t="s">
        <v>389</v>
      </c>
      <c r="R8" s="246" t="s">
        <v>389</v>
      </c>
      <c r="S8" s="247" t="s">
        <v>390</v>
      </c>
      <c r="U8" s="246" t="s">
        <v>390</v>
      </c>
      <c r="X8" s="246" t="s">
        <v>386</v>
      </c>
      <c r="AE8" s="248" t="s">
        <v>391</v>
      </c>
      <c r="AF8" s="246" t="s">
        <v>391</v>
      </c>
      <c r="AG8" s="246" t="s">
        <v>391</v>
      </c>
      <c r="AI8" s="246" t="s">
        <v>387</v>
      </c>
      <c r="AJ8" s="246" t="s">
        <v>387</v>
      </c>
      <c r="AK8" s="246" t="s">
        <v>387</v>
      </c>
      <c r="AL8" s="175"/>
      <c r="AM8" s="249" t="s">
        <v>392</v>
      </c>
      <c r="AN8" s="246" t="s">
        <v>392</v>
      </c>
      <c r="AO8" s="250" t="s">
        <v>388</v>
      </c>
      <c r="AP8" s="249" t="s">
        <v>389</v>
      </c>
      <c r="AQ8" s="246" t="s">
        <v>389</v>
      </c>
      <c r="AV8" s="249" t="s">
        <v>393</v>
      </c>
      <c r="AW8" s="246" t="s">
        <v>393</v>
      </c>
    </row>
    <row r="9" customFormat="false" ht="16" hidden="false" customHeight="false" outlineLevel="0" collapsed="false">
      <c r="F9" s="83"/>
      <c r="G9" s="83"/>
      <c r="I9" s="83"/>
      <c r="K9" s="245"/>
      <c r="L9" s="246"/>
      <c r="M9" s="246"/>
      <c r="N9" s="246"/>
      <c r="O9" s="246"/>
      <c r="P9" s="246"/>
      <c r="Q9" s="246"/>
      <c r="R9" s="246"/>
      <c r="S9" s="247" t="s">
        <v>394</v>
      </c>
      <c r="U9" s="246" t="s">
        <v>394</v>
      </c>
      <c r="X9" s="246"/>
      <c r="AE9" s="248" t="s">
        <v>395</v>
      </c>
      <c r="AF9" s="246" t="s">
        <v>395</v>
      </c>
      <c r="AG9" s="246" t="s">
        <v>395</v>
      </c>
      <c r="AI9" s="246"/>
      <c r="AJ9" s="246"/>
      <c r="AK9" s="246"/>
      <c r="AL9" s="175"/>
      <c r="AM9" s="249" t="s">
        <v>396</v>
      </c>
      <c r="AN9" s="246" t="s">
        <v>396</v>
      </c>
      <c r="AO9" s="250"/>
      <c r="AP9" s="249"/>
      <c r="AQ9" s="246"/>
      <c r="AV9" s="249" t="s">
        <v>397</v>
      </c>
      <c r="AW9" s="246" t="s">
        <v>397</v>
      </c>
    </row>
    <row r="10" customFormat="false" ht="16" hidden="false" customHeight="false" outlineLevel="0" collapsed="false">
      <c r="F10" s="83"/>
      <c r="G10" s="83"/>
      <c r="I10" s="83"/>
      <c r="K10" s="245"/>
      <c r="L10" s="246"/>
      <c r="M10" s="246" t="s">
        <v>398</v>
      </c>
      <c r="N10" s="246" t="s">
        <v>222</v>
      </c>
      <c r="O10" s="246" t="s">
        <v>223</v>
      </c>
      <c r="P10" s="246" t="s">
        <v>221</v>
      </c>
      <c r="Q10" s="246" t="s">
        <v>399</v>
      </c>
      <c r="R10" s="246" t="s">
        <v>400</v>
      </c>
      <c r="S10" s="247"/>
      <c r="U10" s="246"/>
      <c r="X10" s="246"/>
      <c r="AE10" s="248" t="s">
        <v>398</v>
      </c>
      <c r="AF10" s="246" t="s">
        <v>222</v>
      </c>
      <c r="AG10" s="246" t="s">
        <v>223</v>
      </c>
      <c r="AI10" s="246" t="s">
        <v>398</v>
      </c>
      <c r="AJ10" s="246" t="s">
        <v>222</v>
      </c>
      <c r="AK10" s="246" t="s">
        <v>223</v>
      </c>
      <c r="AL10" s="175"/>
      <c r="AM10" s="249" t="s">
        <v>399</v>
      </c>
      <c r="AN10" s="246" t="s">
        <v>400</v>
      </c>
      <c r="AO10" s="250" t="s">
        <v>221</v>
      </c>
      <c r="AP10" s="249" t="s">
        <v>399</v>
      </c>
      <c r="AQ10" s="246" t="s">
        <v>400</v>
      </c>
      <c r="AV10" s="249" t="s">
        <v>221</v>
      </c>
      <c r="AW10" s="246" t="s">
        <v>401</v>
      </c>
    </row>
    <row r="11" customFormat="false" ht="16" hidden="false" customHeight="false" outlineLevel="0" collapsed="false">
      <c r="F11" s="83" t="s">
        <v>227</v>
      </c>
      <c r="G11" s="83" t="s">
        <v>227</v>
      </c>
      <c r="H11" s="216" t="s">
        <v>227</v>
      </c>
      <c r="I11" s="83" t="s">
        <v>227</v>
      </c>
      <c r="J11" s="168" t="s">
        <v>227</v>
      </c>
      <c r="K11" s="168" t="s">
        <v>227</v>
      </c>
      <c r="L11" s="84" t="s">
        <v>227</v>
      </c>
      <c r="M11" s="84" t="s">
        <v>227</v>
      </c>
      <c r="N11" s="84" t="s">
        <v>227</v>
      </c>
      <c r="O11" s="84" t="s">
        <v>227</v>
      </c>
      <c r="P11" s="84" t="s">
        <v>227</v>
      </c>
      <c r="Q11" s="84" t="s">
        <v>227</v>
      </c>
      <c r="R11" s="84" t="s">
        <v>227</v>
      </c>
      <c r="S11" s="172" t="s">
        <v>227</v>
      </c>
      <c r="T11" s="168" t="s">
        <v>227</v>
      </c>
      <c r="U11" s="84" t="s">
        <v>227</v>
      </c>
      <c r="V11" s="175" t="s">
        <v>227</v>
      </c>
      <c r="W11" s="168" t="s">
        <v>227</v>
      </c>
      <c r="X11" s="84" t="s">
        <v>227</v>
      </c>
      <c r="Y11" s="175" t="s">
        <v>227</v>
      </c>
      <c r="Z11" s="168" t="s">
        <v>227</v>
      </c>
      <c r="AA11" s="168" t="s">
        <v>227</v>
      </c>
      <c r="AB11" s="168" t="s">
        <v>227</v>
      </c>
      <c r="AC11" s="168" t="s">
        <v>227</v>
      </c>
      <c r="AD11" s="84" t="s">
        <v>227</v>
      </c>
      <c r="AE11" s="218" t="s">
        <v>227</v>
      </c>
      <c r="AF11" s="84" t="s">
        <v>227</v>
      </c>
      <c r="AG11" s="84" t="s">
        <v>227</v>
      </c>
      <c r="AH11" s="167" t="s">
        <v>227</v>
      </c>
      <c r="AI11" s="84" t="s">
        <v>227</v>
      </c>
      <c r="AJ11" s="84" t="s">
        <v>227</v>
      </c>
      <c r="AK11" s="84" t="s">
        <v>227</v>
      </c>
      <c r="AL11" s="175" t="s">
        <v>227</v>
      </c>
      <c r="AM11" s="176" t="s">
        <v>227</v>
      </c>
      <c r="AN11" s="84" t="s">
        <v>227</v>
      </c>
      <c r="AO11" s="167" t="s">
        <v>227</v>
      </c>
      <c r="AP11" s="176" t="s">
        <v>227</v>
      </c>
      <c r="AQ11" s="84" t="s">
        <v>227</v>
      </c>
      <c r="AR11" s="172" t="s">
        <v>227</v>
      </c>
      <c r="AS11" s="168" t="s">
        <v>227</v>
      </c>
      <c r="AT11" s="168" t="s">
        <v>227</v>
      </c>
      <c r="AU11" s="168" t="s">
        <v>227</v>
      </c>
      <c r="AV11" s="176" t="s">
        <v>227</v>
      </c>
      <c r="AW11" s="84" t="s">
        <v>227</v>
      </c>
      <c r="AX11" s="83" t="s">
        <v>227</v>
      </c>
      <c r="AY11" s="172" t="s">
        <v>227</v>
      </c>
      <c r="AZ11" s="174" t="s">
        <v>227</v>
      </c>
      <c r="BA11" s="168" t="s">
        <v>227</v>
      </c>
      <c r="BB11" s="168" t="s">
        <v>227</v>
      </c>
      <c r="BC11" s="168" t="s">
        <v>227</v>
      </c>
      <c r="BD11" s="168" t="s">
        <v>227</v>
      </c>
      <c r="BE11" s="168" t="s">
        <v>227</v>
      </c>
    </row>
    <row r="12" customFormat="false" ht="16" hidden="false" customHeight="false" outlineLevel="0" collapsed="false">
      <c r="F12" s="83" t="s">
        <v>230</v>
      </c>
      <c r="G12" s="83" t="s">
        <v>230</v>
      </c>
      <c r="H12" s="216" t="s">
        <v>230</v>
      </c>
      <c r="I12" s="83" t="s">
        <v>230</v>
      </c>
      <c r="J12" s="168" t="s">
        <v>230</v>
      </c>
      <c r="K12" s="168" t="s">
        <v>230</v>
      </c>
      <c r="L12" s="84" t="s">
        <v>230</v>
      </c>
      <c r="M12" s="84" t="s">
        <v>230</v>
      </c>
      <c r="N12" s="84" t="s">
        <v>230</v>
      </c>
      <c r="O12" s="84" t="s">
        <v>230</v>
      </c>
      <c r="P12" s="84" t="s">
        <v>230</v>
      </c>
      <c r="Q12" s="84" t="s">
        <v>230</v>
      </c>
      <c r="R12" s="84" t="s">
        <v>230</v>
      </c>
      <c r="S12" s="172" t="s">
        <v>230</v>
      </c>
      <c r="T12" s="168" t="s">
        <v>230</v>
      </c>
      <c r="U12" s="84" t="s">
        <v>230</v>
      </c>
      <c r="V12" s="175" t="s">
        <v>230</v>
      </c>
      <c r="W12" s="168" t="s">
        <v>230</v>
      </c>
      <c r="X12" s="84" t="s">
        <v>230</v>
      </c>
      <c r="Y12" s="175" t="s">
        <v>230</v>
      </c>
      <c r="Z12" s="168" t="s">
        <v>230</v>
      </c>
      <c r="AA12" s="168" t="s">
        <v>230</v>
      </c>
      <c r="AB12" s="168" t="s">
        <v>230</v>
      </c>
      <c r="AC12" s="168" t="s">
        <v>230</v>
      </c>
      <c r="AD12" s="84" t="s">
        <v>230</v>
      </c>
      <c r="AE12" s="218" t="s">
        <v>230</v>
      </c>
      <c r="AF12" s="84" t="s">
        <v>230</v>
      </c>
      <c r="AG12" s="84" t="s">
        <v>230</v>
      </c>
      <c r="AH12" s="167" t="s">
        <v>230</v>
      </c>
      <c r="AI12" s="84" t="s">
        <v>230</v>
      </c>
      <c r="AJ12" s="84" t="s">
        <v>230</v>
      </c>
      <c r="AK12" s="84" t="s">
        <v>230</v>
      </c>
      <c r="AL12" s="175" t="s">
        <v>230</v>
      </c>
      <c r="AM12" s="176" t="s">
        <v>230</v>
      </c>
      <c r="AN12" s="84" t="s">
        <v>230</v>
      </c>
      <c r="AO12" s="167" t="s">
        <v>230</v>
      </c>
      <c r="AP12" s="176" t="s">
        <v>230</v>
      </c>
      <c r="AQ12" s="84" t="s">
        <v>230</v>
      </c>
      <c r="AR12" s="172" t="s">
        <v>230</v>
      </c>
      <c r="AS12" s="168" t="s">
        <v>230</v>
      </c>
      <c r="AT12" s="168" t="s">
        <v>230</v>
      </c>
      <c r="AU12" s="168" t="s">
        <v>230</v>
      </c>
      <c r="AV12" s="176" t="s">
        <v>230</v>
      </c>
      <c r="AW12" s="84" t="s">
        <v>230</v>
      </c>
      <c r="AX12" s="83" t="s">
        <v>230</v>
      </c>
      <c r="AY12" s="172" t="s">
        <v>230</v>
      </c>
      <c r="AZ12" s="174" t="s">
        <v>230</v>
      </c>
      <c r="BA12" s="168" t="s">
        <v>230</v>
      </c>
      <c r="BB12" s="168" t="s">
        <v>230</v>
      </c>
      <c r="BC12" s="168" t="s">
        <v>230</v>
      </c>
      <c r="BD12" s="168" t="s">
        <v>230</v>
      </c>
      <c r="BE12" s="168" t="s">
        <v>230</v>
      </c>
    </row>
    <row r="13" customFormat="false" ht="16" hidden="false" customHeight="false" outlineLevel="0" collapsed="false">
      <c r="F13" s="83"/>
      <c r="G13" s="83"/>
      <c r="I13" s="83"/>
      <c r="K13" s="245"/>
      <c r="L13" s="84"/>
      <c r="M13" s="84"/>
      <c r="N13" s="84"/>
      <c r="O13" s="84"/>
      <c r="P13" s="84"/>
      <c r="Q13" s="84"/>
      <c r="R13" s="84"/>
      <c r="S13" s="172"/>
      <c r="U13" s="84"/>
      <c r="X13" s="84"/>
      <c r="AL13" s="175"/>
    </row>
    <row r="14" customFormat="false" ht="16" hidden="false" customHeight="false" outlineLevel="0" collapsed="false">
      <c r="A14" s="79" t="s">
        <v>85</v>
      </c>
      <c r="B14" s="79" t="s">
        <v>86</v>
      </c>
      <c r="C14" s="79" t="s">
        <v>232</v>
      </c>
      <c r="D14" s="79" t="s">
        <v>233</v>
      </c>
      <c r="E14" s="79" t="s">
        <v>42</v>
      </c>
      <c r="F14" s="199" t="s">
        <v>234</v>
      </c>
      <c r="G14" s="199" t="s">
        <v>236</v>
      </c>
      <c r="H14" s="251" t="s">
        <v>238</v>
      </c>
      <c r="I14" s="199" t="s">
        <v>247</v>
      </c>
      <c r="J14" s="195" t="s">
        <v>277</v>
      </c>
      <c r="K14" s="195" t="s">
        <v>402</v>
      </c>
      <c r="L14" s="196" t="s">
        <v>403</v>
      </c>
      <c r="M14" s="196" t="s">
        <v>404</v>
      </c>
      <c r="N14" s="196" t="s">
        <v>405</v>
      </c>
      <c r="O14" s="196" t="s">
        <v>406</v>
      </c>
      <c r="P14" s="196" t="s">
        <v>407</v>
      </c>
      <c r="Q14" s="196" t="s">
        <v>408</v>
      </c>
      <c r="R14" s="196" t="s">
        <v>409</v>
      </c>
      <c r="S14" s="200" t="s">
        <v>410</v>
      </c>
      <c r="T14" s="252" t="s">
        <v>411</v>
      </c>
      <c r="U14" s="253" t="s">
        <v>412</v>
      </c>
      <c r="V14" s="254" t="s">
        <v>413</v>
      </c>
      <c r="W14" s="252" t="s">
        <v>414</v>
      </c>
      <c r="X14" s="253" t="s">
        <v>415</v>
      </c>
      <c r="Y14" s="254" t="s">
        <v>416</v>
      </c>
      <c r="Z14" s="195" t="s">
        <v>417</v>
      </c>
      <c r="AA14" s="252" t="s">
        <v>418</v>
      </c>
      <c r="AB14" s="195" t="s">
        <v>419</v>
      </c>
      <c r="AC14" s="252" t="s">
        <v>420</v>
      </c>
      <c r="AD14" s="211" t="s">
        <v>421</v>
      </c>
      <c r="AE14" s="253" t="s">
        <v>422</v>
      </c>
      <c r="AF14" s="211" t="s">
        <v>307</v>
      </c>
      <c r="AG14" s="253" t="s">
        <v>423</v>
      </c>
      <c r="AH14" s="255" t="s">
        <v>424</v>
      </c>
      <c r="AI14" s="253" t="s">
        <v>425</v>
      </c>
      <c r="AJ14" s="253" t="s">
        <v>426</v>
      </c>
      <c r="AK14" s="253" t="s">
        <v>427</v>
      </c>
      <c r="AL14" s="206" t="s">
        <v>428</v>
      </c>
      <c r="AM14" s="253" t="s">
        <v>429</v>
      </c>
      <c r="AN14" s="253" t="s">
        <v>430</v>
      </c>
      <c r="AO14" s="255" t="s">
        <v>431</v>
      </c>
      <c r="AP14" s="256" t="s">
        <v>432</v>
      </c>
      <c r="AQ14" s="253" t="s">
        <v>433</v>
      </c>
      <c r="AR14" s="255" t="s">
        <v>434</v>
      </c>
      <c r="AS14" s="195" t="s">
        <v>435</v>
      </c>
      <c r="AT14" s="195" t="s">
        <v>436</v>
      </c>
      <c r="AU14" s="195" t="s">
        <v>437</v>
      </c>
      <c r="AV14" s="211" t="s">
        <v>308</v>
      </c>
      <c r="AW14" s="211" t="s">
        <v>438</v>
      </c>
      <c r="AX14" s="253" t="s">
        <v>439</v>
      </c>
      <c r="AY14" s="255" t="s">
        <v>440</v>
      </c>
      <c r="AZ14" s="256" t="s">
        <v>441</v>
      </c>
      <c r="BA14" s="195" t="s">
        <v>314</v>
      </c>
      <c r="BB14" s="195" t="s">
        <v>315</v>
      </c>
      <c r="BC14" s="195" t="s">
        <v>313</v>
      </c>
      <c r="BD14" s="195" t="s">
        <v>316</v>
      </c>
      <c r="BE14" s="195" t="s">
        <v>319</v>
      </c>
    </row>
    <row r="15" customFormat="false" ht="16" hidden="false" customHeight="false" outlineLevel="0" collapsed="false">
      <c r="E15" s="165" t="str">
        <f aca="false">B15&amp;"|"&amp;C15&amp;"|"&amp;D15</f>
        <v>||</v>
      </c>
      <c r="F15" s="177" t="str">
        <f aca="false">IF(LEFT($B15,4)="_Mil","",_xlfn.IFNA(INDEX(Cascade!$F:$F,MATCH($E15,Cascade!$E:$E,0)),""))</f>
        <v/>
      </c>
      <c r="G15" s="177" t="str">
        <f aca="false">IF(LEFT($B15,4)="_Mil","",_xlfn.IFNA(INDEX(Cascade!$H:$H,MATCH($E15,Cascade!$E:$E,0)),""))</f>
        <v/>
      </c>
      <c r="H15" s="216" t="str">
        <f aca="false">IF(LEFT($B15,4)="_Mil","",_xlfn.IFNA(INDEX(Cascade!$J:$J,MATCH($E15,Cascade!$E:$E,0)),""))</f>
        <v/>
      </c>
      <c r="I15" s="177" t="str">
        <f aca="false">IF(LEFT($B15,4)="_Mil","",_xlfn.IFNA(INDEX(Cascade!$T:$T,MATCH($E15,Cascade!$E:$E,0)),""))</f>
        <v/>
      </c>
      <c r="J15" s="168" t="str">
        <f aca="false">IF(LEFT($B15,4)="_Mil","",_xlfn.IFNA(INDEX(Cascade!$BS:$BS,MATCH($E15,Cascade!$E:$E,0)),""))</f>
        <v/>
      </c>
      <c r="K15" s="168" t="str">
        <f aca="false">IF(LEFT($B15,4)="_Mil","",_xlfn.IFNA(INDEX(Cascade!$AL:$AL,MATCH($E15,Cascade!$E:$E,0)),""))</f>
        <v/>
      </c>
      <c r="L15" s="171" t="str">
        <f aca="false">IF(LEFT($B15,4)="_Mil","",_xlfn.IFNA(ROUND(INDEX(Spectrum!$N:$N,MATCH(RIGHT($B15,13)&amp;"|"&amp;$C15&amp;"|"&amp;$D15&amp;"|"&amp;L$14&amp;"|"&amp;"CY2022Q3",Spectrum!$Q:$Q,0)),0),""))</f>
        <v/>
      </c>
      <c r="M15" s="171" t="str">
        <f aca="false">IF(LEFT($B15,4)="_Mil","",_xlfn.IFNA(ROUND(INDEX(Spectrum!$N:$N,MATCH(RIGHT($B15,13)&amp;"|"&amp;$C15&amp;"|"&amp;$D15&amp;"|"&amp;M$14&amp;"|"&amp;"CY2022Q3",Spectrum!$Q:$Q,0)),0),""))</f>
        <v/>
      </c>
      <c r="N15" s="171" t="str">
        <f aca="false">IF(LEFT($B15,4)="_Mil","",_xlfn.IFNA(ROUND(INDEX(Spectrum!$N:$N,MATCH(RIGHT($B15,13)&amp;"|"&amp;$C15&amp;"|"&amp;$D15&amp;"|"&amp;N$14&amp;"|"&amp;"CY2022Q3",Spectrum!$Q:$Q,0)),0),""))</f>
        <v/>
      </c>
      <c r="O15" s="171" t="str">
        <f aca="false">IF(LEFT($B15,4)="_Mil","",_xlfn.IFNA(ROUND(INDEX(Spectrum!$N:$N,MATCH(RIGHT($B15,13)&amp;"|"&amp;$C15&amp;"|"&amp;$D15&amp;"|"&amp;O$14&amp;"|"&amp;"CY2022Q3",Spectrum!$Q:$Q,0)),0),""))</f>
        <v/>
      </c>
      <c r="P15" s="171" t="str">
        <f aca="false">IF(LEFT($B15,4)="_Mil","",_xlfn.IFNA(ROUND(INDEX(Spectrum!$N:$N,MATCH(RIGHT($B15,13)&amp;"|"&amp;$C15&amp;"|"&amp;$D15&amp;"|"&amp;P$14&amp;"|"&amp;"CY2022Q3",Spectrum!$Q:$Q,0)),0),""))</f>
        <v/>
      </c>
      <c r="Q15" s="171" t="str">
        <f aca="false">IF(LEFT($B15,4)="_Mil","",_xlfn.IFNA(ROUND(INDEX(Spectrum!$N:$N,MATCH(RIGHT($B15,13)&amp;"|"&amp;$C15&amp;"|"&amp;$D15&amp;"|"&amp;Q$14&amp;"|"&amp;"CY2022Q3",Spectrum!$Q:$Q,0)),0),""))</f>
        <v/>
      </c>
      <c r="R15" s="171" t="str">
        <f aca="false">IF(LEFT($B15,4)="_Mil","",_xlfn.IFNA(ROUND(INDEX(Spectrum!$N:$N,MATCH(RIGHT($B15,13)&amp;"|"&amp;$C15&amp;"|"&amp;$D15&amp;"|"&amp;R$14&amp;"|"&amp;"CY2022Q3",Spectrum!$Q:$Q,0)),0),""))</f>
        <v/>
      </c>
      <c r="T15" s="168" t="str">
        <f aca="false">IF(SUM($S15)=0,"",0%)</f>
        <v/>
      </c>
      <c r="U15" s="217" t="str">
        <f aca="false">IF(SUM($S15)=0,"",ROUND(MIN($S15,$L15)*(1+$T15),0))</f>
        <v/>
      </c>
      <c r="V15" s="175" t="str">
        <f aca="false">IF(SUM($L15)=0,IF(SUM($S15)=0,"",1),MIN($S15/$L15,1))</f>
        <v/>
      </c>
      <c r="W15" s="168" t="str">
        <f aca="false">$V15</f>
        <v/>
      </c>
      <c r="X15" s="217" t="str">
        <f aca="false">IF(SUM($U15)=0,"",ROUND($U15/$W15,0))</f>
        <v/>
      </c>
      <c r="Y15" s="175" t="str">
        <f aca="false">IF(SUM($S15)=0,"",100%)</f>
        <v/>
      </c>
      <c r="AA15" s="168" t="str">
        <f aca="false">IF(SUM($L15,$Z15)=0,"",MAX(IFERROR(SUM($M15)/$L15,0),SUM($Z15)))</f>
        <v/>
      </c>
      <c r="AC15" s="168" t="str">
        <f aca="false">IF(SUM($L15,$N15,$AB15)=0,"",MIN(SUM($AB15),IFERROR($N15/(SUM($L15)-SUM($M15)),1)))</f>
        <v/>
      </c>
      <c r="AD15" s="84" t="str">
        <f aca="false">IF(SUM($U15)=0,"",ROUND($U15*SUM($Y15),0))</f>
        <v/>
      </c>
      <c r="AE15" s="84" t="str">
        <f aca="false">IF(SUM($AD15)=0,"",ROUND($AD15*$AA15,0))</f>
        <v/>
      </c>
      <c r="AF15" s="84" t="str">
        <f aca="false">IF(SUM($AD15)=0,"",ROUND(($AD15-SUM($AE15))*$AC15,0))</f>
        <v/>
      </c>
      <c r="AG15" s="84" t="str">
        <f aca="false">IF(SUM($AD15)=0,"",ROUND($AD15-SUM($AE15)-SUM($AF15),0))</f>
        <v/>
      </c>
      <c r="AH15" s="167" t="str">
        <f aca="false">IF(SUM($X15)=0,"",ROUND($X15*SUM($Y15),0))</f>
        <v/>
      </c>
      <c r="AI15" s="84" t="str">
        <f aca="false">IF(SUM($AH15)=0,"",ROUND($AH15*SUM($AA15),0))</f>
        <v/>
      </c>
      <c r="AJ15" s="84" t="str">
        <f aca="false">IF(SUM($AH15)=0,"",ROUND(($AH15-SUM($AI15))*SUM($AC15),0))</f>
        <v/>
      </c>
      <c r="AK15" s="84" t="str">
        <f aca="false">IF(SUM($AH15)=0,"",ROUND($AH15-SUM($AI15)-SUM($AJ15),0))</f>
        <v/>
      </c>
      <c r="AL15" s="175" t="str">
        <f aca="false">IF(SUM($AF15)=0,"",_xlfn.IFNA(INDEX(Cascade!$BC:$BC,MATCH($E15,Cascade!$E:$E,0)),""))</f>
        <v/>
      </c>
      <c r="AM15" s="176" t="str">
        <f aca="false">IF(SUM($AE15)=0,"",$AE15)</f>
        <v/>
      </c>
      <c r="AN15" s="84" t="str">
        <f aca="false">IF(SUM($AF15)=0,"",ROUND($AF15*$AL15,0))</f>
        <v/>
      </c>
      <c r="AO15" s="167" t="str">
        <f aca="false">IF(SUM($AI15,$AJ15)=0,"",SUM($AI15,$AJ15))</f>
        <v/>
      </c>
      <c r="AP15" s="176" t="str">
        <f aca="false">IF(SUM($AI15)=0,"",$AI15)</f>
        <v/>
      </c>
      <c r="AQ15" s="84" t="str">
        <f aca="false">IF(SUM($AJ15)=0,"",ROUND($AJ15*SUM($AL15),0))</f>
        <v/>
      </c>
      <c r="AR15" s="172" t="str">
        <f aca="false">IF(AND((SUM($U15)-SUM($AE15)-SUM($AF15))=0,SUM($AG15)=0),"",MAX(SUM($U15)-SUM($AE15,$AF15),$AG15))</f>
        <v/>
      </c>
      <c r="AT15" s="168" t="str">
        <f aca="false">IF(SUM($AS15)=0,"",$AS15)</f>
        <v/>
      </c>
      <c r="AU15" s="168" t="str">
        <f aca="false">IF(SUM($AR15)=0,"",_xlfn.IFNA(INDEX(Cascade!$BC:$BC,MATCH($E15,Cascade!$E:$E,0)),""))</f>
        <v/>
      </c>
      <c r="AV15" s="176" t="str">
        <f aca="false">IF(SUM($AR15)=0,"",ROUND($AR15*$AT15,0))</f>
        <v/>
      </c>
      <c r="AW15" s="84" t="str">
        <f aca="false">IF(SUM($AR15)=0,"",$AR15-SUM($AV15))</f>
        <v/>
      </c>
      <c r="AX15" s="83" t="str">
        <f aca="false">IF(SUM($AV15)=0,"",ROUND($AV15*$AU15,0))</f>
        <v/>
      </c>
      <c r="AY15" s="172" t="str">
        <f aca="false">IF(SUM($AF15,$AE15,$AV15)=0,"",SUM($AF15,$AE15,$AV15))</f>
        <v/>
      </c>
      <c r="AZ15" s="174" t="str">
        <f aca="false">_xlfn.IFNA(INDEX(Cascade!$BZ:$BZ,MATCH($E15,Cascade!$E:$E,0)),"")</f>
        <v/>
      </c>
      <c r="BA15" s="168" t="str">
        <f aca="false">IF(SUM($AF15)=0,"",$AF15/SUM($AZ15))</f>
        <v/>
      </c>
      <c r="BB15" s="168" t="str">
        <f aca="false">IF(SUM($AV15)=0,"",$AV15/SUM($AZ15))</f>
        <v/>
      </c>
      <c r="BC15" s="168" t="str">
        <f aca="false">_xlfn.IFNA(INDEX(Cascade!$CH:$CH,MATCH($E15,Cascade!$E:$E,0)),"")</f>
        <v/>
      </c>
      <c r="BD15" s="168" t="str">
        <f aca="false">_xlfn.IFNA(INDEX(Cascade!$CK:$CK,MATCH($E15,Cascade!$E:$E,0)),"")</f>
        <v/>
      </c>
      <c r="BE15" s="168" t="str">
        <f aca="false">_xlfn.IFNA(INDEX(Cascade!$CN:$CN,MATCH($E15,Cascade!$E:$E,0)),"")</f>
        <v/>
      </c>
    </row>
  </sheetData>
  <mergeCells count="1">
    <mergeCell ref="A2:B3"/>
  </mergeCells>
  <conditionalFormatting sqref="T1:T1048576">
    <cfRule type="expression" priority="2" aboveAverage="0" equalAverage="0" bottom="0" percent="0" rank="0" text="" dxfId="0">
      <formula>AND(ISNUMBER($T1),ROUND($T1,2)&lt;&gt;0)</formula>
    </cfRule>
  </conditionalFormatting>
  <conditionalFormatting sqref="AL1:AL1048576 AU1:AU1048576">
    <cfRule type="expression" priority="3" aboveAverage="0" equalAverage="0" bottom="0" percent="0" rank="0" text="" dxfId="1">
      <formula>AND(ISNUMBER(AL1),ROUND(AL1,2)&lt;0.95)</formula>
    </cfRule>
  </conditionalFormatting>
  <conditionalFormatting sqref="AA1:AA1048576">
    <cfRule type="expression" priority="4" aboveAverage="0" equalAverage="0" bottom="0" percent="0" rank="0" text="" dxfId="2">
      <formula>AND(ISNUMBER(AA1),ROUND(AA1,2)&gt;=0.75)</formula>
    </cfRule>
  </conditionalFormatting>
  <conditionalFormatting sqref="Y1:Y1048576">
    <cfRule type="expression" priority="5" aboveAverage="0" equalAverage="0" bottom="0" percent="0" rank="0" text="" dxfId="3">
      <formula>AND(ISNUMBER($Y1),$Y1&lt;100%)</formula>
    </cfRule>
  </conditionalFormatting>
  <conditionalFormatting sqref="AY1:BE1048576">
    <cfRule type="expression" priority="6" aboveAverage="0" equalAverage="0" bottom="0" percent="0" rank="0" text="" dxfId="4">
      <formula>AND(ROW($BE1)&gt;14,ROUND($BE1,2)&lt;0)</formula>
    </cfRule>
  </conditionalFormatting>
  <conditionalFormatting sqref="AC1:AC1048576">
    <cfRule type="expression" priority="7" aboveAverage="0" equalAverage="0" bottom="0" percent="0" rank="0" text="" dxfId="5">
      <formula>AND(ROW($AA1)&gt;14,SUM($AD1)&gt;0,SUM($AA1)&lt;=0)</formula>
    </cfRule>
    <cfRule type="expression" priority="8" aboveAverage="0" equalAverage="0" bottom="0" percent="0" rank="0" text="" dxfId="6">
      <formula>AND(ROW($AC1)&gt;14,SUM($AD1)&gt;0,SUM($AC1)&lt;=0)</formula>
    </cfRule>
    <cfRule type="expression" priority="9" aboveAverage="0" equalAverage="0" bottom="0" percent="0" rank="0" text="" dxfId="7">
      <formula>AND(ROW($AC1)&gt;14,ROUND($AC1,2)&gt;10%)</formula>
    </cfRule>
  </conditionalFormatting>
  <conditionalFormatting sqref="U1:U1048576 X1:X1048576">
    <cfRule type="expression" priority="10" aboveAverage="0" equalAverage="0" bottom="0" percent="0" rank="0" text="" dxfId="8">
      <formula>AND(ROW($U1)&gt;14,ISNUMBER($U1),$S1&gt;$L1)</formula>
    </cfRule>
  </conditionalFormatting>
  <conditionalFormatting sqref="F1:R1048576 V1:X1048576 AH1:AK1048576 AO1:AQ1048576">
    <cfRule type="expression" priority="11" aboveAverage="0" equalAverage="0" bottom="0" percent="0" rank="0" text="" dxfId="9">
      <formula>AND(ROW(F1)&gt;14,LEFT(A1,4)="_Mil")</formula>
    </cfRule>
  </conditionalFormatting>
  <conditionalFormatting sqref="H1:H1048576 J1:K1048576 V1:W1048576 Y1:AC1048576 AL1:AL1048576 AS1:AU1048576 BA1:BE1048576">
    <cfRule type="expression" priority="12" aboveAverage="0" equalAverage="0" bottom="0" percent="0" rank="0" text="" dxfId="10">
      <formula>AND(ISNUMBER(H1),OR(ROUND(H1,2)&lt;0,ROUND(H1,2)&gt;1))</formula>
    </cfRule>
  </conditionalFormatting>
  <conditionalFormatting sqref="F1:G1048576 I1:I1048576 L1:S1048576 U1:U1048576 X1:X1048576 AD1:AK1048576 AM1:AR1048576 AV1:AZ1048576">
    <cfRule type="expression" priority="13" aboveAverage="0" equalAverage="0" bottom="0" percent="0" rank="0" text="" dxfId="11">
      <formula>AND(ISNUMBER(F1),ROUND(F1,0)&lt;0)</formula>
    </cfRule>
  </conditionalFormatting>
  <conditionalFormatting sqref="AT1:AT1048576">
    <cfRule type="expression" priority="14" aboveAverage="0" equalAverage="0" bottom="0" percent="0" rank="0" text="" dxfId="12">
      <formula>AND(ROW($AT1)&gt;14,SUM($AR1)&gt;0,SUM($AT1)&lt;=0)</formula>
    </cfRule>
  </conditionalFormatting>
  <conditionalFormatting sqref="W1:W1048576">
    <cfRule type="expression" priority="15" aboveAverage="0" equalAverage="0" bottom="0" percent="0" rank="0" text="" dxfId="13">
      <formula>AND(ROW($W1)&gt;14,.um($U1)&gt;0,SUM($W1)&lt;=0)</formula>
    </cfRule>
  </conditionalFormatting>
  <hyperlinks>
    <hyperlink ref="F3" location="Cascade!F:F" display="Host Country Est. Female Population (FY22)"/>
    <hyperlink ref="G3" location="Cascade!H:H" display="Host Country Est. PLHIV (FY22)"/>
    <hyperlink ref="H3" location="Cascade!J:J" display="Host Country Est. HIV Prevalence (FY22) (%)"/>
    <hyperlink ref="I3" location="Cascade!T:T" display="Host Country Est. TX_CURR_SUBNAT (FY22)"/>
    <hyperlink ref="J3" location="Cascade!AS:AS" display="Host Country Est. ART Coverage (FY22) (%)"/>
    <hyperlink ref="K3" location="Cascade!BO:BO" display="Host Country Est. PopVLS Rate (VLS/PLHIV) (FY22) (%)"/>
    <hyperlink ref="AF3" location="Cascade!CJ:CJ" display="Newly Tested, Positive (FY23)"/>
    <hyperlink ref="AV3" location="Cascade!CK:CK" display="Positive (FY23)"/>
    <hyperlink ref="AY3" location="EID!C:C" display="Total PMTCT: Positives (From ANC1 &amp; Post ANC1) (FY23)"/>
    <hyperlink ref="AZ3" location="Cascade!CH:CH" display="Total HTS_TST_POS (FY23)"/>
    <hyperlink ref="BA3" location="PMTCT!AF:AF" display="Total Positives from PMTCT_STAT ANC1 (FY23) (%)"/>
    <hyperlink ref="BB3" location="PMTCT!AV:AV" display="Total Positives from PMTCT Post ANC1 (FY23) (%)"/>
    <hyperlink ref="BC3" location="Cascade!CI:CI" display="Total Positives from HTS_INDEX (FY23) (%)"/>
    <hyperlink ref="BD3" location="Cascade!CL:CL" display="Total Positives from TB_STAT (FY23) (%)"/>
    <hyperlink ref="BE3" location="Cascade!CO:CO" display="Total Positives from All Other Modalities (FY23)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tabColor rgb="FF63BE7B"/>
    <pageSetUpPr fitToPage="false"/>
  </sheetPr>
  <dimension ref="A1:V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R15" activeCellId="1" sqref="A15:E15 R15"/>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257" width="11.83"/>
    <col collapsed="false" customWidth="true" hidden="false" outlineLevel="0" max="5" min="4" style="258" width="11.83"/>
    <col collapsed="false" customWidth="true" hidden="false" outlineLevel="0" max="7" min="6" style="84" width="11.83"/>
    <col collapsed="false" customWidth="true" hidden="false" outlineLevel="0" max="11" min="8" style="258" width="11.83"/>
    <col collapsed="false" customWidth="true" hidden="false" outlineLevel="0" max="12" min="12" style="84" width="11.83"/>
    <col collapsed="false" customWidth="true" hidden="false" outlineLevel="0" max="13" min="13" style="258" width="11.83"/>
    <col collapsed="false" customWidth="true" hidden="false" outlineLevel="0" max="14" min="14" style="84" width="11.83"/>
    <col collapsed="false" customWidth="true" hidden="false" outlineLevel="0" max="15" min="15" style="258" width="11.83"/>
    <col collapsed="false" customWidth="true" hidden="false" outlineLevel="0" max="16" min="16" style="84" width="11.83"/>
    <col collapsed="false" customWidth="true" hidden="false" outlineLevel="0" max="17" min="17" style="258" width="11.83"/>
    <col collapsed="false" customWidth="true" hidden="false" outlineLevel="0" max="18" min="18" style="84" width="11.83"/>
    <col collapsed="false" customWidth="true" hidden="false" outlineLevel="0" max="19" min="19" style="258" width="11.83"/>
    <col collapsed="false" customWidth="true" hidden="false" outlineLevel="0" max="20" min="20" style="84" width="11.83"/>
    <col collapsed="false" customWidth="true" hidden="false" outlineLevel="0" max="21" min="21" style="258" width="11.83"/>
    <col collapsed="false" customWidth="true" hidden="false" outlineLevel="0" max="22" min="22" style="84" width="11.83"/>
    <col collapsed="false" customWidth="true" hidden="false" outlineLevel="0" max="1025" min="23" style="0" width="10.61"/>
  </cols>
  <sheetData>
    <row r="1" s="63" customFormat="true" ht="31" hidden="false" customHeight="true" outlineLevel="0" collapsed="false">
      <c r="A1" s="90" t="s">
        <v>442</v>
      </c>
      <c r="B1" s="90"/>
      <c r="C1" s="94" t="s">
        <v>443</v>
      </c>
      <c r="D1" s="93"/>
      <c r="E1" s="259"/>
      <c r="F1" s="94"/>
      <c r="G1" s="94"/>
      <c r="H1" s="93" t="s">
        <v>444</v>
      </c>
      <c r="I1" s="93"/>
      <c r="J1" s="93"/>
      <c r="K1" s="93"/>
      <c r="L1" s="98"/>
      <c r="M1" s="93"/>
      <c r="N1" s="98"/>
      <c r="O1" s="93"/>
      <c r="P1" s="98"/>
      <c r="Q1" s="93"/>
      <c r="R1" s="98"/>
      <c r="S1" s="93"/>
      <c r="T1" s="98"/>
      <c r="U1" s="93"/>
      <c r="V1" s="98"/>
    </row>
    <row r="2" s="260" customFormat="true" ht="19" hidden="false" customHeight="false" outlineLevel="0" collapsed="false">
      <c r="A2" s="64"/>
      <c r="B2" s="64"/>
      <c r="C2" s="116" t="s">
        <v>100</v>
      </c>
      <c r="D2" s="111"/>
      <c r="E2" s="111"/>
      <c r="F2" s="112" t="s">
        <v>71</v>
      </c>
      <c r="G2" s="112"/>
      <c r="H2" s="111" t="s">
        <v>100</v>
      </c>
      <c r="I2" s="111"/>
      <c r="J2" s="111"/>
      <c r="K2" s="111"/>
      <c r="L2" s="112"/>
      <c r="M2" s="111"/>
      <c r="N2" s="112"/>
      <c r="O2" s="111"/>
      <c r="P2" s="112"/>
      <c r="Q2" s="111"/>
      <c r="R2" s="112"/>
      <c r="S2" s="111"/>
      <c r="T2" s="112"/>
      <c r="U2" s="111"/>
      <c r="V2" s="112"/>
    </row>
    <row r="3" s="25" customFormat="true" ht="117" hidden="false" customHeight="true" outlineLevel="0" collapsed="false">
      <c r="A3" s="124"/>
      <c r="B3" s="124"/>
      <c r="C3" s="229" t="s">
        <v>445</v>
      </c>
      <c r="D3" s="134" t="s">
        <v>446</v>
      </c>
      <c r="E3" s="134" t="s">
        <v>447</v>
      </c>
      <c r="F3" s="145" t="s">
        <v>448</v>
      </c>
      <c r="G3" s="145" t="s">
        <v>449</v>
      </c>
      <c r="H3" s="235" t="s">
        <v>450</v>
      </c>
      <c r="I3" s="239" t="s">
        <v>451</v>
      </c>
      <c r="J3" s="238" t="s">
        <v>452</v>
      </c>
      <c r="K3" s="239" t="s">
        <v>453</v>
      </c>
      <c r="L3" s="261" t="s">
        <v>454</v>
      </c>
      <c r="M3" s="239" t="s">
        <v>371</v>
      </c>
      <c r="N3" s="146" t="s">
        <v>455</v>
      </c>
      <c r="O3" s="239" t="s">
        <v>456</v>
      </c>
      <c r="P3" s="146" t="s">
        <v>457</v>
      </c>
      <c r="Q3" s="239" t="s">
        <v>458</v>
      </c>
      <c r="R3" s="261" t="s">
        <v>459</v>
      </c>
      <c r="S3" s="239" t="s">
        <v>460</v>
      </c>
      <c r="T3" s="146" t="s">
        <v>461</v>
      </c>
      <c r="U3" s="239" t="s">
        <v>462</v>
      </c>
      <c r="V3" s="146" t="s">
        <v>463</v>
      </c>
    </row>
    <row r="4" s="25" customFormat="true" ht="16" hidden="false" customHeight="false" outlineLevel="0" collapsed="false">
      <c r="A4" s="149"/>
      <c r="B4" s="149" t="s">
        <v>75</v>
      </c>
      <c r="C4" s="157" t="n">
        <f aca="false">SUBTOTAL(109,C$15:INDEX(C:C,COUNTA($B:$B)+14-COUNTA($B$1:$B$14)))</f>
        <v>0</v>
      </c>
      <c r="D4" s="152" t="str">
        <f aca="false">IF(SUM($C4)=0,"",SUM($F4)/$C4)</f>
        <v/>
      </c>
      <c r="E4" s="152" t="str">
        <f aca="false">IF(SUM($C4)=0,"",SUM($F4,$G4)/$C4)</f>
        <v/>
      </c>
      <c r="F4" s="164" t="n">
        <f aca="false">SUBTOTAL(109,F$15:INDEX(F:F,COUNTA($B:$B)+14-COUNTA($B$1:$B$14)))</f>
        <v>0</v>
      </c>
      <c r="G4" s="164" t="n">
        <f aca="false">SUBTOTAL(109,G$15:INDEX(G:G,COUNTA($B:$B)+14-COUNTA($B$1:$B$14)))</f>
        <v>0</v>
      </c>
      <c r="H4" s="158"/>
      <c r="I4" s="152"/>
      <c r="J4" s="152"/>
      <c r="K4" s="152"/>
      <c r="L4" s="164" t="n">
        <f aca="false">SUBTOTAL(109,L$15:INDEX(L:L,COUNTA($B:$B)+14-COUNTA($B$1:$B$14)))</f>
        <v>0</v>
      </c>
      <c r="M4" s="152" t="str">
        <f aca="false">IF(SUM($L4)=0,"",SUM($N4)/$L4)</f>
        <v/>
      </c>
      <c r="N4" s="164" t="n">
        <f aca="false">SUBTOTAL(109,N$15:INDEX(N:N,COUNTA($B:$B)+14-COUNTA($B$1:$B$14)))</f>
        <v>0</v>
      </c>
      <c r="O4" s="152" t="str">
        <f aca="false">IF(SUM($N4)=0,"",SUM($P4)/$N4)</f>
        <v/>
      </c>
      <c r="P4" s="164" t="n">
        <f aca="false">SUBTOTAL(109,P$15:INDEX(P:P,COUNTA($B:$B)+14-COUNTA($B$1:$B$14)))</f>
        <v>0</v>
      </c>
      <c r="Q4" s="152" t="str">
        <f aca="false">IF(SUM($N4)=0,"",SUM($R4)/$N4)</f>
        <v/>
      </c>
      <c r="R4" s="153" t="n">
        <f aca="false">SUBTOTAL(109,R$15:INDEX(R:R,COUNTA($B:$B)+14-COUNTA($B$1:$B$14)))</f>
        <v>0</v>
      </c>
      <c r="S4" s="152" t="str">
        <f aca="false">IF(SUM($R4)=0,"",SUM($T4)/$R4)</f>
        <v/>
      </c>
      <c r="T4" s="164" t="n">
        <f aca="false">SUBTOTAL(109,T$15:INDEX(T:T,COUNTA($B:$B)+14-COUNTA($B$1:$B$14)))</f>
        <v>0</v>
      </c>
      <c r="U4" s="152" t="str">
        <f aca="false">IF(SUM($T4)=0,"",SUM($V4)/$T4)</f>
        <v/>
      </c>
      <c r="V4" s="164" t="n">
        <f aca="false">SUBTOTAL(109,V$15:INDEX(V:V,COUNTA($B:$B)+14-COUNTA($B$1:$B$14)))</f>
        <v>0</v>
      </c>
    </row>
    <row r="5" s="25" customFormat="true" ht="16" hidden="false" customHeight="false" outlineLevel="0" collapsed="false">
      <c r="A5" s="165" t="s">
        <v>76</v>
      </c>
      <c r="B5" s="165" t="s">
        <v>76</v>
      </c>
      <c r="C5" s="83" t="s">
        <v>76</v>
      </c>
      <c r="D5" s="245" t="s">
        <v>76</v>
      </c>
      <c r="E5" s="245" t="s">
        <v>76</v>
      </c>
      <c r="F5" s="84" t="s">
        <v>190</v>
      </c>
      <c r="G5" s="84" t="s">
        <v>190</v>
      </c>
      <c r="H5" s="175" t="s">
        <v>76</v>
      </c>
      <c r="I5" s="168" t="s">
        <v>76</v>
      </c>
      <c r="J5" s="168" t="s">
        <v>76</v>
      </c>
      <c r="K5" s="168" t="s">
        <v>76</v>
      </c>
      <c r="L5" s="84" t="s">
        <v>76</v>
      </c>
      <c r="M5" s="168" t="s">
        <v>76</v>
      </c>
      <c r="N5" s="84" t="s">
        <v>76</v>
      </c>
      <c r="O5" s="168" t="s">
        <v>76</v>
      </c>
      <c r="P5" s="84" t="s">
        <v>76</v>
      </c>
      <c r="Q5" s="262" t="s">
        <v>76</v>
      </c>
      <c r="R5" s="263" t="s">
        <v>76</v>
      </c>
      <c r="S5" s="262" t="s">
        <v>76</v>
      </c>
      <c r="T5" s="84" t="s">
        <v>76</v>
      </c>
      <c r="U5" s="262" t="s">
        <v>76</v>
      </c>
      <c r="V5" s="84" t="s">
        <v>76</v>
      </c>
    </row>
    <row r="6" s="25" customFormat="true" ht="16" hidden="false" customHeight="false" outlineLevel="0" collapsed="false">
      <c r="A6" s="165" t="s">
        <v>78</v>
      </c>
      <c r="B6" s="165" t="s">
        <v>78</v>
      </c>
      <c r="C6" s="83" t="s">
        <v>81</v>
      </c>
      <c r="D6" s="245" t="s">
        <v>193</v>
      </c>
      <c r="E6" s="245" t="s">
        <v>193</v>
      </c>
      <c r="F6" s="84" t="s">
        <v>80</v>
      </c>
      <c r="G6" s="84" t="s">
        <v>80</v>
      </c>
      <c r="H6" s="175" t="s">
        <v>192</v>
      </c>
      <c r="I6" s="168" t="s">
        <v>193</v>
      </c>
      <c r="J6" s="168" t="s">
        <v>192</v>
      </c>
      <c r="K6" s="168" t="s">
        <v>193</v>
      </c>
      <c r="L6" s="84" t="s">
        <v>81</v>
      </c>
      <c r="M6" s="168" t="s">
        <v>193</v>
      </c>
      <c r="N6" s="84" t="s">
        <v>81</v>
      </c>
      <c r="O6" s="168" t="s">
        <v>193</v>
      </c>
      <c r="P6" s="84" t="s">
        <v>81</v>
      </c>
      <c r="Q6" s="262" t="s">
        <v>193</v>
      </c>
      <c r="R6" s="263" t="s">
        <v>81</v>
      </c>
      <c r="S6" s="262" t="s">
        <v>193</v>
      </c>
      <c r="T6" s="84" t="s">
        <v>81</v>
      </c>
      <c r="U6" s="262" t="s">
        <v>193</v>
      </c>
      <c r="V6" s="84" t="s">
        <v>81</v>
      </c>
    </row>
    <row r="7" s="25" customFormat="true" ht="16" hidden="false" customHeight="false" outlineLevel="0" collapsed="false">
      <c r="A7" s="165" t="s">
        <v>82</v>
      </c>
      <c r="B7" s="165" t="s">
        <v>82</v>
      </c>
      <c r="C7" s="83" t="s">
        <v>83</v>
      </c>
      <c r="D7" s="245" t="s">
        <v>194</v>
      </c>
      <c r="E7" s="245" t="s">
        <v>194</v>
      </c>
      <c r="F7" s="84" t="s">
        <v>83</v>
      </c>
      <c r="G7" s="84" t="s">
        <v>83</v>
      </c>
      <c r="H7" s="175" t="s">
        <v>194</v>
      </c>
      <c r="I7" s="168" t="s">
        <v>194</v>
      </c>
      <c r="J7" s="168" t="s">
        <v>194</v>
      </c>
      <c r="K7" s="168" t="s">
        <v>194</v>
      </c>
      <c r="L7" s="84" t="s">
        <v>83</v>
      </c>
      <c r="M7" s="168" t="s">
        <v>194</v>
      </c>
      <c r="N7" s="84" t="s">
        <v>83</v>
      </c>
      <c r="O7" s="168" t="s">
        <v>194</v>
      </c>
      <c r="P7" s="84" t="s">
        <v>83</v>
      </c>
      <c r="Q7" s="262" t="s">
        <v>194</v>
      </c>
      <c r="R7" s="263" t="s">
        <v>83</v>
      </c>
      <c r="S7" s="262" t="s">
        <v>194</v>
      </c>
      <c r="T7" s="84" t="s">
        <v>83</v>
      </c>
      <c r="U7" s="262" t="s">
        <v>194</v>
      </c>
      <c r="V7" s="84" t="s">
        <v>83</v>
      </c>
    </row>
    <row r="8" s="25" customFormat="true" ht="16" hidden="false" customHeight="false" outlineLevel="0" collapsed="false">
      <c r="A8" s="165"/>
      <c r="B8" s="165"/>
      <c r="C8" s="83"/>
      <c r="D8" s="245"/>
      <c r="E8" s="245"/>
      <c r="F8" s="246" t="s">
        <v>464</v>
      </c>
      <c r="G8" s="246" t="s">
        <v>464</v>
      </c>
      <c r="H8" s="175"/>
      <c r="I8" s="168"/>
      <c r="J8" s="168"/>
      <c r="K8" s="168"/>
      <c r="L8" s="84"/>
      <c r="M8" s="168"/>
      <c r="N8" s="84"/>
      <c r="O8" s="168"/>
      <c r="P8" s="84"/>
      <c r="Q8" s="168"/>
      <c r="R8" s="171"/>
      <c r="S8" s="168"/>
      <c r="T8" s="84"/>
      <c r="U8" s="168"/>
      <c r="V8" s="84"/>
    </row>
    <row r="9" s="25" customFormat="true" ht="16" hidden="false" customHeight="false" outlineLevel="0" collapsed="false">
      <c r="A9" s="165"/>
      <c r="B9" s="165"/>
      <c r="C9" s="83"/>
      <c r="D9" s="245"/>
      <c r="E9" s="245"/>
      <c r="F9" s="246" t="s">
        <v>465</v>
      </c>
      <c r="G9" s="246" t="s">
        <v>465</v>
      </c>
      <c r="H9" s="175"/>
      <c r="I9" s="168"/>
      <c r="J9" s="168"/>
      <c r="K9" s="168"/>
      <c r="L9" s="84"/>
      <c r="M9" s="168"/>
      <c r="N9" s="84"/>
      <c r="O9" s="168"/>
      <c r="P9" s="84"/>
      <c r="Q9" s="168"/>
      <c r="R9" s="171"/>
      <c r="S9" s="168"/>
      <c r="T9" s="84"/>
      <c r="U9" s="168"/>
      <c r="V9" s="84"/>
    </row>
    <row r="10" s="25" customFormat="true" ht="16" hidden="false" customHeight="false" outlineLevel="0" collapsed="false">
      <c r="A10" s="165"/>
      <c r="B10" s="165"/>
      <c r="C10" s="83"/>
      <c r="D10" s="245"/>
      <c r="E10" s="245"/>
      <c r="F10" s="246" t="s">
        <v>466</v>
      </c>
      <c r="G10" s="246" t="s">
        <v>467</v>
      </c>
      <c r="H10" s="175"/>
      <c r="I10" s="168"/>
      <c r="J10" s="168"/>
      <c r="K10" s="168"/>
      <c r="L10" s="84"/>
      <c r="M10" s="168"/>
      <c r="N10" s="84"/>
      <c r="O10" s="168"/>
      <c r="P10" s="84"/>
      <c r="Q10" s="168"/>
      <c r="R10" s="171"/>
      <c r="S10" s="168"/>
      <c r="T10" s="84"/>
      <c r="U10" s="168"/>
      <c r="V10" s="84"/>
    </row>
    <row r="11" s="25" customFormat="true" ht="16" hidden="false" customHeight="false" outlineLevel="0" collapsed="false">
      <c r="A11" s="165"/>
      <c r="B11" s="165"/>
      <c r="C11" s="83"/>
      <c r="D11" s="245"/>
      <c r="E11" s="245"/>
      <c r="F11" s="84"/>
      <c r="G11" s="84"/>
      <c r="H11" s="175"/>
      <c r="I11" s="168"/>
      <c r="J11" s="168"/>
      <c r="K11" s="168"/>
      <c r="L11" s="84"/>
      <c r="M11" s="168"/>
      <c r="N11" s="84"/>
      <c r="O11" s="168"/>
      <c r="P11" s="84"/>
      <c r="Q11" s="168"/>
      <c r="R11" s="171"/>
      <c r="S11" s="168"/>
      <c r="T11" s="84"/>
      <c r="U11" s="168"/>
      <c r="V11" s="84"/>
    </row>
    <row r="12" s="25" customFormat="true" ht="16" hidden="false" customHeight="false" outlineLevel="0" collapsed="false">
      <c r="A12" s="165"/>
      <c r="B12" s="165"/>
      <c r="C12" s="83"/>
      <c r="D12" s="245"/>
      <c r="E12" s="245"/>
      <c r="F12" s="84"/>
      <c r="G12" s="84"/>
      <c r="H12" s="175"/>
      <c r="I12" s="168"/>
      <c r="J12" s="168"/>
      <c r="K12" s="168"/>
      <c r="L12" s="84"/>
      <c r="M12" s="168"/>
      <c r="N12" s="84"/>
      <c r="O12" s="168"/>
      <c r="P12" s="84"/>
      <c r="Q12" s="168"/>
      <c r="R12" s="171"/>
      <c r="S12" s="168"/>
      <c r="T12" s="84"/>
      <c r="U12" s="168"/>
      <c r="V12" s="84"/>
    </row>
    <row r="13" s="25" customFormat="true" ht="16" hidden="false" customHeight="false" outlineLevel="0" collapsed="false">
      <c r="A13" s="165"/>
      <c r="B13" s="165"/>
      <c r="C13" s="83"/>
      <c r="D13" s="245"/>
      <c r="E13" s="245"/>
      <c r="F13" s="84"/>
      <c r="G13" s="84"/>
      <c r="H13" s="175"/>
      <c r="I13" s="168"/>
      <c r="J13" s="168"/>
      <c r="K13" s="168"/>
      <c r="L13" s="84"/>
      <c r="M13" s="168"/>
      <c r="N13" s="84"/>
      <c r="O13" s="168"/>
      <c r="P13" s="84"/>
      <c r="Q13" s="168"/>
      <c r="R13" s="171"/>
      <c r="S13" s="168"/>
      <c r="T13" s="84"/>
      <c r="U13" s="168"/>
      <c r="V13" s="84"/>
    </row>
    <row r="14" s="25" customFormat="true" ht="16" hidden="false" customHeight="false" outlineLevel="0" collapsed="false">
      <c r="A14" s="79" t="s">
        <v>85</v>
      </c>
      <c r="B14" s="79" t="s">
        <v>86</v>
      </c>
      <c r="C14" s="199" t="s">
        <v>468</v>
      </c>
      <c r="D14" s="195" t="s">
        <v>469</v>
      </c>
      <c r="E14" s="195" t="s">
        <v>470</v>
      </c>
      <c r="F14" s="196" t="s">
        <v>471</v>
      </c>
      <c r="G14" s="196" t="s">
        <v>472</v>
      </c>
      <c r="H14" s="206" t="s">
        <v>473</v>
      </c>
      <c r="I14" s="195" t="s">
        <v>474</v>
      </c>
      <c r="J14" s="195" t="s">
        <v>475</v>
      </c>
      <c r="K14" s="195" t="s">
        <v>476</v>
      </c>
      <c r="L14" s="196" t="s">
        <v>311</v>
      </c>
      <c r="M14" s="195" t="s">
        <v>477</v>
      </c>
      <c r="N14" s="264" t="s">
        <v>478</v>
      </c>
      <c r="O14" s="195" t="s">
        <v>479</v>
      </c>
      <c r="P14" s="264" t="s">
        <v>480</v>
      </c>
      <c r="Q14" s="195" t="s">
        <v>481</v>
      </c>
      <c r="R14" s="196" t="s">
        <v>482</v>
      </c>
      <c r="S14" s="195" t="s">
        <v>483</v>
      </c>
      <c r="T14" s="264" t="s">
        <v>484</v>
      </c>
      <c r="U14" s="195" t="s">
        <v>485</v>
      </c>
      <c r="V14" s="264" t="s">
        <v>268</v>
      </c>
    </row>
    <row r="15" s="25" customFormat="true" ht="16" hidden="false" customHeight="false" outlineLevel="0" collapsed="false">
      <c r="A15" s="165"/>
      <c r="B15" s="165"/>
      <c r="C15" s="177" t="str">
        <f aca="false">IFERROR(1/(1/SUMIF(PMTCT!$B:$B,$B15,PMTCT!$AY:$AY)),"")</f>
        <v/>
      </c>
      <c r="D15" s="168" t="n">
        <v>0.95</v>
      </c>
      <c r="E15" s="168" t="n">
        <f aca="false">MAX(95%,SUM($D15))</f>
        <v>0.95</v>
      </c>
      <c r="F15" s="84" t="n">
        <f aca="false">ROUND(SUM($C15)*$D15,0)</f>
        <v>0</v>
      </c>
      <c r="G15" s="84" t="n">
        <f aca="false">ROUND(SUM($C15)*$E15,0)-SUM($F15)</f>
        <v>0</v>
      </c>
      <c r="H15" s="175"/>
      <c r="I15" s="168" t="str">
        <f aca="false">IF(OR(SUM($H15)=0,SUM($F15)=0),"",$H15)</f>
        <v/>
      </c>
      <c r="J15" s="168"/>
      <c r="K15" s="168" t="str">
        <f aca="false">IF(OR(SUM($J15)=0,SUM($G15)=0),"",$J15)</f>
        <v/>
      </c>
      <c r="L15" s="84" t="n">
        <f aca="false">ROUND(SUM(SUM($F15)*SUM($I15),SUM($G15)*SUM($K15)),0)</f>
        <v>0</v>
      </c>
      <c r="M15" s="168" t="n">
        <v>0.95</v>
      </c>
      <c r="N15" s="84" t="n">
        <f aca="false">ROUND(SUM($L15)*$M15,0)</f>
        <v>0</v>
      </c>
      <c r="O15" s="168" t="n">
        <v>0.98</v>
      </c>
      <c r="P15" s="84" t="n">
        <f aca="false">ROUND(SUM($N15)*$O15,0)</f>
        <v>0</v>
      </c>
      <c r="Q15" s="168" t="n">
        <v>0.7</v>
      </c>
      <c r="R15" s="171" t="n">
        <f aca="false">ROUND(SUM($N15)*$Q15,0)</f>
        <v>0</v>
      </c>
      <c r="S15" s="168" t="n">
        <v>1</v>
      </c>
      <c r="T15" s="84" t="n">
        <f aca="false">ROUND(SUM($R15)*$S15,0)</f>
        <v>0</v>
      </c>
      <c r="U15" s="168" t="n">
        <v>0.95</v>
      </c>
      <c r="V15" s="84" t="n">
        <f aca="false">ROUND(SUM($T15)*$U15,0)</f>
        <v>0</v>
      </c>
    </row>
  </sheetData>
  <conditionalFormatting sqref="E1:E1048576 M1:M1048576 U1:U1048576">
    <cfRule type="expression" priority="2" aboveAverage="0" equalAverage="0" bottom="0" percent="0" rank="0" text="" dxfId="0">
      <formula>AND(ISNUMBER(E1),ROUND(E1,2)&lt;0.95)</formula>
    </cfRule>
  </conditionalFormatting>
  <conditionalFormatting sqref="D1:D1048576">
    <cfRule type="expression" priority="3" aboveAverage="0" equalAverage="0" bottom="0" percent="0" rank="0" text="" dxfId="1">
      <formula>AND(ISNUMBER(D1),ROUND(D1,2)&lt;0.8)</formula>
    </cfRule>
  </conditionalFormatting>
  <conditionalFormatting sqref="D1:E1048576 H1:K1048576 M1:M1048576 O1:O1048576 Q1:Q1048576 S1:S1048576 U1:U1048576">
    <cfRule type="expression" priority="4" aboveAverage="0" equalAverage="0" bottom="0" percent="0" rank="0" text="" dxfId="2">
      <formula>AND(ISNUMBER(D1),OR(ROUND(D1,2)&gt;1,ROUND(D1,2)&lt;0))</formula>
    </cfRule>
  </conditionalFormatting>
  <conditionalFormatting sqref="K1:K1048576">
    <cfRule type="expression" priority="5" aboveAverage="0" equalAverage="0" bottom="0" percent="0" rank="0" text="" dxfId="3">
      <formula>AND(SUM(G1)&gt;0,SUM(K1)=0)</formula>
    </cfRule>
  </conditionalFormatting>
  <conditionalFormatting sqref="I1:I1048576">
    <cfRule type="expression" priority="6" aboveAverage="0" equalAverage="0" bottom="0" percent="0" rank="0" text="" dxfId="4">
      <formula>AND(SUM(F1)&gt;0,SUM(I1)=0)</formula>
    </cfRule>
  </conditionalFormatting>
  <conditionalFormatting sqref="D1:E1048576">
    <cfRule type="expression" priority="7" aboveAverage="0" equalAverage="0" bottom="0" percent="0" rank="0" text="" dxfId="5">
      <formula>AND(ISNUMBER($D1),ROUND($E1,2)&lt;ROUND($D1,2))</formula>
    </cfRule>
  </conditionalFormatting>
  <conditionalFormatting sqref="C1:C1048576 F1:G1048576 L1:L1048576 N1:N1048576 P1:P1048576 R1:R1048576 T1:T1048576 V1:V1048576">
    <cfRule type="expression" priority="8" aboveAverage="0" equalAverage="0" bottom="0" percent="0" rank="0" text="" dxfId="6">
      <formula>AND(ISNUMBER(C1),C1&lt;0)</formula>
    </cfRule>
  </conditionalFormatting>
  <conditionalFormatting sqref="O1:O1048576">
    <cfRule type="expression" priority="9" aboveAverage="0" equalAverage="0" bottom="0" percent="0" rank="0" text="" dxfId="7">
      <formula>AND(ISNUMBER(O1),ROUND(O1,2)&lt;98%)</formula>
    </cfRule>
  </conditionalFormatting>
  <conditionalFormatting sqref="Q1:Q1048576">
    <cfRule type="expression" priority="10" aboveAverage="0" equalAverage="0" bottom="0" percent="0" rank="0" text="" dxfId="8">
      <formula>AND(ISNUMBER(Q1),ROUND(Q1,2)&lt;70%)</formula>
    </cfRule>
  </conditionalFormatting>
  <conditionalFormatting sqref="S1:S1048576">
    <cfRule type="expression" priority="11" aboveAverage="0" equalAverage="0" bottom="0" percent="0" rank="0" text="" dxfId="9">
      <formula>AND(ISNUMBER(S1),ROUND(S1,2)&lt;100%)</formula>
    </cfRule>
  </conditionalFormatting>
  <hyperlinks>
    <hyperlink ref="C3" location="PMTCT!AY:AY" display="Est. # infants born to HIV-positive women (FY23)"/>
    <hyperlink ref="N3" location="Cascade!BL:BL" display="HIV+ infants linked to ART (FY23)"/>
    <hyperlink ref="P3" location="Cascade!BE:BE" display="HIV+ infants retained on ART at end of FY23"/>
    <hyperlink ref="T3" location="Cascade!AZ:BA" display="HIV+ infants tested for VLS (FY23)"/>
    <hyperlink ref="V3" location="Cascade!AU:AU" display="HIV+ infants  Virally Suppressed (FY2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tabColor rgb="FF63BE7B"/>
    <pageSetUpPr fitToPage="false"/>
  </sheetPr>
  <dimension ref="A1:A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G1" activeCellId="1" sqref="A15:E15 G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6" min="6" style="83" width="11.83"/>
    <col collapsed="false" customWidth="true" hidden="false" outlineLevel="0" max="7" min="7" style="168" width="11.83"/>
    <col collapsed="false" customWidth="true" hidden="false" outlineLevel="0" max="8" min="8" style="84" width="11.83"/>
    <col collapsed="false" customWidth="true" hidden="false" outlineLevel="0" max="9" min="9" style="215" width="11.83"/>
    <col collapsed="false" customWidth="true" hidden="false" outlineLevel="0" max="14" min="10" style="168" width="11.83"/>
    <col collapsed="false" customWidth="true" hidden="false" outlineLevel="0" max="18" min="15" style="84" width="11.83"/>
    <col collapsed="false" customWidth="true" hidden="false" outlineLevel="0" max="19" min="19" style="175" width="11.83"/>
    <col collapsed="false" customWidth="true" hidden="false" outlineLevel="0" max="20" min="20" style="176" width="11.83"/>
    <col collapsed="false" customWidth="true" hidden="false" outlineLevel="0" max="21" min="21" style="84" width="11.83"/>
    <col collapsed="false" customWidth="true" hidden="false" outlineLevel="0" max="22" min="22" style="172" width="11.83"/>
    <col collapsed="false" customWidth="true" hidden="false" outlineLevel="0" max="28" min="23" style="168" width="11.83"/>
    <col collapsed="false" customWidth="true" hidden="false" outlineLevel="0" max="1025" min="29" style="25" width="10.83"/>
  </cols>
  <sheetData>
    <row r="1" s="63" customFormat="true" ht="31" hidden="false" customHeight="true" outlineLevel="0" collapsed="false">
      <c r="A1" s="90" t="s">
        <v>486</v>
      </c>
      <c r="B1" s="90"/>
      <c r="C1" s="90"/>
      <c r="D1" s="90"/>
      <c r="E1" s="90"/>
      <c r="F1" s="94" t="s">
        <v>487</v>
      </c>
      <c r="G1" s="93"/>
      <c r="H1" s="94"/>
      <c r="I1" s="92" t="s">
        <v>488</v>
      </c>
      <c r="J1" s="93"/>
      <c r="K1" s="93"/>
      <c r="L1" s="93"/>
      <c r="M1" s="93"/>
      <c r="N1" s="93"/>
      <c r="O1" s="94"/>
      <c r="P1" s="94"/>
      <c r="Q1" s="94"/>
      <c r="R1" s="94"/>
      <c r="S1" s="102" t="s">
        <v>489</v>
      </c>
      <c r="T1" s="100"/>
      <c r="U1" s="94"/>
      <c r="V1" s="103" t="s">
        <v>337</v>
      </c>
      <c r="W1" s="95"/>
      <c r="X1" s="95"/>
      <c r="Y1" s="95"/>
      <c r="Z1" s="95"/>
      <c r="AA1" s="95"/>
      <c r="AB1" s="95"/>
    </row>
    <row r="2" s="123" customFormat="true" ht="20" hidden="false" customHeight="true" outlineLevel="0" collapsed="false">
      <c r="A2" s="223" t="s">
        <v>490</v>
      </c>
      <c r="B2" s="223"/>
      <c r="C2" s="108"/>
      <c r="D2" s="108"/>
      <c r="E2" s="108"/>
      <c r="F2" s="122" t="s">
        <v>70</v>
      </c>
      <c r="G2" s="111" t="s">
        <v>100</v>
      </c>
      <c r="H2" s="226" t="s">
        <v>71</v>
      </c>
      <c r="I2" s="114" t="s">
        <v>70</v>
      </c>
      <c r="J2" s="111" t="s">
        <v>100</v>
      </c>
      <c r="K2" s="111"/>
      <c r="L2" s="111"/>
      <c r="M2" s="111"/>
      <c r="N2" s="111"/>
      <c r="O2" s="226" t="s">
        <v>71</v>
      </c>
      <c r="P2" s="226"/>
      <c r="Q2" s="226"/>
      <c r="R2" s="226"/>
      <c r="S2" s="117" t="s">
        <v>100</v>
      </c>
      <c r="T2" s="118" t="s">
        <v>71</v>
      </c>
      <c r="U2" s="226"/>
      <c r="V2" s="228" t="s">
        <v>101</v>
      </c>
      <c r="W2" s="111"/>
      <c r="X2" s="111"/>
      <c r="Y2" s="111"/>
      <c r="Z2" s="111"/>
      <c r="AA2" s="111"/>
      <c r="AB2" s="111"/>
    </row>
    <row r="3" customFormat="false" ht="117" hidden="false" customHeight="true" outlineLevel="0" collapsed="false">
      <c r="A3" s="223"/>
      <c r="B3" s="223"/>
      <c r="C3" s="124"/>
      <c r="D3" s="124"/>
      <c r="E3" s="124"/>
      <c r="F3" s="143" t="s">
        <v>491</v>
      </c>
      <c r="G3" s="134" t="s">
        <v>492</v>
      </c>
      <c r="H3" s="145" t="s">
        <v>493</v>
      </c>
      <c r="I3" s="130" t="s">
        <v>494</v>
      </c>
      <c r="J3" s="134" t="s">
        <v>495</v>
      </c>
      <c r="K3" s="127" t="s">
        <v>496</v>
      </c>
      <c r="L3" s="134" t="s">
        <v>497</v>
      </c>
      <c r="M3" s="127" t="s">
        <v>498</v>
      </c>
      <c r="N3" s="134" t="s">
        <v>499</v>
      </c>
      <c r="O3" s="233" t="s">
        <v>500</v>
      </c>
      <c r="P3" s="145" t="s">
        <v>501</v>
      </c>
      <c r="Q3" s="146" t="s">
        <v>502</v>
      </c>
      <c r="R3" s="145" t="s">
        <v>503</v>
      </c>
      <c r="S3" s="133" t="s">
        <v>371</v>
      </c>
      <c r="T3" s="236" t="s">
        <v>504</v>
      </c>
      <c r="U3" s="145" t="s">
        <v>505</v>
      </c>
      <c r="V3" s="240" t="s">
        <v>384</v>
      </c>
      <c r="W3" s="231" t="s">
        <v>176</v>
      </c>
      <c r="X3" s="231" t="s">
        <v>173</v>
      </c>
      <c r="Y3" s="231" t="s">
        <v>506</v>
      </c>
      <c r="Z3" s="231" t="s">
        <v>507</v>
      </c>
      <c r="AA3" s="231" t="s">
        <v>177</v>
      </c>
      <c r="AB3" s="231" t="s">
        <v>179</v>
      </c>
    </row>
    <row r="4" customFormat="false" ht="16" hidden="false" customHeight="false" outlineLevel="0" collapsed="false">
      <c r="A4" s="149"/>
      <c r="B4" s="149"/>
      <c r="C4" s="149"/>
      <c r="D4" s="149" t="s">
        <v>75</v>
      </c>
      <c r="E4" s="149"/>
      <c r="F4" s="163" t="n">
        <f aca="false">SUBTOTAL(109,F$15:INDEX(F:F,COUNTA($B:$B)+14-COUNTA($B$1:$B$14)))</f>
        <v>0</v>
      </c>
      <c r="G4" s="152" t="str">
        <f aca="false">IF(SUM($F$4)=0,"",SUM($H$4)/SUM($F$4)-1)</f>
        <v/>
      </c>
      <c r="H4" s="164" t="n">
        <f aca="false">SUBTOTAL(109,H$15:INDEX(H:H,COUNTA($B:$B)+14-COUNTA($B$1:$B$14)))</f>
        <v>0</v>
      </c>
      <c r="I4" s="155" t="n">
        <f aca="false">SUBTOTAL(109,I$15:INDEX(I:I,COUNTA($B:$B)+14-COUNTA($B$1:$B$14)))</f>
        <v>0</v>
      </c>
      <c r="J4" s="152" t="str">
        <f aca="false">IF(SUM($H$4)=0,"",SUM($O$4)/$H$4)</f>
        <v/>
      </c>
      <c r="K4" s="152"/>
      <c r="L4" s="152" t="str">
        <f aca="false">IF(SUM($O$4)=0,"",SUM($P$4)/$O$4)</f>
        <v/>
      </c>
      <c r="M4" s="152"/>
      <c r="N4" s="152" t="str">
        <f aca="false">IF(SUM($O$4,$P$4)=0,"",SUM($Q$4)/(SUM($O$4)-SUM($P$4)))</f>
        <v/>
      </c>
      <c r="O4" s="164" t="n">
        <f aca="false">SUBTOTAL(109,O$15:INDEX($O:$O,COUNTA($B:$B)+14-COUNTA($B$1:$B$14)))</f>
        <v>0</v>
      </c>
      <c r="P4" s="164" t="n">
        <f aca="false">SUBTOTAL(109,P$15:INDEX(P:P,COUNTA($B:$B)+14-COUNTA($B$1:$B$14)))</f>
        <v>0</v>
      </c>
      <c r="Q4" s="164" t="n">
        <f aca="false">SUBTOTAL(109,Q$15:INDEX(Q:Q,COUNTA($B:$B)+14-COUNTA($B$1:$B$14)))</f>
        <v>0</v>
      </c>
      <c r="R4" s="164" t="n">
        <f aca="false">SUBTOTAL(109,R$15:INDEX(R:R,COUNTA($B:$B)+14-COUNTA($B$1:$B$14)))</f>
        <v>0</v>
      </c>
      <c r="S4" s="158" t="str">
        <f aca="false">IF(SUM($Q$4)=0,"",SUM($U$4)/$Q$4)</f>
        <v/>
      </c>
      <c r="T4" s="159" t="n">
        <f aca="false">SUBTOTAL(109,T$15:INDEX(T:T,COUNTA($B:$B)+14-COUNTA($B$1:$B$14)))</f>
        <v>0</v>
      </c>
      <c r="U4" s="164" t="n">
        <f aca="false">SUBTOTAL(109,U$15:INDEX(U:U,COUNTA($B:$B)+14-COUNTA($B$1:$B$14)))</f>
        <v>0</v>
      </c>
      <c r="V4" s="265" t="n">
        <f aca="false">SUBTOTAL(109,V$15:INDEX(V:V,COUNTA($B:$B)+14-COUNTA($B$1:$B$14)))</f>
        <v>0</v>
      </c>
      <c r="W4" s="152" t="e">
        <f aca="false">$Q$4/$V$4</f>
        <v>#DIV/0!</v>
      </c>
      <c r="X4" s="152"/>
      <c r="Y4" s="152"/>
      <c r="Z4" s="152"/>
      <c r="AA4" s="152"/>
      <c r="AB4" s="152"/>
    </row>
    <row r="5" customFormat="false" ht="16" hidden="false" customHeight="true" outlineLevel="0" collapsed="false">
      <c r="A5" s="165" t="s">
        <v>76</v>
      </c>
      <c r="B5" s="165" t="s">
        <v>76</v>
      </c>
      <c r="C5" s="165" t="s">
        <v>76</v>
      </c>
      <c r="D5" s="165" t="s">
        <v>76</v>
      </c>
      <c r="E5" s="165" t="s">
        <v>76</v>
      </c>
      <c r="F5" s="83" t="s">
        <v>190</v>
      </c>
      <c r="G5" s="168" t="s">
        <v>76</v>
      </c>
      <c r="H5" s="84" t="s">
        <v>190</v>
      </c>
      <c r="I5" s="215" t="s">
        <v>190</v>
      </c>
      <c r="J5" s="168" t="s">
        <v>76</v>
      </c>
      <c r="K5" s="168" t="s">
        <v>76</v>
      </c>
      <c r="L5" s="168" t="s">
        <v>76</v>
      </c>
      <c r="M5" s="168" t="s">
        <v>76</v>
      </c>
      <c r="N5" s="168" t="s">
        <v>76</v>
      </c>
      <c r="O5" s="84" t="s">
        <v>76</v>
      </c>
      <c r="P5" s="84" t="s">
        <v>190</v>
      </c>
      <c r="Q5" s="84" t="s">
        <v>190</v>
      </c>
      <c r="R5" s="84" t="s">
        <v>190</v>
      </c>
      <c r="S5" s="175" t="s">
        <v>76</v>
      </c>
      <c r="T5" s="176" t="s">
        <v>190</v>
      </c>
      <c r="U5" s="84" t="s">
        <v>190</v>
      </c>
      <c r="V5" s="172" t="s">
        <v>76</v>
      </c>
      <c r="W5" s="168" t="s">
        <v>76</v>
      </c>
      <c r="X5" s="168" t="s">
        <v>76</v>
      </c>
      <c r="Y5" s="168" t="s">
        <v>76</v>
      </c>
      <c r="Z5" s="168" t="s">
        <v>76</v>
      </c>
      <c r="AA5" s="168" t="s">
        <v>76</v>
      </c>
      <c r="AB5" s="168" t="s">
        <v>76</v>
      </c>
    </row>
    <row r="6" customFormat="false" ht="16" hidden="false" customHeight="true" outlineLevel="0" collapsed="false">
      <c r="A6" s="165" t="s">
        <v>78</v>
      </c>
      <c r="B6" s="165" t="s">
        <v>78</v>
      </c>
      <c r="C6" s="165" t="s">
        <v>78</v>
      </c>
      <c r="D6" s="165" t="s">
        <v>78</v>
      </c>
      <c r="E6" s="165" t="s">
        <v>78</v>
      </c>
      <c r="F6" s="83" t="s">
        <v>79</v>
      </c>
      <c r="G6" s="168" t="s">
        <v>193</v>
      </c>
      <c r="H6" s="84" t="s">
        <v>80</v>
      </c>
      <c r="I6" s="215" t="s">
        <v>79</v>
      </c>
      <c r="J6" s="168" t="s">
        <v>193</v>
      </c>
      <c r="K6" s="168" t="s">
        <v>192</v>
      </c>
      <c r="L6" s="168" t="s">
        <v>193</v>
      </c>
      <c r="M6" s="168" t="s">
        <v>192</v>
      </c>
      <c r="N6" s="168" t="s">
        <v>193</v>
      </c>
      <c r="O6" s="84" t="s">
        <v>81</v>
      </c>
      <c r="P6" s="84" t="s">
        <v>80</v>
      </c>
      <c r="Q6" s="84" t="s">
        <v>80</v>
      </c>
      <c r="R6" s="84" t="s">
        <v>80</v>
      </c>
      <c r="S6" s="175" t="s">
        <v>81</v>
      </c>
      <c r="T6" s="176" t="s">
        <v>80</v>
      </c>
      <c r="U6" s="84" t="s">
        <v>80</v>
      </c>
      <c r="V6" s="172" t="s">
        <v>81</v>
      </c>
      <c r="W6" s="168" t="s">
        <v>81</v>
      </c>
      <c r="X6" s="168" t="s">
        <v>81</v>
      </c>
      <c r="Y6" s="168" t="s">
        <v>81</v>
      </c>
      <c r="Z6" s="168" t="s">
        <v>81</v>
      </c>
      <c r="AA6" s="168" t="s">
        <v>81</v>
      </c>
      <c r="AB6" s="168" t="s">
        <v>81</v>
      </c>
    </row>
    <row r="7" customFormat="false" ht="16" hidden="false" customHeight="false" outlineLevel="0" collapsed="false">
      <c r="A7" s="165" t="s">
        <v>82</v>
      </c>
      <c r="B7" s="165" t="s">
        <v>82</v>
      </c>
      <c r="C7" s="165" t="s">
        <v>82</v>
      </c>
      <c r="D7" s="165" t="s">
        <v>82</v>
      </c>
      <c r="E7" s="165" t="s">
        <v>82</v>
      </c>
      <c r="F7" s="83" t="s">
        <v>83</v>
      </c>
      <c r="G7" s="168" t="s">
        <v>194</v>
      </c>
      <c r="H7" s="84" t="s">
        <v>83</v>
      </c>
      <c r="I7" s="215" t="s">
        <v>83</v>
      </c>
      <c r="J7" s="168" t="s">
        <v>194</v>
      </c>
      <c r="K7" s="168" t="s">
        <v>194</v>
      </c>
      <c r="L7" s="168" t="s">
        <v>194</v>
      </c>
      <c r="M7" s="168" t="s">
        <v>194</v>
      </c>
      <c r="N7" s="168" t="s">
        <v>194</v>
      </c>
      <c r="O7" s="84" t="s">
        <v>83</v>
      </c>
      <c r="P7" s="84" t="s">
        <v>83</v>
      </c>
      <c r="Q7" s="84" t="s">
        <v>83</v>
      </c>
      <c r="R7" s="84" t="s">
        <v>83</v>
      </c>
      <c r="S7" s="175" t="s">
        <v>194</v>
      </c>
      <c r="T7" s="176" t="s">
        <v>83</v>
      </c>
      <c r="U7" s="84" t="s">
        <v>83</v>
      </c>
      <c r="V7" s="172" t="s">
        <v>83</v>
      </c>
      <c r="W7" s="168" t="s">
        <v>194</v>
      </c>
      <c r="X7" s="168" t="s">
        <v>194</v>
      </c>
      <c r="Y7" s="168" t="s">
        <v>194</v>
      </c>
      <c r="Z7" s="168" t="s">
        <v>194</v>
      </c>
      <c r="AA7" s="168" t="s">
        <v>194</v>
      </c>
      <c r="AB7" s="168" t="s">
        <v>194</v>
      </c>
    </row>
    <row r="8" customFormat="false" ht="16" hidden="false" customHeight="false" outlineLevel="0" collapsed="false">
      <c r="F8" s="266" t="s">
        <v>508</v>
      </c>
      <c r="H8" s="246" t="s">
        <v>508</v>
      </c>
      <c r="I8" s="267" t="s">
        <v>509</v>
      </c>
      <c r="P8" s="246" t="s">
        <v>509</v>
      </c>
      <c r="Q8" s="246" t="s">
        <v>509</v>
      </c>
      <c r="R8" s="246" t="s">
        <v>509</v>
      </c>
      <c r="T8" s="249" t="s">
        <v>510</v>
      </c>
      <c r="U8" s="246" t="s">
        <v>510</v>
      </c>
      <c r="V8" s="186"/>
    </row>
    <row r="9" customFormat="false" ht="16" hidden="false" customHeight="false" outlineLevel="0" collapsed="false">
      <c r="F9" s="266" t="s">
        <v>511</v>
      </c>
      <c r="H9" s="246" t="s">
        <v>511</v>
      </c>
      <c r="I9" s="267" t="s">
        <v>512</v>
      </c>
      <c r="P9" s="246" t="s">
        <v>512</v>
      </c>
      <c r="Q9" s="246" t="s">
        <v>512</v>
      </c>
      <c r="R9" s="246" t="s">
        <v>512</v>
      </c>
      <c r="T9" s="249" t="s">
        <v>513</v>
      </c>
      <c r="U9" s="246" t="s">
        <v>513</v>
      </c>
      <c r="V9" s="186"/>
    </row>
    <row r="10" customFormat="false" ht="16" hidden="false" customHeight="false" outlineLevel="0" collapsed="false">
      <c r="F10" s="266"/>
      <c r="H10" s="246"/>
      <c r="I10" s="267" t="s">
        <v>222</v>
      </c>
      <c r="P10" s="246" t="s">
        <v>398</v>
      </c>
      <c r="Q10" s="246" t="s">
        <v>222</v>
      </c>
      <c r="R10" s="246" t="s">
        <v>223</v>
      </c>
      <c r="T10" s="249" t="s">
        <v>399</v>
      </c>
      <c r="U10" s="246" t="s">
        <v>400</v>
      </c>
    </row>
    <row r="11" customFormat="false" ht="16" hidden="false" customHeight="false" outlineLevel="0" collapsed="false">
      <c r="F11" s="83" t="s">
        <v>226</v>
      </c>
      <c r="G11" s="168" t="s">
        <v>226</v>
      </c>
      <c r="H11" s="84" t="s">
        <v>226</v>
      </c>
      <c r="I11" s="215" t="s">
        <v>226</v>
      </c>
      <c r="J11" s="168" t="s">
        <v>226</v>
      </c>
      <c r="K11" s="168" t="s">
        <v>226</v>
      </c>
      <c r="L11" s="168" t="s">
        <v>226</v>
      </c>
      <c r="M11" s="168" t="s">
        <v>226</v>
      </c>
      <c r="N11" s="168" t="s">
        <v>226</v>
      </c>
      <c r="O11" s="84" t="s">
        <v>226</v>
      </c>
      <c r="P11" s="84" t="s">
        <v>226</v>
      </c>
      <c r="Q11" s="84" t="s">
        <v>226</v>
      </c>
      <c r="R11" s="84" t="s">
        <v>226</v>
      </c>
      <c r="S11" s="175" t="s">
        <v>226</v>
      </c>
      <c r="T11" s="176" t="s">
        <v>226</v>
      </c>
      <c r="U11" s="84" t="s">
        <v>226</v>
      </c>
      <c r="V11" s="172" t="s">
        <v>226</v>
      </c>
      <c r="W11" s="168" t="s">
        <v>226</v>
      </c>
      <c r="X11" s="168" t="s">
        <v>226</v>
      </c>
      <c r="Y11" s="168" t="s">
        <v>227</v>
      </c>
      <c r="Z11" s="168" t="s">
        <v>227</v>
      </c>
      <c r="AA11" s="168" t="s">
        <v>228</v>
      </c>
      <c r="AB11" s="168" t="s">
        <v>226</v>
      </c>
    </row>
    <row r="12" customFormat="false" ht="16" hidden="false" customHeight="false" outlineLevel="0" collapsed="false">
      <c r="F12" s="83" t="s">
        <v>229</v>
      </c>
      <c r="G12" s="168" t="s">
        <v>229</v>
      </c>
      <c r="H12" s="84" t="s">
        <v>229</v>
      </c>
      <c r="I12" s="215" t="s">
        <v>229</v>
      </c>
      <c r="J12" s="168" t="s">
        <v>229</v>
      </c>
      <c r="K12" s="168" t="s">
        <v>229</v>
      </c>
      <c r="L12" s="168" t="s">
        <v>229</v>
      </c>
      <c r="M12" s="168" t="s">
        <v>229</v>
      </c>
      <c r="N12" s="168" t="s">
        <v>229</v>
      </c>
      <c r="O12" s="84" t="s">
        <v>229</v>
      </c>
      <c r="P12" s="84" t="s">
        <v>229</v>
      </c>
      <c r="Q12" s="84" t="s">
        <v>229</v>
      </c>
      <c r="R12" s="84" t="s">
        <v>229</v>
      </c>
      <c r="S12" s="175" t="s">
        <v>229</v>
      </c>
      <c r="T12" s="176" t="s">
        <v>229</v>
      </c>
      <c r="U12" s="84" t="s">
        <v>229</v>
      </c>
      <c r="V12" s="172" t="s">
        <v>229</v>
      </c>
      <c r="W12" s="168" t="s">
        <v>229</v>
      </c>
      <c r="X12" s="168" t="s">
        <v>229</v>
      </c>
      <c r="Y12" s="168" t="s">
        <v>230</v>
      </c>
      <c r="Z12" s="168" t="s">
        <v>230</v>
      </c>
      <c r="AA12" s="168" t="s">
        <v>231</v>
      </c>
      <c r="AB12" s="168" t="s">
        <v>229</v>
      </c>
    </row>
    <row r="14" customFormat="false" ht="16" hidden="false" customHeight="false" outlineLevel="0" collapsed="false">
      <c r="A14" s="79" t="s">
        <v>85</v>
      </c>
      <c r="B14" s="79" t="s">
        <v>86</v>
      </c>
      <c r="C14" s="79" t="s">
        <v>232</v>
      </c>
      <c r="D14" s="79" t="s">
        <v>233</v>
      </c>
      <c r="E14" s="79" t="s">
        <v>42</v>
      </c>
      <c r="F14" s="199" t="s">
        <v>514</v>
      </c>
      <c r="G14" s="195" t="s">
        <v>515</v>
      </c>
      <c r="H14" s="196" t="s">
        <v>516</v>
      </c>
      <c r="I14" s="200" t="s">
        <v>517</v>
      </c>
      <c r="J14" s="195" t="s">
        <v>518</v>
      </c>
      <c r="K14" s="195" t="s">
        <v>519</v>
      </c>
      <c r="L14" s="195" t="s">
        <v>520</v>
      </c>
      <c r="M14" s="195" t="s">
        <v>521</v>
      </c>
      <c r="N14" s="195" t="s">
        <v>522</v>
      </c>
      <c r="O14" s="196" t="s">
        <v>523</v>
      </c>
      <c r="P14" s="196" t="s">
        <v>524</v>
      </c>
      <c r="Q14" s="196" t="s">
        <v>309</v>
      </c>
      <c r="R14" s="196" t="s">
        <v>525</v>
      </c>
      <c r="S14" s="206" t="s">
        <v>526</v>
      </c>
      <c r="T14" s="196" t="s">
        <v>527</v>
      </c>
      <c r="U14" s="196" t="s">
        <v>528</v>
      </c>
      <c r="V14" s="200" t="s">
        <v>441</v>
      </c>
      <c r="W14" s="195" t="s">
        <v>316</v>
      </c>
      <c r="X14" s="195" t="s">
        <v>313</v>
      </c>
      <c r="Y14" s="195" t="s">
        <v>314</v>
      </c>
      <c r="Z14" s="195" t="s">
        <v>315</v>
      </c>
      <c r="AA14" s="195" t="s">
        <v>317</v>
      </c>
      <c r="AB14" s="195" t="s">
        <v>319</v>
      </c>
    </row>
    <row r="15" customFormat="false" ht="16" hidden="false" customHeight="false" outlineLevel="0" collapsed="false">
      <c r="E15" s="165" t="str">
        <f aca="false">B15&amp;"|"&amp;C15&amp;"|"&amp;D15</f>
        <v>||</v>
      </c>
      <c r="G15" s="168" t="n">
        <v>0</v>
      </c>
      <c r="H15" s="84" t="n">
        <f aca="false">SUM($F15)*(1+$G15)</f>
        <v>0</v>
      </c>
      <c r="J15" s="168" t="n">
        <v>1</v>
      </c>
      <c r="L15" s="168" t="str">
        <f aca="false">IF(SUM($K15)=0,"",$K15)</f>
        <v/>
      </c>
      <c r="N15" s="168" t="str">
        <f aca="false">IF(SUM($M15)=0,"",$M15)</f>
        <v/>
      </c>
      <c r="O15" s="84" t="n">
        <f aca="false">ROUND($H15*$J15,0)</f>
        <v>0</v>
      </c>
      <c r="P15" s="84" t="n">
        <f aca="false">IF(SUM($O15)=0,0,ROUND($O15*$L15,0))</f>
        <v>0</v>
      </c>
      <c r="Q15" s="84" t="n">
        <f aca="false">IF(SUM($O15)=0,0,ROUND(($O15-$P15)*$N15,0))</f>
        <v>0</v>
      </c>
      <c r="R15" s="84" t="n">
        <f aca="false">IF(SUM($O15)=0,0,$O15-$P15-$Q15)</f>
        <v>0</v>
      </c>
      <c r="S15" s="175" t="str">
        <f aca="false">IF(SUM($Q15)=0,"",IFERROR(1/(1/INDEX(Cascade!$BC:$BC,MATCH($E15,Cascade!$E:$E,0))),""))</f>
        <v/>
      </c>
      <c r="T15" s="176" t="n">
        <f aca="false">$P15</f>
        <v>0</v>
      </c>
      <c r="U15" s="84" t="n">
        <f aca="false">IF(SUM($Q15)=0,0,ROUND($Q15*$S15,0))</f>
        <v>0</v>
      </c>
      <c r="V15" s="172" t="str">
        <f aca="false">_xlfn.IFNA(INDEX(Cascade!$BZ:$BZ,MATCH($E15,Cascade!$E:$E,0)),"")</f>
        <v/>
      </c>
      <c r="W15" s="168" t="str">
        <f aca="false">IF(SUM($Q15)=0,"",$Q15/$V15)</f>
        <v/>
      </c>
      <c r="X15" s="168" t="str">
        <f aca="false">_xlfn.IFNA(INDEX(Cascade!$CH:$CH,MATCH($E15,Cascade!$E:$E,0)),"")</f>
        <v/>
      </c>
      <c r="Y15" s="168" t="str">
        <f aca="false">_xlfn.IFNA(INDEX(Cascade!$CI:$CI,MATCH($E15,Cascade!$E:$E,0)),"")</f>
        <v/>
      </c>
      <c r="Z15" s="168" t="str">
        <f aca="false">_xlfn.IFNA(INDEX(Cascade!$CJ:$CJ,MATCH($E15,Cascade!$E:$E,0)),"")</f>
        <v/>
      </c>
      <c r="AA15" s="168" t="str">
        <f aca="false">_xlfn.IFNA(INDEX(Cascade!$CL:$CL,MATCH($E15,Cascade!$E:$E,0)),"")</f>
        <v/>
      </c>
      <c r="AB15" s="168" t="str">
        <f aca="false">_xlfn.IFNA(INDEX(Cascade!$CN:$CN,MATCH($E15,Cascade!$E:$E,0)),"")</f>
        <v/>
      </c>
    </row>
  </sheetData>
  <mergeCells count="1">
    <mergeCell ref="A2:B3"/>
  </mergeCells>
  <conditionalFormatting sqref="G1:G1048576">
    <cfRule type="expression" priority="2" aboveAverage="0" equalAverage="0" bottom="0" percent="0" rank="0" text="" dxfId="0">
      <formula>AND(ISNUMBER(G1),G1&lt;&gt;0)</formula>
    </cfRule>
  </conditionalFormatting>
  <conditionalFormatting sqref="Q1:Q1048576">
    <cfRule type="expression" priority="3" aboveAverage="0" equalAverage="0" bottom="0" percent="0" rank="0" text="" dxfId="1">
      <formula>AND(ISNUMBER($Q1),ROUND(SUM($Q1),2)&gt;ROUND(SUM($I1),2))</formula>
    </cfRule>
  </conditionalFormatting>
  <conditionalFormatting sqref="J1:J1048576">
    <cfRule type="expression" priority="4" aboveAverage="0" equalAverage="0" bottom="0" percent="0" rank="0" text="" dxfId="2">
      <formula>AND(ISNUMBER($J1),SUM($J1)&lt;1)</formula>
    </cfRule>
  </conditionalFormatting>
  <conditionalFormatting sqref="S1:S1048576">
    <cfRule type="expression" priority="5" aboveAverage="0" equalAverage="0" bottom="0" percent="0" rank="0" text="" dxfId="3">
      <formula>AND(ISNUMBER(S1),S1&lt;0.95)</formula>
    </cfRule>
  </conditionalFormatting>
  <conditionalFormatting sqref="Y1:Z1048576">
    <cfRule type="expression" priority="6" aboveAverage="0" equalAverage="0" bottom="0" percent="0" rank="0" text="" dxfId="4">
      <formula>AND(ROW(Y1)&gt;14,$B1&lt;&gt;"",$D1&lt;&gt;"Female")</formula>
    </cfRule>
    <cfRule type="expression" priority="7" aboveAverage="0" equalAverage="0" bottom="0" percent="0" rank="0" text="" dxfId="5">
      <formula>AND(ROW(Y1)&gt;14,$B1&lt;&gt;"",OR($C1="&lt;01",$C1="01-04",$C1="05-09"))</formula>
    </cfRule>
  </conditionalFormatting>
  <conditionalFormatting sqref="AA1:AA1048576">
    <cfRule type="expression" priority="8" aboveAverage="0" equalAverage="0" bottom="0" percent="0" rank="0" text="" dxfId="6">
      <formula>AND(ROW(AA1)&gt;14,$B1&lt;&gt;"",OR($C1="&lt;01",$C1="01-04",$C1="05-09",$C1="10-14"))</formula>
    </cfRule>
    <cfRule type="expression" priority="9" aboveAverage="0" equalAverage="0" bottom="0" percent="0" rank="0" text="" dxfId="7">
      <formula>AND(ROW(AA1)&gt;14,$B1&lt;&gt;"",$D1&lt;&gt;"Male")</formula>
    </cfRule>
  </conditionalFormatting>
  <conditionalFormatting sqref="V1:AB1048576">
    <cfRule type="expression" priority="10" aboveAverage="0" equalAverage="0" bottom="0" percent="0" rank="0" text="" dxfId="8">
      <formula>AND(ROW($AB1)&gt;14,$AB1&lt;0)</formula>
    </cfRule>
  </conditionalFormatting>
  <conditionalFormatting sqref="J1:N1048576 S1:S1048576 W1:AB1048576">
    <cfRule type="expression" priority="11" aboveAverage="0" equalAverage="0" bottom="0" percent="0" rank="0" text="" dxfId="9">
      <formula>AND(ISNUMBER(J1),OR(ROUND(J1,2)&gt;1,ROUND(J1,2)&lt;0))</formula>
    </cfRule>
  </conditionalFormatting>
  <conditionalFormatting sqref="N1:N1048576">
    <cfRule type="expression" priority="12" aboveAverage="0" equalAverage="0" bottom="0" percent="0" rank="0" text="" dxfId="10">
      <formula>AND(ROW($N1)&gt;14,$N1="",SUM($O1)&gt;0)</formula>
    </cfRule>
    <cfRule type="expression" priority="13" aboveAverage="0" equalAverage="0" bottom="0" percent="0" rank="0" text="" dxfId="11">
      <formula>AND(ISNUMBER($N1),SUM($N1)&gt;10%)</formula>
    </cfRule>
  </conditionalFormatting>
  <conditionalFormatting sqref="L1:L1048576">
    <cfRule type="expression" priority="14" aboveAverage="0" equalAverage="0" bottom="0" percent="0" rank="0" text="" dxfId="12">
      <formula>AND(ROW($L1)&gt;14,$L1="",SUM($O1)&gt;0)</formula>
    </cfRule>
    <cfRule type="expression" priority="15" aboveAverage="0" equalAverage="0" bottom="0" percent="0" rank="0" text="" dxfId="13">
      <formula>AND(ISNUMBER($L1),ROUND(SUM($L1),2)&gt;=0.75)</formula>
    </cfRule>
  </conditionalFormatting>
  <conditionalFormatting sqref="F1:F1048576 H1:I1048576 O1:R1048576 T1:U1048576">
    <cfRule type="expression" priority="16" aboveAverage="0" equalAverage="0" bottom="0" percent="0" rank="0" text="" dxfId="14">
      <formula>AND(ISNUMBER(F1),F1&lt;0)</formula>
    </cfRule>
  </conditionalFormatting>
  <hyperlinks>
    <hyperlink ref="Q3" location="Cascade!BS:BS" display="Newly Tested, Positive"/>
    <hyperlink ref="V3" location="Cascade!BO:BO" display="Total HTS_TST_POS (FY23)"/>
    <hyperlink ref="W3" location="TB!P:P" display="Total Positives from TB_STAT (FY23) (%)"/>
    <hyperlink ref="X3" location="Cascade!BW:BW" display="Total Positives from HTS_INDEX (FY23) (%)"/>
    <hyperlink ref="Y3" location="Cascade!BX:BX" display="Total Positives from PMTCT_STAT (FY23) (%)"/>
    <hyperlink ref="Z3" location="Cascade!BY:BY" display="Total Positives from Post ANC1 (FY23) (%)"/>
    <hyperlink ref="AA3" location="Cascade!CA:CA" display="Total Positives from VMMC (FY23) (%)"/>
    <hyperlink ref="AB3" location="Cascade!CC:CC" display="Total Positives from All Other Modalities (FY23)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tabColor rgb="FF63BE7B"/>
    <pageSetUpPr fitToPage="false"/>
  </sheetPr>
  <dimension ref="A1:A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G15" activePane="bottomRight" state="frozen"/>
      <selection pane="topLeft" activeCell="A1" activeCellId="0" sqref="A1"/>
      <selection pane="topRight" activeCell="G1" activeCellId="0" sqref="G1"/>
      <selection pane="bottomLeft" activeCell="A15" activeCellId="0" sqref="A15"/>
      <selection pane="bottomRight" activeCell="V1" activeCellId="1" sqref="A15:E15 V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7" min="6" style="84" width="11.83"/>
    <col collapsed="false" customWidth="true" hidden="false" outlineLevel="0" max="8" min="8" style="179" width="11.83"/>
    <col collapsed="false" customWidth="true" hidden="false" outlineLevel="0" max="9" min="9" style="84" width="11.83"/>
    <col collapsed="false" customWidth="true" hidden="false" outlineLevel="0" max="11" min="10" style="179" width="11.83"/>
    <col collapsed="false" customWidth="true" hidden="false" outlineLevel="0" max="12" min="12" style="176" width="11.83"/>
    <col collapsed="false" customWidth="true" hidden="false" outlineLevel="0" max="13" min="13" style="84" width="11.83"/>
    <col collapsed="false" customWidth="true" hidden="false" outlineLevel="0" max="15" min="14" style="168" width="11.83"/>
    <col collapsed="false" customWidth="true" hidden="false" outlineLevel="0" max="17" min="16" style="171" width="11.83"/>
    <col collapsed="false" customWidth="true" hidden="false" outlineLevel="0" max="18" min="18" style="167" width="11.83"/>
    <col collapsed="false" customWidth="true" hidden="false" outlineLevel="0" max="19" min="19" style="83" width="11.83"/>
    <col collapsed="false" customWidth="true" hidden="false" outlineLevel="0" max="26" min="20" style="168" width="11.83"/>
    <col collapsed="false" customWidth="true" hidden="false" outlineLevel="0" max="30" min="27" style="84" width="11.83"/>
    <col collapsed="false" customWidth="true" hidden="false" outlineLevel="0" max="31" min="31" style="175" width="11.83"/>
    <col collapsed="false" customWidth="true" hidden="false" outlineLevel="0" max="32" min="32" style="84" width="11.83"/>
    <col collapsed="false" customWidth="true" hidden="false" outlineLevel="0" max="33" min="33" style="172" width="11.83"/>
    <col collapsed="false" customWidth="true" hidden="false" outlineLevel="0" max="37" min="34" style="168" width="11.83"/>
    <col collapsed="false" customWidth="true" hidden="false" outlineLevel="0" max="1025" min="38" style="25" width="10.83"/>
  </cols>
  <sheetData>
    <row r="1" s="63" customFormat="true" ht="31" hidden="false" customHeight="true" outlineLevel="0" collapsed="false">
      <c r="A1" s="90" t="s">
        <v>529</v>
      </c>
      <c r="B1" s="90"/>
      <c r="C1" s="90"/>
      <c r="D1" s="90"/>
      <c r="E1" s="90"/>
      <c r="F1" s="103" t="s">
        <v>530</v>
      </c>
      <c r="G1" s="100"/>
      <c r="H1" s="93"/>
      <c r="I1" s="100"/>
      <c r="J1" s="93"/>
      <c r="K1" s="95"/>
      <c r="L1" s="100"/>
      <c r="M1" s="94"/>
      <c r="N1" s="93"/>
      <c r="O1" s="93"/>
      <c r="P1" s="98"/>
      <c r="Q1" s="98"/>
      <c r="R1" s="103" t="s">
        <v>531</v>
      </c>
      <c r="S1" s="106"/>
      <c r="T1" s="95"/>
      <c r="U1" s="95"/>
      <c r="V1" s="95"/>
      <c r="W1" s="95"/>
      <c r="X1" s="95"/>
      <c r="Y1" s="95"/>
      <c r="Z1" s="95"/>
      <c r="AA1" s="94"/>
      <c r="AB1" s="94"/>
      <c r="AC1" s="94"/>
      <c r="AD1" s="94"/>
      <c r="AE1" s="102" t="s">
        <v>532</v>
      </c>
      <c r="AF1" s="94"/>
      <c r="AG1" s="103" t="s">
        <v>337</v>
      </c>
      <c r="AH1" s="95"/>
      <c r="AI1" s="95"/>
      <c r="AJ1" s="95"/>
      <c r="AK1" s="95"/>
    </row>
    <row r="2" s="123" customFormat="true" ht="19" hidden="false" customHeight="true" outlineLevel="0" collapsed="false">
      <c r="A2" s="223" t="s">
        <v>533</v>
      </c>
      <c r="B2" s="223"/>
      <c r="C2" s="108"/>
      <c r="D2" s="108"/>
      <c r="E2" s="108"/>
      <c r="F2" s="228" t="s">
        <v>70</v>
      </c>
      <c r="G2" s="115"/>
      <c r="H2" s="111"/>
      <c r="I2" s="115"/>
      <c r="J2" s="111"/>
      <c r="K2" s="111"/>
      <c r="L2" s="118"/>
      <c r="M2" s="226"/>
      <c r="N2" s="111"/>
      <c r="O2" s="111" t="s">
        <v>100</v>
      </c>
      <c r="P2" s="112" t="s">
        <v>71</v>
      </c>
      <c r="Q2" s="112"/>
      <c r="R2" s="228" t="s">
        <v>70</v>
      </c>
      <c r="S2" s="122"/>
      <c r="T2" s="111"/>
      <c r="U2" s="111" t="s">
        <v>100</v>
      </c>
      <c r="V2" s="111" t="s">
        <v>534</v>
      </c>
      <c r="W2" s="111"/>
      <c r="X2" s="111"/>
      <c r="Y2" s="111"/>
      <c r="Z2" s="111"/>
      <c r="AA2" s="226" t="s">
        <v>71</v>
      </c>
      <c r="AB2" s="226"/>
      <c r="AC2" s="226"/>
      <c r="AD2" s="226"/>
      <c r="AE2" s="117" t="s">
        <v>70</v>
      </c>
      <c r="AF2" s="226"/>
      <c r="AG2" s="228" t="s">
        <v>101</v>
      </c>
      <c r="AH2" s="111"/>
      <c r="AI2" s="111"/>
      <c r="AJ2" s="111"/>
      <c r="AK2" s="111"/>
    </row>
    <row r="3" customFormat="false" ht="117" hidden="false" customHeight="true" outlineLevel="0" collapsed="false">
      <c r="A3" s="223"/>
      <c r="B3" s="223"/>
      <c r="C3" s="124"/>
      <c r="D3" s="124"/>
      <c r="E3" s="124"/>
      <c r="F3" s="229" t="s">
        <v>535</v>
      </c>
      <c r="G3" s="229" t="s">
        <v>340</v>
      </c>
      <c r="H3" s="231" t="s">
        <v>341</v>
      </c>
      <c r="I3" s="229" t="s">
        <v>342</v>
      </c>
      <c r="J3" s="231" t="s">
        <v>343</v>
      </c>
      <c r="K3" s="231" t="s">
        <v>344</v>
      </c>
      <c r="L3" s="268" t="s">
        <v>536</v>
      </c>
      <c r="M3" s="268" t="s">
        <v>537</v>
      </c>
      <c r="N3" s="127" t="s">
        <v>538</v>
      </c>
      <c r="O3" s="134" t="s">
        <v>539</v>
      </c>
      <c r="P3" s="138" t="s">
        <v>540</v>
      </c>
      <c r="Q3" s="138" t="s">
        <v>541</v>
      </c>
      <c r="R3" s="269" t="s">
        <v>542</v>
      </c>
      <c r="S3" s="143" t="s">
        <v>543</v>
      </c>
      <c r="T3" s="127" t="s">
        <v>544</v>
      </c>
      <c r="U3" s="134" t="s">
        <v>545</v>
      </c>
      <c r="V3" s="134" t="s">
        <v>546</v>
      </c>
      <c r="W3" s="127" t="s">
        <v>547</v>
      </c>
      <c r="X3" s="134" t="s">
        <v>548</v>
      </c>
      <c r="Y3" s="127" t="s">
        <v>549</v>
      </c>
      <c r="Z3" s="134" t="s">
        <v>499</v>
      </c>
      <c r="AA3" s="145" t="s">
        <v>550</v>
      </c>
      <c r="AB3" s="145" t="s">
        <v>551</v>
      </c>
      <c r="AC3" s="146" t="s">
        <v>552</v>
      </c>
      <c r="AD3" s="145" t="s">
        <v>553</v>
      </c>
      <c r="AE3" s="133" t="s">
        <v>371</v>
      </c>
      <c r="AF3" s="145" t="s">
        <v>554</v>
      </c>
      <c r="AG3" s="240" t="s">
        <v>384</v>
      </c>
      <c r="AH3" s="231" t="s">
        <v>555</v>
      </c>
      <c r="AI3" s="231" t="s">
        <v>173</v>
      </c>
      <c r="AJ3" s="231" t="s">
        <v>176</v>
      </c>
      <c r="AK3" s="231" t="s">
        <v>179</v>
      </c>
    </row>
    <row r="4" customFormat="false" ht="16" hidden="false" customHeight="false" outlineLevel="0" collapsed="false">
      <c r="A4" s="149"/>
      <c r="B4" s="149"/>
      <c r="C4" s="149"/>
      <c r="D4" s="149" t="s">
        <v>75</v>
      </c>
      <c r="E4" s="149"/>
      <c r="F4" s="163" t="n">
        <f aca="false">SUBTOTAL(109,F$15:INDEX(F:F,COUNTA($B:$B)+14-COUNTA($B$1:$B$14)))</f>
        <v>0</v>
      </c>
      <c r="G4" s="157" t="n">
        <f aca="false">SUBTOTAL(109,G$15:INDEX(G:G,COUNTA($B:$B)+14-COUNTA($B$1:$B$14)))</f>
        <v>0</v>
      </c>
      <c r="H4" s="152" t="str">
        <f aca="false">IF(SUM($F$4)=0,"",SUM($G$4)/$F$4)</f>
        <v/>
      </c>
      <c r="I4" s="157" t="n">
        <f aca="false">SUBTOTAL(109,I$15:INDEX(I:I,COUNTA($B:$B)+14-COUNTA($B$1:$B$14)))</f>
        <v>0</v>
      </c>
      <c r="J4" s="152" t="str">
        <f aca="false">IF(SUM($G$4)=0,"",SUM($I$4)/$G$4)</f>
        <v/>
      </c>
      <c r="K4" s="152"/>
      <c r="L4" s="159" t="n">
        <f aca="false">SUBTOTAL(109,L$15:INDEX(L:L,COUNTA($B:$B)+14-COUNTA($B$1:$B$14)))</f>
        <v>0</v>
      </c>
      <c r="M4" s="159" t="n">
        <f aca="false">SUBTOTAL(109,M$15:INDEX(M:M,COUNTA($B:$B)+14-COUNTA($B$1:$B$14)))</f>
        <v>0</v>
      </c>
      <c r="N4" s="152" t="str">
        <f aca="false">IF($F$4=0,"",$M$4/$F$4)</f>
        <v/>
      </c>
      <c r="O4" s="152" t="str">
        <f aca="false">IF($F$4=0,"",$P$4/$F$4)</f>
        <v/>
      </c>
      <c r="P4" s="153" t="n">
        <f aca="false">SUBTOTAL(109,P$15:INDEX(P:P,COUNTA($B:$B)+14-COUNTA($B$1:$B$14)))</f>
        <v>0</v>
      </c>
      <c r="Q4" s="153" t="n">
        <f aca="false">SUBTOTAL(109,Q$15:INDEX(Q:Q,COUNTA($B:$B)+14-COUNTA($B$1:$B$14)))</f>
        <v>0</v>
      </c>
      <c r="R4" s="265" t="n">
        <f aca="false">SUBTOTAL(109,R$15:INDEX(R:R,COUNTA($B:$B)+14-COUNTA($B$1:$B$14)))</f>
        <v>0</v>
      </c>
      <c r="S4" s="163" t="n">
        <f aca="false">SUBTOTAL(109,S$15:INDEX(S:S,COUNTA($B:$B)+14-COUNTA($B$1:$B$14)))</f>
        <v>0</v>
      </c>
      <c r="T4" s="152" t="str">
        <f aca="false">IF($L$4=0,"",$S$4/$L$4)</f>
        <v/>
      </c>
      <c r="U4" s="152" t="str">
        <f aca="false">IF($Q$4=0,"",$AA$4/$Q$4)</f>
        <v/>
      </c>
      <c r="V4" s="152"/>
      <c r="W4" s="152"/>
      <c r="X4" s="152" t="str">
        <f aca="false">IF($AA$4=0,"",$AB$4/$AA$4)</f>
        <v/>
      </c>
      <c r="Y4" s="152"/>
      <c r="Z4" s="152" t="str">
        <f aca="false">IF(SUM($AA$4,$AB$4)=0,"",SUM($AC$4)/(SUM($AA$4)-SUM($AB$4)))</f>
        <v/>
      </c>
      <c r="AA4" s="164" t="n">
        <f aca="false">SUBTOTAL(109,AA$15:INDEX(AA:AA,COUNTA($B:$B)+14-COUNTA($B$1:$B$14)))</f>
        <v>0</v>
      </c>
      <c r="AB4" s="164" t="n">
        <f aca="false">SUBTOTAL(109,AB$15:INDEX(AB:AB,COUNTA($B:$B)+14-COUNTA($B$1:$B$14)))</f>
        <v>0</v>
      </c>
      <c r="AC4" s="164" t="n">
        <f aca="false">SUBTOTAL(109,AC$15:INDEX(AC:AC,COUNTA($B:$B)+14-COUNTA($B$1:$B$14)))</f>
        <v>0</v>
      </c>
      <c r="AD4" s="164" t="n">
        <f aca="false">SUBTOTAL(109,AD$15:INDEX(AD:AD,COUNTA($B:$B)+14-COUNTA($B$1:$B$14)))</f>
        <v>0</v>
      </c>
      <c r="AE4" s="158" t="str">
        <f aca="false">IF($AC$4=0,"",$AF$4/$AC$4)</f>
        <v/>
      </c>
      <c r="AF4" s="164" t="n">
        <f aca="false">SUBTOTAL(109,AF$15:INDEX(AF:AF,COUNTA($B:$B)+14-COUNTA($B$1:$B$14)))</f>
        <v>0</v>
      </c>
      <c r="AG4" s="163" t="n">
        <f aca="false">SUBTOTAL(109,AG$15:INDEX(AG:AG,COUNTA($B:$B)+14-COUNTA($B$1:$B$14)))</f>
        <v>0</v>
      </c>
      <c r="AH4" s="152" t="e">
        <f aca="false">$AC$4/$AG$4</f>
        <v>#DIV/0!</v>
      </c>
      <c r="AI4" s="152"/>
      <c r="AJ4" s="152"/>
      <c r="AK4" s="152"/>
    </row>
    <row r="5" customFormat="false" ht="16" hidden="false" customHeight="false" outlineLevel="0" collapsed="false">
      <c r="A5" s="165" t="s">
        <v>76</v>
      </c>
      <c r="B5" s="165" t="s">
        <v>76</v>
      </c>
      <c r="C5" s="165" t="s">
        <v>76</v>
      </c>
      <c r="D5" s="165" t="s">
        <v>76</v>
      </c>
      <c r="E5" s="165" t="s">
        <v>76</v>
      </c>
      <c r="F5" s="83" t="s">
        <v>76</v>
      </c>
      <c r="G5" s="83" t="s">
        <v>76</v>
      </c>
      <c r="H5" s="168" t="s">
        <v>76</v>
      </c>
      <c r="I5" s="83" t="s">
        <v>76</v>
      </c>
      <c r="J5" s="168" t="s">
        <v>76</v>
      </c>
      <c r="K5" s="178" t="s">
        <v>76</v>
      </c>
      <c r="L5" s="176" t="s">
        <v>189</v>
      </c>
      <c r="M5" s="176" t="s">
        <v>189</v>
      </c>
      <c r="N5" s="168" t="s">
        <v>76</v>
      </c>
      <c r="O5" s="168" t="s">
        <v>76</v>
      </c>
      <c r="P5" s="171" t="s">
        <v>189</v>
      </c>
      <c r="Q5" s="171" t="s">
        <v>189</v>
      </c>
      <c r="R5" s="172" t="s">
        <v>190</v>
      </c>
      <c r="S5" s="83" t="s">
        <v>190</v>
      </c>
      <c r="T5" s="168" t="s">
        <v>76</v>
      </c>
      <c r="U5" s="168" t="s">
        <v>76</v>
      </c>
      <c r="V5" s="168" t="s">
        <v>76</v>
      </c>
      <c r="W5" s="168" t="s">
        <v>76</v>
      </c>
      <c r="X5" s="168" t="s">
        <v>76</v>
      </c>
      <c r="Y5" s="168" t="s">
        <v>76</v>
      </c>
      <c r="Z5" s="168" t="s">
        <v>76</v>
      </c>
      <c r="AA5" s="84" t="s">
        <v>76</v>
      </c>
      <c r="AB5" s="84" t="s">
        <v>190</v>
      </c>
      <c r="AC5" s="84" t="s">
        <v>190</v>
      </c>
      <c r="AD5" s="84" t="s">
        <v>190</v>
      </c>
      <c r="AE5" s="175" t="s">
        <v>76</v>
      </c>
      <c r="AF5" s="84" t="s">
        <v>76</v>
      </c>
      <c r="AG5" s="172" t="s">
        <v>76</v>
      </c>
      <c r="AH5" s="168" t="s">
        <v>76</v>
      </c>
      <c r="AI5" s="168" t="s">
        <v>76</v>
      </c>
      <c r="AJ5" s="168" t="s">
        <v>76</v>
      </c>
      <c r="AK5" s="168" t="s">
        <v>76</v>
      </c>
    </row>
    <row r="6" customFormat="false" ht="16" hidden="false" customHeight="false" outlineLevel="0" collapsed="false">
      <c r="A6" s="165" t="s">
        <v>78</v>
      </c>
      <c r="B6" s="165" t="s">
        <v>78</v>
      </c>
      <c r="C6" s="165" t="s">
        <v>78</v>
      </c>
      <c r="D6" s="165" t="s">
        <v>78</v>
      </c>
      <c r="E6" s="165" t="s">
        <v>78</v>
      </c>
      <c r="F6" s="83" t="s">
        <v>81</v>
      </c>
      <c r="G6" s="83" t="s">
        <v>81</v>
      </c>
      <c r="H6" s="168" t="s">
        <v>81</v>
      </c>
      <c r="I6" s="83" t="s">
        <v>81</v>
      </c>
      <c r="J6" s="168" t="s">
        <v>81</v>
      </c>
      <c r="K6" s="245" t="s">
        <v>81</v>
      </c>
      <c r="L6" s="176" t="s">
        <v>80</v>
      </c>
      <c r="M6" s="176" t="s">
        <v>80</v>
      </c>
      <c r="N6" s="168" t="s">
        <v>81</v>
      </c>
      <c r="O6" s="168" t="s">
        <v>193</v>
      </c>
      <c r="P6" s="171" t="s">
        <v>80</v>
      </c>
      <c r="Q6" s="171" t="s">
        <v>80</v>
      </c>
      <c r="R6" s="172" t="s">
        <v>79</v>
      </c>
      <c r="S6" s="83" t="s">
        <v>79</v>
      </c>
      <c r="T6" s="168" t="s">
        <v>81</v>
      </c>
      <c r="U6" s="168" t="s">
        <v>193</v>
      </c>
      <c r="V6" s="168" t="s">
        <v>193</v>
      </c>
      <c r="W6" s="168" t="s">
        <v>192</v>
      </c>
      <c r="X6" s="168" t="s">
        <v>193</v>
      </c>
      <c r="Y6" s="168" t="s">
        <v>192</v>
      </c>
      <c r="Z6" s="168" t="s">
        <v>193</v>
      </c>
      <c r="AA6" s="84" t="s">
        <v>81</v>
      </c>
      <c r="AB6" s="84" t="s">
        <v>80</v>
      </c>
      <c r="AC6" s="84" t="s">
        <v>80</v>
      </c>
      <c r="AD6" s="84" t="s">
        <v>80</v>
      </c>
      <c r="AE6" s="175" t="s">
        <v>81</v>
      </c>
      <c r="AF6" s="84" t="s">
        <v>81</v>
      </c>
      <c r="AG6" s="172" t="s">
        <v>81</v>
      </c>
      <c r="AH6" s="168" t="s">
        <v>81</v>
      </c>
      <c r="AI6" s="168" t="s">
        <v>81</v>
      </c>
      <c r="AJ6" s="168" t="s">
        <v>81</v>
      </c>
      <c r="AK6" s="168" t="s">
        <v>81</v>
      </c>
    </row>
    <row r="7" customFormat="false" ht="16" hidden="false" customHeight="false" outlineLevel="0" collapsed="false">
      <c r="A7" s="165" t="s">
        <v>82</v>
      </c>
      <c r="B7" s="165" t="s">
        <v>82</v>
      </c>
      <c r="C7" s="165" t="s">
        <v>82</v>
      </c>
      <c r="D7" s="165" t="s">
        <v>82</v>
      </c>
      <c r="E7" s="165" t="s">
        <v>82</v>
      </c>
      <c r="F7" s="83" t="s">
        <v>83</v>
      </c>
      <c r="G7" s="83" t="s">
        <v>83</v>
      </c>
      <c r="H7" s="168" t="s">
        <v>194</v>
      </c>
      <c r="I7" s="83" t="s">
        <v>83</v>
      </c>
      <c r="J7" s="168" t="s">
        <v>194</v>
      </c>
      <c r="K7" s="245" t="s">
        <v>194</v>
      </c>
      <c r="L7" s="176" t="s">
        <v>83</v>
      </c>
      <c r="M7" s="176" t="s">
        <v>83</v>
      </c>
      <c r="N7" s="168" t="s">
        <v>194</v>
      </c>
      <c r="O7" s="168" t="s">
        <v>194</v>
      </c>
      <c r="P7" s="171" t="s">
        <v>83</v>
      </c>
      <c r="Q7" s="171" t="s">
        <v>83</v>
      </c>
      <c r="R7" s="172" t="s">
        <v>83</v>
      </c>
      <c r="S7" s="83" t="s">
        <v>83</v>
      </c>
      <c r="T7" s="168" t="s">
        <v>194</v>
      </c>
      <c r="U7" s="168" t="s">
        <v>194</v>
      </c>
      <c r="V7" s="168" t="s">
        <v>194</v>
      </c>
      <c r="W7" s="168" t="s">
        <v>194</v>
      </c>
      <c r="X7" s="168" t="s">
        <v>194</v>
      </c>
      <c r="Y7" s="168" t="s">
        <v>194</v>
      </c>
      <c r="Z7" s="168" t="s">
        <v>194</v>
      </c>
      <c r="AA7" s="84" t="s">
        <v>83</v>
      </c>
      <c r="AB7" s="84" t="s">
        <v>83</v>
      </c>
      <c r="AC7" s="84" t="s">
        <v>83</v>
      </c>
      <c r="AD7" s="84" t="s">
        <v>83</v>
      </c>
      <c r="AE7" s="175" t="s">
        <v>194</v>
      </c>
      <c r="AF7" s="84" t="s">
        <v>83</v>
      </c>
      <c r="AG7" s="172" t="s">
        <v>83</v>
      </c>
      <c r="AH7" s="168" t="s">
        <v>194</v>
      </c>
      <c r="AI7" s="168" t="s">
        <v>194</v>
      </c>
      <c r="AJ7" s="168" t="s">
        <v>194</v>
      </c>
      <c r="AK7" s="168" t="s">
        <v>194</v>
      </c>
    </row>
    <row r="8" customFormat="false" ht="16" hidden="false" customHeight="false" outlineLevel="0" collapsed="false">
      <c r="F8" s="83"/>
      <c r="G8" s="83"/>
      <c r="H8" s="168"/>
      <c r="I8" s="83"/>
      <c r="J8" s="168"/>
      <c r="K8" s="245"/>
      <c r="L8" s="249" t="s">
        <v>556</v>
      </c>
      <c r="M8" s="249" t="s">
        <v>557</v>
      </c>
      <c r="P8" s="270" t="s">
        <v>557</v>
      </c>
      <c r="Q8" s="270" t="s">
        <v>556</v>
      </c>
      <c r="R8" s="247" t="s">
        <v>558</v>
      </c>
      <c r="S8" s="266" t="s">
        <v>559</v>
      </c>
      <c r="AB8" s="246" t="s">
        <v>559</v>
      </c>
      <c r="AC8" s="246" t="s">
        <v>559</v>
      </c>
      <c r="AD8" s="246" t="s">
        <v>559</v>
      </c>
    </row>
    <row r="9" customFormat="false" ht="16" hidden="false" customHeight="false" outlineLevel="0" collapsed="false">
      <c r="F9" s="83"/>
      <c r="G9" s="83"/>
      <c r="H9" s="168"/>
      <c r="I9" s="83"/>
      <c r="J9" s="168"/>
      <c r="K9" s="245"/>
      <c r="L9" s="249"/>
      <c r="M9" s="249"/>
      <c r="P9" s="270"/>
      <c r="Q9" s="270"/>
      <c r="R9" s="247" t="s">
        <v>560</v>
      </c>
      <c r="S9" s="266" t="s">
        <v>561</v>
      </c>
      <c r="AB9" s="246" t="s">
        <v>561</v>
      </c>
      <c r="AC9" s="246" t="s">
        <v>561</v>
      </c>
      <c r="AD9" s="246" t="s">
        <v>561</v>
      </c>
    </row>
    <row r="10" customFormat="false" ht="16" hidden="false" customHeight="false" outlineLevel="0" collapsed="false">
      <c r="F10" s="83"/>
      <c r="G10" s="83"/>
      <c r="H10" s="168"/>
      <c r="I10" s="83"/>
      <c r="J10" s="168"/>
      <c r="K10" s="245"/>
      <c r="L10" s="249"/>
      <c r="M10" s="249"/>
      <c r="P10" s="270"/>
      <c r="Q10" s="270"/>
      <c r="R10" s="247"/>
      <c r="S10" s="266"/>
      <c r="AB10" s="246" t="s">
        <v>562</v>
      </c>
      <c r="AC10" s="246" t="s">
        <v>221</v>
      </c>
      <c r="AD10" s="246" t="s">
        <v>401</v>
      </c>
    </row>
    <row r="11" customFormat="false" ht="16" hidden="false" customHeight="false" outlineLevel="0" collapsed="false">
      <c r="F11" s="83" t="s">
        <v>228</v>
      </c>
      <c r="G11" s="83" t="s">
        <v>228</v>
      </c>
      <c r="H11" s="168" t="s">
        <v>228</v>
      </c>
      <c r="I11" s="83" t="s">
        <v>228</v>
      </c>
      <c r="J11" s="168" t="s">
        <v>228</v>
      </c>
      <c r="K11" s="168" t="s">
        <v>228</v>
      </c>
      <c r="L11" s="176" t="s">
        <v>228</v>
      </c>
      <c r="M11" s="176" t="s">
        <v>228</v>
      </c>
      <c r="N11" s="168" t="s">
        <v>228</v>
      </c>
      <c r="O11" s="245" t="s">
        <v>228</v>
      </c>
      <c r="P11" s="171" t="s">
        <v>228</v>
      </c>
      <c r="Q11" s="171" t="s">
        <v>228</v>
      </c>
      <c r="R11" s="172" t="s">
        <v>228</v>
      </c>
      <c r="S11" s="83" t="s">
        <v>228</v>
      </c>
      <c r="T11" s="168" t="s">
        <v>228</v>
      </c>
      <c r="U11" s="168" t="s">
        <v>228</v>
      </c>
      <c r="V11" s="168" t="s">
        <v>228</v>
      </c>
      <c r="W11" s="168" t="s">
        <v>228</v>
      </c>
      <c r="X11" s="168" t="s">
        <v>228</v>
      </c>
      <c r="Y11" s="168" t="s">
        <v>228</v>
      </c>
      <c r="Z11" s="168" t="s">
        <v>228</v>
      </c>
      <c r="AA11" s="84" t="s">
        <v>228</v>
      </c>
      <c r="AB11" s="84" t="s">
        <v>228</v>
      </c>
      <c r="AC11" s="84" t="s">
        <v>228</v>
      </c>
      <c r="AD11" s="84" t="s">
        <v>228</v>
      </c>
      <c r="AE11" s="271" t="s">
        <v>228</v>
      </c>
      <c r="AF11" s="84" t="s">
        <v>228</v>
      </c>
      <c r="AG11" s="172" t="s">
        <v>228</v>
      </c>
      <c r="AH11" s="168" t="s">
        <v>228</v>
      </c>
      <c r="AI11" s="168" t="s">
        <v>228</v>
      </c>
      <c r="AJ11" s="168" t="s">
        <v>228</v>
      </c>
      <c r="AK11" s="168" t="s">
        <v>228</v>
      </c>
    </row>
    <row r="12" customFormat="false" ht="16" hidden="false" customHeight="false" outlineLevel="0" collapsed="false">
      <c r="F12" s="83" t="s">
        <v>231</v>
      </c>
      <c r="G12" s="83" t="s">
        <v>231</v>
      </c>
      <c r="H12" s="168" t="s">
        <v>231</v>
      </c>
      <c r="I12" s="83" t="s">
        <v>231</v>
      </c>
      <c r="J12" s="168" t="s">
        <v>231</v>
      </c>
      <c r="K12" s="168" t="s">
        <v>231</v>
      </c>
      <c r="L12" s="176" t="s">
        <v>231</v>
      </c>
      <c r="M12" s="176" t="s">
        <v>231</v>
      </c>
      <c r="N12" s="168" t="s">
        <v>231</v>
      </c>
      <c r="O12" s="168" t="s">
        <v>231</v>
      </c>
      <c r="P12" s="171" t="s">
        <v>231</v>
      </c>
      <c r="Q12" s="171" t="s">
        <v>231</v>
      </c>
      <c r="R12" s="172" t="s">
        <v>231</v>
      </c>
      <c r="S12" s="83" t="s">
        <v>231</v>
      </c>
      <c r="T12" s="168" t="s">
        <v>231</v>
      </c>
      <c r="U12" s="168" t="s">
        <v>231</v>
      </c>
      <c r="V12" s="168" t="s">
        <v>231</v>
      </c>
      <c r="W12" s="168" t="s">
        <v>231</v>
      </c>
      <c r="X12" s="168" t="s">
        <v>231</v>
      </c>
      <c r="Y12" s="168" t="s">
        <v>231</v>
      </c>
      <c r="Z12" s="168" t="s">
        <v>231</v>
      </c>
      <c r="AA12" s="84" t="s">
        <v>231</v>
      </c>
      <c r="AB12" s="84" t="s">
        <v>231</v>
      </c>
      <c r="AC12" s="84" t="s">
        <v>231</v>
      </c>
      <c r="AD12" s="84" t="s">
        <v>231</v>
      </c>
      <c r="AE12" s="175" t="s">
        <v>231</v>
      </c>
      <c r="AF12" s="84" t="s">
        <v>231</v>
      </c>
      <c r="AG12" s="172" t="s">
        <v>231</v>
      </c>
      <c r="AH12" s="168" t="s">
        <v>231</v>
      </c>
      <c r="AI12" s="168" t="s">
        <v>231</v>
      </c>
      <c r="AJ12" s="168" t="s">
        <v>231</v>
      </c>
      <c r="AK12" s="168" t="s">
        <v>231</v>
      </c>
    </row>
    <row r="13" customFormat="false" ht="16" hidden="false" customHeight="false" outlineLevel="0" collapsed="false">
      <c r="F13" s="83"/>
      <c r="G13" s="83"/>
      <c r="H13" s="168"/>
      <c r="I13" s="83"/>
      <c r="J13" s="168"/>
      <c r="K13" s="245"/>
      <c r="M13" s="176"/>
      <c r="R13" s="172"/>
    </row>
    <row r="14" customFormat="false" ht="16" hidden="false" customHeight="false" outlineLevel="0" collapsed="false">
      <c r="A14" s="79" t="s">
        <v>85</v>
      </c>
      <c r="B14" s="79" t="s">
        <v>86</v>
      </c>
      <c r="C14" s="79" t="s">
        <v>232</v>
      </c>
      <c r="D14" s="79" t="s">
        <v>233</v>
      </c>
      <c r="E14" s="79" t="s">
        <v>42</v>
      </c>
      <c r="F14" s="199" t="s">
        <v>234</v>
      </c>
      <c r="G14" s="199" t="s">
        <v>236</v>
      </c>
      <c r="H14" s="195" t="s">
        <v>238</v>
      </c>
      <c r="I14" s="199" t="s">
        <v>247</v>
      </c>
      <c r="J14" s="195" t="s">
        <v>277</v>
      </c>
      <c r="K14" s="195" t="s">
        <v>402</v>
      </c>
      <c r="L14" s="196" t="s">
        <v>563</v>
      </c>
      <c r="M14" s="196" t="s">
        <v>564</v>
      </c>
      <c r="N14" s="195" t="s">
        <v>565</v>
      </c>
      <c r="O14" s="195" t="s">
        <v>566</v>
      </c>
      <c r="P14" s="196" t="s">
        <v>567</v>
      </c>
      <c r="Q14" s="196" t="s">
        <v>568</v>
      </c>
      <c r="R14" s="200" t="s">
        <v>569</v>
      </c>
      <c r="S14" s="199" t="s">
        <v>570</v>
      </c>
      <c r="T14" s="195" t="s">
        <v>571</v>
      </c>
      <c r="U14" s="195" t="s">
        <v>572</v>
      </c>
      <c r="V14" s="195" t="s">
        <v>573</v>
      </c>
      <c r="W14" s="195" t="s">
        <v>574</v>
      </c>
      <c r="X14" s="195" t="s">
        <v>575</v>
      </c>
      <c r="Y14" s="195" t="s">
        <v>576</v>
      </c>
      <c r="Z14" s="195" t="s">
        <v>577</v>
      </c>
      <c r="AA14" s="196" t="s">
        <v>578</v>
      </c>
      <c r="AB14" s="196" t="s">
        <v>579</v>
      </c>
      <c r="AC14" s="196" t="s">
        <v>310</v>
      </c>
      <c r="AD14" s="196" t="s">
        <v>580</v>
      </c>
      <c r="AE14" s="206" t="s">
        <v>581</v>
      </c>
      <c r="AF14" s="196" t="s">
        <v>582</v>
      </c>
      <c r="AG14" s="200" t="s">
        <v>441</v>
      </c>
      <c r="AH14" s="195" t="s">
        <v>317</v>
      </c>
      <c r="AI14" s="195" t="s">
        <v>313</v>
      </c>
      <c r="AJ14" s="195" t="s">
        <v>316</v>
      </c>
      <c r="AK14" s="195" t="s">
        <v>319</v>
      </c>
    </row>
    <row r="15" customFormat="false" ht="16" hidden="false" customHeight="false" outlineLevel="0" collapsed="false">
      <c r="E15" s="165" t="str">
        <f aca="false">B15&amp;"|"&amp;C15&amp;"|"&amp;D15</f>
        <v>||</v>
      </c>
      <c r="F15" s="177" t="str">
        <f aca="false">IF(LEFT($B15,4)="_Mil","",_xlfn.IFNA(INDEX(Cascade!$F:$F,MATCH($E15,Cascade!$E:$E,0)),""))</f>
        <v/>
      </c>
      <c r="G15" s="177" t="str">
        <f aca="false">IF(LEFT($B15,4)="_Mil","",_xlfn.IFNA(INDEX(Cascade!$H:$H,MATCH($E15,Cascade!$E:$E,0)),""))</f>
        <v/>
      </c>
      <c r="H15" s="168" t="str">
        <f aca="false">IF(LEFT($B15,4)="_Mil","",_xlfn.IFNA(INDEX(Cascade!$J:$J,MATCH($E15,Cascade!$E:$E,0)),""))</f>
        <v/>
      </c>
      <c r="I15" s="177" t="str">
        <f aca="false">IF(LEFT($B15,4)="_Mil","",_xlfn.IFNA(INDEX(Cascade!$T:$T,MATCH($E15,Cascade!$E:$E,0)),""))</f>
        <v/>
      </c>
      <c r="J15" s="168" t="str">
        <f aca="false">IF(LEFT($B15,4)="_Mil","",_xlfn.IFNA(INDEX(Cascade!$BS:$BS,MATCH($E15,Cascade!$E:$E,0)),""))</f>
        <v/>
      </c>
      <c r="K15" s="168" t="str">
        <f aca="false">IF(LEFT($B15,4)="_Mil","",_xlfn.IFNA(INDEX(Cascade!$AL:$AL,MATCH($E15,Cascade!$E:$E,0)),""))</f>
        <v/>
      </c>
      <c r="L15" s="176" t="str">
        <f aca="false">IF(LEFT($B15,4)="_Mil","",_xlfn.IFNA(ROUND(INDEX(Spectrum!$N:$N,MATCH(RIGHT($B15,13)&amp;"|"&amp;$C15&amp;"|"&amp;$D15&amp;"|"&amp;L$14&amp;"|"&amp;"CY2022Q3",Spectrum!$Q:$Q,0)),0),""))</f>
        <v/>
      </c>
      <c r="M15" s="176" t="str">
        <f aca="false">IF(LEFT($B15,4)="_Mil","",_xlfn.IFNA(ROUND(INDEX(Spectrum!$N:$N,MATCH(RIGHT($B15,13)&amp;"|"&amp;$C15&amp;"|"&amp;$D15&amp;"|"&amp;M$14&amp;"|"&amp;"CY2022Q3",Spectrum!$Q:$Q,0)),0),""))</f>
        <v/>
      </c>
      <c r="N15" s="168" t="str">
        <f aca="false">IF(OR(LEFT($B15,4)="_Mil",SUM($F15)=0),"",SUM($M15)/$F15)</f>
        <v/>
      </c>
      <c r="O15" s="168" t="str">
        <f aca="false">IF(OR(LEFT($B15,4)="_Mil",SUM($F15)=0),"",80%)</f>
        <v/>
      </c>
      <c r="P15" s="171" t="str">
        <f aca="false">IF(OR(LEFT($B15,4)="_Mil",SUM($F15)=0),"",ROUND(SUM($F15)*$O15,0))</f>
        <v/>
      </c>
      <c r="Q15" s="171" t="str">
        <f aca="false">IF(OR(LEFT($B15,4)="_Mil",SUM($P15)=0),"",ROUND(MAX($P15-SUM($M15),0),0))</f>
        <v/>
      </c>
      <c r="T15" s="168" t="str">
        <f aca="false">IF(OR(LEFT($B15,4)="_Mil",SUM($L15)=0),"",SUM($S15)/$L15)</f>
        <v/>
      </c>
      <c r="U15" s="168" t="str">
        <f aca="false">IF(SUM($T15)=0,"",$T15)</f>
        <v/>
      </c>
      <c r="V15" s="168" t="str">
        <f aca="false">IF(LEFT($B15,4)="_Mil",0,"")</f>
        <v/>
      </c>
      <c r="X15" s="168" t="str">
        <f aca="false">IF($W15="","",$W15)</f>
        <v/>
      </c>
      <c r="Z15" s="168" t="str">
        <f aca="false">IF($Y15="","",$Y15)</f>
        <v/>
      </c>
      <c r="AA15" s="84" t="n">
        <f aca="false">IF(LEFT($B15,4)="_Mil",ROUND(SUM($S15)*(1+$V15),0),IF(SUM($Q15)=0,0,ROUND(SUM($Q15)*$U15,0)))</f>
        <v>0</v>
      </c>
      <c r="AB15" s="84" t="n">
        <f aca="false">IF(SUM($AA15)=0,0,ROUND(SUM($AA15)*$X15,0))</f>
        <v>0</v>
      </c>
      <c r="AC15" s="84" t="n">
        <f aca="false">IF(SUM($AA15)=0,0,ROUND(($AA15-SUM($AB15))*$Z15,0))</f>
        <v>0</v>
      </c>
      <c r="AD15" s="84" t="n">
        <f aca="false">IF(SUM($AA15)=0,0,$AA15-SUM($AB15)-SUM($AC15))</f>
        <v>0</v>
      </c>
      <c r="AE15" s="175" t="str">
        <f aca="false">IF(SUM($AC15)=0,"",_xlfn.IFNA(INDEX(Cascade!$BC:$BC,MATCH($E15,Cascade!$E:$E,0)),""))</f>
        <v/>
      </c>
      <c r="AF15" s="84" t="n">
        <f aca="false">IF(SUM($AC15)=0,0,ROUND($AC15*$AE15,0))</f>
        <v>0</v>
      </c>
      <c r="AG15" s="172" t="str">
        <f aca="false">_xlfn.IFNA(INDEX(Cascade!$BZ:$BZ,MATCH($E15,Cascade!$E:$E,0)),"")</f>
        <v/>
      </c>
      <c r="AH15" s="168" t="str">
        <f aca="false">IF(SUM($AC15)=0,"",$AC15/$AG15)</f>
        <v/>
      </c>
      <c r="AI15" s="168" t="str">
        <f aca="false">_xlfn.IFNA(INDEX(Cascade!$CH:$CH,MATCH($E15,Cascade!$E:$E,0)),"")</f>
        <v/>
      </c>
      <c r="AJ15" s="168" t="str">
        <f aca="false">_xlfn.IFNA(INDEX(Cascade!$CK:$CK,MATCH($E15,Cascade!$E:$E,0)),"")</f>
        <v/>
      </c>
      <c r="AK15" s="168" t="str">
        <f aca="false">_xlfn.IFNA(INDEX(Cascade!$CN:$CN,MATCH($E15,Cascade!$E:$E,0)),"")</f>
        <v/>
      </c>
    </row>
  </sheetData>
  <mergeCells count="1">
    <mergeCell ref="A2:B3"/>
  </mergeCells>
  <conditionalFormatting sqref="O1:O1048576">
    <cfRule type="expression" priority="2" aboveAverage="0" equalAverage="0" bottom="0" percent="0" rank="0" text="" dxfId="0">
      <formula>AND(ISNUMBER($O1),OR(ROUND($O1,2)&lt;0.8,ROUND($O1,2)&gt;1))</formula>
    </cfRule>
  </conditionalFormatting>
  <conditionalFormatting sqref="Z1:Z1048576">
    <cfRule type="expression" priority="3" aboveAverage="0" equalAverage="0" bottom="0" percent="0" rank="0" text="" dxfId="1">
      <formula>AND(ROW($Z1)&gt;14,$Z1="",SUM($AA1)&gt;0)</formula>
    </cfRule>
    <cfRule type="expression" priority="4" aboveAverage="0" equalAverage="0" bottom="0" percent="0" rank="0" text="" dxfId="2">
      <formula>AND(ROW($Z1)&gt;14,ROUND(SUM($Z1),2)&gt;0.01)</formula>
    </cfRule>
  </conditionalFormatting>
  <conditionalFormatting sqref="AG1:AK1048576">
    <cfRule type="expression" priority="5" aboveAverage="0" equalAverage="0" bottom="0" percent="0" rank="0" text="" dxfId="3">
      <formula>AND(ISNUMBER($AK1),$AK1&lt;0)</formula>
    </cfRule>
  </conditionalFormatting>
  <conditionalFormatting sqref="P1:P1048576">
    <cfRule type="expression" priority="6" aboveAverage="0" equalAverage="0" bottom="0" percent="0" rank="0" text="" dxfId="4">
      <formula>AND(ISNUMBER($P1),$P1&lt;$M1)</formula>
    </cfRule>
  </conditionalFormatting>
  <conditionalFormatting sqref="V1:V1048576">
    <cfRule type="expression" priority="7" aboveAverage="0" equalAverage="0" bottom="0" percent="0" rank="0" text="" dxfId="5">
      <formula>AND(ROW($V1)&gt;14,$E1&lt;&gt;"",LEFT($B1,4)&lt;&gt;"_Mil")</formula>
    </cfRule>
  </conditionalFormatting>
  <conditionalFormatting sqref="AE1:AE1048576">
    <cfRule type="expression" priority="8" aboveAverage="0" equalAverage="0" bottom="0" percent="0" rank="0" text="" dxfId="6">
      <formula>AND(ISNUMBER($AE1),ROUND($AE1,2)&lt;95%)</formula>
    </cfRule>
  </conditionalFormatting>
  <conditionalFormatting sqref="L1:M1048576">
    <cfRule type="expression" priority="9" aboveAverage="0" equalAverage="0" bottom="0" percent="0" rank="0" text="" dxfId="7">
      <formula>AND(ISNUMBER($L1),ISNUMBER($M1),$M1&lt;$L1)</formula>
    </cfRule>
  </conditionalFormatting>
  <conditionalFormatting sqref="F1:Q1048576 T1:U1048576">
    <cfRule type="expression" priority="10" aboveAverage="0" equalAverage="0" bottom="0" percent="0" rank="0" text="" dxfId="8">
      <formula>LEFT($B1,4)="_Mil"</formula>
    </cfRule>
  </conditionalFormatting>
  <conditionalFormatting sqref="X1:X1048576">
    <cfRule type="expression" priority="11" aboveAverage="0" equalAverage="0" bottom="0" percent="0" rank="0" text="" dxfId="9">
      <formula>AND(ROW($X1)&gt;14,$X1="",SUM($AA1)&gt;0)</formula>
    </cfRule>
  </conditionalFormatting>
  <conditionalFormatting sqref="F1:G1048576 I1:I1048576 L1:M1048576 P1:S1048576 AA1:AD1048576 AF1:AG1048576">
    <cfRule type="expression" priority="12" aboveAverage="0" equalAverage="0" bottom="0" percent="0" rank="0" text="" dxfId="10">
      <formula>AND(ISNUMBER(F1),ROUND(F1,0)&lt;0)</formula>
    </cfRule>
  </conditionalFormatting>
  <conditionalFormatting sqref="H1:H1048576 J1:K1048576 N1:O1048576 T1:U1048576 W1:Z1048576 AE1:AE1048576 AH1:AK1048576">
    <cfRule type="expression" priority="13" aboveAverage="0" equalAverage="0" bottom="0" percent="0" rank="0" text="" dxfId="11">
      <formula>AND(ISNUMBER(H1),OR(ROUND(H1,2)&lt;0,ROUND(H1,2)&gt;1))</formula>
    </cfRule>
  </conditionalFormatting>
  <hyperlinks>
    <hyperlink ref="F3" location="Cascade!F:F" display="Host Country Est. Male Population (FY22)"/>
    <hyperlink ref="G3" location="Cascade!H:H" display="Host Country Est. PLHIV (FY22)"/>
    <hyperlink ref="H3" location="Cascade!J:J" display="Host Country Est. HIV Prevalence (FY22) (%)"/>
    <hyperlink ref="I3" location="Cascade!P:P" display="Host Country Est. TX_CURR_SUBNAT (FY22)"/>
    <hyperlink ref="J3" location="Cascade!Z:Z" display="Host Country Est. ART Coverage (FY22) (%)"/>
    <hyperlink ref="K3" location="Cascade!AA:AA" display="Host Country Est. PopVLS Rate (VLS/PLHIV) (FY22) (%)"/>
    <hyperlink ref="AC3" location="Cascade!BT:BT" display="HIV Positive"/>
    <hyperlink ref="AG3" location="Cascade!BO:BO" display="Total HTS_TST_POS (FY23)"/>
    <hyperlink ref="AH3" location="VMMC!Z:Z" display="Total Positives from VMMC_CIRC (FY23) (%)"/>
    <hyperlink ref="AI3" location="Cascade!BW:BW" display="Total Positives from HTS_INDEX (FY23) (%)"/>
    <hyperlink ref="AJ3" location="Cascade!BZ:BZ" display="Total Positives from TB_STAT (FY23) (%)"/>
    <hyperlink ref="AK3" location="Cascade!CC:CC" display="Total Positives from All Other Modalities (FY23)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63BE7B"/>
    <pageSetUpPr fitToPage="false"/>
  </sheetPr>
  <dimension ref="A1:AN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35.5"/>
    <col collapsed="false" customWidth="true" hidden="true" outlineLevel="0" max="4" min="4" style="0" width="10.16"/>
    <col collapsed="false" customWidth="true" hidden="false" outlineLevel="0" max="5" min="5" style="167" width="11.83"/>
    <col collapsed="false" customWidth="true" hidden="false" outlineLevel="0" max="6" min="6" style="84" width="11.83"/>
    <col collapsed="false" customWidth="true" hidden="false" outlineLevel="0" max="7" min="7" style="169" width="11.83"/>
    <col collapsed="false" customWidth="true" hidden="false" outlineLevel="0" max="8" min="8" style="272" width="11.83"/>
    <col collapsed="false" customWidth="true" hidden="false" outlineLevel="0" max="9" min="9" style="84" width="11.83"/>
    <col collapsed="false" customWidth="true" hidden="false" outlineLevel="0" max="10" min="10" style="272" width="11.83"/>
    <col collapsed="false" customWidth="true" hidden="false" outlineLevel="0" max="11" min="11" style="84" width="11.83"/>
    <col collapsed="false" customWidth="true" hidden="false" outlineLevel="0" max="12" min="12" style="272" width="11.83"/>
    <col collapsed="false" customWidth="true" hidden="false" outlineLevel="0" max="13" min="13" style="84" width="11.83"/>
    <col collapsed="false" customWidth="true" hidden="false" outlineLevel="0" max="14" min="14" style="272" width="11.83"/>
    <col collapsed="false" customWidth="true" hidden="false" outlineLevel="0" max="15" min="15" style="257" width="11.83"/>
    <col collapsed="false" customWidth="true" hidden="false" outlineLevel="0" max="17" min="16" style="84" width="11.83"/>
    <col collapsed="false" customWidth="true" hidden="false" outlineLevel="0" max="18" min="18" style="272" width="11.83"/>
    <col collapsed="false" customWidth="true" hidden="false" outlineLevel="0" max="21" min="19" style="258" width="11.83"/>
    <col collapsed="false" customWidth="true" hidden="false" outlineLevel="0" max="22" min="22" style="84" width="11.83"/>
    <col collapsed="false" customWidth="true" hidden="false" outlineLevel="0" max="23" min="23" style="273" width="11.83"/>
    <col collapsed="false" customWidth="true" hidden="false" outlineLevel="0" max="24" min="24" style="258" width="11.83"/>
    <col collapsed="false" customWidth="true" hidden="false" outlineLevel="0" max="25" min="25" style="84" width="11.83"/>
    <col collapsed="false" customWidth="true" hidden="false" outlineLevel="0" max="26" min="26" style="273" width="11.83"/>
    <col collapsed="false" customWidth="true" hidden="false" outlineLevel="0" max="27" min="27" style="84" width="11.83"/>
    <col collapsed="false" customWidth="true" hidden="false" outlineLevel="0" max="28" min="28" style="273" width="11.83"/>
    <col collapsed="false" customWidth="true" hidden="false" outlineLevel="0" max="32" min="29" style="257" width="11.83"/>
    <col collapsed="false" customWidth="true" hidden="false" outlineLevel="0" max="34" min="33" style="258" width="11.83"/>
    <col collapsed="false" customWidth="true" hidden="false" outlineLevel="0" max="36" min="35" style="84" width="11.83"/>
    <col collapsed="false" customWidth="true" hidden="false" outlineLevel="0" max="37" min="37" style="273" width="11.83"/>
    <col collapsed="false" customWidth="true" hidden="false" outlineLevel="0" max="38" min="38" style="84" width="11.83"/>
    <col collapsed="false" customWidth="true" hidden="false" outlineLevel="0" max="39" min="39" style="272" width="11.83"/>
    <col collapsed="false" customWidth="true" hidden="false" outlineLevel="0" max="40" min="40" style="84" width="11.83"/>
    <col collapsed="false" customWidth="true" hidden="false" outlineLevel="0" max="1025" min="41" style="0" width="10.61"/>
  </cols>
  <sheetData>
    <row r="1" s="63" customFormat="true" ht="31" hidden="false" customHeight="true" outlineLevel="0" collapsed="false">
      <c r="A1" s="90" t="s">
        <v>583</v>
      </c>
      <c r="B1" s="90"/>
      <c r="C1" s="90"/>
      <c r="D1" s="90"/>
      <c r="E1" s="103" t="s">
        <v>584</v>
      </c>
      <c r="F1" s="94"/>
      <c r="G1" s="97"/>
      <c r="H1" s="103" t="s">
        <v>585</v>
      </c>
      <c r="I1" s="94"/>
      <c r="J1" s="103" t="s">
        <v>586</v>
      </c>
      <c r="K1" s="94"/>
      <c r="L1" s="103" t="s">
        <v>587</v>
      </c>
      <c r="M1" s="98"/>
      <c r="N1" s="103" t="s">
        <v>26</v>
      </c>
      <c r="O1" s="101"/>
      <c r="P1" s="94"/>
      <c r="Q1" s="94"/>
      <c r="R1" s="103" t="s">
        <v>25</v>
      </c>
      <c r="S1" s="104"/>
      <c r="T1" s="95"/>
      <c r="U1" s="95"/>
      <c r="V1" s="94"/>
      <c r="W1" s="102" t="s">
        <v>27</v>
      </c>
      <c r="X1" s="95"/>
      <c r="Y1" s="94"/>
      <c r="Z1" s="102" t="s">
        <v>28</v>
      </c>
      <c r="AA1" s="94"/>
      <c r="AB1" s="102" t="s">
        <v>23</v>
      </c>
      <c r="AC1" s="106"/>
      <c r="AD1" s="106"/>
      <c r="AE1" s="106"/>
      <c r="AF1" s="106"/>
      <c r="AG1" s="93"/>
      <c r="AH1" s="93"/>
      <c r="AI1" s="94"/>
      <c r="AJ1" s="94"/>
      <c r="AK1" s="102" t="s">
        <v>588</v>
      </c>
      <c r="AL1" s="94"/>
      <c r="AM1" s="103" t="s">
        <v>589</v>
      </c>
      <c r="AN1" s="94"/>
    </row>
    <row r="2" s="123" customFormat="true" ht="19" hidden="false" customHeight="false" outlineLevel="0" collapsed="false">
      <c r="A2" s="108"/>
      <c r="B2" s="108"/>
      <c r="C2" s="108"/>
      <c r="D2" s="108"/>
      <c r="E2" s="119" t="s">
        <v>590</v>
      </c>
      <c r="F2" s="226"/>
      <c r="G2" s="113"/>
      <c r="H2" s="228" t="s">
        <v>70</v>
      </c>
      <c r="I2" s="226" t="s">
        <v>71</v>
      </c>
      <c r="J2" s="114" t="s">
        <v>70</v>
      </c>
      <c r="K2" s="226" t="s">
        <v>71</v>
      </c>
      <c r="L2" s="114" t="s">
        <v>70</v>
      </c>
      <c r="M2" s="112" t="s">
        <v>71</v>
      </c>
      <c r="N2" s="114" t="s">
        <v>70</v>
      </c>
      <c r="O2" s="116"/>
      <c r="P2" s="226" t="s">
        <v>71</v>
      </c>
      <c r="Q2" s="112"/>
      <c r="R2" s="114" t="s">
        <v>70</v>
      </c>
      <c r="S2" s="111" t="s">
        <v>100</v>
      </c>
      <c r="T2" s="111"/>
      <c r="U2" s="111"/>
      <c r="V2" s="226" t="s">
        <v>71</v>
      </c>
      <c r="W2" s="117" t="s">
        <v>100</v>
      </c>
      <c r="X2" s="111"/>
      <c r="Y2" s="226" t="s">
        <v>71</v>
      </c>
      <c r="Z2" s="117" t="s">
        <v>100</v>
      </c>
      <c r="AA2" s="226" t="s">
        <v>71</v>
      </c>
      <c r="AB2" s="117" t="s">
        <v>100</v>
      </c>
      <c r="AC2" s="122"/>
      <c r="AD2" s="122"/>
      <c r="AE2" s="122"/>
      <c r="AF2" s="122"/>
      <c r="AG2" s="111"/>
      <c r="AH2" s="111"/>
      <c r="AI2" s="226" t="s">
        <v>71</v>
      </c>
      <c r="AJ2" s="226"/>
      <c r="AK2" s="117" t="s">
        <v>100</v>
      </c>
      <c r="AL2" s="226" t="s">
        <v>71</v>
      </c>
      <c r="AM2" s="228" t="s">
        <v>70</v>
      </c>
      <c r="AN2" s="226" t="s">
        <v>71</v>
      </c>
    </row>
    <row r="3" s="25" customFormat="true" ht="117" hidden="false" customHeight="true" outlineLevel="0" collapsed="false">
      <c r="D3" s="274"/>
      <c r="E3" s="126" t="s">
        <v>591</v>
      </c>
      <c r="F3" s="275" t="s">
        <v>592</v>
      </c>
      <c r="G3" s="129" t="s">
        <v>341</v>
      </c>
      <c r="H3" s="269" t="s">
        <v>593</v>
      </c>
      <c r="I3" s="275" t="s">
        <v>594</v>
      </c>
      <c r="J3" s="269" t="s">
        <v>595</v>
      </c>
      <c r="K3" s="275" t="s">
        <v>596</v>
      </c>
      <c r="L3" s="130" t="s">
        <v>597</v>
      </c>
      <c r="M3" s="128" t="s">
        <v>598</v>
      </c>
      <c r="N3" s="130" t="s">
        <v>599</v>
      </c>
      <c r="O3" s="132" t="s">
        <v>600</v>
      </c>
      <c r="P3" s="275" t="s">
        <v>601</v>
      </c>
      <c r="Q3" s="138" t="s">
        <v>602</v>
      </c>
      <c r="R3" s="130" t="s">
        <v>603</v>
      </c>
      <c r="S3" s="134" t="s">
        <v>604</v>
      </c>
      <c r="T3" s="134" t="s">
        <v>155</v>
      </c>
      <c r="U3" s="134" t="s">
        <v>605</v>
      </c>
      <c r="V3" s="275" t="s">
        <v>606</v>
      </c>
      <c r="W3" s="139" t="s">
        <v>607</v>
      </c>
      <c r="X3" s="134" t="s">
        <v>608</v>
      </c>
      <c r="Y3" s="275" t="s">
        <v>609</v>
      </c>
      <c r="Z3" s="139" t="s">
        <v>610</v>
      </c>
      <c r="AA3" s="275" t="s">
        <v>611</v>
      </c>
      <c r="AB3" s="139" t="s">
        <v>612</v>
      </c>
      <c r="AC3" s="143" t="s">
        <v>161</v>
      </c>
      <c r="AD3" s="143" t="s">
        <v>613</v>
      </c>
      <c r="AE3" s="143" t="s">
        <v>614</v>
      </c>
      <c r="AF3" s="143" t="s">
        <v>615</v>
      </c>
      <c r="AG3" s="134" t="s">
        <v>371</v>
      </c>
      <c r="AH3" s="134" t="s">
        <v>616</v>
      </c>
      <c r="AI3" s="275" t="s">
        <v>617</v>
      </c>
      <c r="AJ3" s="275" t="s">
        <v>618</v>
      </c>
      <c r="AK3" s="139" t="s">
        <v>619</v>
      </c>
      <c r="AL3" s="145" t="s">
        <v>620</v>
      </c>
      <c r="AM3" s="269" t="s">
        <v>621</v>
      </c>
      <c r="AN3" s="275" t="s">
        <v>622</v>
      </c>
    </row>
    <row r="4" s="25" customFormat="true" ht="16" hidden="false" customHeight="false" outlineLevel="0" collapsed="false">
      <c r="A4" s="149"/>
      <c r="B4" s="149"/>
      <c r="C4" s="149" t="s">
        <v>75</v>
      </c>
      <c r="D4" s="149"/>
      <c r="E4" s="160" t="n">
        <f aca="false">SUBTOTAL(109,E$15:INDEX(E:E,COUNTA($B:$B)+14-COUNTA($B$1:$B$14)))</f>
        <v>0</v>
      </c>
      <c r="F4" s="164" t="n">
        <f aca="false">SUBTOTAL(109,F$15:INDEX(F:F,COUNTA($B:$B)+14-COUNTA($B$1:$B$14)))</f>
        <v>0</v>
      </c>
      <c r="G4" s="154" t="str">
        <f aca="false">IF($E$4=0,"",$F$4/$E$4)</f>
        <v/>
      </c>
      <c r="H4" s="265" t="n">
        <f aca="false">SUBTOTAL(109,H$15:INDEX(H:H,COUNTA($B:$B)+14-COUNTA($B$1:$B$14)))</f>
        <v>0</v>
      </c>
      <c r="I4" s="164" t="n">
        <f aca="false">SUBTOTAL(109,I$15:INDEX(I:I,COUNTA($B:$B)+14-COUNTA($B$1:$B$14)))</f>
        <v>0</v>
      </c>
      <c r="J4" s="160" t="n">
        <f aca="false">SUBTOTAL(109,J$15:INDEX(J:J,COUNTA($B:$B)+14-COUNTA($B$1:$B$14)))</f>
        <v>0</v>
      </c>
      <c r="K4" s="164" t="n">
        <f aca="false">SUBTOTAL(109,K$15:INDEX(K:K,COUNTA($B:$B)+14-COUNTA($B$1:$B$14)))</f>
        <v>0</v>
      </c>
      <c r="L4" s="160" t="n">
        <f aca="false">SUBTOTAL(109,L$15:INDEX(L:L,COUNTA($B:$B)+14-COUNTA($B$1:$B$14)))</f>
        <v>0</v>
      </c>
      <c r="M4" s="164" t="n">
        <f aca="false">SUBTOTAL(109,M$15:INDEX(M:M,COUNTA($B:$B)+14-COUNTA($B$1:$B$14)))</f>
        <v>0</v>
      </c>
      <c r="N4" s="155" t="n">
        <f aca="false">SUBTOTAL(109,N$15:INDEX(N:N,COUNTA($B:$B)+14-COUNTA($B$1:$B$14)))</f>
        <v>0</v>
      </c>
      <c r="O4" s="157" t="n">
        <f aca="false">SUBTOTAL(109,O$15:INDEX(O:O,COUNTA($B:$B)+14-COUNTA($B$1:$B$14)))</f>
        <v>0</v>
      </c>
      <c r="P4" s="164" t="n">
        <f aca="false">SUBTOTAL(109,P$15:INDEX(P:P,COUNTA($B:$B)+14-COUNTA($B$1:$B$14)))</f>
        <v>0</v>
      </c>
      <c r="Q4" s="164" t="n">
        <f aca="false">SUBTOTAL(109,Q$15:INDEX(Q:Q,COUNTA($B:$B)+14-COUNTA($B$1:$B$14)))</f>
        <v>0</v>
      </c>
      <c r="R4" s="265" t="n">
        <f aca="false">SUBTOTAL(109,R$15:INDEX(R:R,COUNTA($B:$B)+14-COUNTA($B$1:$B$14)))</f>
        <v>0</v>
      </c>
      <c r="S4" s="152" t="str">
        <f aca="false">IF($Q$4=0,"",$V$4/$Q$4)</f>
        <v/>
      </c>
      <c r="T4" s="152"/>
      <c r="U4" s="152"/>
      <c r="V4" s="164" t="n">
        <f aca="false">SUBTOTAL(109,V$15:INDEX(V:V,COUNTA($B:$B)+14-COUNTA($B$1:$B$14)))</f>
        <v>0</v>
      </c>
      <c r="W4" s="158"/>
      <c r="X4" s="152"/>
      <c r="Y4" s="164" t="n">
        <f aca="false">SUBTOTAL(109,Y$15:INDEX(Y:Y,COUNTA($B:$B)+14-COUNTA($B$1:$B$14)))</f>
        <v>0</v>
      </c>
      <c r="Z4" s="158" t="str">
        <f aca="false">IF($Y$4=0,"",$AA$4/$Y$4)</f>
        <v/>
      </c>
      <c r="AA4" s="164" t="n">
        <f aca="false">SUBTOTAL(109,AA$15:INDEX(AA:AA,COUNTA($B:$B)+14-COUNTA($B$1:$B$14)))</f>
        <v>0</v>
      </c>
      <c r="AB4" s="158" t="str">
        <f aca="false">IF($V$4=0,"",$AC$4/$V$4)</f>
        <v/>
      </c>
      <c r="AC4" s="163" t="n">
        <f aca="false">SUBTOTAL(109,AC$15:INDEX(AC:AC,COUNTA($B:$B)+14-COUNTA($B$1:$B$14)))</f>
        <v>0</v>
      </c>
      <c r="AD4" s="163" t="n">
        <f aca="false">SUBTOTAL(109,AD$15:INDEX(AD:AD,COUNTA($B:$B)+14-COUNTA($B$1:$B$14)))</f>
        <v>0</v>
      </c>
      <c r="AE4" s="163" t="n">
        <f aca="false">SUBTOTAL(109,AE$15:INDEX(AE:AE,COUNTA($B:$B)+14-COUNTA($B$1:$B$14)))</f>
        <v>0</v>
      </c>
      <c r="AF4" s="163" t="n">
        <f aca="false">SUBTOTAL(109,AF$15:INDEX(AF:AF,COUNTA($B:$B)+14-COUNTA($B$1:$B$14)))</f>
        <v>0</v>
      </c>
      <c r="AG4" s="152" t="str">
        <f aca="false">IF($AI$4=0,"",$V$4/$AI$4)</f>
        <v/>
      </c>
      <c r="AH4" s="152" t="str">
        <f aca="false">IF(SUM($AI$4,$AJ$4)=0,"",$AI$4/SUM($AI$4,$AJ$4))</f>
        <v/>
      </c>
      <c r="AI4" s="164" t="n">
        <f aca="false">SUBTOTAL(109,AI$15:INDEX(AI:AI,COUNTA($B:$B)+14-COUNTA($B$1:$B$14)))</f>
        <v>0</v>
      </c>
      <c r="AJ4" s="164" t="n">
        <f aca="false">SUBTOTAL(109,AJ$15:INDEX(AJ:AJ,COUNTA($B:$B)+14-COUNTA($B$1:$B$14)))</f>
        <v>0</v>
      </c>
      <c r="AK4" s="158" t="str">
        <f aca="false">IF($AI$4=0,"",$AL$4/$AI$4)</f>
        <v/>
      </c>
      <c r="AL4" s="164" t="n">
        <f aca="false">SUBTOTAL(109,AL$15:INDEX(AL:AL,COUNTA($B:$B)+14-COUNTA($B$1:$B$14)))</f>
        <v>0</v>
      </c>
      <c r="AM4" s="265" t="n">
        <f aca="false">SUBTOTAL(109,AM$15:INDEX(AM:AM,COUNTA($B:$B)+14-COUNTA($B$1:$B$14)))</f>
        <v>0</v>
      </c>
      <c r="AN4" s="164" t="n">
        <f aca="false">SUBTOTAL(109,AN$15:INDEX(AN:AN,COUNTA($B:$B)+14-COUNTA($B$1:$B$14)))</f>
        <v>0</v>
      </c>
    </row>
    <row r="5" s="25" customFormat="true" ht="16" hidden="false" customHeight="false" outlineLevel="0" collapsed="false">
      <c r="A5" s="165" t="s">
        <v>76</v>
      </c>
      <c r="B5" s="165" t="s">
        <v>76</v>
      </c>
      <c r="C5" s="165" t="s">
        <v>76</v>
      </c>
      <c r="D5" s="165" t="s">
        <v>76</v>
      </c>
      <c r="E5" s="167" t="s">
        <v>77</v>
      </c>
      <c r="F5" s="84" t="s">
        <v>77</v>
      </c>
      <c r="G5" s="170" t="s">
        <v>77</v>
      </c>
      <c r="H5" s="172" t="s">
        <v>190</v>
      </c>
      <c r="I5" s="84" t="s">
        <v>190</v>
      </c>
      <c r="J5" s="172" t="s">
        <v>190</v>
      </c>
      <c r="K5" s="84" t="s">
        <v>190</v>
      </c>
      <c r="L5" s="172" t="s">
        <v>190</v>
      </c>
      <c r="M5" s="171" t="s">
        <v>190</v>
      </c>
      <c r="N5" s="215" t="s">
        <v>190</v>
      </c>
      <c r="O5" s="177" t="s">
        <v>190</v>
      </c>
      <c r="P5" s="84" t="s">
        <v>190</v>
      </c>
      <c r="Q5" s="84" t="s">
        <v>76</v>
      </c>
      <c r="R5" s="172" t="s">
        <v>190</v>
      </c>
      <c r="S5" s="168" t="s">
        <v>76</v>
      </c>
      <c r="T5" s="168" t="s">
        <v>76</v>
      </c>
      <c r="U5" s="168" t="s">
        <v>76</v>
      </c>
      <c r="V5" s="84" t="s">
        <v>190</v>
      </c>
      <c r="W5" s="175" t="s">
        <v>76</v>
      </c>
      <c r="X5" s="168" t="s">
        <v>76</v>
      </c>
      <c r="Y5" s="84" t="s">
        <v>190</v>
      </c>
      <c r="Z5" s="175" t="s">
        <v>76</v>
      </c>
      <c r="AA5" s="84" t="s">
        <v>190</v>
      </c>
      <c r="AB5" s="175" t="s">
        <v>76</v>
      </c>
      <c r="AC5" s="83" t="s">
        <v>76</v>
      </c>
      <c r="AD5" s="83" t="s">
        <v>76</v>
      </c>
      <c r="AE5" s="83" t="s">
        <v>190</v>
      </c>
      <c r="AF5" s="83" t="s">
        <v>190</v>
      </c>
      <c r="AG5" s="168" t="s">
        <v>76</v>
      </c>
      <c r="AH5" s="168" t="s">
        <v>76</v>
      </c>
      <c r="AI5" s="84" t="s">
        <v>190</v>
      </c>
      <c r="AJ5" s="84" t="s">
        <v>190</v>
      </c>
      <c r="AK5" s="175" t="s">
        <v>76</v>
      </c>
      <c r="AL5" s="84" t="s">
        <v>190</v>
      </c>
      <c r="AM5" s="172" t="s">
        <v>190</v>
      </c>
      <c r="AN5" s="84" t="s">
        <v>190</v>
      </c>
    </row>
    <row r="6" s="25" customFormat="true" ht="16" hidden="false" customHeight="false" outlineLevel="0" collapsed="false">
      <c r="A6" s="165" t="s">
        <v>78</v>
      </c>
      <c r="B6" s="165" t="s">
        <v>78</v>
      </c>
      <c r="C6" s="165" t="s">
        <v>78</v>
      </c>
      <c r="D6" s="165" t="s">
        <v>78</v>
      </c>
      <c r="E6" s="167" t="s">
        <v>80</v>
      </c>
      <c r="F6" s="84" t="s">
        <v>80</v>
      </c>
      <c r="G6" s="170" t="s">
        <v>80</v>
      </c>
      <c r="H6" s="172" t="s">
        <v>79</v>
      </c>
      <c r="I6" s="84" t="s">
        <v>80</v>
      </c>
      <c r="J6" s="172" t="s">
        <v>79</v>
      </c>
      <c r="K6" s="84" t="s">
        <v>80</v>
      </c>
      <c r="L6" s="172" t="s">
        <v>79</v>
      </c>
      <c r="M6" s="171" t="s">
        <v>80</v>
      </c>
      <c r="N6" s="215" t="s">
        <v>79</v>
      </c>
      <c r="O6" s="177" t="s">
        <v>79</v>
      </c>
      <c r="P6" s="84" t="s">
        <v>80</v>
      </c>
      <c r="Q6" s="84" t="s">
        <v>81</v>
      </c>
      <c r="R6" s="172" t="s">
        <v>79</v>
      </c>
      <c r="S6" s="168" t="s">
        <v>193</v>
      </c>
      <c r="T6" s="168" t="s">
        <v>193</v>
      </c>
      <c r="U6" s="168" t="s">
        <v>193</v>
      </c>
      <c r="V6" s="84" t="s">
        <v>80</v>
      </c>
      <c r="W6" s="175" t="s">
        <v>193</v>
      </c>
      <c r="X6" s="168" t="s">
        <v>193</v>
      </c>
      <c r="Y6" s="84" t="s">
        <v>80</v>
      </c>
      <c r="Z6" s="175" t="s">
        <v>193</v>
      </c>
      <c r="AA6" s="84" t="s">
        <v>80</v>
      </c>
      <c r="AB6" s="175" t="s">
        <v>81</v>
      </c>
      <c r="AC6" s="83" t="s">
        <v>81</v>
      </c>
      <c r="AD6" s="83" t="s">
        <v>81</v>
      </c>
      <c r="AE6" s="83" t="s">
        <v>79</v>
      </c>
      <c r="AF6" s="83" t="s">
        <v>79</v>
      </c>
      <c r="AG6" s="168" t="s">
        <v>193</v>
      </c>
      <c r="AH6" s="168" t="s">
        <v>193</v>
      </c>
      <c r="AI6" s="84" t="s">
        <v>80</v>
      </c>
      <c r="AJ6" s="84" t="s">
        <v>80</v>
      </c>
      <c r="AK6" s="175" t="s">
        <v>193</v>
      </c>
      <c r="AL6" s="84" t="s">
        <v>80</v>
      </c>
      <c r="AM6" s="172" t="s">
        <v>79</v>
      </c>
      <c r="AN6" s="84" t="s">
        <v>80</v>
      </c>
    </row>
    <row r="7" s="25" customFormat="true" ht="16" hidden="false" customHeight="false" outlineLevel="0" collapsed="false">
      <c r="A7" s="165" t="s">
        <v>82</v>
      </c>
      <c r="B7" s="165" t="s">
        <v>82</v>
      </c>
      <c r="C7" s="165" t="s">
        <v>82</v>
      </c>
      <c r="D7" s="165" t="s">
        <v>82</v>
      </c>
      <c r="E7" s="167" t="s">
        <v>83</v>
      </c>
      <c r="F7" s="84" t="s">
        <v>83</v>
      </c>
      <c r="G7" s="170" t="s">
        <v>194</v>
      </c>
      <c r="H7" s="172" t="s">
        <v>83</v>
      </c>
      <c r="I7" s="84" t="s">
        <v>83</v>
      </c>
      <c r="J7" s="172" t="s">
        <v>83</v>
      </c>
      <c r="K7" s="84" t="s">
        <v>83</v>
      </c>
      <c r="L7" s="172" t="s">
        <v>83</v>
      </c>
      <c r="M7" s="171" t="s">
        <v>83</v>
      </c>
      <c r="N7" s="215" t="s">
        <v>83</v>
      </c>
      <c r="O7" s="177" t="s">
        <v>83</v>
      </c>
      <c r="P7" s="84" t="s">
        <v>83</v>
      </c>
      <c r="Q7" s="84" t="s">
        <v>83</v>
      </c>
      <c r="R7" s="172" t="s">
        <v>83</v>
      </c>
      <c r="S7" s="168" t="s">
        <v>194</v>
      </c>
      <c r="T7" s="168" t="s">
        <v>194</v>
      </c>
      <c r="U7" s="168" t="s">
        <v>194</v>
      </c>
      <c r="V7" s="84" t="s">
        <v>83</v>
      </c>
      <c r="W7" s="175" t="s">
        <v>194</v>
      </c>
      <c r="X7" s="168" t="s">
        <v>194</v>
      </c>
      <c r="Y7" s="84" t="s">
        <v>83</v>
      </c>
      <c r="Z7" s="175" t="s">
        <v>194</v>
      </c>
      <c r="AA7" s="84" t="s">
        <v>83</v>
      </c>
      <c r="AB7" s="175" t="s">
        <v>194</v>
      </c>
      <c r="AC7" s="83" t="s">
        <v>83</v>
      </c>
      <c r="AD7" s="83" t="s">
        <v>83</v>
      </c>
      <c r="AE7" s="83" t="s">
        <v>83</v>
      </c>
      <c r="AF7" s="83" t="s">
        <v>83</v>
      </c>
      <c r="AG7" s="168" t="s">
        <v>194</v>
      </c>
      <c r="AH7" s="168" t="s">
        <v>194</v>
      </c>
      <c r="AI7" s="84" t="s">
        <v>83</v>
      </c>
      <c r="AJ7" s="84" t="s">
        <v>83</v>
      </c>
      <c r="AK7" s="175" t="s">
        <v>194</v>
      </c>
      <c r="AL7" s="84" t="s">
        <v>83</v>
      </c>
      <c r="AM7" s="172" t="s">
        <v>83</v>
      </c>
      <c r="AN7" s="84" t="s">
        <v>83</v>
      </c>
    </row>
    <row r="8" s="25" customFormat="true" ht="16" hidden="false" customHeight="false" outlineLevel="0" collapsed="false">
      <c r="A8" s="165"/>
      <c r="B8" s="165"/>
      <c r="C8" s="165"/>
      <c r="D8" s="165"/>
      <c r="E8" s="250" t="s">
        <v>623</v>
      </c>
      <c r="F8" s="246" t="s">
        <v>624</v>
      </c>
      <c r="G8" s="276" t="s">
        <v>625</v>
      </c>
      <c r="H8" s="247" t="s">
        <v>626</v>
      </c>
      <c r="I8" s="246" t="s">
        <v>627</v>
      </c>
      <c r="J8" s="247" t="s">
        <v>628</v>
      </c>
      <c r="K8" s="246" t="s">
        <v>628</v>
      </c>
      <c r="L8" s="247" t="s">
        <v>629</v>
      </c>
      <c r="M8" s="270" t="s">
        <v>629</v>
      </c>
      <c r="N8" s="267" t="s">
        <v>630</v>
      </c>
      <c r="O8" s="277" t="s">
        <v>631</v>
      </c>
      <c r="P8" s="246" t="s">
        <v>631</v>
      </c>
      <c r="Q8" s="84"/>
      <c r="R8" s="247" t="s">
        <v>632</v>
      </c>
      <c r="S8" s="168"/>
      <c r="T8" s="168"/>
      <c r="U8" s="168"/>
      <c r="V8" s="246" t="s">
        <v>632</v>
      </c>
      <c r="W8" s="175"/>
      <c r="X8" s="168"/>
      <c r="Y8" s="246" t="s">
        <v>633</v>
      </c>
      <c r="Z8" s="175"/>
      <c r="AA8" s="246" t="s">
        <v>634</v>
      </c>
      <c r="AB8" s="175"/>
      <c r="AC8" s="83"/>
      <c r="AD8" s="83"/>
      <c r="AE8" s="266" t="s">
        <v>635</v>
      </c>
      <c r="AF8" s="266" t="s">
        <v>635</v>
      </c>
      <c r="AG8" s="168"/>
      <c r="AH8" s="168"/>
      <c r="AI8" s="246" t="s">
        <v>635</v>
      </c>
      <c r="AJ8" s="246" t="s">
        <v>635</v>
      </c>
      <c r="AK8" s="175"/>
      <c r="AL8" s="246" t="s">
        <v>636</v>
      </c>
      <c r="AM8" s="278" t="s">
        <v>637</v>
      </c>
      <c r="AN8" s="246" t="s">
        <v>637</v>
      </c>
    </row>
    <row r="9" s="25" customFormat="true" ht="16" hidden="false" customHeight="false" outlineLevel="0" collapsed="false">
      <c r="A9" s="165"/>
      <c r="B9" s="165"/>
      <c r="C9" s="165"/>
      <c r="D9" s="165"/>
      <c r="E9" s="250"/>
      <c r="F9" s="246"/>
      <c r="G9" s="276"/>
      <c r="H9" s="247" t="s">
        <v>638</v>
      </c>
      <c r="I9" s="246" t="s">
        <v>639</v>
      </c>
      <c r="J9" s="247" t="s">
        <v>640</v>
      </c>
      <c r="K9" s="246" t="s">
        <v>640</v>
      </c>
      <c r="L9" s="247" t="s">
        <v>641</v>
      </c>
      <c r="M9" s="270" t="s">
        <v>641</v>
      </c>
      <c r="N9" s="267" t="s">
        <v>642</v>
      </c>
      <c r="O9" s="277" t="s">
        <v>643</v>
      </c>
      <c r="P9" s="246" t="s">
        <v>643</v>
      </c>
      <c r="Q9" s="84"/>
      <c r="R9" s="247" t="s">
        <v>644</v>
      </c>
      <c r="S9" s="168"/>
      <c r="T9" s="168"/>
      <c r="U9" s="168"/>
      <c r="V9" s="246" t="s">
        <v>644</v>
      </c>
      <c r="W9" s="175"/>
      <c r="X9" s="168"/>
      <c r="Y9" s="246" t="s">
        <v>645</v>
      </c>
      <c r="Z9" s="175"/>
      <c r="AA9" s="246" t="s">
        <v>646</v>
      </c>
      <c r="AB9" s="175"/>
      <c r="AC9" s="83"/>
      <c r="AD9" s="83"/>
      <c r="AE9" s="266" t="s">
        <v>647</v>
      </c>
      <c r="AF9" s="266" t="s">
        <v>647</v>
      </c>
      <c r="AG9" s="168"/>
      <c r="AH9" s="168"/>
      <c r="AI9" s="246" t="s">
        <v>647</v>
      </c>
      <c r="AJ9" s="246" t="s">
        <v>647</v>
      </c>
      <c r="AK9" s="175"/>
      <c r="AL9" s="246" t="s">
        <v>648</v>
      </c>
      <c r="AM9" s="278" t="s">
        <v>649</v>
      </c>
      <c r="AN9" s="246" t="s">
        <v>649</v>
      </c>
    </row>
    <row r="10" s="25" customFormat="true" ht="16" hidden="false" customHeight="false" outlineLevel="0" collapsed="false">
      <c r="A10" s="165"/>
      <c r="B10" s="165"/>
      <c r="C10" s="165"/>
      <c r="D10" s="165"/>
      <c r="E10" s="250"/>
      <c r="F10" s="246" t="s">
        <v>221</v>
      </c>
      <c r="G10" s="276" t="s">
        <v>221</v>
      </c>
      <c r="H10" s="247"/>
      <c r="I10" s="246"/>
      <c r="J10" s="247"/>
      <c r="K10" s="246"/>
      <c r="L10" s="247"/>
      <c r="M10" s="270"/>
      <c r="N10" s="267" t="s">
        <v>221</v>
      </c>
      <c r="O10" s="277" t="s">
        <v>221</v>
      </c>
      <c r="P10" s="246" t="s">
        <v>221</v>
      </c>
      <c r="Q10" s="84"/>
      <c r="R10" s="247" t="s">
        <v>221</v>
      </c>
      <c r="S10" s="168"/>
      <c r="T10" s="168"/>
      <c r="U10" s="168"/>
      <c r="V10" s="246" t="s">
        <v>221</v>
      </c>
      <c r="W10" s="175"/>
      <c r="X10" s="168"/>
      <c r="Y10" s="246" t="s">
        <v>221</v>
      </c>
      <c r="Z10" s="175"/>
      <c r="AA10" s="246" t="s">
        <v>221</v>
      </c>
      <c r="AB10" s="175"/>
      <c r="AC10" s="83"/>
      <c r="AD10" s="83"/>
      <c r="AE10" s="266" t="s">
        <v>221</v>
      </c>
      <c r="AF10" s="266" t="s">
        <v>401</v>
      </c>
      <c r="AG10" s="168"/>
      <c r="AH10" s="168"/>
      <c r="AI10" s="246" t="s">
        <v>221</v>
      </c>
      <c r="AJ10" s="246" t="s">
        <v>401</v>
      </c>
      <c r="AK10" s="175"/>
      <c r="AL10" s="246" t="s">
        <v>221</v>
      </c>
      <c r="AM10" s="278"/>
      <c r="AN10" s="246"/>
    </row>
    <row r="11" s="25" customFormat="true" ht="16" hidden="false" customHeight="false" outlineLevel="0" collapsed="false">
      <c r="A11" s="165"/>
      <c r="B11" s="165"/>
      <c r="C11" s="165"/>
      <c r="D11" s="165"/>
      <c r="E11" s="167"/>
      <c r="F11" s="184"/>
      <c r="G11" s="170"/>
      <c r="H11" s="172"/>
      <c r="I11" s="84"/>
      <c r="J11" s="172"/>
      <c r="K11" s="84"/>
      <c r="L11" s="172"/>
      <c r="M11" s="171"/>
      <c r="N11" s="215"/>
      <c r="O11" s="177"/>
      <c r="P11" s="84"/>
      <c r="Q11" s="84"/>
      <c r="R11" s="172"/>
      <c r="S11" s="168"/>
      <c r="T11" s="168"/>
      <c r="U11" s="168"/>
      <c r="V11" s="84"/>
      <c r="W11" s="175"/>
      <c r="X11" s="168"/>
      <c r="Y11" s="84"/>
      <c r="Z11" s="175"/>
      <c r="AA11" s="84"/>
      <c r="AB11" s="175"/>
      <c r="AC11" s="83"/>
      <c r="AD11" s="83"/>
      <c r="AE11" s="83"/>
      <c r="AF11" s="83"/>
      <c r="AG11" s="168"/>
      <c r="AH11" s="168"/>
      <c r="AI11" s="84"/>
      <c r="AJ11" s="84"/>
      <c r="AK11" s="175"/>
      <c r="AL11" s="84"/>
      <c r="AM11" s="172"/>
      <c r="AN11" s="84"/>
    </row>
    <row r="12" s="25" customFormat="true" ht="16" hidden="false" customHeight="false" outlineLevel="0" collapsed="false">
      <c r="A12" s="165"/>
      <c r="B12" s="165"/>
      <c r="C12" s="165"/>
      <c r="D12" s="165"/>
      <c r="E12" s="167"/>
      <c r="F12" s="84"/>
      <c r="G12" s="170"/>
      <c r="H12" s="172"/>
      <c r="I12" s="84"/>
      <c r="J12" s="172"/>
      <c r="K12" s="84"/>
      <c r="L12" s="172"/>
      <c r="M12" s="171"/>
      <c r="N12" s="215"/>
      <c r="O12" s="177"/>
      <c r="P12" s="84"/>
      <c r="Q12" s="84"/>
      <c r="R12" s="172"/>
      <c r="S12" s="168"/>
      <c r="T12" s="168"/>
      <c r="U12" s="168"/>
      <c r="V12" s="84"/>
      <c r="W12" s="175"/>
      <c r="X12" s="168"/>
      <c r="Y12" s="84"/>
      <c r="Z12" s="175"/>
      <c r="AA12" s="84"/>
      <c r="AB12" s="175"/>
      <c r="AC12" s="83"/>
      <c r="AD12" s="83"/>
      <c r="AE12" s="83"/>
      <c r="AF12" s="83"/>
      <c r="AG12" s="168"/>
      <c r="AH12" s="168"/>
      <c r="AI12" s="84"/>
      <c r="AJ12" s="84"/>
      <c r="AK12" s="175"/>
      <c r="AL12" s="84"/>
      <c r="AM12" s="172"/>
      <c r="AN12" s="84"/>
    </row>
    <row r="13" s="25" customFormat="true" ht="16" hidden="false" customHeight="false" outlineLevel="0" collapsed="false">
      <c r="A13" s="165"/>
      <c r="B13" s="165"/>
      <c r="C13" s="165"/>
      <c r="D13" s="165"/>
      <c r="E13" s="167" t="s">
        <v>650</v>
      </c>
      <c r="F13" s="84" t="s">
        <v>650</v>
      </c>
      <c r="G13" s="170" t="s">
        <v>650</v>
      </c>
      <c r="H13" s="172" t="s">
        <v>650</v>
      </c>
      <c r="I13" s="84" t="s">
        <v>650</v>
      </c>
      <c r="J13" s="172" t="s">
        <v>650</v>
      </c>
      <c r="K13" s="84" t="s">
        <v>650</v>
      </c>
      <c r="L13" s="172" t="s">
        <v>650</v>
      </c>
      <c r="M13" s="84" t="s">
        <v>650</v>
      </c>
      <c r="N13" s="215" t="s">
        <v>650</v>
      </c>
      <c r="O13" s="177" t="s">
        <v>650</v>
      </c>
      <c r="P13" s="84" t="s">
        <v>650</v>
      </c>
      <c r="Q13" s="84" t="s">
        <v>650</v>
      </c>
      <c r="R13" s="172" t="s">
        <v>650</v>
      </c>
      <c r="S13" s="168" t="s">
        <v>650</v>
      </c>
      <c r="T13" s="168" t="s">
        <v>650</v>
      </c>
      <c r="U13" s="168" t="s">
        <v>650</v>
      </c>
      <c r="V13" s="84" t="s">
        <v>650</v>
      </c>
      <c r="W13" s="175" t="s">
        <v>650</v>
      </c>
      <c r="X13" s="168" t="s">
        <v>650</v>
      </c>
      <c r="Y13" s="84" t="s">
        <v>650</v>
      </c>
      <c r="Z13" s="175" t="s">
        <v>650</v>
      </c>
      <c r="AA13" s="84" t="s">
        <v>650</v>
      </c>
      <c r="AB13" s="175" t="s">
        <v>650</v>
      </c>
      <c r="AC13" s="83" t="s">
        <v>650</v>
      </c>
      <c r="AD13" s="83" t="s">
        <v>650</v>
      </c>
      <c r="AE13" s="83" t="s">
        <v>650</v>
      </c>
      <c r="AF13" s="83" t="s">
        <v>650</v>
      </c>
      <c r="AG13" s="168" t="s">
        <v>650</v>
      </c>
      <c r="AH13" s="168" t="s">
        <v>650</v>
      </c>
      <c r="AI13" s="84" t="s">
        <v>650</v>
      </c>
      <c r="AJ13" s="84" t="s">
        <v>650</v>
      </c>
      <c r="AK13" s="175" t="s">
        <v>650</v>
      </c>
      <c r="AL13" s="84" t="s">
        <v>650</v>
      </c>
      <c r="AM13" s="172" t="s">
        <v>650</v>
      </c>
      <c r="AN13" s="84" t="s">
        <v>650</v>
      </c>
    </row>
    <row r="14" s="25" customFormat="true" ht="16" hidden="false" customHeight="false" outlineLevel="0" collapsed="false">
      <c r="A14" s="79" t="s">
        <v>85</v>
      </c>
      <c r="B14" s="79" t="s">
        <v>86</v>
      </c>
      <c r="C14" s="79" t="s">
        <v>651</v>
      </c>
      <c r="D14" s="79" t="s">
        <v>42</v>
      </c>
      <c r="E14" s="194" t="s">
        <v>652</v>
      </c>
      <c r="F14" s="196" t="s">
        <v>653</v>
      </c>
      <c r="G14" s="197" t="s">
        <v>654</v>
      </c>
      <c r="H14" s="200" t="s">
        <v>655</v>
      </c>
      <c r="I14" s="196" t="s">
        <v>656</v>
      </c>
      <c r="J14" s="200" t="s">
        <v>657</v>
      </c>
      <c r="K14" s="196" t="s">
        <v>658</v>
      </c>
      <c r="L14" s="200" t="s">
        <v>659</v>
      </c>
      <c r="M14" s="196" t="s">
        <v>660</v>
      </c>
      <c r="N14" s="200" t="s">
        <v>661</v>
      </c>
      <c r="O14" s="199" t="s">
        <v>662</v>
      </c>
      <c r="P14" s="196" t="s">
        <v>663</v>
      </c>
      <c r="Q14" s="196" t="s">
        <v>664</v>
      </c>
      <c r="R14" s="200" t="s">
        <v>665</v>
      </c>
      <c r="S14" s="195" t="s">
        <v>666</v>
      </c>
      <c r="T14" s="195" t="s">
        <v>667</v>
      </c>
      <c r="U14" s="195" t="s">
        <v>668</v>
      </c>
      <c r="V14" s="196" t="s">
        <v>669</v>
      </c>
      <c r="W14" s="206" t="s">
        <v>670</v>
      </c>
      <c r="X14" s="195" t="s">
        <v>671</v>
      </c>
      <c r="Y14" s="196" t="s">
        <v>672</v>
      </c>
      <c r="Z14" s="206" t="s">
        <v>673</v>
      </c>
      <c r="AA14" s="196" t="s">
        <v>674</v>
      </c>
      <c r="AB14" s="206" t="s">
        <v>675</v>
      </c>
      <c r="AC14" s="199" t="s">
        <v>676</v>
      </c>
      <c r="AD14" s="199" t="s">
        <v>677</v>
      </c>
      <c r="AE14" s="199" t="s">
        <v>678</v>
      </c>
      <c r="AF14" s="199" t="s">
        <v>679</v>
      </c>
      <c r="AG14" s="195" t="s">
        <v>680</v>
      </c>
      <c r="AH14" s="195" t="s">
        <v>681</v>
      </c>
      <c r="AI14" s="196" t="s">
        <v>682</v>
      </c>
      <c r="AJ14" s="196" t="s">
        <v>683</v>
      </c>
      <c r="AK14" s="206" t="s">
        <v>684</v>
      </c>
      <c r="AL14" s="196" t="s">
        <v>685</v>
      </c>
      <c r="AM14" s="200" t="s">
        <v>686</v>
      </c>
      <c r="AN14" s="196" t="s">
        <v>687</v>
      </c>
    </row>
    <row r="15" s="25" customFormat="true" ht="16" hidden="false" customHeight="false" outlineLevel="0" collapsed="false">
      <c r="A15" s="165"/>
      <c r="B15" s="165"/>
      <c r="C15" s="165"/>
      <c r="D15" s="165" t="str">
        <f aca="false">B15&amp;"|"&amp;C15</f>
        <v>|</v>
      </c>
      <c r="E15" s="167"/>
      <c r="F15" s="84"/>
      <c r="G15" s="170"/>
      <c r="H15" s="172"/>
      <c r="I15" s="84"/>
      <c r="J15" s="172"/>
      <c r="K15" s="84"/>
      <c r="L15" s="167"/>
      <c r="M15" s="171"/>
      <c r="N15" s="215"/>
      <c r="O15" s="177"/>
      <c r="P15" s="84"/>
      <c r="Q15" s="171" t="str">
        <f aca="false">IF(SUM($O15,$P15)=0,"",$P15-$O15)</f>
        <v/>
      </c>
      <c r="R15" s="215"/>
      <c r="S15" s="168" t="str">
        <f aca="false">IF(SUM($Q15)=0,"",100%)</f>
        <v/>
      </c>
      <c r="T15" s="168" t="str">
        <f aca="false">IF(SUM($P15)=0,"",98%)</f>
        <v/>
      </c>
      <c r="U15" s="168" t="str">
        <f aca="false">IF(SUM($P15)=0,"",98%)</f>
        <v/>
      </c>
      <c r="V15" s="84" t="str">
        <f aca="false">IF(SUM($P15)=0,"",ROUND(($P15-($O15*$T15))/$U15,0))</f>
        <v/>
      </c>
      <c r="W15" s="175" t="str">
        <f aca="false">IF(SUM($V15)=0,"",70%)</f>
        <v/>
      </c>
      <c r="X15" s="168" t="str">
        <f aca="false">IF(SUM($V15)=0,"",100%)</f>
        <v/>
      </c>
      <c r="Y15" s="84" t="str">
        <f aca="false">IF(SUM($V15,$O15)=0,"",ROUND(($V15*$W15+$O15)*$X15,0))</f>
        <v/>
      </c>
      <c r="Z15" s="175" t="str">
        <f aca="false">IF(SUM($Y15)=0,"",95%)</f>
        <v/>
      </c>
      <c r="AA15" s="84" t="str">
        <f aca="false">IF(SUM($Y15)=0,"",ROUND($Y15*$Z15,0))</f>
        <v/>
      </c>
      <c r="AB15" s="175" t="str">
        <f aca="false">IF(SUM($V15)=0,"",0%)</f>
        <v/>
      </c>
      <c r="AC15" s="83" t="str">
        <f aca="false">IF(OR(SUM($V15)=0,SUM($AB15)=0),"",ROUND($V15*$AB15,0))</f>
        <v/>
      </c>
      <c r="AD15" s="83" t="str">
        <f aca="false">IF(SUM($V15)=0,"",$V15-SUM($AC15))</f>
        <v/>
      </c>
      <c r="AE15" s="83"/>
      <c r="AF15" s="83"/>
      <c r="AG15" s="168" t="str">
        <f aca="false">IF(SUM($AD15)=0,"",95%)</f>
        <v/>
      </c>
      <c r="AH15" s="168"/>
      <c r="AI15" s="84" t="str">
        <f aca="false">IF(SUM($AD15)=0,"",ROUND($AD15/$AG15,0))</f>
        <v/>
      </c>
      <c r="AJ15" s="84" t="str">
        <f aca="false">IF(SUM($AI15)=0,"",ROUND($AI15/$AH15-$AI15,0))</f>
        <v/>
      </c>
      <c r="AK15" s="175" t="str">
        <f aca="false">IF(SUM($AI15)=0,"",100%)</f>
        <v/>
      </c>
      <c r="AL15" s="84" t="str">
        <f aca="false">IF(SUM($AI15)=0,"",ROUND($AI15*$AK15,0))</f>
        <v/>
      </c>
      <c r="AM15" s="172"/>
      <c r="AN15" s="84"/>
    </row>
  </sheetData>
  <conditionalFormatting sqref="X1:X1048576">
    <cfRule type="expression" priority="2" aboveAverage="0" equalAverage="0" bottom="0" percent="0" rank="0" text="" dxfId="0">
      <formula>AND(ISNUMBER($X1),ROUND(SUM($Y1),0)&gt;0,ROUND(SUM($X1),2)&lt;1)</formula>
    </cfRule>
  </conditionalFormatting>
  <conditionalFormatting sqref="Z1:Z1048576">
    <cfRule type="expression" priority="3" aboveAverage="0" equalAverage="0" bottom="0" percent="0" rank="0" text="" dxfId="1">
      <formula>AND(ISNUMBER($Z1),SUM($Y1)&gt;0,ROUND(SUM($Z1),2)&lt;95%)</formula>
    </cfRule>
  </conditionalFormatting>
  <conditionalFormatting sqref="AK1:AK1048576">
    <cfRule type="expression" priority="4" aboveAverage="0" equalAverage="0" bottom="0" percent="0" rank="0" text="" dxfId="2">
      <formula>AND(ISNUMBER($AK1),SUM($AI1)&gt;0,ROUND(SUM($AK1),2)&lt;1)</formula>
    </cfRule>
  </conditionalFormatting>
  <conditionalFormatting sqref="E1:G1048576">
    <cfRule type="expression" priority="5" aboveAverage="0" equalAverage="0" bottom="0" percent="0" rank="0" text="" dxfId="3">
      <formula>LEFT($B1,4)="_Mil"</formula>
    </cfRule>
  </conditionalFormatting>
  <conditionalFormatting sqref="W1:W1048576">
    <cfRule type="expression" priority="6" aboveAverage="0" equalAverage="0" bottom="0" percent="0" rank="0" text="" dxfId="4">
      <formula>AND(ISNUMBER($W1),ROUND(SUM($V1),0)&gt;0,ROUND(SUM($W1),2)&lt;70%)</formula>
    </cfRule>
  </conditionalFormatting>
  <conditionalFormatting sqref="AG1:AG1048576">
    <cfRule type="expression" priority="7" aboveAverage="0" equalAverage="0" bottom="0" percent="0" rank="0" text="" dxfId="5">
      <formula>AND(ISNUMBER($AG1),ROUND(SUM($V1),0)&gt;0,ROUND(SUM($AG1),2)&lt;95%)</formula>
    </cfRule>
  </conditionalFormatting>
  <conditionalFormatting sqref="U1:U1048576">
    <cfRule type="expression" priority="8" aboveAverage="0" equalAverage="0" bottom="0" percent="0" rank="0" text="" dxfId="6">
      <formula>AND(ISNUMBER($U1),SUM($V1)&gt;0,ROUND(SUM($U1),2)&lt;98%)</formula>
    </cfRule>
  </conditionalFormatting>
  <conditionalFormatting sqref="S1:S1048576">
    <cfRule type="expression" priority="9" aboveAverage="0" equalAverage="0" bottom="0" percent="0" rank="0" text="" dxfId="7">
      <formula>AND(ISNUMBER($S1),ROUND(SUM($S1),2)&lt;100%)</formula>
    </cfRule>
  </conditionalFormatting>
  <conditionalFormatting sqref="AB1:AB1048576">
    <cfRule type="expression" priority="10" aboveAverage="0" equalAverage="0" bottom="0" percent="0" rank="0" text="" dxfId="8">
      <formula>AND(ISNUMBER($AB1),ROUND(SUM($V1),0)&gt;0,ROUND(SUM($AB1),2)&gt;0)</formula>
    </cfRule>
  </conditionalFormatting>
  <conditionalFormatting sqref="E1:F1048576 H1:R1048576 V1:V1048576 Y1:Y1048576 AA1:AA1048576 AC1:AF1048576 AI1:AJ1048576 AL1:AN1048576">
    <cfRule type="expression" priority="11" aboveAverage="0" equalAverage="0" bottom="0" percent="0" rank="0" text="" dxfId="9">
      <formula>AND(ISNUMBER(E1),ROUND(E1,0)&lt;0)</formula>
    </cfRule>
  </conditionalFormatting>
  <conditionalFormatting sqref="G1:G1048576 S1:U1048576 W1:X1048576 Z1:Z1048576 AB1:AB1048576 AG1:AH1048576 AK1:AK1048576">
    <cfRule type="expression" priority="12" aboveAverage="0" equalAverage="0" bottom="0" percent="0" rank="0" text="" dxfId="10">
      <formula>AND(ISNUMBER(G1),OR(ROUND(G1,2)&lt;0,ROUND(G1,2)&gt;1))</formula>
    </cfRule>
  </conditionalFormatting>
  <conditionalFormatting sqref="T1:T1048576">
    <cfRule type="expression" priority="13" aboveAverage="0" equalAverage="0" bottom="0" percent="0" rank="0" text="" dxfId="11">
      <formula>AND(ISNUMBER($T1),SUM($P1)&gt;0,ROUND(SUM($T1),2)&lt;98%)</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63BE7B"/>
    <pageSetUpPr fitToPage="false"/>
  </sheetPr>
  <dimension ref="A1:C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6" min="6" style="85" width="11.83"/>
    <col collapsed="false" customWidth="true" hidden="false" outlineLevel="0" max="15" min="7" style="0" width="11.83"/>
    <col collapsed="false" customWidth="true" hidden="false" outlineLevel="0" max="16" min="16" style="85" width="11.83"/>
    <col collapsed="false" customWidth="true" hidden="false" outlineLevel="0" max="33" min="17" style="0" width="11.83"/>
    <col collapsed="false" customWidth="true" hidden="false" outlineLevel="0" max="34" min="34" style="85" width="11.83"/>
    <col collapsed="false" customWidth="true" hidden="false" outlineLevel="0" max="36" min="35" style="0" width="11.83"/>
    <col collapsed="false" customWidth="true" hidden="false" outlineLevel="0" max="37" min="37" style="85" width="11.83"/>
    <col collapsed="false" customWidth="true" hidden="false" outlineLevel="0" max="39" min="38" style="0" width="11.83"/>
    <col collapsed="false" customWidth="true" hidden="false" outlineLevel="0" max="40" min="40" style="85" width="11.83"/>
    <col collapsed="false" customWidth="true" hidden="false" outlineLevel="0" max="42" min="41" style="0" width="11.83"/>
    <col collapsed="false" customWidth="true" hidden="false" outlineLevel="0" max="43" min="43" style="85" width="11.83"/>
    <col collapsed="false" customWidth="true" hidden="false" outlineLevel="0" max="45" min="44" style="0" width="11.83"/>
    <col collapsed="false" customWidth="true" hidden="false" outlineLevel="0" max="46" min="46" style="85" width="11.83"/>
    <col collapsed="false" customWidth="true" hidden="false" outlineLevel="0" max="48" min="47" style="0" width="11.83"/>
    <col collapsed="false" customWidth="true" hidden="false" outlineLevel="0" max="49" min="49" style="85" width="11.83"/>
    <col collapsed="false" customWidth="true" hidden="false" outlineLevel="0" max="51" min="50" style="0" width="11.83"/>
    <col collapsed="false" customWidth="true" hidden="false" outlineLevel="0" max="52" min="52" style="85" width="11.83"/>
    <col collapsed="false" customWidth="true" hidden="false" outlineLevel="0" max="54" min="53" style="0" width="11.83"/>
    <col collapsed="false" customWidth="true" hidden="false" outlineLevel="0" max="55" min="55" style="85" width="11.83"/>
    <col collapsed="false" customWidth="true" hidden="false" outlineLevel="0" max="57" min="56" style="0" width="11.83"/>
    <col collapsed="false" customWidth="true" hidden="false" outlineLevel="0" max="58" min="58" style="85" width="11.83"/>
    <col collapsed="false" customWidth="true" hidden="false" outlineLevel="0" max="60" min="59" style="0" width="11.83"/>
    <col collapsed="false" customWidth="true" hidden="false" outlineLevel="0" max="61" min="61" style="85" width="11.83"/>
    <col collapsed="false" customWidth="true" hidden="false" outlineLevel="0" max="63" min="62" style="0" width="11.83"/>
    <col collapsed="false" customWidth="true" hidden="false" outlineLevel="0" max="64" min="64" style="85" width="11.83"/>
    <col collapsed="false" customWidth="true" hidden="false" outlineLevel="0" max="66" min="65" style="0" width="11.83"/>
    <col collapsed="false" customWidth="true" hidden="false" outlineLevel="0" max="67" min="67" style="85" width="11.83"/>
    <col collapsed="false" customWidth="true" hidden="false" outlineLevel="0" max="78" min="68" style="0" width="11.83"/>
    <col collapsed="false" customWidth="true" hidden="false" outlineLevel="0" max="79" min="79" style="85" width="11.83"/>
    <col collapsed="false" customWidth="true" hidden="false" outlineLevel="0" max="81" min="80" style="0" width="11.83"/>
    <col collapsed="false" customWidth="true" hidden="false" outlineLevel="0" max="1025" min="82" style="0" width="10.61"/>
  </cols>
  <sheetData>
    <row r="1" s="63" customFormat="true" ht="31" hidden="false" customHeight="true" outlineLevel="0" collapsed="false">
      <c r="A1" s="90" t="s">
        <v>688</v>
      </c>
      <c r="B1" s="90"/>
      <c r="C1" s="90"/>
      <c r="D1" s="90"/>
      <c r="E1" s="90"/>
      <c r="F1" s="102" t="s">
        <v>689</v>
      </c>
      <c r="G1" s="95"/>
      <c r="H1" s="100"/>
      <c r="I1" s="100"/>
      <c r="J1" s="100"/>
      <c r="K1" s="100"/>
      <c r="L1" s="100"/>
      <c r="M1" s="100"/>
      <c r="N1" s="100"/>
      <c r="O1" s="100"/>
      <c r="P1" s="102" t="s">
        <v>690</v>
      </c>
      <c r="Q1" s="93"/>
      <c r="R1" s="93"/>
      <c r="S1" s="93"/>
      <c r="T1" s="93"/>
      <c r="U1" s="93"/>
      <c r="V1" s="93"/>
      <c r="W1" s="93"/>
      <c r="X1" s="93"/>
      <c r="Y1" s="93"/>
      <c r="Z1" s="93"/>
      <c r="AA1" s="93"/>
      <c r="AB1" s="93"/>
      <c r="AC1" s="93"/>
      <c r="AD1" s="93"/>
      <c r="AE1" s="93"/>
      <c r="AF1" s="93"/>
      <c r="AG1" s="93"/>
      <c r="AH1" s="102" t="s">
        <v>691</v>
      </c>
      <c r="AI1" s="94"/>
      <c r="AJ1" s="94"/>
      <c r="AK1" s="102" t="s">
        <v>692</v>
      </c>
      <c r="AL1" s="94"/>
      <c r="AM1" s="94"/>
      <c r="AN1" s="102" t="s">
        <v>693</v>
      </c>
      <c r="AO1" s="94"/>
      <c r="AP1" s="94"/>
      <c r="AQ1" s="102" t="s">
        <v>694</v>
      </c>
      <c r="AR1" s="94"/>
      <c r="AS1" s="94"/>
      <c r="AT1" s="102" t="s">
        <v>695</v>
      </c>
      <c r="AU1" s="94"/>
      <c r="AV1" s="94"/>
      <c r="AW1" s="102" t="s">
        <v>696</v>
      </c>
      <c r="AX1" s="94"/>
      <c r="AY1" s="94"/>
      <c r="AZ1" s="102" t="s">
        <v>697</v>
      </c>
      <c r="BA1" s="94"/>
      <c r="BB1" s="94"/>
      <c r="BC1" s="102" t="s">
        <v>698</v>
      </c>
      <c r="BD1" s="94"/>
      <c r="BE1" s="94"/>
      <c r="BF1" s="102" t="s">
        <v>699</v>
      </c>
      <c r="BG1" s="94"/>
      <c r="BH1" s="94"/>
      <c r="BI1" s="102" t="s">
        <v>700</v>
      </c>
      <c r="BJ1" s="94"/>
      <c r="BK1" s="94"/>
      <c r="BL1" s="102" t="s">
        <v>701</v>
      </c>
      <c r="BM1" s="94"/>
      <c r="BN1" s="94"/>
      <c r="BO1" s="92" t="s">
        <v>702</v>
      </c>
      <c r="BP1" s="98"/>
      <c r="BQ1" s="98"/>
      <c r="BR1" s="98"/>
      <c r="BS1" s="98"/>
      <c r="BT1" s="98"/>
      <c r="BU1" s="98"/>
      <c r="BV1" s="98"/>
      <c r="BW1" s="98"/>
      <c r="BX1" s="98"/>
      <c r="BY1" s="98"/>
      <c r="BZ1" s="95"/>
      <c r="CA1" s="92" t="s">
        <v>703</v>
      </c>
      <c r="CB1" s="93"/>
      <c r="CC1" s="94"/>
    </row>
    <row r="2" s="123" customFormat="true" ht="19" hidden="false" customHeight="true" outlineLevel="0" collapsed="false">
      <c r="A2" s="223" t="s">
        <v>704</v>
      </c>
      <c r="B2" s="223"/>
      <c r="C2" s="108"/>
      <c r="D2" s="108"/>
      <c r="E2" s="108"/>
      <c r="F2" s="117" t="s">
        <v>70</v>
      </c>
      <c r="G2" s="111"/>
      <c r="H2" s="115"/>
      <c r="I2" s="115"/>
      <c r="J2" s="115"/>
      <c r="K2" s="115"/>
      <c r="L2" s="115"/>
      <c r="M2" s="115"/>
      <c r="N2" s="115"/>
      <c r="O2" s="115"/>
      <c r="P2" s="117" t="s">
        <v>70</v>
      </c>
      <c r="Q2" s="111"/>
      <c r="R2" s="111"/>
      <c r="S2" s="111"/>
      <c r="T2" s="111"/>
      <c r="U2" s="111"/>
      <c r="V2" s="111" t="s">
        <v>100</v>
      </c>
      <c r="W2" s="111"/>
      <c r="X2" s="111"/>
      <c r="Y2" s="111"/>
      <c r="Z2" s="111"/>
      <c r="AA2" s="111"/>
      <c r="AB2" s="111"/>
      <c r="AC2" s="111"/>
      <c r="AD2" s="111"/>
      <c r="AE2" s="111"/>
      <c r="AF2" s="111"/>
      <c r="AG2" s="111" t="s">
        <v>101</v>
      </c>
      <c r="AH2" s="117" t="s">
        <v>100</v>
      </c>
      <c r="AI2" s="226" t="s">
        <v>71</v>
      </c>
      <c r="AJ2" s="226"/>
      <c r="AK2" s="117" t="s">
        <v>100</v>
      </c>
      <c r="AL2" s="226" t="s">
        <v>71</v>
      </c>
      <c r="AM2" s="226"/>
      <c r="AN2" s="117" t="s">
        <v>100</v>
      </c>
      <c r="AO2" s="226" t="s">
        <v>71</v>
      </c>
      <c r="AP2" s="226"/>
      <c r="AQ2" s="117" t="s">
        <v>100</v>
      </c>
      <c r="AR2" s="226" t="s">
        <v>71</v>
      </c>
      <c r="AS2" s="226"/>
      <c r="AT2" s="117" t="s">
        <v>100</v>
      </c>
      <c r="AU2" s="226" t="s">
        <v>71</v>
      </c>
      <c r="AV2" s="226"/>
      <c r="AW2" s="117" t="s">
        <v>100</v>
      </c>
      <c r="AX2" s="226" t="s">
        <v>71</v>
      </c>
      <c r="AY2" s="226"/>
      <c r="AZ2" s="117" t="s">
        <v>100</v>
      </c>
      <c r="BA2" s="226" t="s">
        <v>71</v>
      </c>
      <c r="BB2" s="226"/>
      <c r="BC2" s="117" t="s">
        <v>100</v>
      </c>
      <c r="BD2" s="226" t="s">
        <v>71</v>
      </c>
      <c r="BE2" s="226"/>
      <c r="BF2" s="117" t="s">
        <v>100</v>
      </c>
      <c r="BG2" s="226" t="s">
        <v>71</v>
      </c>
      <c r="BH2" s="226"/>
      <c r="BI2" s="117" t="s">
        <v>100</v>
      </c>
      <c r="BJ2" s="226" t="s">
        <v>71</v>
      </c>
      <c r="BK2" s="226"/>
      <c r="BL2" s="117" t="s">
        <v>100</v>
      </c>
      <c r="BM2" s="226" t="s">
        <v>71</v>
      </c>
      <c r="BN2" s="226"/>
      <c r="BO2" s="114" t="s">
        <v>101</v>
      </c>
      <c r="BP2" s="112"/>
      <c r="BQ2" s="116"/>
      <c r="BR2" s="116" t="s">
        <v>70</v>
      </c>
      <c r="BS2" s="116"/>
      <c r="BT2" s="116"/>
      <c r="BU2" s="116"/>
      <c r="BV2" s="116"/>
      <c r="BW2" s="116"/>
      <c r="BX2" s="112" t="s">
        <v>71</v>
      </c>
      <c r="BY2" s="112"/>
      <c r="BZ2" s="111"/>
      <c r="CA2" s="228" t="s">
        <v>70</v>
      </c>
      <c r="CB2" s="111" t="s">
        <v>100</v>
      </c>
      <c r="CC2" s="226" t="s">
        <v>71</v>
      </c>
    </row>
    <row r="3" s="25" customFormat="true" ht="117" hidden="false" customHeight="true" outlineLevel="0" collapsed="false">
      <c r="A3" s="223"/>
      <c r="B3" s="223"/>
      <c r="C3" s="124"/>
      <c r="D3" s="124"/>
      <c r="E3" s="124"/>
      <c r="F3" s="279" t="s">
        <v>343</v>
      </c>
      <c r="G3" s="231" t="s">
        <v>344</v>
      </c>
      <c r="H3" s="229" t="s">
        <v>384</v>
      </c>
      <c r="I3" s="229" t="s">
        <v>705</v>
      </c>
      <c r="J3" s="229" t="s">
        <v>706</v>
      </c>
      <c r="K3" s="229" t="s">
        <v>167</v>
      </c>
      <c r="L3" s="229" t="s">
        <v>168</v>
      </c>
      <c r="M3" s="229" t="s">
        <v>169</v>
      </c>
      <c r="N3" s="229" t="s">
        <v>707</v>
      </c>
      <c r="O3" s="229" t="s">
        <v>172</v>
      </c>
      <c r="P3" s="279" t="s">
        <v>708</v>
      </c>
      <c r="Q3" s="231" t="s">
        <v>709</v>
      </c>
      <c r="R3" s="231" t="s">
        <v>710</v>
      </c>
      <c r="S3" s="231" t="s">
        <v>711</v>
      </c>
      <c r="T3" s="231" t="s">
        <v>712</v>
      </c>
      <c r="U3" s="231" t="s">
        <v>713</v>
      </c>
      <c r="V3" s="280" t="s">
        <v>714</v>
      </c>
      <c r="W3" s="280" t="s">
        <v>715</v>
      </c>
      <c r="X3" s="280" t="s">
        <v>716</v>
      </c>
      <c r="Y3" s="280" t="s">
        <v>717</v>
      </c>
      <c r="Z3" s="280" t="s">
        <v>718</v>
      </c>
      <c r="AA3" s="280" t="s">
        <v>719</v>
      </c>
      <c r="AB3" s="280" t="s">
        <v>720</v>
      </c>
      <c r="AC3" s="280" t="s">
        <v>721</v>
      </c>
      <c r="AD3" s="280" t="s">
        <v>722</v>
      </c>
      <c r="AE3" s="280" t="s">
        <v>723</v>
      </c>
      <c r="AF3" s="280" t="s">
        <v>724</v>
      </c>
      <c r="AG3" s="127" t="s">
        <v>725</v>
      </c>
      <c r="AH3" s="139" t="s">
        <v>726</v>
      </c>
      <c r="AI3" s="146" t="s">
        <v>727</v>
      </c>
      <c r="AJ3" s="145" t="s">
        <v>728</v>
      </c>
      <c r="AK3" s="139" t="s">
        <v>726</v>
      </c>
      <c r="AL3" s="146" t="s">
        <v>727</v>
      </c>
      <c r="AM3" s="145" t="s">
        <v>728</v>
      </c>
      <c r="AN3" s="139" t="s">
        <v>726</v>
      </c>
      <c r="AO3" s="146" t="s">
        <v>727</v>
      </c>
      <c r="AP3" s="145" t="s">
        <v>728</v>
      </c>
      <c r="AQ3" s="139" t="s">
        <v>726</v>
      </c>
      <c r="AR3" s="146" t="s">
        <v>727</v>
      </c>
      <c r="AS3" s="145" t="s">
        <v>728</v>
      </c>
      <c r="AT3" s="139" t="s">
        <v>726</v>
      </c>
      <c r="AU3" s="146" t="s">
        <v>727</v>
      </c>
      <c r="AV3" s="145" t="s">
        <v>728</v>
      </c>
      <c r="AW3" s="139" t="s">
        <v>726</v>
      </c>
      <c r="AX3" s="146" t="s">
        <v>727</v>
      </c>
      <c r="AY3" s="145" t="s">
        <v>728</v>
      </c>
      <c r="AZ3" s="139" t="s">
        <v>726</v>
      </c>
      <c r="BA3" s="146" t="s">
        <v>727</v>
      </c>
      <c r="BB3" s="145" t="s">
        <v>728</v>
      </c>
      <c r="BC3" s="139" t="s">
        <v>726</v>
      </c>
      <c r="BD3" s="146" t="s">
        <v>727</v>
      </c>
      <c r="BE3" s="145" t="s">
        <v>728</v>
      </c>
      <c r="BF3" s="139" t="s">
        <v>726</v>
      </c>
      <c r="BG3" s="146" t="s">
        <v>727</v>
      </c>
      <c r="BH3" s="145" t="s">
        <v>728</v>
      </c>
      <c r="BI3" s="139" t="s">
        <v>726</v>
      </c>
      <c r="BJ3" s="146" t="s">
        <v>727</v>
      </c>
      <c r="BK3" s="145" t="s">
        <v>728</v>
      </c>
      <c r="BL3" s="139" t="s">
        <v>726</v>
      </c>
      <c r="BM3" s="146" t="s">
        <v>727</v>
      </c>
      <c r="BN3" s="145" t="s">
        <v>728</v>
      </c>
      <c r="BO3" s="240" t="s">
        <v>729</v>
      </c>
      <c r="BP3" s="138" t="s">
        <v>730</v>
      </c>
      <c r="BQ3" s="132" t="s">
        <v>731</v>
      </c>
      <c r="BR3" s="229" t="s">
        <v>732</v>
      </c>
      <c r="BS3" s="229" t="s">
        <v>733</v>
      </c>
      <c r="BT3" s="229" t="s">
        <v>734</v>
      </c>
      <c r="BU3" s="229" t="s">
        <v>735</v>
      </c>
      <c r="BV3" s="229" t="s">
        <v>736</v>
      </c>
      <c r="BW3" s="229" t="s">
        <v>737</v>
      </c>
      <c r="BX3" s="138" t="s">
        <v>738</v>
      </c>
      <c r="BY3" s="138" t="s">
        <v>739</v>
      </c>
      <c r="BZ3" s="127" t="s">
        <v>740</v>
      </c>
      <c r="CA3" s="269" t="s">
        <v>741</v>
      </c>
      <c r="CB3" s="134" t="s">
        <v>742</v>
      </c>
      <c r="CC3" s="145" t="s">
        <v>743</v>
      </c>
    </row>
    <row r="4" s="25" customFormat="true" ht="16" hidden="false" customHeight="false" outlineLevel="0" collapsed="false">
      <c r="A4" s="149"/>
      <c r="B4" s="149"/>
      <c r="C4" s="149"/>
      <c r="D4" s="149" t="s">
        <v>75</v>
      </c>
      <c r="E4" s="149"/>
      <c r="F4" s="158"/>
      <c r="G4" s="152"/>
      <c r="H4" s="156" t="n">
        <f aca="false">SUBTOTAL(109,H$15:INDEX(H:H,COUNTA($B:$B)+14-COUNTA($B$1:$B$14)))</f>
        <v>0</v>
      </c>
      <c r="I4" s="156" t="n">
        <f aca="false">SUBTOTAL(109,I$15:INDEX(I:I,COUNTA($B:$B)+14-COUNTA($B$1:$B$14)))</f>
        <v>0</v>
      </c>
      <c r="J4" s="156" t="n">
        <f aca="false">SUBTOTAL(109,J$15:INDEX(J:J,COUNTA($B:$B)+14-COUNTA($B$1:$B$14)))</f>
        <v>0</v>
      </c>
      <c r="K4" s="156" t="n">
        <f aca="false">SUBTOTAL(109,K$15:INDEX(K:K,COUNTA($B:$B)+14-COUNTA($B$1:$B$14)))</f>
        <v>0</v>
      </c>
      <c r="L4" s="156" t="n">
        <f aca="false">SUBTOTAL(109,L$15:INDEX(L:L,COUNTA($B:$B)+14-COUNTA($B$1:$B$14)))</f>
        <v>0</v>
      </c>
      <c r="M4" s="156" t="n">
        <f aca="false">SUBTOTAL(109,M$15:INDEX(M:M,COUNTA($B:$B)+14-COUNTA($B$1:$B$14)))</f>
        <v>0</v>
      </c>
      <c r="N4" s="156" t="n">
        <f aca="false">SUBTOTAL(109,N$15:INDEX(N:N,COUNTA($B:$B)+14-COUNTA($B$1:$B$14)))</f>
        <v>0</v>
      </c>
      <c r="O4" s="156" t="n">
        <f aca="false">SUBTOTAL(109,O$15:INDEX(O:O,COUNTA($B:$B)+14-COUNTA($B$1:$B$14)))</f>
        <v>0</v>
      </c>
      <c r="P4" s="158" t="str">
        <f aca="false">IF(OR(SUM($I$4)=0,SUM($H$4)=0),"",SUM($I$4)/SUM($H$4))</f>
        <v/>
      </c>
      <c r="Q4" s="152" t="str">
        <f aca="false">IF(OR(SUM($J$4)=0,SUM($H$4)=0),"",SUM($J$4)/SUM($H$4))</f>
        <v/>
      </c>
      <c r="R4" s="152" t="str">
        <f aca="false">IF(OR(SUM($H$4)=0,SUM($K$4)=0),"",SUM($K$4)/SUM($H$4))</f>
        <v/>
      </c>
      <c r="S4" s="152" t="str">
        <f aca="false">IF(OR(SUM($H$4)=0,SUM($L$4)=0),"",SUM($L$4)/SUM($H$4))</f>
        <v/>
      </c>
      <c r="T4" s="152" t="str">
        <f aca="false">IF(OR(SUM($H$4)=0,SUM($M$4)=0),"",SUM($M$4)/SUM($H$4))</f>
        <v/>
      </c>
      <c r="U4" s="152" t="str">
        <f aca="false">IF(OR(SUM($H$4)=0,SUM($N$4)=0),"",SUM($N$4)/SUM($H$4))</f>
        <v/>
      </c>
      <c r="V4" s="152" t="str">
        <f aca="false">IF(OR(SUM($H$4)=0,SUM($AI$4)=0),"",SUM($AI$4)/SUM($H$4))</f>
        <v/>
      </c>
      <c r="W4" s="152" t="str">
        <f aca="false">IF(OR(SUM($H$4)=0,SUM($AL$4)=0),"",SUM($AL$4)/SUM($H$4))</f>
        <v/>
      </c>
      <c r="X4" s="152" t="str">
        <f aca="false">IF(OR(SUM($H$4)=0,SUM($AO$4)=0),"",SUM($AO$4)/SUM($H$4))</f>
        <v/>
      </c>
      <c r="Y4" s="152" t="str">
        <f aca="false">IF(OR(SUM($H$4)=0,SUM($AR$4)=0),"",SUM($AR$4)/SUM($H$4))</f>
        <v/>
      </c>
      <c r="Z4" s="152" t="str">
        <f aca="false">IF(OR(SUM($H$4)=0,SUM($AU$4)=0),"",SUM($AU$4)/SUM($H$4))</f>
        <v/>
      </c>
      <c r="AA4" s="152" t="str">
        <f aca="false">IF(OR(SUM($H$4)=0,SUM($AX$4)=0),"",SUM($AX$4)/SUM($H$4))</f>
        <v/>
      </c>
      <c r="AB4" s="152" t="str">
        <f aca="false">IF(OR(SUM($H$4)=0,SUM($BA$4)=0),"",SUM($BA$4)/SUM($H$4))</f>
        <v/>
      </c>
      <c r="AC4" s="152" t="str">
        <f aca="false">IF(OR(SUM($H$4)=0,SUM($BD$4)=0),"",SUM($BD$4)/SUM($H$4))</f>
        <v/>
      </c>
      <c r="AD4" s="152" t="str">
        <f aca="false">IF(OR(SUM($H$4)=0,SUM($BG$4)=0),"",SUM($BG$4)/SUM($H$4))</f>
        <v/>
      </c>
      <c r="AE4" s="152" t="str">
        <f aca="false">IF(OR(SUM($H$4)=0,SUM($BJ$4)=0),"",SUM($BJ$4)/SUM($H$4))</f>
        <v/>
      </c>
      <c r="AF4" s="152" t="str">
        <f aca="false">IF(OR(SUM($H$4)=0,SUM($BM$4)=0),"",SUM($BM$4)/SUM($H$4))</f>
        <v/>
      </c>
      <c r="AG4" s="152" t="n">
        <f aca="false">SUM($P4:$AF4)</f>
        <v>0</v>
      </c>
      <c r="AH4" s="158" t="str">
        <f aca="false">IF(SUM(AI4:AJ4)=0,"",AI4/(SUM(AI4:AJ4)))</f>
        <v/>
      </c>
      <c r="AI4" s="164" t="n">
        <f aca="false">SUBTOTAL(109,AI$15:INDEX(AI:AI,COUNTA($B:$B)+14-COUNTA($B$1:$B$14)))</f>
        <v>0</v>
      </c>
      <c r="AJ4" s="164" t="n">
        <f aca="false">SUBTOTAL(109,AJ$15:INDEX(AJ:AJ,COUNTA($B:$B)+14-COUNTA($B$1:$B$14)))</f>
        <v>0</v>
      </c>
      <c r="AK4" s="158" t="str">
        <f aca="false">IF(SUM(AL4:AM4)=0,"",AL4/(SUM(AL4:AM4)))</f>
        <v/>
      </c>
      <c r="AL4" s="164" t="n">
        <f aca="false">SUBTOTAL(109,AL$15:INDEX(AL:AL,COUNTA($B:$B)+14-COUNTA($B$1:$B$14)))</f>
        <v>0</v>
      </c>
      <c r="AM4" s="164" t="n">
        <f aca="false">SUBTOTAL(109,AM$15:INDEX(AM:AM,COUNTA($B:$B)+14-COUNTA($B$1:$B$14)))</f>
        <v>0</v>
      </c>
      <c r="AN4" s="158" t="str">
        <f aca="false">IF(SUM(AO4:AP4)=0,"",AO4/(SUM(AO4:AP4)))</f>
        <v/>
      </c>
      <c r="AO4" s="164" t="n">
        <f aca="false">SUBTOTAL(109,AO$15:INDEX(AO:AO,COUNTA($B:$B)+14-COUNTA($B$1:$B$14)))</f>
        <v>0</v>
      </c>
      <c r="AP4" s="164" t="n">
        <f aca="false">SUBTOTAL(109,AP$15:INDEX(AP:AP,COUNTA($B:$B)+14-COUNTA($B$1:$B$14)))</f>
        <v>0</v>
      </c>
      <c r="AQ4" s="158" t="str">
        <f aca="false">IF(SUM(AR4:AS4)=0,"",AR4/(SUM(AR4:AS4)))</f>
        <v/>
      </c>
      <c r="AR4" s="164" t="n">
        <f aca="false">SUBTOTAL(109,AR$15:INDEX(AR:AR,COUNTA($B:$B)+14-COUNTA($B$1:$B$14)))</f>
        <v>0</v>
      </c>
      <c r="AS4" s="164" t="n">
        <f aca="false">SUBTOTAL(109,AS$15:INDEX(AS:AS,COUNTA($B:$B)+14-COUNTA($B$1:$B$14)))</f>
        <v>0</v>
      </c>
      <c r="AT4" s="158" t="str">
        <f aca="false">IF(SUM(AU4:AV4)=0,"",AU4/(SUM(AU4:AV4)))</f>
        <v/>
      </c>
      <c r="AU4" s="164" t="n">
        <f aca="false">SUBTOTAL(109,AU$15:INDEX(AU:AU,COUNTA($B:$B)+14-COUNTA($B$1:$B$14)))</f>
        <v>0</v>
      </c>
      <c r="AV4" s="164" t="n">
        <f aca="false">SUBTOTAL(109,AV$15:INDEX(AV:AV,COUNTA($B:$B)+14-COUNTA($B$1:$B$14)))</f>
        <v>0</v>
      </c>
      <c r="AW4" s="158" t="str">
        <f aca="false">IF(SUM(AX4:AY4)=0,"",AX4/(SUM(AX4:AY4)))</f>
        <v/>
      </c>
      <c r="AX4" s="164" t="n">
        <f aca="false">SUBTOTAL(109,AX$15:INDEX(AX:AX,COUNTA($B:$B)+14-COUNTA($B$1:$B$14)))</f>
        <v>0</v>
      </c>
      <c r="AY4" s="164" t="n">
        <f aca="false">SUBTOTAL(109,AY$15:INDEX(AY:AY,COUNTA($B:$B)+14-COUNTA($B$1:$B$14)))</f>
        <v>0</v>
      </c>
      <c r="AZ4" s="158" t="str">
        <f aca="false">IF(SUM(BA4:BB4)=0,"",BA4/(SUM(BA4:BB4)))</f>
        <v/>
      </c>
      <c r="BA4" s="164" t="n">
        <f aca="false">SUBTOTAL(109,BA$15:INDEX(BA:BA,COUNTA($B:$B)+14-COUNTA($B$1:$B$14)))</f>
        <v>0</v>
      </c>
      <c r="BB4" s="164" t="n">
        <f aca="false">SUBTOTAL(109,BB$15:INDEX(BB:BB,COUNTA($B:$B)+14-COUNTA($B$1:$B$14)))</f>
        <v>0</v>
      </c>
      <c r="BC4" s="158" t="str">
        <f aca="false">IF(SUM(BD4:BE4)=0,"",BD4/(SUM(BD4:BE4)))</f>
        <v/>
      </c>
      <c r="BD4" s="164" t="n">
        <f aca="false">SUBTOTAL(109,BD$15:INDEX(BD:BD,COUNTA($B:$B)+14-COUNTA($B$1:$B$14)))</f>
        <v>0</v>
      </c>
      <c r="BE4" s="164" t="n">
        <f aca="false">SUBTOTAL(109,BE$15:INDEX(BE:BE,COUNTA($B:$B)+14-COUNTA($B$1:$B$14)))</f>
        <v>0</v>
      </c>
      <c r="BF4" s="158" t="str">
        <f aca="false">IF(SUM(BG4:BH4)=0,"",BG4/(SUM(BG4:BH4)))</f>
        <v/>
      </c>
      <c r="BG4" s="164" t="n">
        <f aca="false">SUBTOTAL(109,BG$15:INDEX(BG:BG,COUNTA($B:$B)+14-COUNTA($B$1:$B$14)))</f>
        <v>0</v>
      </c>
      <c r="BH4" s="164" t="n">
        <f aca="false">SUBTOTAL(109,BH$15:INDEX(BH:BH,COUNTA($B:$B)+14-COUNTA($B$1:$B$14)))</f>
        <v>0</v>
      </c>
      <c r="BI4" s="158" t="str">
        <f aca="false">IF(SUM(BJ4:BK4)=0,"",BJ4/(SUM(BJ4:BK4)))</f>
        <v/>
      </c>
      <c r="BJ4" s="164" t="n">
        <f aca="false">SUBTOTAL(109,BJ$15:INDEX(BJ:BJ,COUNTA($B:$B)+14-COUNTA($B$1:$B$14)))</f>
        <v>0</v>
      </c>
      <c r="BK4" s="164" t="n">
        <f aca="false">SUBTOTAL(109,BK$15:INDEX(BK:BK,COUNTA($B:$B)+14-COUNTA($B$1:$B$14)))</f>
        <v>0</v>
      </c>
      <c r="BL4" s="158" t="str">
        <f aca="false">IF(SUM(BM4:BN4)=0,"",BM4/(SUM(BM4:BN4)))</f>
        <v/>
      </c>
      <c r="BM4" s="164" t="n">
        <f aca="false">SUBTOTAL(109,BM$15:INDEX(BM:BM,COUNTA($B:$B)+14-COUNTA($B$1:$B$14)))</f>
        <v>0</v>
      </c>
      <c r="BN4" s="164" t="n">
        <f aca="false">SUBTOTAL(109,BN$15:INDEX(BN:BN,COUNTA($B:$B)+14-COUNTA($B$1:$B$14)))</f>
        <v>0</v>
      </c>
      <c r="BO4" s="265" t="n">
        <f aca="false">SUBTOTAL(109,BO$15:INDEX(BO:BO,COUNTA($B:$B)+14-COUNTA($B$1:$B$14)))</f>
        <v>0</v>
      </c>
      <c r="BP4" s="159" t="n">
        <f aca="false">SUBTOTAL(109,BP$15:INDEX(BP:BP,COUNTA($B:$B)+14-COUNTA($B$1:$B$14)))</f>
        <v>0</v>
      </c>
      <c r="BQ4" s="156" t="n">
        <f aca="false">SUBTOTAL(109,BQ$15:INDEX(BQ:BQ,COUNTA($B:$B)+14-COUNTA($B$1:$B$14)))</f>
        <v>0</v>
      </c>
      <c r="BR4" s="156" t="n">
        <f aca="false">SUBTOTAL(109,BR$15:INDEX(BR:BR,COUNTA($B:$B)+14-COUNTA($B$1:$B$14)))</f>
        <v>0</v>
      </c>
      <c r="BS4" s="156" t="n">
        <f aca="false">SUBTOTAL(109,BS$15:INDEX(BS:BS,COUNTA($B:$B)+14-COUNTA($B$1:$B$14)))</f>
        <v>0</v>
      </c>
      <c r="BT4" s="156" t="n">
        <f aca="false">SUBTOTAL(109,BT$15:INDEX(BT:BT,COUNTA($B:$B)+14-COUNTA($B$1:$B$14)))</f>
        <v>0</v>
      </c>
      <c r="BU4" s="156" t="n">
        <f aca="false">SUBTOTAL(109,BU$15:INDEX(BU:BU,COUNTA($B:$B)+14-COUNTA($B$1:$B$14)))</f>
        <v>0</v>
      </c>
      <c r="BV4" s="156" t="n">
        <f aca="false">SUBTOTAL(109,BV$15:INDEX(BV:BV,COUNTA($B:$B)+14-COUNTA($B$1:$B$14)))</f>
        <v>0</v>
      </c>
      <c r="BW4" s="156" t="n">
        <f aca="false">SUBTOTAL(109,BW$15:INDEX(BW:BW,COUNTA($B:$B)+14-COUNTA($B$1:$B$14)))</f>
        <v>0</v>
      </c>
      <c r="BX4" s="159" t="n">
        <f aca="false">SUBTOTAL(109,BX$15:INDEX(BX:BX,COUNTA($B:$B)+14-COUNTA($B$1:$B$14)))</f>
        <v>0</v>
      </c>
      <c r="BY4" s="164" t="n">
        <f aca="false">SUBTOTAL(109,BY$15:INDEX(BY:BY,COUNTA($B:$B)+14-COUNTA($B$1:$B$14)))</f>
        <v>0</v>
      </c>
      <c r="BZ4" s="152" t="str">
        <f aca="false">IF($BY$4=0,"",$BP$4/$BY$4)</f>
        <v/>
      </c>
      <c r="CA4" s="265" t="n">
        <f aca="false">SUBTOTAL(109,CA$15:INDEX(CA:CA,COUNTA($B:$B)+14-COUNTA($B$1:$B$14)))</f>
        <v>0</v>
      </c>
      <c r="CB4" s="152" t="str">
        <f aca="false">IF($CA$4=0,"",$CC$4/$CA$4-1)</f>
        <v/>
      </c>
      <c r="CC4" s="164" t="n">
        <f aca="false">SUBTOTAL(109,CC$15:INDEX(CC:CC,COUNTA($B:$B)+14-COUNTA($B$1:$B$14)))</f>
        <v>0</v>
      </c>
    </row>
    <row r="5" s="25" customFormat="true" ht="16" hidden="false" customHeight="false" outlineLevel="0" collapsed="false">
      <c r="A5" s="165" t="s">
        <v>76</v>
      </c>
      <c r="B5" s="165" t="s">
        <v>76</v>
      </c>
      <c r="C5" s="165" t="s">
        <v>76</v>
      </c>
      <c r="D5" s="165" t="s">
        <v>76</v>
      </c>
      <c r="E5" s="165" t="s">
        <v>76</v>
      </c>
      <c r="F5" s="175" t="s">
        <v>76</v>
      </c>
      <c r="G5" s="178" t="s">
        <v>76</v>
      </c>
      <c r="H5" s="174" t="s">
        <v>76</v>
      </c>
      <c r="I5" s="174" t="s">
        <v>76</v>
      </c>
      <c r="J5" s="174" t="s">
        <v>76</v>
      </c>
      <c r="K5" s="174" t="s">
        <v>76</v>
      </c>
      <c r="L5" s="174" t="s">
        <v>76</v>
      </c>
      <c r="M5" s="174" t="s">
        <v>76</v>
      </c>
      <c r="N5" s="174" t="s">
        <v>76</v>
      </c>
      <c r="O5" s="174" t="s">
        <v>76</v>
      </c>
      <c r="P5" s="175" t="s">
        <v>76</v>
      </c>
      <c r="Q5" s="168" t="s">
        <v>76</v>
      </c>
      <c r="R5" s="168" t="s">
        <v>76</v>
      </c>
      <c r="S5" s="168" t="s">
        <v>76</v>
      </c>
      <c r="T5" s="168" t="s">
        <v>76</v>
      </c>
      <c r="U5" s="168" t="s">
        <v>76</v>
      </c>
      <c r="V5" s="168" t="s">
        <v>76</v>
      </c>
      <c r="W5" s="168" t="s">
        <v>76</v>
      </c>
      <c r="X5" s="168" t="s">
        <v>76</v>
      </c>
      <c r="Y5" s="168" t="s">
        <v>76</v>
      </c>
      <c r="Z5" s="168" t="s">
        <v>76</v>
      </c>
      <c r="AA5" s="168" t="s">
        <v>76</v>
      </c>
      <c r="AB5" s="168" t="s">
        <v>76</v>
      </c>
      <c r="AC5" s="168" t="s">
        <v>76</v>
      </c>
      <c r="AD5" s="168" t="s">
        <v>76</v>
      </c>
      <c r="AE5" s="168" t="s">
        <v>76</v>
      </c>
      <c r="AF5" s="168" t="s">
        <v>76</v>
      </c>
      <c r="AG5" s="168" t="s">
        <v>76</v>
      </c>
      <c r="AH5" s="175" t="s">
        <v>76</v>
      </c>
      <c r="AI5" s="84" t="s">
        <v>190</v>
      </c>
      <c r="AJ5" s="84" t="s">
        <v>190</v>
      </c>
      <c r="AK5" s="175" t="s">
        <v>76</v>
      </c>
      <c r="AL5" s="84" t="s">
        <v>190</v>
      </c>
      <c r="AM5" s="84" t="s">
        <v>190</v>
      </c>
      <c r="AN5" s="175" t="s">
        <v>76</v>
      </c>
      <c r="AO5" s="84" t="s">
        <v>190</v>
      </c>
      <c r="AP5" s="84" t="s">
        <v>190</v>
      </c>
      <c r="AQ5" s="175" t="s">
        <v>76</v>
      </c>
      <c r="AR5" s="84" t="s">
        <v>190</v>
      </c>
      <c r="AS5" s="84" t="s">
        <v>190</v>
      </c>
      <c r="AT5" s="175" t="s">
        <v>76</v>
      </c>
      <c r="AU5" s="84" t="s">
        <v>190</v>
      </c>
      <c r="AV5" s="84" t="s">
        <v>190</v>
      </c>
      <c r="AW5" s="175" t="s">
        <v>76</v>
      </c>
      <c r="AX5" s="84" t="s">
        <v>190</v>
      </c>
      <c r="AY5" s="84" t="s">
        <v>190</v>
      </c>
      <c r="AZ5" s="175" t="s">
        <v>76</v>
      </c>
      <c r="BA5" s="84" t="s">
        <v>190</v>
      </c>
      <c r="BB5" s="84" t="s">
        <v>190</v>
      </c>
      <c r="BC5" s="175" t="s">
        <v>76</v>
      </c>
      <c r="BD5" s="84" t="s">
        <v>190</v>
      </c>
      <c r="BE5" s="84" t="s">
        <v>190</v>
      </c>
      <c r="BF5" s="175" t="s">
        <v>76</v>
      </c>
      <c r="BG5" s="84" t="s">
        <v>190</v>
      </c>
      <c r="BH5" s="84" t="s">
        <v>190</v>
      </c>
      <c r="BI5" s="175" t="s">
        <v>76</v>
      </c>
      <c r="BJ5" s="84" t="s">
        <v>190</v>
      </c>
      <c r="BK5" s="84" t="s">
        <v>190</v>
      </c>
      <c r="BL5" s="175" t="s">
        <v>76</v>
      </c>
      <c r="BM5" s="84" t="s">
        <v>190</v>
      </c>
      <c r="BN5" s="84" t="s">
        <v>190</v>
      </c>
      <c r="BO5" s="172" t="s">
        <v>76</v>
      </c>
      <c r="BP5" s="176" t="s">
        <v>76</v>
      </c>
      <c r="BQ5" s="174" t="s">
        <v>76</v>
      </c>
      <c r="BR5" s="174" t="s">
        <v>76</v>
      </c>
      <c r="BS5" s="174" t="s">
        <v>76</v>
      </c>
      <c r="BT5" s="174" t="s">
        <v>76</v>
      </c>
      <c r="BU5" s="174" t="s">
        <v>76</v>
      </c>
      <c r="BV5" s="174" t="s">
        <v>76</v>
      </c>
      <c r="BW5" s="174" t="s">
        <v>76</v>
      </c>
      <c r="BX5" s="176" t="s">
        <v>76</v>
      </c>
      <c r="BY5" s="84" t="s">
        <v>76</v>
      </c>
      <c r="BZ5" s="168" t="s">
        <v>76</v>
      </c>
      <c r="CA5" s="172" t="s">
        <v>190</v>
      </c>
      <c r="CB5" s="168" t="s">
        <v>76</v>
      </c>
      <c r="CC5" s="84" t="s">
        <v>190</v>
      </c>
    </row>
    <row r="6" s="25" customFormat="true" ht="16" hidden="false" customHeight="false" outlineLevel="0" collapsed="false">
      <c r="A6" s="165" t="s">
        <v>78</v>
      </c>
      <c r="B6" s="165" t="s">
        <v>78</v>
      </c>
      <c r="C6" s="165" t="s">
        <v>78</v>
      </c>
      <c r="D6" s="165" t="s">
        <v>78</v>
      </c>
      <c r="E6" s="165" t="s">
        <v>78</v>
      </c>
      <c r="F6" s="175" t="s">
        <v>81</v>
      </c>
      <c r="G6" s="178" t="s">
        <v>81</v>
      </c>
      <c r="H6" s="174" t="s">
        <v>81</v>
      </c>
      <c r="I6" s="174" t="s">
        <v>81</v>
      </c>
      <c r="J6" s="174" t="s">
        <v>81</v>
      </c>
      <c r="K6" s="174" t="s">
        <v>81</v>
      </c>
      <c r="L6" s="174" t="s">
        <v>81</v>
      </c>
      <c r="M6" s="174" t="s">
        <v>81</v>
      </c>
      <c r="N6" s="174" t="s">
        <v>81</v>
      </c>
      <c r="O6" s="174" t="s">
        <v>81</v>
      </c>
      <c r="P6" s="175" t="s">
        <v>81</v>
      </c>
      <c r="Q6" s="168" t="s">
        <v>81</v>
      </c>
      <c r="R6" s="168" t="s">
        <v>81</v>
      </c>
      <c r="S6" s="168" t="s">
        <v>81</v>
      </c>
      <c r="T6" s="168" t="s">
        <v>81</v>
      </c>
      <c r="U6" s="168" t="s">
        <v>81</v>
      </c>
      <c r="V6" s="168" t="s">
        <v>192</v>
      </c>
      <c r="W6" s="168" t="s">
        <v>192</v>
      </c>
      <c r="X6" s="168" t="s">
        <v>192</v>
      </c>
      <c r="Y6" s="168" t="s">
        <v>192</v>
      </c>
      <c r="Z6" s="168" t="s">
        <v>192</v>
      </c>
      <c r="AA6" s="168" t="s">
        <v>192</v>
      </c>
      <c r="AB6" s="168" t="s">
        <v>192</v>
      </c>
      <c r="AC6" s="168" t="s">
        <v>81</v>
      </c>
      <c r="AD6" s="168" t="s">
        <v>192</v>
      </c>
      <c r="AE6" s="168" t="s">
        <v>81</v>
      </c>
      <c r="AF6" s="168" t="s">
        <v>192</v>
      </c>
      <c r="AG6" s="168" t="s">
        <v>81</v>
      </c>
      <c r="AH6" s="175" t="s">
        <v>192</v>
      </c>
      <c r="AI6" s="84" t="s">
        <v>80</v>
      </c>
      <c r="AJ6" s="84" t="s">
        <v>80</v>
      </c>
      <c r="AK6" s="175" t="s">
        <v>192</v>
      </c>
      <c r="AL6" s="84" t="s">
        <v>80</v>
      </c>
      <c r="AM6" s="84" t="s">
        <v>80</v>
      </c>
      <c r="AN6" s="175" t="s">
        <v>192</v>
      </c>
      <c r="AO6" s="84" t="s">
        <v>80</v>
      </c>
      <c r="AP6" s="84" t="s">
        <v>80</v>
      </c>
      <c r="AQ6" s="175" t="s">
        <v>192</v>
      </c>
      <c r="AR6" s="84" t="s">
        <v>80</v>
      </c>
      <c r="AS6" s="84" t="s">
        <v>80</v>
      </c>
      <c r="AT6" s="175" t="s">
        <v>192</v>
      </c>
      <c r="AU6" s="84" t="s">
        <v>80</v>
      </c>
      <c r="AV6" s="84" t="s">
        <v>80</v>
      </c>
      <c r="AW6" s="175" t="s">
        <v>192</v>
      </c>
      <c r="AX6" s="84" t="s">
        <v>80</v>
      </c>
      <c r="AY6" s="84" t="s">
        <v>80</v>
      </c>
      <c r="AZ6" s="175" t="s">
        <v>192</v>
      </c>
      <c r="BA6" s="84" t="s">
        <v>80</v>
      </c>
      <c r="BB6" s="84" t="s">
        <v>80</v>
      </c>
      <c r="BC6" s="175" t="s">
        <v>193</v>
      </c>
      <c r="BD6" s="84" t="s">
        <v>80</v>
      </c>
      <c r="BE6" s="84" t="s">
        <v>80</v>
      </c>
      <c r="BF6" s="175" t="s">
        <v>192</v>
      </c>
      <c r="BG6" s="84" t="s">
        <v>80</v>
      </c>
      <c r="BH6" s="84" t="s">
        <v>80</v>
      </c>
      <c r="BI6" s="175" t="s">
        <v>193</v>
      </c>
      <c r="BJ6" s="84" t="s">
        <v>80</v>
      </c>
      <c r="BK6" s="84" t="s">
        <v>80</v>
      </c>
      <c r="BL6" s="175" t="s">
        <v>192</v>
      </c>
      <c r="BM6" s="84" t="s">
        <v>80</v>
      </c>
      <c r="BN6" s="84" t="s">
        <v>80</v>
      </c>
      <c r="BO6" s="172" t="s">
        <v>81</v>
      </c>
      <c r="BP6" s="176" t="s">
        <v>81</v>
      </c>
      <c r="BQ6" s="174" t="s">
        <v>81</v>
      </c>
      <c r="BR6" s="174" t="s">
        <v>81</v>
      </c>
      <c r="BS6" s="174" t="s">
        <v>81</v>
      </c>
      <c r="BT6" s="174" t="s">
        <v>81</v>
      </c>
      <c r="BU6" s="174" t="s">
        <v>81</v>
      </c>
      <c r="BV6" s="174" t="s">
        <v>81</v>
      </c>
      <c r="BW6" s="174" t="s">
        <v>81</v>
      </c>
      <c r="BX6" s="176" t="s">
        <v>81</v>
      </c>
      <c r="BY6" s="84" t="s">
        <v>81</v>
      </c>
      <c r="BZ6" s="168" t="s">
        <v>81</v>
      </c>
      <c r="CA6" s="172" t="s">
        <v>79</v>
      </c>
      <c r="CB6" s="168" t="s">
        <v>193</v>
      </c>
      <c r="CC6" s="84" t="s">
        <v>80</v>
      </c>
    </row>
    <row r="7" s="25" customFormat="true" ht="16" hidden="false" customHeight="false" outlineLevel="0" collapsed="false">
      <c r="A7" s="165" t="s">
        <v>82</v>
      </c>
      <c r="B7" s="165" t="s">
        <v>82</v>
      </c>
      <c r="C7" s="165" t="s">
        <v>82</v>
      </c>
      <c r="D7" s="165" t="s">
        <v>82</v>
      </c>
      <c r="E7" s="165" t="s">
        <v>82</v>
      </c>
      <c r="F7" s="175" t="s">
        <v>194</v>
      </c>
      <c r="G7" s="178" t="s">
        <v>194</v>
      </c>
      <c r="H7" s="174" t="s">
        <v>83</v>
      </c>
      <c r="I7" s="174" t="s">
        <v>83</v>
      </c>
      <c r="J7" s="174" t="s">
        <v>83</v>
      </c>
      <c r="K7" s="174" t="s">
        <v>83</v>
      </c>
      <c r="L7" s="174" t="s">
        <v>83</v>
      </c>
      <c r="M7" s="174" t="s">
        <v>83</v>
      </c>
      <c r="N7" s="174" t="s">
        <v>83</v>
      </c>
      <c r="O7" s="174" t="s">
        <v>83</v>
      </c>
      <c r="P7" s="175" t="s">
        <v>194</v>
      </c>
      <c r="Q7" s="168" t="s">
        <v>194</v>
      </c>
      <c r="R7" s="168" t="s">
        <v>194</v>
      </c>
      <c r="S7" s="168" t="s">
        <v>194</v>
      </c>
      <c r="T7" s="168" t="s">
        <v>194</v>
      </c>
      <c r="U7" s="168" t="s">
        <v>194</v>
      </c>
      <c r="V7" s="168" t="s">
        <v>194</v>
      </c>
      <c r="W7" s="168" t="s">
        <v>194</v>
      </c>
      <c r="X7" s="168" t="s">
        <v>194</v>
      </c>
      <c r="Y7" s="168" t="s">
        <v>194</v>
      </c>
      <c r="Z7" s="168" t="s">
        <v>194</v>
      </c>
      <c r="AA7" s="168" t="s">
        <v>194</v>
      </c>
      <c r="AB7" s="168" t="s">
        <v>194</v>
      </c>
      <c r="AC7" s="168" t="s">
        <v>194</v>
      </c>
      <c r="AD7" s="168" t="s">
        <v>194</v>
      </c>
      <c r="AE7" s="168" t="s">
        <v>194</v>
      </c>
      <c r="AF7" s="168" t="s">
        <v>194</v>
      </c>
      <c r="AG7" s="168" t="s">
        <v>194</v>
      </c>
      <c r="AH7" s="175" t="s">
        <v>194</v>
      </c>
      <c r="AI7" s="84" t="s">
        <v>83</v>
      </c>
      <c r="AJ7" s="84" t="s">
        <v>83</v>
      </c>
      <c r="AK7" s="175" t="s">
        <v>194</v>
      </c>
      <c r="AL7" s="84" t="s">
        <v>83</v>
      </c>
      <c r="AM7" s="84" t="s">
        <v>83</v>
      </c>
      <c r="AN7" s="175" t="s">
        <v>194</v>
      </c>
      <c r="AO7" s="84" t="s">
        <v>83</v>
      </c>
      <c r="AP7" s="84" t="s">
        <v>83</v>
      </c>
      <c r="AQ7" s="175" t="s">
        <v>194</v>
      </c>
      <c r="AR7" s="84" t="s">
        <v>83</v>
      </c>
      <c r="AS7" s="84" t="s">
        <v>83</v>
      </c>
      <c r="AT7" s="175" t="s">
        <v>194</v>
      </c>
      <c r="AU7" s="84" t="s">
        <v>83</v>
      </c>
      <c r="AV7" s="84" t="s">
        <v>83</v>
      </c>
      <c r="AW7" s="175" t="s">
        <v>194</v>
      </c>
      <c r="AX7" s="84" t="s">
        <v>83</v>
      </c>
      <c r="AY7" s="84" t="s">
        <v>83</v>
      </c>
      <c r="AZ7" s="175" t="s">
        <v>194</v>
      </c>
      <c r="BA7" s="84" t="s">
        <v>83</v>
      </c>
      <c r="BB7" s="84" t="s">
        <v>83</v>
      </c>
      <c r="BC7" s="175" t="s">
        <v>194</v>
      </c>
      <c r="BD7" s="84" t="s">
        <v>83</v>
      </c>
      <c r="BE7" s="84" t="s">
        <v>83</v>
      </c>
      <c r="BF7" s="175" t="s">
        <v>194</v>
      </c>
      <c r="BG7" s="84" t="s">
        <v>83</v>
      </c>
      <c r="BH7" s="84" t="s">
        <v>83</v>
      </c>
      <c r="BI7" s="175" t="s">
        <v>194</v>
      </c>
      <c r="BJ7" s="84" t="s">
        <v>83</v>
      </c>
      <c r="BK7" s="84" t="s">
        <v>83</v>
      </c>
      <c r="BL7" s="175" t="s">
        <v>194</v>
      </c>
      <c r="BM7" s="84" t="s">
        <v>83</v>
      </c>
      <c r="BN7" s="84" t="s">
        <v>83</v>
      </c>
      <c r="BO7" s="172" t="s">
        <v>83</v>
      </c>
      <c r="BP7" s="176" t="s">
        <v>83</v>
      </c>
      <c r="BQ7" s="174" t="s">
        <v>83</v>
      </c>
      <c r="BR7" s="174" t="s">
        <v>83</v>
      </c>
      <c r="BS7" s="174" t="s">
        <v>83</v>
      </c>
      <c r="BT7" s="174" t="s">
        <v>83</v>
      </c>
      <c r="BU7" s="174" t="s">
        <v>83</v>
      </c>
      <c r="BV7" s="174" t="s">
        <v>83</v>
      </c>
      <c r="BW7" s="174" t="s">
        <v>83</v>
      </c>
      <c r="BX7" s="176" t="s">
        <v>83</v>
      </c>
      <c r="BY7" s="84" t="s">
        <v>83</v>
      </c>
      <c r="BZ7" s="168" t="s">
        <v>194</v>
      </c>
      <c r="CA7" s="172" t="s">
        <v>83</v>
      </c>
      <c r="CB7" s="168" t="s">
        <v>194</v>
      </c>
      <c r="CC7" s="84" t="s">
        <v>83</v>
      </c>
    </row>
    <row r="8" s="25" customFormat="true" ht="16" hidden="false" customHeight="false" outlineLevel="0" collapsed="false">
      <c r="A8" s="165"/>
      <c r="B8" s="165"/>
      <c r="C8" s="165"/>
      <c r="D8" s="165"/>
      <c r="E8" s="165"/>
      <c r="F8" s="175"/>
      <c r="G8" s="178"/>
      <c r="H8" s="174"/>
      <c r="I8" s="174"/>
      <c r="J8" s="174"/>
      <c r="K8" s="174"/>
      <c r="L8" s="174"/>
      <c r="M8" s="174"/>
      <c r="N8" s="174"/>
      <c r="O8" s="174"/>
      <c r="P8" s="175"/>
      <c r="Q8" s="168"/>
      <c r="R8" s="168"/>
      <c r="S8" s="168"/>
      <c r="T8" s="168"/>
      <c r="U8" s="168"/>
      <c r="V8" s="168"/>
      <c r="W8" s="168"/>
      <c r="X8" s="168"/>
      <c r="Y8" s="168"/>
      <c r="Z8" s="168"/>
      <c r="AA8" s="168"/>
      <c r="AB8" s="168"/>
      <c r="AC8" s="168"/>
      <c r="AD8" s="168"/>
      <c r="AE8" s="168"/>
      <c r="AF8" s="168"/>
      <c r="AG8" s="168"/>
      <c r="AH8" s="175"/>
      <c r="AI8" s="246" t="s">
        <v>744</v>
      </c>
      <c r="AJ8" s="246" t="s">
        <v>744</v>
      </c>
      <c r="AK8" s="175"/>
      <c r="AL8" s="246" t="s">
        <v>745</v>
      </c>
      <c r="AM8" s="246" t="s">
        <v>745</v>
      </c>
      <c r="AN8" s="175"/>
      <c r="AO8" s="246" t="s">
        <v>746</v>
      </c>
      <c r="AP8" s="246" t="s">
        <v>746</v>
      </c>
      <c r="AQ8" s="175"/>
      <c r="AR8" s="246" t="s">
        <v>747</v>
      </c>
      <c r="AS8" s="246" t="s">
        <v>747</v>
      </c>
      <c r="AT8" s="175"/>
      <c r="AU8" s="246" t="s">
        <v>748</v>
      </c>
      <c r="AV8" s="246" t="s">
        <v>748</v>
      </c>
      <c r="AW8" s="175"/>
      <c r="AX8" s="246" t="s">
        <v>749</v>
      </c>
      <c r="AY8" s="246" t="s">
        <v>749</v>
      </c>
      <c r="AZ8" s="175"/>
      <c r="BA8" s="246" t="s">
        <v>750</v>
      </c>
      <c r="BB8" s="246" t="s">
        <v>750</v>
      </c>
      <c r="BC8" s="175"/>
      <c r="BD8" s="246" t="s">
        <v>751</v>
      </c>
      <c r="BE8" s="246" t="s">
        <v>751</v>
      </c>
      <c r="BF8" s="175"/>
      <c r="BG8" s="246" t="s">
        <v>752</v>
      </c>
      <c r="BH8" s="246" t="s">
        <v>752</v>
      </c>
      <c r="BI8" s="175"/>
      <c r="BJ8" s="246" t="s">
        <v>753</v>
      </c>
      <c r="BK8" s="246" t="s">
        <v>753</v>
      </c>
      <c r="BL8" s="175"/>
      <c r="BM8" s="246" t="s">
        <v>754</v>
      </c>
      <c r="BN8" s="246" t="s">
        <v>754</v>
      </c>
      <c r="BO8" s="172"/>
      <c r="BP8" s="176"/>
      <c r="BQ8" s="174"/>
      <c r="BR8" s="174"/>
      <c r="BS8" s="174"/>
      <c r="BT8" s="174"/>
      <c r="BU8" s="174"/>
      <c r="BV8" s="174"/>
      <c r="BW8" s="174"/>
      <c r="BX8" s="176"/>
      <c r="BY8" s="84"/>
      <c r="BZ8" s="168"/>
      <c r="CA8" s="281" t="s">
        <v>755</v>
      </c>
      <c r="CB8" s="168"/>
      <c r="CC8" s="246" t="s">
        <v>755</v>
      </c>
    </row>
    <row r="9" s="25" customFormat="true" ht="16" hidden="false" customHeight="false" outlineLevel="0" collapsed="false">
      <c r="A9" s="165"/>
      <c r="B9" s="165"/>
      <c r="C9" s="165"/>
      <c r="D9" s="165"/>
      <c r="E9" s="165"/>
      <c r="F9" s="175"/>
      <c r="G9" s="178"/>
      <c r="H9" s="174"/>
      <c r="I9" s="174"/>
      <c r="J9" s="174"/>
      <c r="K9" s="174"/>
      <c r="L9" s="174"/>
      <c r="M9" s="174"/>
      <c r="N9" s="174"/>
      <c r="O9" s="174"/>
      <c r="P9" s="175"/>
      <c r="Q9" s="168"/>
      <c r="R9" s="168"/>
      <c r="S9" s="168"/>
      <c r="T9" s="168"/>
      <c r="U9" s="168"/>
      <c r="V9" s="168"/>
      <c r="W9" s="168"/>
      <c r="X9" s="168"/>
      <c r="Y9" s="168"/>
      <c r="Z9" s="168"/>
      <c r="AA9" s="168"/>
      <c r="AB9" s="168"/>
      <c r="AC9" s="168"/>
      <c r="AD9" s="168"/>
      <c r="AE9" s="168"/>
      <c r="AF9" s="168"/>
      <c r="AG9" s="168"/>
      <c r="AH9" s="175"/>
      <c r="AI9" s="246" t="s">
        <v>756</v>
      </c>
      <c r="AJ9" s="246" t="s">
        <v>756</v>
      </c>
      <c r="AK9" s="175"/>
      <c r="AL9" s="246" t="s">
        <v>757</v>
      </c>
      <c r="AM9" s="246" t="s">
        <v>757</v>
      </c>
      <c r="AN9" s="175"/>
      <c r="AO9" s="246" t="s">
        <v>758</v>
      </c>
      <c r="AP9" s="246" t="s">
        <v>758</v>
      </c>
      <c r="AQ9" s="175"/>
      <c r="AR9" s="246" t="s">
        <v>759</v>
      </c>
      <c r="AS9" s="246" t="s">
        <v>759</v>
      </c>
      <c r="AT9" s="175"/>
      <c r="AU9" s="246" t="s">
        <v>760</v>
      </c>
      <c r="AV9" s="246" t="s">
        <v>760</v>
      </c>
      <c r="AW9" s="175"/>
      <c r="AX9" s="246" t="s">
        <v>761</v>
      </c>
      <c r="AY9" s="246" t="s">
        <v>761</v>
      </c>
      <c r="AZ9" s="175"/>
      <c r="BA9" s="246" t="s">
        <v>762</v>
      </c>
      <c r="BB9" s="246" t="s">
        <v>762</v>
      </c>
      <c r="BC9" s="175"/>
      <c r="BD9" s="246" t="s">
        <v>763</v>
      </c>
      <c r="BE9" s="246" t="s">
        <v>763</v>
      </c>
      <c r="BF9" s="175"/>
      <c r="BG9" s="246" t="s">
        <v>764</v>
      </c>
      <c r="BH9" s="246" t="s">
        <v>764</v>
      </c>
      <c r="BI9" s="175"/>
      <c r="BJ9" s="246" t="s">
        <v>765</v>
      </c>
      <c r="BK9" s="246" t="s">
        <v>765</v>
      </c>
      <c r="BL9" s="175"/>
      <c r="BM9" s="246" t="s">
        <v>766</v>
      </c>
      <c r="BN9" s="246" t="s">
        <v>766</v>
      </c>
      <c r="BO9" s="172"/>
      <c r="BP9" s="176"/>
      <c r="BQ9" s="174"/>
      <c r="BR9" s="174"/>
      <c r="BS9" s="174"/>
      <c r="BT9" s="174"/>
      <c r="BU9" s="174"/>
      <c r="BV9" s="174"/>
      <c r="BW9" s="174"/>
      <c r="BX9" s="176"/>
      <c r="BY9" s="84"/>
      <c r="BZ9" s="168"/>
      <c r="CA9" s="281" t="s">
        <v>767</v>
      </c>
      <c r="CB9" s="168"/>
      <c r="CC9" s="246" t="s">
        <v>767</v>
      </c>
    </row>
    <row r="10" s="25" customFormat="true" ht="16" hidden="false" customHeight="false" outlineLevel="0" collapsed="false">
      <c r="A10" s="165"/>
      <c r="B10" s="165"/>
      <c r="C10" s="165"/>
      <c r="D10" s="165"/>
      <c r="E10" s="165"/>
      <c r="F10" s="175"/>
      <c r="G10" s="178"/>
      <c r="H10" s="174"/>
      <c r="I10" s="174"/>
      <c r="J10" s="174"/>
      <c r="K10" s="174"/>
      <c r="L10" s="174"/>
      <c r="M10" s="174"/>
      <c r="N10" s="174"/>
      <c r="O10" s="174"/>
      <c r="P10" s="175"/>
      <c r="Q10" s="168"/>
      <c r="R10" s="168"/>
      <c r="S10" s="168"/>
      <c r="T10" s="168"/>
      <c r="U10" s="168"/>
      <c r="V10" s="168"/>
      <c r="W10" s="168"/>
      <c r="X10" s="168"/>
      <c r="Y10" s="168"/>
      <c r="Z10" s="168"/>
      <c r="AA10" s="168"/>
      <c r="AB10" s="168"/>
      <c r="AC10" s="168"/>
      <c r="AD10" s="168"/>
      <c r="AE10" s="168"/>
      <c r="AF10" s="168"/>
      <c r="AG10" s="168"/>
      <c r="AH10" s="175"/>
      <c r="AI10" s="246" t="s">
        <v>221</v>
      </c>
      <c r="AJ10" s="246" t="s">
        <v>401</v>
      </c>
      <c r="AK10" s="175"/>
      <c r="AL10" s="246" t="s">
        <v>221</v>
      </c>
      <c r="AM10" s="246" t="s">
        <v>401</v>
      </c>
      <c r="AN10" s="175"/>
      <c r="AO10" s="246" t="s">
        <v>221</v>
      </c>
      <c r="AP10" s="246" t="s">
        <v>401</v>
      </c>
      <c r="AQ10" s="175"/>
      <c r="AR10" s="246" t="s">
        <v>221</v>
      </c>
      <c r="AS10" s="246" t="s">
        <v>401</v>
      </c>
      <c r="AT10" s="175"/>
      <c r="AU10" s="246" t="s">
        <v>221</v>
      </c>
      <c r="AV10" s="246" t="s">
        <v>401</v>
      </c>
      <c r="AW10" s="175"/>
      <c r="AX10" s="246" t="s">
        <v>221</v>
      </c>
      <c r="AY10" s="246" t="s">
        <v>401</v>
      </c>
      <c r="AZ10" s="175"/>
      <c r="BA10" s="246" t="s">
        <v>221</v>
      </c>
      <c r="BB10" s="246" t="s">
        <v>401</v>
      </c>
      <c r="BC10" s="175"/>
      <c r="BD10" s="246" t="s">
        <v>221</v>
      </c>
      <c r="BE10" s="246" t="s">
        <v>401</v>
      </c>
      <c r="BF10" s="175"/>
      <c r="BG10" s="246" t="s">
        <v>221</v>
      </c>
      <c r="BH10" s="246" t="s">
        <v>401</v>
      </c>
      <c r="BI10" s="175"/>
      <c r="BJ10" s="246" t="s">
        <v>221</v>
      </c>
      <c r="BK10" s="246" t="s">
        <v>401</v>
      </c>
      <c r="BL10" s="175"/>
      <c r="BM10" s="246" t="s">
        <v>221</v>
      </c>
      <c r="BN10" s="246" t="s">
        <v>401</v>
      </c>
      <c r="BO10" s="172"/>
      <c r="BP10" s="176"/>
      <c r="BQ10" s="174"/>
      <c r="BR10" s="174"/>
      <c r="BS10" s="174"/>
      <c r="BT10" s="174"/>
      <c r="BU10" s="174"/>
      <c r="BV10" s="174"/>
      <c r="BW10" s="174"/>
      <c r="BX10" s="176"/>
      <c r="BY10" s="84"/>
      <c r="BZ10" s="168"/>
      <c r="CA10" s="247"/>
      <c r="CB10" s="168"/>
      <c r="CC10" s="246"/>
    </row>
    <row r="11" s="25" customFormat="true" ht="16" hidden="false" customHeight="false" outlineLevel="0" collapsed="false">
      <c r="A11" s="165"/>
      <c r="B11" s="165"/>
      <c r="C11" s="165"/>
      <c r="D11" s="165"/>
      <c r="E11" s="165"/>
      <c r="F11" s="175" t="s">
        <v>768</v>
      </c>
      <c r="G11" s="168" t="s">
        <v>228</v>
      </c>
      <c r="H11" s="174" t="s">
        <v>768</v>
      </c>
      <c r="I11" s="174" t="s">
        <v>768</v>
      </c>
      <c r="J11" s="174" t="s">
        <v>768</v>
      </c>
      <c r="K11" s="174" t="s">
        <v>769</v>
      </c>
      <c r="L11" s="174" t="s">
        <v>769</v>
      </c>
      <c r="M11" s="174" t="s">
        <v>768</v>
      </c>
      <c r="N11" s="174" t="s">
        <v>770</v>
      </c>
      <c r="O11" s="174" t="s">
        <v>768</v>
      </c>
      <c r="P11" s="175" t="s">
        <v>768</v>
      </c>
      <c r="Q11" s="168" t="s">
        <v>768</v>
      </c>
      <c r="R11" s="168" t="s">
        <v>769</v>
      </c>
      <c r="S11" s="168" t="s">
        <v>769</v>
      </c>
      <c r="T11" s="168" t="s">
        <v>768</v>
      </c>
      <c r="U11" s="168" t="s">
        <v>770</v>
      </c>
      <c r="V11" s="168" t="s">
        <v>768</v>
      </c>
      <c r="W11" s="168" t="s">
        <v>771</v>
      </c>
      <c r="X11" s="168" t="s">
        <v>771</v>
      </c>
      <c r="Y11" s="168" t="s">
        <v>768</v>
      </c>
      <c r="Z11" s="168" t="s">
        <v>768</v>
      </c>
      <c r="AA11" s="168" t="s">
        <v>768</v>
      </c>
      <c r="AB11" s="168" t="s">
        <v>768</v>
      </c>
      <c r="AC11" s="168" t="s">
        <v>768</v>
      </c>
      <c r="AD11" s="168" t="s">
        <v>768</v>
      </c>
      <c r="AE11" s="168" t="s">
        <v>768</v>
      </c>
      <c r="AF11" s="168" t="s">
        <v>768</v>
      </c>
      <c r="AG11" s="168" t="s">
        <v>768</v>
      </c>
      <c r="AH11" s="175" t="s">
        <v>768</v>
      </c>
      <c r="AI11" s="84" t="s">
        <v>768</v>
      </c>
      <c r="AJ11" s="84" t="s">
        <v>768</v>
      </c>
      <c r="AK11" s="175" t="s">
        <v>771</v>
      </c>
      <c r="AL11" s="84" t="s">
        <v>771</v>
      </c>
      <c r="AM11" s="84" t="s">
        <v>771</v>
      </c>
      <c r="AN11" s="175" t="s">
        <v>771</v>
      </c>
      <c r="AO11" s="84" t="s">
        <v>771</v>
      </c>
      <c r="AP11" s="84" t="s">
        <v>771</v>
      </c>
      <c r="AQ11" s="175" t="s">
        <v>768</v>
      </c>
      <c r="AR11" s="84" t="s">
        <v>768</v>
      </c>
      <c r="AS11" s="84" t="s">
        <v>768</v>
      </c>
      <c r="AT11" s="175" t="s">
        <v>768</v>
      </c>
      <c r="AU11" s="84" t="s">
        <v>768</v>
      </c>
      <c r="AV11" s="84" t="s">
        <v>768</v>
      </c>
      <c r="AW11" s="175" t="s">
        <v>768</v>
      </c>
      <c r="AX11" s="84" t="s">
        <v>768</v>
      </c>
      <c r="AY11" s="84" t="s">
        <v>768</v>
      </c>
      <c r="AZ11" s="175" t="s">
        <v>768</v>
      </c>
      <c r="BA11" s="84" t="s">
        <v>768</v>
      </c>
      <c r="BB11" s="84" t="s">
        <v>768</v>
      </c>
      <c r="BC11" s="175" t="s">
        <v>768</v>
      </c>
      <c r="BD11" s="84" t="s">
        <v>768</v>
      </c>
      <c r="BE11" s="84" t="s">
        <v>768</v>
      </c>
      <c r="BF11" s="175" t="s">
        <v>768</v>
      </c>
      <c r="BG11" s="84" t="s">
        <v>768</v>
      </c>
      <c r="BH11" s="84" t="s">
        <v>768</v>
      </c>
      <c r="BI11" s="175" t="s">
        <v>768</v>
      </c>
      <c r="BJ11" s="84" t="s">
        <v>768</v>
      </c>
      <c r="BK11" s="84" t="s">
        <v>768</v>
      </c>
      <c r="BL11" s="175" t="s">
        <v>768</v>
      </c>
      <c r="BM11" s="84" t="s">
        <v>768</v>
      </c>
      <c r="BN11" s="84" t="s">
        <v>768</v>
      </c>
      <c r="BO11" s="172" t="s">
        <v>768</v>
      </c>
      <c r="BP11" s="176" t="s">
        <v>768</v>
      </c>
      <c r="BQ11" s="174" t="s">
        <v>768</v>
      </c>
      <c r="BR11" s="174" t="s">
        <v>768</v>
      </c>
      <c r="BS11" s="174" t="s">
        <v>768</v>
      </c>
      <c r="BT11" s="174" t="s">
        <v>769</v>
      </c>
      <c r="BU11" s="174" t="s">
        <v>769</v>
      </c>
      <c r="BV11" s="174" t="s">
        <v>768</v>
      </c>
      <c r="BW11" s="174" t="s">
        <v>770</v>
      </c>
      <c r="BX11" s="176" t="s">
        <v>768</v>
      </c>
      <c r="BY11" s="84" t="s">
        <v>768</v>
      </c>
      <c r="BZ11" s="168" t="s">
        <v>768</v>
      </c>
      <c r="CA11" s="172" t="s">
        <v>769</v>
      </c>
      <c r="CB11" s="168" t="s">
        <v>769</v>
      </c>
      <c r="CC11" s="84" t="s">
        <v>769</v>
      </c>
    </row>
    <row r="12" s="25" customFormat="true" ht="16" hidden="false" customHeight="false" outlineLevel="0" collapsed="false">
      <c r="A12" s="165"/>
      <c r="B12" s="165"/>
      <c r="C12" s="165"/>
      <c r="D12" s="165"/>
      <c r="E12" s="165"/>
      <c r="F12" s="175" t="s">
        <v>229</v>
      </c>
      <c r="G12" s="168" t="s">
        <v>231</v>
      </c>
      <c r="H12" s="174" t="s">
        <v>229</v>
      </c>
      <c r="I12" s="174" t="s">
        <v>229</v>
      </c>
      <c r="J12" s="174" t="s">
        <v>229</v>
      </c>
      <c r="K12" s="174" t="s">
        <v>230</v>
      </c>
      <c r="L12" s="174" t="s">
        <v>230</v>
      </c>
      <c r="M12" s="174" t="s">
        <v>229</v>
      </c>
      <c r="N12" s="174" t="s">
        <v>231</v>
      </c>
      <c r="O12" s="174" t="s">
        <v>229</v>
      </c>
      <c r="P12" s="175" t="s">
        <v>229</v>
      </c>
      <c r="Q12" s="168" t="s">
        <v>229</v>
      </c>
      <c r="R12" s="168" t="s">
        <v>230</v>
      </c>
      <c r="S12" s="168" t="s">
        <v>230</v>
      </c>
      <c r="T12" s="168" t="s">
        <v>229</v>
      </c>
      <c r="U12" s="168" t="s">
        <v>231</v>
      </c>
      <c r="V12" s="168" t="s">
        <v>229</v>
      </c>
      <c r="W12" s="168" t="s">
        <v>229</v>
      </c>
      <c r="X12" s="168" t="s">
        <v>229</v>
      </c>
      <c r="Y12" s="168" t="s">
        <v>229</v>
      </c>
      <c r="Z12" s="168" t="s">
        <v>229</v>
      </c>
      <c r="AA12" s="168" t="s">
        <v>229</v>
      </c>
      <c r="AB12" s="168" t="s">
        <v>229</v>
      </c>
      <c r="AC12" s="168" t="s">
        <v>229</v>
      </c>
      <c r="AD12" s="168" t="s">
        <v>229</v>
      </c>
      <c r="AE12" s="168" t="s">
        <v>229</v>
      </c>
      <c r="AF12" s="168" t="s">
        <v>229</v>
      </c>
      <c r="AG12" s="168" t="s">
        <v>229</v>
      </c>
      <c r="AH12" s="175" t="s">
        <v>229</v>
      </c>
      <c r="AI12" s="84" t="s">
        <v>229</v>
      </c>
      <c r="AJ12" s="84" t="s">
        <v>229</v>
      </c>
      <c r="AK12" s="175" t="s">
        <v>229</v>
      </c>
      <c r="AL12" s="84" t="s">
        <v>229</v>
      </c>
      <c r="AM12" s="84" t="s">
        <v>229</v>
      </c>
      <c r="AN12" s="175" t="s">
        <v>229</v>
      </c>
      <c r="AO12" s="84" t="s">
        <v>229</v>
      </c>
      <c r="AP12" s="84" t="s">
        <v>229</v>
      </c>
      <c r="AQ12" s="175" t="s">
        <v>229</v>
      </c>
      <c r="AR12" s="84" t="s">
        <v>229</v>
      </c>
      <c r="AS12" s="84" t="s">
        <v>229</v>
      </c>
      <c r="AT12" s="175" t="s">
        <v>229</v>
      </c>
      <c r="AU12" s="84" t="s">
        <v>229</v>
      </c>
      <c r="AV12" s="84" t="s">
        <v>229</v>
      </c>
      <c r="AW12" s="175" t="s">
        <v>229</v>
      </c>
      <c r="AX12" s="84" t="s">
        <v>229</v>
      </c>
      <c r="AY12" s="84" t="s">
        <v>229</v>
      </c>
      <c r="AZ12" s="175" t="s">
        <v>229</v>
      </c>
      <c r="BA12" s="84" t="s">
        <v>229</v>
      </c>
      <c r="BB12" s="84" t="s">
        <v>229</v>
      </c>
      <c r="BC12" s="175" t="s">
        <v>229</v>
      </c>
      <c r="BD12" s="84" t="s">
        <v>229</v>
      </c>
      <c r="BE12" s="84" t="s">
        <v>229</v>
      </c>
      <c r="BF12" s="175" t="s">
        <v>229</v>
      </c>
      <c r="BG12" s="84" t="s">
        <v>229</v>
      </c>
      <c r="BH12" s="84" t="s">
        <v>229</v>
      </c>
      <c r="BI12" s="175" t="s">
        <v>229</v>
      </c>
      <c r="BJ12" s="84" t="s">
        <v>229</v>
      </c>
      <c r="BK12" s="84" t="s">
        <v>229</v>
      </c>
      <c r="BL12" s="175" t="s">
        <v>229</v>
      </c>
      <c r="BM12" s="84" t="s">
        <v>229</v>
      </c>
      <c r="BN12" s="84" t="s">
        <v>229</v>
      </c>
      <c r="BO12" s="172" t="s">
        <v>229</v>
      </c>
      <c r="BP12" s="176" t="s">
        <v>229</v>
      </c>
      <c r="BQ12" s="174" t="s">
        <v>229</v>
      </c>
      <c r="BR12" s="174" t="s">
        <v>229</v>
      </c>
      <c r="BS12" s="174" t="s">
        <v>229</v>
      </c>
      <c r="BT12" s="174" t="s">
        <v>230</v>
      </c>
      <c r="BU12" s="174" t="s">
        <v>230</v>
      </c>
      <c r="BV12" s="174" t="s">
        <v>229</v>
      </c>
      <c r="BW12" s="174" t="s">
        <v>231</v>
      </c>
      <c r="BX12" s="176" t="s">
        <v>229</v>
      </c>
      <c r="BY12" s="84" t="s">
        <v>229</v>
      </c>
      <c r="BZ12" s="168" t="s">
        <v>229</v>
      </c>
      <c r="CA12" s="172" t="s">
        <v>229</v>
      </c>
      <c r="CB12" s="168" t="s">
        <v>229</v>
      </c>
      <c r="CC12" s="84" t="s">
        <v>229</v>
      </c>
    </row>
    <row r="13" s="25" customFormat="true" ht="16" hidden="false" customHeight="false" outlineLevel="0" collapsed="false">
      <c r="A13" s="165"/>
      <c r="B13" s="165"/>
      <c r="C13" s="165"/>
      <c r="D13" s="165"/>
      <c r="E13" s="165"/>
      <c r="F13" s="175"/>
      <c r="G13" s="178"/>
      <c r="H13" s="174"/>
      <c r="I13" s="174"/>
      <c r="J13" s="174"/>
      <c r="K13" s="174"/>
      <c r="L13" s="174"/>
      <c r="M13" s="174"/>
      <c r="N13" s="174"/>
      <c r="O13" s="174"/>
      <c r="P13" s="175"/>
      <c r="Q13" s="168"/>
      <c r="R13" s="168"/>
      <c r="S13" s="168"/>
      <c r="T13" s="168"/>
      <c r="U13" s="168"/>
      <c r="V13" s="168"/>
      <c r="W13" s="168"/>
      <c r="X13" s="168"/>
      <c r="Y13" s="168"/>
      <c r="Z13" s="168"/>
      <c r="AA13" s="168"/>
      <c r="AB13" s="168"/>
      <c r="AC13" s="168"/>
      <c r="AD13" s="168"/>
      <c r="AE13" s="168"/>
      <c r="AF13" s="168"/>
      <c r="AG13" s="168"/>
      <c r="AH13" s="175"/>
      <c r="AI13" s="84"/>
      <c r="AJ13" s="84"/>
      <c r="AK13" s="175"/>
      <c r="AL13" s="84"/>
      <c r="AM13" s="84"/>
      <c r="AN13" s="175"/>
      <c r="AO13" s="84"/>
      <c r="AP13" s="84"/>
      <c r="AQ13" s="175"/>
      <c r="AR13" s="84"/>
      <c r="AS13" s="84"/>
      <c r="AT13" s="175"/>
      <c r="AU13" s="84"/>
      <c r="AV13" s="84"/>
      <c r="AW13" s="175"/>
      <c r="AX13" s="84"/>
      <c r="AY13" s="84"/>
      <c r="AZ13" s="175"/>
      <c r="BA13" s="84"/>
      <c r="BB13" s="84"/>
      <c r="BC13" s="175"/>
      <c r="BD13" s="84"/>
      <c r="BE13" s="84"/>
      <c r="BF13" s="175"/>
      <c r="BG13" s="84"/>
      <c r="BH13" s="84"/>
      <c r="BI13" s="175"/>
      <c r="BJ13" s="84"/>
      <c r="BK13" s="84"/>
      <c r="BL13" s="175"/>
      <c r="BM13" s="84"/>
      <c r="BN13" s="84"/>
      <c r="BO13" s="172"/>
      <c r="BP13" s="176"/>
      <c r="BQ13" s="174"/>
      <c r="BR13" s="174"/>
      <c r="BS13" s="174"/>
      <c r="BT13" s="174"/>
      <c r="BU13" s="174"/>
      <c r="BV13" s="174"/>
      <c r="BW13" s="174"/>
      <c r="BX13" s="176"/>
      <c r="BY13" s="84"/>
      <c r="BZ13" s="168"/>
      <c r="CA13" s="172"/>
      <c r="CB13" s="168"/>
      <c r="CC13" s="84"/>
    </row>
    <row r="14" s="25" customFormat="true" ht="16" hidden="false" customHeight="false" outlineLevel="0" collapsed="false">
      <c r="A14" s="79" t="s">
        <v>85</v>
      </c>
      <c r="B14" s="79" t="s">
        <v>86</v>
      </c>
      <c r="C14" s="79" t="s">
        <v>232</v>
      </c>
      <c r="D14" s="79" t="s">
        <v>233</v>
      </c>
      <c r="E14" s="79" t="s">
        <v>42</v>
      </c>
      <c r="F14" s="206" t="s">
        <v>277</v>
      </c>
      <c r="G14" s="195" t="s">
        <v>402</v>
      </c>
      <c r="H14" s="199" t="s">
        <v>441</v>
      </c>
      <c r="I14" s="199" t="s">
        <v>323</v>
      </c>
      <c r="J14" s="199" t="s">
        <v>325</v>
      </c>
      <c r="K14" s="199" t="s">
        <v>307</v>
      </c>
      <c r="L14" s="199" t="s">
        <v>308</v>
      </c>
      <c r="M14" s="199" t="s">
        <v>309</v>
      </c>
      <c r="N14" s="199" t="s">
        <v>310</v>
      </c>
      <c r="O14" s="199" t="s">
        <v>312</v>
      </c>
      <c r="P14" s="206" t="s">
        <v>772</v>
      </c>
      <c r="Q14" s="195" t="s">
        <v>773</v>
      </c>
      <c r="R14" s="195" t="s">
        <v>774</v>
      </c>
      <c r="S14" s="195" t="s">
        <v>775</v>
      </c>
      <c r="T14" s="195" t="s">
        <v>776</v>
      </c>
      <c r="U14" s="195" t="s">
        <v>777</v>
      </c>
      <c r="V14" s="195" t="s">
        <v>778</v>
      </c>
      <c r="W14" s="195" t="s">
        <v>779</v>
      </c>
      <c r="X14" s="195" t="s">
        <v>780</v>
      </c>
      <c r="Y14" s="195" t="s">
        <v>781</v>
      </c>
      <c r="Z14" s="195" t="s">
        <v>782</v>
      </c>
      <c r="AA14" s="195" t="s">
        <v>783</v>
      </c>
      <c r="AB14" s="195" t="s">
        <v>784</v>
      </c>
      <c r="AC14" s="195" t="s">
        <v>785</v>
      </c>
      <c r="AD14" s="195" t="s">
        <v>786</v>
      </c>
      <c r="AE14" s="195" t="s">
        <v>787</v>
      </c>
      <c r="AF14" s="195" t="s">
        <v>788</v>
      </c>
      <c r="AG14" s="195" t="s">
        <v>789</v>
      </c>
      <c r="AH14" s="206" t="s">
        <v>790</v>
      </c>
      <c r="AI14" s="199" t="s">
        <v>791</v>
      </c>
      <c r="AJ14" s="196" t="s">
        <v>792</v>
      </c>
      <c r="AK14" s="206" t="s">
        <v>793</v>
      </c>
      <c r="AL14" s="199" t="s">
        <v>794</v>
      </c>
      <c r="AM14" s="196" t="s">
        <v>795</v>
      </c>
      <c r="AN14" s="206" t="s">
        <v>796</v>
      </c>
      <c r="AO14" s="199" t="s">
        <v>797</v>
      </c>
      <c r="AP14" s="196" t="s">
        <v>798</v>
      </c>
      <c r="AQ14" s="206" t="s">
        <v>799</v>
      </c>
      <c r="AR14" s="199" t="s">
        <v>800</v>
      </c>
      <c r="AS14" s="196" t="s">
        <v>801</v>
      </c>
      <c r="AT14" s="206" t="s">
        <v>802</v>
      </c>
      <c r="AU14" s="199" t="s">
        <v>803</v>
      </c>
      <c r="AV14" s="196" t="s">
        <v>804</v>
      </c>
      <c r="AW14" s="206" t="s">
        <v>805</v>
      </c>
      <c r="AX14" s="199" t="s">
        <v>806</v>
      </c>
      <c r="AY14" s="196" t="s">
        <v>807</v>
      </c>
      <c r="AZ14" s="206" t="s">
        <v>808</v>
      </c>
      <c r="BA14" s="199" t="s">
        <v>809</v>
      </c>
      <c r="BB14" s="196" t="s">
        <v>810</v>
      </c>
      <c r="BC14" s="206" t="s">
        <v>811</v>
      </c>
      <c r="BD14" s="199" t="s">
        <v>812</v>
      </c>
      <c r="BE14" s="196" t="s">
        <v>813</v>
      </c>
      <c r="BF14" s="206" t="s">
        <v>814</v>
      </c>
      <c r="BG14" s="199" t="s">
        <v>815</v>
      </c>
      <c r="BH14" s="196" t="s">
        <v>816</v>
      </c>
      <c r="BI14" s="206" t="s">
        <v>817</v>
      </c>
      <c r="BJ14" s="199" t="s">
        <v>818</v>
      </c>
      <c r="BK14" s="196" t="s">
        <v>819</v>
      </c>
      <c r="BL14" s="206" t="s">
        <v>820</v>
      </c>
      <c r="BM14" s="199" t="s">
        <v>821</v>
      </c>
      <c r="BN14" s="196" t="s">
        <v>822</v>
      </c>
      <c r="BO14" s="200" t="s">
        <v>823</v>
      </c>
      <c r="BP14" s="196" t="s">
        <v>824</v>
      </c>
      <c r="BQ14" s="199" t="s">
        <v>825</v>
      </c>
      <c r="BR14" s="199" t="s">
        <v>324</v>
      </c>
      <c r="BS14" s="199" t="s">
        <v>326</v>
      </c>
      <c r="BT14" s="199" t="s">
        <v>423</v>
      </c>
      <c r="BU14" s="199" t="s">
        <v>438</v>
      </c>
      <c r="BV14" s="199" t="s">
        <v>525</v>
      </c>
      <c r="BW14" s="199" t="s">
        <v>580</v>
      </c>
      <c r="BX14" s="196" t="s">
        <v>826</v>
      </c>
      <c r="BY14" s="196" t="s">
        <v>827</v>
      </c>
      <c r="BZ14" s="195" t="s">
        <v>828</v>
      </c>
      <c r="CA14" s="200" t="s">
        <v>829</v>
      </c>
      <c r="CB14" s="195" t="s">
        <v>830</v>
      </c>
      <c r="CC14" s="196" t="s">
        <v>831</v>
      </c>
    </row>
    <row r="15" s="25" customFormat="true" ht="16" hidden="false" customHeight="false" outlineLevel="0" collapsed="false">
      <c r="A15" s="165"/>
      <c r="B15" s="165"/>
      <c r="C15" s="165"/>
      <c r="D15" s="165"/>
      <c r="E15" s="165" t="str">
        <f aca="false">B15&amp;"|"&amp;C15&amp;"|"&amp;D15</f>
        <v>||</v>
      </c>
      <c r="F15" s="175" t="str">
        <f aca="false" t="array" ref="F15:F15">IFERROR(1/(1/IF($C15="50+",SUM(SUMIFS(Cascade!$BS:$BS,Cascade!$B:$B,$B15,Cascade!$C:$C,{"50-54","55-59","60-64","65+"},Cascade!$D:$D,$D15)),INDEX(Cascade!$BS:$BS,MATCH($E15,Cascade!$E:$E,0)))),"")</f>
        <v/>
      </c>
      <c r="G15" s="168" t="str">
        <f aca="false" t="array" ref="G15:G15">IFERROR(1/(1/IF($C15="50+",SUM(SUMIFS(Cascade!$AL:$AL,Cascade!$B:$B,$B15,Cascade!$C:$C,{"50-54","55-59","60-64","65+"},Cascade!$D:$D,$D15)),INDEX(Cascade!$AL:$AL,MATCH($E15,Cascade!$E:$E,0)))),"")</f>
        <v/>
      </c>
      <c r="H15" s="177" t="str">
        <f aca="false" t="array" ref="H15:H15">IFERROR(1/(1/IF($C15="50+",SUM(SUMIFS(Cascade!$BZ:$BZ,Cascade!$B:$B,$B15,Cascade!$C:$C,{"50-54","55-59","60-64","65+"},Cascade!$D:$D,$D15)),INDEX(Cascade!$BZ:$BZ,MATCH($E15,Cascade!$E:$E,0)))),"")</f>
        <v/>
      </c>
      <c r="I15" s="177" t="str">
        <f aca="false" t="array" ref="I15:I15">IFERROR(1/(1/IF($C15="50+",SUM(SUMIFS(Cascade!$CR:$CR,Cascade!$B:$B,$B15,Cascade!$C:$C,{"50-54","55-59","60-64","65+"},Cascade!$D:$D,$D15)),INDEX(Cascade!$CR:$CR,MATCH($E15,Cascade!$E:$E,0)))),"")</f>
        <v/>
      </c>
      <c r="J15" s="177" t="str">
        <f aca="false" t="array" ref="J15:J15">IFERROR(1/(1/IF($C15="50+",SUM(SUMIFS(Cascade!$CT:$CT,Cascade!$B:$B,$B15,Cascade!$C:$C,{"50-54","55-59","60-64","65+"},Cascade!$D:$D,$D15)),INDEX(Cascade!$CT:$CT,MATCH($E15,Cascade!$E:$E,0)))),"")</f>
        <v/>
      </c>
      <c r="K15" s="177" t="str">
        <f aca="false" t="array" ref="K15:K15">IFERROR(1/(1/IF($C15="50+",SUM(SUMIFS(Cascade!$CB:$CB,Cascade!$B:$B,$B15,Cascade!$C:$C,{"50-54","55-59","60-64","65+"},Cascade!$D:$D,$D15)),INDEX(Cascade!$CB:$CB,MATCH($E15,Cascade!$E:$E,0)))),"")</f>
        <v/>
      </c>
      <c r="L15" s="177" t="str">
        <f aca="false" t="array" ref="L15:L15">IFERROR(1/(1/IF($C15="50+",SUM(SUMIFS(Cascade!$CC:$CC,Cascade!$B:$B,$B15,Cascade!$C:$C,{"50-54","55-59","60-64","65+"},Cascade!$D:$D,$D15)),INDEX(Cascade!$CC:$CC,MATCH($E15,Cascade!$E:$E,0)))),"")</f>
        <v/>
      </c>
      <c r="M15" s="177" t="str">
        <f aca="false" t="array" ref="M15:M15">IFERROR(1/(1/IF($C15="50+",SUM(SUMIFS(Cascade!$CD:$CD,Cascade!$B:$B,$B15,Cascade!$C:$C,{"50-54","55-59","60-64","65+"},Cascade!$D:$D,$D15)),INDEX(Cascade!$CD:$CD,MATCH($E15,Cascade!$E:$E,0)))),"")</f>
        <v/>
      </c>
      <c r="N15" s="177" t="str">
        <f aca="false" t="array" ref="N15:N15">IFERROR(1/(1/IF($C15="50+",SUM(SUMIFS(Cascade!$CE:$CE,Cascade!$B:$B,$B15,Cascade!$C:$C,{"50-54","55-59","60-64","65+"},Cascade!$D:$D,$D15)),INDEX(Cascade!$CE:$CE,MATCH($E15,Cascade!$E:$E,0)))),"")</f>
        <v/>
      </c>
      <c r="O15" s="177" t="str">
        <f aca="false" t="array" ref="O15:O15">IFERROR(1/(1/IF($C15="50+",SUM(SUMIFS(Cascade!$CG:$CG,Cascade!$B:$B,$B15,Cascade!$C:$C,{"50-54","55-59","60-64","65+"},Cascade!$D:$D,$D15)),INDEX(Cascade!$CG:$CG,MATCH($E15,Cascade!$E:$E,0)))),"")</f>
        <v/>
      </c>
      <c r="P15" s="175" t="str">
        <f aca="false">IF(OR(SUM($I15)=0,SUM($H15)=0),"",SUM($I15)/SUM($H15))</f>
        <v/>
      </c>
      <c r="Q15" s="168" t="str">
        <f aca="false">IF(OR(SUM($J15)=0,SUM($H15)=0),"",SUM($J15)/SUM($H15))</f>
        <v/>
      </c>
      <c r="R15" s="168" t="str">
        <f aca="false">IF(OR(SUM($H15)=0,SUM($K15)=0),"",SUM($K15)/SUM($H15))</f>
        <v/>
      </c>
      <c r="S15" s="168" t="str">
        <f aca="false">IF(OR(SUM($H15)=0,SUM($L15)=0),"",SUM($L15)/SUM($H15))</f>
        <v/>
      </c>
      <c r="T15" s="168" t="str">
        <f aca="false">IF(OR(SUM($H15)=0,SUM($M15)=0),"",SUM($M15)/SUM($H15))</f>
        <v/>
      </c>
      <c r="U15" s="168" t="str">
        <f aca="false">IF(OR(SUM($H15)=0,SUM($N15)=0),"",SUM($N15)/SUM($H15))</f>
        <v/>
      </c>
      <c r="V15" s="168"/>
      <c r="W15" s="168"/>
      <c r="X15" s="168"/>
      <c r="Y15" s="168"/>
      <c r="Z15" s="168"/>
      <c r="AA15" s="168"/>
      <c r="AB15" s="168"/>
      <c r="AC15" s="168"/>
      <c r="AD15" s="168"/>
      <c r="AE15" s="168"/>
      <c r="AF15" s="168"/>
      <c r="AG15" s="168" t="str">
        <f aca="false">IF(SUM($H15)=0,"",SUM($P15:$AF15))</f>
        <v/>
      </c>
      <c r="AH15" s="175"/>
      <c r="AI15" s="84" t="str">
        <f aca="false">IF(OR(SUM($V15)=0,SUM($H15)=0),"",ROUND($H15*$V15,0))</f>
        <v/>
      </c>
      <c r="AJ15" s="84" t="str">
        <f aca="false">IF($AI15="","",IF(SUM($AH15)=0,"ENTER VALID YIELD!",ROUND($AI15/$AH15,0)-$AI15))</f>
        <v/>
      </c>
      <c r="AK15" s="175"/>
      <c r="AL15" s="84" t="str">
        <f aca="false">IF(OR(SUM($W15)=0,SUM($H15)=0),"",ROUND($H15*$W15,0))</f>
        <v/>
      </c>
      <c r="AM15" s="84" t="str">
        <f aca="false">IF($AL15="","",IF(SUM($AK15)=0,"ENTER VALID YIELD!",ROUND($AL15/$AK15,0)-$AL15))</f>
        <v/>
      </c>
      <c r="AN15" s="175"/>
      <c r="AO15" s="84" t="str">
        <f aca="false">IF(OR(SUM($X15)=0,SUM($H15)=0),"",ROUND($H15*$X15,0))</f>
        <v/>
      </c>
      <c r="AP15" s="84" t="str">
        <f aca="false">IF($AO15="","",IF(SUM($AN15)=0,"ENTER VALID YIELD!",ROUND($AO15/$AN15,0)-$AO15))</f>
        <v/>
      </c>
      <c r="AQ15" s="175"/>
      <c r="AR15" s="84" t="str">
        <f aca="false">IF(OR(SUM($Y15)=0,SUM($H15)=0),"",ROUND($H15*$Y15,0))</f>
        <v/>
      </c>
      <c r="AS15" s="84" t="str">
        <f aca="false">IF($AR15="","",IF(SUM($AQ15)=0,"ENTER VALID YIELD!",ROUND($AR15/$AQ15,0)-$AR15))</f>
        <v/>
      </c>
      <c r="AT15" s="175"/>
      <c r="AU15" s="84" t="str">
        <f aca="false">IF(OR(SUM($Z15)=0,SUM($H15)=0),"",ROUND($H15*$Z15,0))</f>
        <v/>
      </c>
      <c r="AV15" s="84" t="str">
        <f aca="false">IF($AU15="","",IF(SUM($AT15)=0,"ENTER VALID YIELD!",ROUND($AU15/$AT15,0)-$AU15))</f>
        <v/>
      </c>
      <c r="AW15" s="175"/>
      <c r="AX15" s="84" t="str">
        <f aca="false">IF(OR(SUM($AA15)=0,SUM($H15)=0),"",ROUND($H15*$AA15,0))</f>
        <v/>
      </c>
      <c r="AY15" s="84" t="str">
        <f aca="false">IF($AX15="","",IF(SUM($AW15)=0,"ENTER VALID YIELD!",ROUND($AX15/$AW15,0)-$AX15))</f>
        <v/>
      </c>
      <c r="AZ15" s="175"/>
      <c r="BA15" s="84" t="str">
        <f aca="false">IF(OR(SUM($AB15)=0,SUM($H15)=0),"",ROUND($H15*$AB15,0))</f>
        <v/>
      </c>
      <c r="BB15" s="84" t="str">
        <f aca="false">IF($BA15="","",IF(SUM($AZ15)=0,"ENTER VALID YIELD!",ROUND($BA15/$AZ15,0)-$BA15))</f>
        <v/>
      </c>
      <c r="BC15" s="175" t="str">
        <f aca="false">IF(OR(SUM($H15)=0,SUM($AC15)=0),"",5%)</f>
        <v/>
      </c>
      <c r="BD15" s="84" t="str">
        <f aca="false">IF(OR(SUM($AC15)=0,SUM($H15)=0),"",ROUND($H15*$AC15,0))</f>
        <v/>
      </c>
      <c r="BE15" s="84" t="str">
        <f aca="false">IF($BD15="","",IF(SUM($BC15)=0,"ENTER VALID YIELD!",ROUND($BD15/$BC15,0)-$BD15))</f>
        <v/>
      </c>
      <c r="BF15" s="175"/>
      <c r="BG15" s="84" t="str">
        <f aca="false">IF(OR(SUM($AD15)=0,SUM($H15)=0),"",ROUND($H15*$AD15,0))</f>
        <v/>
      </c>
      <c r="BH15" s="84" t="str">
        <f aca="false">IF($BG15="","",IF(SUM($BF15)=0,"ENTER VALID YIELD!",ROUND($BG15/$BF15,0)-$BG15))</f>
        <v/>
      </c>
      <c r="BI15" s="175" t="str">
        <f aca="false">IF(OR(SUM($H15)=0,SUM($AE15)=0),"",5%)</f>
        <v/>
      </c>
      <c r="BJ15" s="84" t="str">
        <f aca="false">IF(OR(SUM($AE15)=0,SUM($H15)=0),"",ROUND($H15*$AE15,0))</f>
        <v/>
      </c>
      <c r="BK15" s="84" t="str">
        <f aca="false">IF($BJ15="","",IF(SUM($BI15)=0,"ENTER VALID YIELD!",ROUND($BJ15/$BI15,0)-$BJ15))</f>
        <v/>
      </c>
      <c r="BL15" s="175"/>
      <c r="BM15" s="84" t="str">
        <f aca="false">IF(OR(SUM($AF15)=0,SUM($H15)=0),"",ROUND($H15*$AF15,0))</f>
        <v/>
      </c>
      <c r="BN15" s="84" t="str">
        <f aca="false">IF($BM15="","",IF(SUM($BL15)=0,"ENTER VALID YIELD!",ROUND($BM15/$BL15,0)-$BM15))</f>
        <v/>
      </c>
      <c r="BO15" s="215" t="str">
        <f aca="false">IF(SUM($H15)=0,"",$H15)</f>
        <v/>
      </c>
      <c r="BP15" s="171" t="str">
        <f aca="false">IF(SUM($H15)=0,"",SUM($I15:$N15,$AI15,$AL15,$AO15,$AR15,$AU15,$AX15,$BA15,$BD15,$BG15,$BJ15,$BM15))</f>
        <v/>
      </c>
      <c r="BQ15" s="177" t="str">
        <f aca="false">IF(AND(SUM($BP15)=0,SUM($BO15)=0),"",SUM($BP15)-SUM($BO15))</f>
        <v/>
      </c>
      <c r="BR15" s="177" t="str">
        <f aca="false" t="array" ref="BR15:BR15">IFERROR(1/(1/IF($C15="50+",SUM(SUMIFS(Cascade!$CS:$CS,Cascade!$B:$B,$B15,Cascade!$C:$C,{"50-54","55-59","60-64","65+"},Cascade!$D:$D,$D15)),INDEX(Cascade!$CS:$CS,MATCH($E15,Cascade!$E:$E,0)))),"")</f>
        <v/>
      </c>
      <c r="BS15" s="177" t="str">
        <f aca="false" t="array" ref="BS15:BS15">IFERROR(1/(1/IF($C15="50+",SUM(SUMIFS(Cascade!$CU:$CU,Cascade!$B:$B,$B15,Cascade!$C:$C,{"50-54","55-59","60-64","65+"},Cascade!$D:$D,$D15)),INDEX(Cascade!$CU:$CU,MATCH($E15,Cascade!$E:$E,0)))),"")</f>
        <v/>
      </c>
      <c r="BT15" s="177" t="str">
        <f aca="false" t="array" ref="BT15:BT15">IFERROR(1/(1/IF($C15="50+",SUM(SUMIFS(PMTCT!$AG:$AG,PMTCT!$B:$B,$B15,PMTCT!$C:$C,{"50-54","55-59","60-64","65+"},PMTCT!$D:$D,$D15)),INDEX(PMTCT!$AG:$AG,MATCH($E15,PMTCT!$E:$E,0)))),"")</f>
        <v/>
      </c>
      <c r="BU15" s="177" t="str">
        <f aca="false" t="array" ref="BU15:BU15">IFERROR(1/(1/IF($C15="50+",SUM(SUMIFS(PMTCT!$AW:$AW,PMTCT!$B:$B,$B15,PMTCT!$C:$C,{"50-54","55-59","60-64","65+"},PMTCT!$D:$D,$D15)),INDEX(PMTCT!$AW:$AW,MATCH($E15,PMTCT!$E:$E,0)))),"")</f>
        <v/>
      </c>
      <c r="BV15" s="177" t="str">
        <f aca="false" t="array" ref="BV15:BV15">IFERROR(1/(1/IF($C15="50+",SUM(SUMIFS(TB!$R:$R,TB!$B:$B,$B15,TB!$C:$C,{"50-54","55-59","60-64","65+"},TB!$D:$D,$D15)),INDEX(TB!$R:$R,MATCH($E15,TB!$E:$E,0)))),"")</f>
        <v/>
      </c>
      <c r="BW15" s="177" t="str">
        <f aca="false" t="array" ref="BW15:BW15">IFERROR(1/(1/IF($C15="50+",SUM(SUMIFS(VMMC!$AD:$AD,VMMC!$B:$B,$B15,VMMC!$C:$C,{"50-54","55-59","60-64","65+"},VMMC!$D:$D,$D15)),INDEX(VMMC!$AD:$AD,MATCH($E15,VMMC!$E:$E,0)))),"")</f>
        <v/>
      </c>
      <c r="BX15" s="171" t="str">
        <f aca="false">IFERROR(1/(1/SUM($AJ15,$AM15,$AP15,$AS15,$AV15,$AY15,$BB15,$BE15,$BH15,$BK15,$BN15,$BR15:$BW15)),"")</f>
        <v/>
      </c>
      <c r="BY15" s="171" t="str">
        <f aca="false">IFERROR(1/(1/SUM($BX15,$BP15)),"")</f>
        <v/>
      </c>
      <c r="BZ15" s="168" t="str">
        <f aca="false">IF(AND(SUM($BP15)=0,SUM($BY15)=0),"",$BP15/$BY15)</f>
        <v/>
      </c>
      <c r="CA15" s="172"/>
      <c r="CB15" s="168" t="str">
        <f aca="false">IF(OR($C15="01-04",$C15="05-09",SUM($CA15)=0),"",0%)</f>
        <v/>
      </c>
      <c r="CC15" s="84" t="str">
        <f aca="false">IF(OR($C15="01-04",$C15="05-09",SUM($CA15)=0),"",ROUND($CA15*(1+$CB15),0))</f>
        <v/>
      </c>
    </row>
  </sheetData>
  <mergeCells count="1">
    <mergeCell ref="A2:B3"/>
  </mergeCells>
  <conditionalFormatting sqref="N1:N1048576 U1:U1048576 BW1:BW1048576">
    <cfRule type="expression" priority="2" aboveAverage="0" equalAverage="0" bottom="0" percent="0" rank="0" text="" dxfId="0">
      <formula>OR($D1="Female",$C1="01-04",$C1="05-09",$C1="10-14")</formula>
    </cfRule>
  </conditionalFormatting>
  <conditionalFormatting sqref="W1:X1048576 AK1:AP1048576">
    <cfRule type="expression" priority="3" aboveAverage="0" equalAverage="0" bottom="0" percent="0" rank="0" text="" dxfId="1">
      <formula>AND(ROW(W1)&gt;14,$B1&lt;&gt;"",$C1&lt;&gt;"01-04")</formula>
    </cfRule>
  </conditionalFormatting>
  <conditionalFormatting sqref="CA1:CC1048576">
    <cfRule type="expression" priority="4" aboveAverage="0" equalAverage="0" bottom="0" percent="0" rank="0" text="" dxfId="2">
      <formula>OR($C1="01-04",$C1="05-09")</formula>
    </cfRule>
  </conditionalFormatting>
  <conditionalFormatting sqref="K1:L1048576 R1:S1048576 BT1:BU1048576">
    <cfRule type="expression" priority="5" aboveAverage="0" equalAverage="0" bottom="0" percent="0" rank="0" text="" dxfId="3">
      <formula>OR($D1="Male",$C1="01-04",$C1="05-09")</formula>
    </cfRule>
  </conditionalFormatting>
  <conditionalFormatting sqref="BQ1:BQ1048576">
    <cfRule type="expression" priority="6" aboveAverage="0" equalAverage="0" bottom="0" percent="0" rank="0" text="" dxfId="4">
      <formula>AND(ISNUMBER($BQ1),ROUND(SUM($BQ1),0)&lt;&gt;0)</formula>
    </cfRule>
  </conditionalFormatting>
  <conditionalFormatting sqref="AH1:AH1048576 AQ1:AQ1048576 AT1:AT1048576 AW1:AW1048576 AZ1:AZ1048576 BC1:BC1048576">
    <cfRule type="expression" priority="7" aboveAverage="0" equalAverage="0" bottom="0" percent="0" rank="0" text="" dxfId="5">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priority="8" operator="containsText" aboveAverage="0" equalAverage="0" bottom="0" percent="0" rank="0" text="ENTER YIELD!" dxfId="6"/>
  </conditionalFormatting>
  <conditionalFormatting sqref="AF1:AF1048576">
    <cfRule type="expression" priority="9" aboveAverage="0" equalAverage="0" bottom="0" percent="0" rank="0" text="" dxfId="7">
      <formula>AND(ISNUMBER($AF1),ROUND(SUM($F1),2)&gt;=80%,(SUM($H1)*SUM($AF1))&gt;0)</formula>
    </cfRule>
  </conditionalFormatting>
  <conditionalFormatting sqref="P1:AG1048576">
    <cfRule type="expression" priority="10" aboveAverage="0" equalAverage="0" bottom="0" percent="0" rank="0" text="" dxfId="8">
      <formula>AND(ISNUMBER($AG1),ROUND($AG1,2)&lt;&gt;1,ROUND($H1,0)&lt;&gt;0)</formula>
    </cfRule>
  </conditionalFormatting>
  <conditionalFormatting sqref="BM1:BN1048576">
    <cfRule type="expression" priority="11" aboveAverage="0" equalAverage="0" bottom="0" percent="0" rank="0" text="" dxfId="9">
      <formula>AND(ISNUMBER(BM1),SUM($F1)&gt;=80%,SUM(BM1)&gt;0)</formula>
    </cfRule>
  </conditionalFormatting>
  <conditionalFormatting sqref="F1:G1048576">
    <cfRule type="expression" priority="12" aboveAverage="0" equalAverage="0" bottom="0" percent="0" rank="0" text="" dxfId="10">
      <formula>LEFT($B1,4)="_Mil"</formula>
    </cfRule>
  </conditionalFormatting>
  <conditionalFormatting sqref="F1:G1048576 P1:AH1048576 AK1:AK1048576 AN1:AN1048576 AQ1:AQ1048576 AT1:AT1048576 AW1:AW1048576 AZ1:AZ1048576 BC1:BC1048576 BF1:BF1048576 BI1:BI1048576 BL1:BL1048576 BZ1:BZ1048576">
    <cfRule type="expression" priority="13" aboveAverage="0" equalAverage="0" bottom="0" percent="0" rank="0" text="" dxfId="11">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priority="14" aboveAverage="0" equalAverage="0" bottom="0" percent="0" rank="0" text="" dxfId="12">
      <formula>AND(ISNUMBER(H1),ROUND(H1,0)&lt;0)</formula>
    </cfRule>
  </conditionalFormatting>
  <hyperlinks>
    <hyperlink ref="F3" location="Cascade!Z:Z" display="Host Country Est. ART Coverage (FY22) (%)"/>
    <hyperlink ref="G3" location="Cascade!AA:AA" display="Host Country Est. PopVLS Rate (VLS/PLHIV) (FY22) (%)"/>
    <hyperlink ref="H3" location="Cascade!BO:BO" display="Total HTS_TST_POS (FY23)"/>
    <hyperlink ref="I3" location="Cascade!CI:CI" display="HTS_INDEX Community Positives (FY23)"/>
    <hyperlink ref="J3" location="Cascade!CK:CK" display="HTS_INDEX Facility Positives (FY23)"/>
    <hyperlink ref="K3" location="Cascade!BQ:BQ" display="PMTCT_STAT New Positives (FY23)"/>
    <hyperlink ref="L3" location="Cascade!BR:BR" display="HTS_TST Post ANC1 New Positives (FY23)"/>
    <hyperlink ref="M3" location="Cascade!BS:BS" display="TB_STAT New Positives (FY23)"/>
    <hyperlink ref="N3" location="Cascade!BT:BT" display="VMMC_CIRC New Positives (FY23)"/>
    <hyperlink ref="O3" location="Cascade!BV:BV" display="HTS_TST_POS from All Other Modalities (FY23)"/>
    <hyperlink ref="P3" location="Cascade!CG:CG" display="HTS_INDEX_COM: Positive (%)"/>
    <hyperlink ref="Q3" location="Cascade!CH:CH" display="HTS_INDEX_FAC: Positive (%)"/>
    <hyperlink ref="R3" location="Cascade!BQ:BQ" display="PMTCT_STAT: New Positive (%)"/>
    <hyperlink ref="S3" location="Cascade!BR:BR" display="HTS_TST PMTCT Post ANC1: Positive (%)"/>
    <hyperlink ref="T3" location="Cascade!BS:BS" display="TB_STAT: New Positive (%)"/>
    <hyperlink ref="U3" location="Cascade!BT:BT" display="VMMC_CIRC: HIV Positive (%)"/>
    <hyperlink ref="V3" location="HTS!AM:AO" display="Facility - Inpatient (%)"/>
    <hyperlink ref="W3" location="HTS!AP:AR" display="Facility - Pediatric (%)"/>
    <hyperlink ref="X3" location="HTS!AS:AU" display="Facility - Malnutrition (%)"/>
    <hyperlink ref="Y3" location="HTS!AV:AX" display="Facility - STI Clinic (%)"/>
    <hyperlink ref="Z3" location="HTS!AY:BA" display="Facility - Emergency (%)"/>
    <hyperlink ref="AA3" location="HTS!BB:BD" display="Facility - Other PITC (%)"/>
    <hyperlink ref="AB3" location="HTS!BE:BG" display="Facility - VCT (%)"/>
    <hyperlink ref="AD3" location="HTS!BH:BJ" display="Community - Mobile (%)"/>
    <hyperlink ref="AF3" location="HTS!BK:BM" display="Community - Other (%)"/>
    <hyperlink ref="AI3" location="HTS!V:V" display="Positive"/>
    <hyperlink ref="AL3" location="HTS!W:W" display="Positive"/>
    <hyperlink ref="AO3" location="HTS!X:X" display="Positive"/>
    <hyperlink ref="AR3" location="HTS!Y:Y" display="Positive"/>
    <hyperlink ref="AU3" location="HTS!Z:Z" display="Positive"/>
    <hyperlink ref="AX3" location="HTS!AA:AA" display="Positive"/>
    <hyperlink ref="BA3" location="HTS!AB:AB" display="Positive"/>
    <hyperlink ref="BD3" location="HTS!AC:AC" display="Positive"/>
    <hyperlink ref="BG3" location="HTS!AD:AD" display="Positive"/>
    <hyperlink ref="BJ3" location="HTS!AE:AE" display="Positive"/>
    <hyperlink ref="BM3" location="HTS!AF:AF" display="Positive"/>
    <hyperlink ref="BO3" location="HTS!H:H" display="Original HTS_TST_POS (FY23)"/>
    <hyperlink ref="BR3" location="Cascade!CJ:CJ" display="HTS_INDEX Community New Negatives (FY23)"/>
    <hyperlink ref="BS3" location="Cascade!CL:CL" display="HTS_INDEX Facility New Negatives (FY23)"/>
    <hyperlink ref="BT3" location="PMTCT!AG:AG" display="PMTCT_STAT New Negatives (FY23)"/>
    <hyperlink ref="BU3" location="PMTCT!AW:AW" display="HTS_TST Post ANC1 Negatives (FY23)"/>
    <hyperlink ref="BV3" location="TB!R:R" display="TB_STAT New Negatives (FY23)"/>
    <hyperlink ref="BW3" location="VMMC!AD:AD" display="VMMC_CIRC Negatives (FY2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63BE7B"/>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6" min="6" style="215" width="11.83"/>
    <col collapsed="false" customWidth="true" hidden="false" outlineLevel="0" max="8" min="7" style="177" width="11.83"/>
    <col collapsed="false" customWidth="true" hidden="false" outlineLevel="0" max="10" min="9" style="168" width="11.83"/>
    <col collapsed="false" customWidth="true" hidden="false" outlineLevel="0" max="11" min="11" style="84" width="11.83"/>
    <col collapsed="false" customWidth="true" hidden="false" outlineLevel="0" max="1025" min="12" style="25" width="10.83"/>
  </cols>
  <sheetData>
    <row r="1" s="63" customFormat="true" ht="31" hidden="false" customHeight="true" outlineLevel="0" collapsed="false">
      <c r="A1" s="90" t="s">
        <v>832</v>
      </c>
      <c r="B1" s="90"/>
      <c r="C1" s="90"/>
      <c r="D1" s="90"/>
      <c r="E1" s="90"/>
      <c r="F1" s="92" t="s">
        <v>833</v>
      </c>
      <c r="G1" s="98"/>
      <c r="H1" s="98"/>
      <c r="I1" s="93"/>
      <c r="J1" s="93"/>
      <c r="K1" s="94"/>
    </row>
    <row r="2" s="123" customFormat="true" ht="19" hidden="false" customHeight="true" outlineLevel="0" collapsed="false">
      <c r="A2" s="223" t="s">
        <v>834</v>
      </c>
      <c r="B2" s="223"/>
      <c r="C2" s="108"/>
      <c r="D2" s="108"/>
      <c r="E2" s="108"/>
      <c r="F2" s="114" t="s">
        <v>70</v>
      </c>
      <c r="G2" s="116"/>
      <c r="H2" s="116"/>
      <c r="I2" s="111"/>
      <c r="J2" s="111" t="s">
        <v>100</v>
      </c>
      <c r="K2" s="226" t="s">
        <v>71</v>
      </c>
    </row>
    <row r="3" customFormat="false" ht="117" hidden="false" customHeight="true" outlineLevel="0" collapsed="false">
      <c r="A3" s="223"/>
      <c r="B3" s="223"/>
      <c r="C3" s="124"/>
      <c r="D3" s="124"/>
      <c r="E3" s="124"/>
      <c r="F3" s="269" t="s">
        <v>835</v>
      </c>
      <c r="G3" s="143" t="s">
        <v>836</v>
      </c>
      <c r="H3" s="229" t="s">
        <v>156</v>
      </c>
      <c r="I3" s="147" t="s">
        <v>837</v>
      </c>
      <c r="J3" s="134" t="s">
        <v>838</v>
      </c>
      <c r="K3" s="145" t="s">
        <v>839</v>
      </c>
    </row>
    <row r="4" customFormat="false" ht="16" hidden="false" customHeight="false" outlineLevel="0" collapsed="false">
      <c r="A4" s="149"/>
      <c r="B4" s="149"/>
      <c r="C4" s="149"/>
      <c r="D4" s="149" t="s">
        <v>75</v>
      </c>
      <c r="E4" s="149"/>
      <c r="F4" s="265" t="n">
        <f aca="false">SUBTOTAL(109,F$15:INDEX(F:F,COUNTA($B:$B)+14-COUNTA($B$1:$B$14)))</f>
        <v>0</v>
      </c>
      <c r="G4" s="163" t="n">
        <f aca="false">SUBTOTAL(109,G$15:INDEX(G:G,COUNTA($B:$B)+14-COUNTA($B$1:$B$14)))</f>
        <v>0</v>
      </c>
      <c r="H4" s="163" t="n">
        <f aca="false">SUBTOTAL(109,H$15:INDEX(H:H,COUNTA($B:$B)+14-COUNTA($B$1:$B$14)))</f>
        <v>0</v>
      </c>
      <c r="I4" s="152"/>
      <c r="J4" s="152" t="str">
        <f aca="false">IF($I$4=0,"",$K$4/$I$4)</f>
        <v/>
      </c>
      <c r="K4" s="164" t="n">
        <f aca="false">SUBTOTAL(109,K$15:INDEX(K:K,COUNTA($B:$B)+14-COUNTA($B$1:$B$14)))</f>
        <v>0</v>
      </c>
    </row>
    <row r="5" customFormat="false" ht="16" hidden="false" customHeight="false" outlineLevel="0" collapsed="false">
      <c r="A5" s="165" t="s">
        <v>76</v>
      </c>
      <c r="B5" s="165" t="s">
        <v>76</v>
      </c>
      <c r="C5" s="165" t="s">
        <v>76</v>
      </c>
      <c r="D5" s="165" t="s">
        <v>76</v>
      </c>
      <c r="E5" s="165" t="s">
        <v>76</v>
      </c>
      <c r="F5" s="215" t="s">
        <v>190</v>
      </c>
      <c r="G5" s="177" t="s">
        <v>190</v>
      </c>
      <c r="H5" s="177" t="s">
        <v>76</v>
      </c>
      <c r="I5" s="168" t="s">
        <v>76</v>
      </c>
      <c r="J5" s="168" t="s">
        <v>76</v>
      </c>
      <c r="K5" s="84" t="s">
        <v>190</v>
      </c>
    </row>
    <row r="6" customFormat="false" ht="16" hidden="false" customHeight="false" outlineLevel="0" collapsed="false">
      <c r="A6" s="165" t="s">
        <v>78</v>
      </c>
      <c r="B6" s="165" t="s">
        <v>78</v>
      </c>
      <c r="C6" s="165" t="s">
        <v>78</v>
      </c>
      <c r="D6" s="165" t="s">
        <v>78</v>
      </c>
      <c r="E6" s="165" t="s">
        <v>78</v>
      </c>
      <c r="F6" s="215" t="s">
        <v>79</v>
      </c>
      <c r="G6" s="177" t="s">
        <v>79</v>
      </c>
      <c r="H6" s="177" t="s">
        <v>81</v>
      </c>
      <c r="I6" s="168" t="s">
        <v>192</v>
      </c>
      <c r="J6" s="168" t="s">
        <v>193</v>
      </c>
      <c r="K6" s="84" t="s">
        <v>80</v>
      </c>
    </row>
    <row r="7" customFormat="false" ht="16" hidden="false" customHeight="false" outlineLevel="0" collapsed="false">
      <c r="A7" s="165" t="s">
        <v>82</v>
      </c>
      <c r="B7" s="165" t="s">
        <v>82</v>
      </c>
      <c r="C7" s="165" t="s">
        <v>82</v>
      </c>
      <c r="D7" s="165" t="s">
        <v>82</v>
      </c>
      <c r="E7" s="165" t="s">
        <v>82</v>
      </c>
      <c r="F7" s="215" t="s">
        <v>83</v>
      </c>
      <c r="G7" s="177" t="s">
        <v>83</v>
      </c>
      <c r="H7" s="177" t="s">
        <v>83</v>
      </c>
      <c r="I7" s="168" t="s">
        <v>194</v>
      </c>
      <c r="J7" s="168" t="s">
        <v>194</v>
      </c>
      <c r="K7" s="84" t="s">
        <v>83</v>
      </c>
    </row>
    <row r="8" customFormat="false" ht="16" hidden="false" customHeight="false" outlineLevel="0" collapsed="false">
      <c r="F8" s="267" t="s">
        <v>840</v>
      </c>
      <c r="G8" s="266" t="s">
        <v>841</v>
      </c>
      <c r="K8" s="246" t="s">
        <v>841</v>
      </c>
    </row>
    <row r="9" customFormat="false" ht="16" hidden="false" customHeight="false" outlineLevel="0" collapsed="false">
      <c r="F9" s="267" t="s">
        <v>842</v>
      </c>
      <c r="G9" s="266" t="s">
        <v>843</v>
      </c>
      <c r="K9" s="246" t="s">
        <v>843</v>
      </c>
    </row>
    <row r="10" customFormat="false" ht="16" hidden="false" customHeight="false" outlineLevel="0" collapsed="false">
      <c r="F10" s="247" t="s">
        <v>221</v>
      </c>
      <c r="G10" s="266" t="s">
        <v>221</v>
      </c>
      <c r="K10" s="246" t="s">
        <v>221</v>
      </c>
    </row>
    <row r="11" customFormat="false" ht="16" hidden="false" customHeight="false" outlineLevel="0" collapsed="false">
      <c r="F11" s="215" t="s">
        <v>844</v>
      </c>
      <c r="G11" s="177" t="s">
        <v>844</v>
      </c>
      <c r="H11" s="177" t="s">
        <v>844</v>
      </c>
      <c r="I11" s="168" t="s">
        <v>844</v>
      </c>
      <c r="J11" s="168" t="s">
        <v>844</v>
      </c>
      <c r="K11" s="84" t="s">
        <v>844</v>
      </c>
    </row>
    <row r="12" customFormat="false" ht="16" hidden="false" customHeight="false" outlineLevel="0" collapsed="false">
      <c r="F12" s="215" t="s">
        <v>230</v>
      </c>
      <c r="G12" s="177" t="s">
        <v>230</v>
      </c>
      <c r="H12" s="177" t="s">
        <v>230</v>
      </c>
      <c r="I12" s="168" t="s">
        <v>230</v>
      </c>
      <c r="J12" s="168" t="s">
        <v>230</v>
      </c>
      <c r="K12" s="84" t="s">
        <v>230</v>
      </c>
    </row>
    <row r="14" customFormat="false" ht="16" hidden="false" customHeight="false" outlineLevel="0" collapsed="false">
      <c r="A14" s="79" t="s">
        <v>85</v>
      </c>
      <c r="B14" s="79" t="s">
        <v>86</v>
      </c>
      <c r="C14" s="79" t="s">
        <v>232</v>
      </c>
      <c r="D14" s="79" t="s">
        <v>233</v>
      </c>
      <c r="E14" s="79" t="s">
        <v>42</v>
      </c>
      <c r="F14" s="200" t="s">
        <v>845</v>
      </c>
      <c r="G14" s="199" t="s">
        <v>846</v>
      </c>
      <c r="H14" s="199" t="s">
        <v>296</v>
      </c>
      <c r="I14" s="195" t="s">
        <v>847</v>
      </c>
      <c r="J14" s="195" t="s">
        <v>848</v>
      </c>
      <c r="K14" s="196" t="s">
        <v>849</v>
      </c>
    </row>
    <row r="15" customFormat="false" ht="16" hidden="false" customHeight="false" outlineLevel="0" collapsed="false">
      <c r="E15" s="165" t="str">
        <f aca="false">B15&amp;"|"&amp;C15&amp;"|"&amp;D15</f>
        <v>||</v>
      </c>
      <c r="H15" s="177" t="str">
        <f aca="false">IFERROR(1/(1/INDEX(Cascade!$BQ:$BQ,MATCH($E15,Cascade!$E:$E,0))),"")</f>
        <v/>
      </c>
      <c r="J15" s="168" t="n">
        <v>0.5</v>
      </c>
      <c r="K15" s="84" t="str">
        <f aca="false">IF(SUM($H15)=0,"",ROUND($J15*$H15,0))</f>
        <v/>
      </c>
    </row>
  </sheetData>
  <mergeCells count="1">
    <mergeCell ref="A2:B3"/>
  </mergeCells>
  <conditionalFormatting sqref="J1:J1048576">
    <cfRule type="expression" priority="2" aboveAverage="0" equalAverage="0" bottom="0" percent="0" rank="0" text="" dxfId="0">
      <formula>AND(ISNUMBER($J1),ROUND($J1,2)&lt;0.5)</formula>
    </cfRule>
  </conditionalFormatting>
  <conditionalFormatting sqref="I1:J1048576">
    <cfRule type="expression" priority="3" aboveAverage="0" equalAverage="0" bottom="0" percent="0" rank="0" text="" dxfId="1">
      <formula>AND(ISNUMBER(I1),OR(ROUND(I1,2)&gt;1,ROUND(I1,2)&lt;0))</formula>
    </cfRule>
  </conditionalFormatting>
  <conditionalFormatting sqref="F1:H1048576 K1:K1048576">
    <cfRule type="expression" priority="4" aboveAverage="0" equalAverage="0" bottom="0" percent="0" rank="0" text="" dxfId="2">
      <formula>AND(ISNUMBER(A1),ROUND(A1,0)&lt;0)</formula>
    </cfRule>
  </conditionalFormatting>
  <hyperlinks>
    <hyperlink ref="H3" location="Cascade!BF:BF" display="TX_CURR (FY2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tabColor rgb="FF63BE7B"/>
    <pageSetUpPr fitToPage="false"/>
  </sheetPr>
  <dimension ref="A1:AL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2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282" width="11.83"/>
    <col collapsed="false" customWidth="true" hidden="false" outlineLevel="0" max="6" min="6" style="175" width="11.83"/>
    <col collapsed="false" customWidth="true" hidden="false" outlineLevel="0" max="7" min="7" style="84" width="11.83"/>
    <col collapsed="false" customWidth="true" hidden="false" outlineLevel="0" max="8" min="8" style="175" width="11.83"/>
    <col collapsed="false" customWidth="true" hidden="false" outlineLevel="0" max="9" min="9" style="84" width="11.83"/>
    <col collapsed="false" customWidth="true" hidden="false" outlineLevel="0" max="10" min="10" style="175" width="11.83"/>
    <col collapsed="false" customWidth="true" hidden="false" outlineLevel="0" max="11" min="11" style="84" width="11.83"/>
    <col collapsed="false" customWidth="true" hidden="false" outlineLevel="0" max="12" min="12" style="175" width="11.83"/>
    <col collapsed="false" customWidth="true" hidden="false" outlineLevel="0" max="13" min="13" style="84" width="11.83"/>
    <col collapsed="false" customWidth="true" hidden="false" outlineLevel="0" max="14" min="14" style="175" width="11.83"/>
    <col collapsed="false" customWidth="true" hidden="false" outlineLevel="0" max="15" min="15" style="84" width="11.83"/>
    <col collapsed="false" customWidth="true" hidden="false" outlineLevel="0" max="16" min="16" style="175" width="11.83"/>
    <col collapsed="false" customWidth="true" hidden="false" outlineLevel="0" max="17" min="17" style="84" width="11.83"/>
    <col collapsed="false" customWidth="true" hidden="false" outlineLevel="0" max="18" min="18" style="175" width="11.83"/>
    <col collapsed="false" customWidth="true" hidden="false" outlineLevel="0" max="19" min="19" style="84" width="11.83"/>
    <col collapsed="false" customWidth="true" hidden="false" outlineLevel="0" max="20" min="20" style="175" width="11.83"/>
    <col collapsed="false" customWidth="true" hidden="false" outlineLevel="0" max="21" min="21" style="84" width="11.83"/>
    <col collapsed="false" customWidth="true" hidden="false" outlineLevel="0" max="22" min="22" style="175" width="11.83"/>
    <col collapsed="false" customWidth="true" hidden="false" outlineLevel="0" max="23" min="23" style="84" width="11.83"/>
    <col collapsed="false" customWidth="true" hidden="false" outlineLevel="0" max="24" min="24" style="175" width="11.83"/>
    <col collapsed="false" customWidth="true" hidden="false" outlineLevel="0" max="25" min="25" style="84" width="11.83"/>
    <col collapsed="false" customWidth="true" hidden="false" outlineLevel="0" max="26" min="26" style="175" width="11.83"/>
    <col collapsed="false" customWidth="true" hidden="false" outlineLevel="0" max="27" min="27" style="84" width="11.83"/>
    <col collapsed="false" customWidth="true" hidden="false" outlineLevel="0" max="28" min="28" style="175" width="11.83"/>
    <col collapsed="false" customWidth="true" hidden="false" outlineLevel="0" max="29" min="29" style="84" width="11.83"/>
    <col collapsed="false" customWidth="true" hidden="false" outlineLevel="0" max="30" min="30" style="175" width="11.83"/>
    <col collapsed="false" customWidth="true" hidden="false" outlineLevel="0" max="31" min="31" style="84" width="11.83"/>
    <col collapsed="false" customWidth="true" hidden="false" outlineLevel="0" max="32" min="32" style="175" width="11.83"/>
    <col collapsed="false" customWidth="true" hidden="false" outlineLevel="0" max="33" min="33" style="84" width="11.83"/>
    <col collapsed="false" customWidth="true" hidden="false" outlineLevel="0" max="34" min="34" style="175" width="11.83"/>
    <col collapsed="false" customWidth="true" hidden="false" outlineLevel="0" max="35" min="35" style="84" width="11.83"/>
    <col collapsed="false" customWidth="true" hidden="false" outlineLevel="0" max="36" min="36" style="215" width="11.83"/>
    <col collapsed="false" customWidth="true" hidden="false" outlineLevel="0" max="37" min="37" style="177" width="11.83"/>
    <col collapsed="false" customWidth="true" hidden="false" outlineLevel="0" max="38" min="38" style="168" width="11.83"/>
    <col collapsed="false" customWidth="true" hidden="false" outlineLevel="0" max="1025" min="39" style="25" width="10.83"/>
  </cols>
  <sheetData>
    <row r="1" s="63" customFormat="true" ht="31" hidden="false" customHeight="true" outlineLevel="0" collapsed="false">
      <c r="A1" s="283" t="s">
        <v>588</v>
      </c>
      <c r="B1" s="90"/>
      <c r="C1" s="90"/>
      <c r="D1" s="90"/>
      <c r="E1" s="284"/>
      <c r="F1" s="102" t="s">
        <v>850</v>
      </c>
      <c r="G1" s="94"/>
      <c r="H1" s="102" t="s">
        <v>851</v>
      </c>
      <c r="I1" s="94"/>
      <c r="J1" s="102" t="s">
        <v>852</v>
      </c>
      <c r="K1" s="94"/>
      <c r="L1" s="102" t="s">
        <v>853</v>
      </c>
      <c r="M1" s="94"/>
      <c r="N1" s="102" t="s">
        <v>854</v>
      </c>
      <c r="O1" s="94"/>
      <c r="P1" s="102" t="s">
        <v>855</v>
      </c>
      <c r="Q1" s="94"/>
      <c r="R1" s="102" t="s">
        <v>691</v>
      </c>
      <c r="S1" s="94"/>
      <c r="T1" s="102" t="s">
        <v>694</v>
      </c>
      <c r="U1" s="94"/>
      <c r="V1" s="102" t="s">
        <v>695</v>
      </c>
      <c r="W1" s="94"/>
      <c r="X1" s="102" t="s">
        <v>696</v>
      </c>
      <c r="Y1" s="94"/>
      <c r="Z1" s="102" t="s">
        <v>697</v>
      </c>
      <c r="AA1" s="94"/>
      <c r="AB1" s="102" t="s">
        <v>698</v>
      </c>
      <c r="AC1" s="94"/>
      <c r="AD1" s="102" t="s">
        <v>699</v>
      </c>
      <c r="AE1" s="94"/>
      <c r="AF1" s="102" t="s">
        <v>700</v>
      </c>
      <c r="AG1" s="94"/>
      <c r="AH1" s="102" t="s">
        <v>701</v>
      </c>
      <c r="AI1" s="94"/>
      <c r="AJ1" s="92" t="s">
        <v>856</v>
      </c>
      <c r="AK1" s="101"/>
      <c r="AL1" s="93"/>
    </row>
    <row r="2" s="123" customFormat="true" ht="19" hidden="false" customHeight="false" outlineLevel="0" collapsed="false">
      <c r="B2" s="108"/>
      <c r="C2" s="108"/>
      <c r="D2" s="108"/>
      <c r="E2" s="285"/>
      <c r="F2" s="117" t="s">
        <v>100</v>
      </c>
      <c r="G2" s="226" t="s">
        <v>71</v>
      </c>
      <c r="H2" s="117" t="s">
        <v>100</v>
      </c>
      <c r="I2" s="226" t="s">
        <v>71</v>
      </c>
      <c r="J2" s="117" t="s">
        <v>100</v>
      </c>
      <c r="K2" s="226" t="s">
        <v>71</v>
      </c>
      <c r="L2" s="117" t="s">
        <v>100</v>
      </c>
      <c r="M2" s="226" t="s">
        <v>71</v>
      </c>
      <c r="N2" s="117" t="s">
        <v>100</v>
      </c>
      <c r="O2" s="226" t="s">
        <v>71</v>
      </c>
      <c r="P2" s="117" t="s">
        <v>100</v>
      </c>
      <c r="Q2" s="226" t="s">
        <v>71</v>
      </c>
      <c r="R2" s="117" t="s">
        <v>100</v>
      </c>
      <c r="S2" s="226" t="s">
        <v>71</v>
      </c>
      <c r="T2" s="117" t="s">
        <v>100</v>
      </c>
      <c r="U2" s="226" t="s">
        <v>71</v>
      </c>
      <c r="V2" s="117" t="s">
        <v>100</v>
      </c>
      <c r="W2" s="226" t="s">
        <v>71</v>
      </c>
      <c r="X2" s="117" t="s">
        <v>100</v>
      </c>
      <c r="Y2" s="226" t="s">
        <v>71</v>
      </c>
      <c r="Z2" s="117" t="s">
        <v>100</v>
      </c>
      <c r="AA2" s="226" t="s">
        <v>71</v>
      </c>
      <c r="AB2" s="117" t="s">
        <v>100</v>
      </c>
      <c r="AC2" s="226" t="s">
        <v>71</v>
      </c>
      <c r="AD2" s="117" t="s">
        <v>100</v>
      </c>
      <c r="AE2" s="226" t="s">
        <v>71</v>
      </c>
      <c r="AF2" s="117" t="s">
        <v>100</v>
      </c>
      <c r="AG2" s="226" t="s">
        <v>71</v>
      </c>
      <c r="AH2" s="117" t="s">
        <v>100</v>
      </c>
      <c r="AI2" s="226" t="s">
        <v>71</v>
      </c>
      <c r="AJ2" s="114" t="s">
        <v>101</v>
      </c>
      <c r="AK2" s="116"/>
      <c r="AL2" s="111"/>
    </row>
    <row r="3" customFormat="false" ht="117" hidden="false" customHeight="true" outlineLevel="0" collapsed="false">
      <c r="D3" s="124"/>
      <c r="E3" s="286"/>
      <c r="F3" s="287" t="s">
        <v>857</v>
      </c>
      <c r="G3" s="145" t="s">
        <v>858</v>
      </c>
      <c r="H3" s="287" t="s">
        <v>857</v>
      </c>
      <c r="I3" s="145" t="s">
        <v>858</v>
      </c>
      <c r="J3" s="287" t="s">
        <v>857</v>
      </c>
      <c r="K3" s="145" t="s">
        <v>858</v>
      </c>
      <c r="L3" s="287" t="s">
        <v>857</v>
      </c>
      <c r="M3" s="145" t="s">
        <v>858</v>
      </c>
      <c r="N3" s="287" t="s">
        <v>857</v>
      </c>
      <c r="O3" s="145" t="s">
        <v>858</v>
      </c>
      <c r="P3" s="287" t="s">
        <v>857</v>
      </c>
      <c r="Q3" s="145" t="s">
        <v>858</v>
      </c>
      <c r="R3" s="287" t="s">
        <v>857</v>
      </c>
      <c r="S3" s="145" t="s">
        <v>858</v>
      </c>
      <c r="T3" s="287" t="s">
        <v>857</v>
      </c>
      <c r="U3" s="145" t="s">
        <v>858</v>
      </c>
      <c r="V3" s="287" t="s">
        <v>857</v>
      </c>
      <c r="W3" s="145" t="s">
        <v>858</v>
      </c>
      <c r="X3" s="287" t="s">
        <v>857</v>
      </c>
      <c r="Y3" s="145" t="s">
        <v>858</v>
      </c>
      <c r="Z3" s="287" t="s">
        <v>857</v>
      </c>
      <c r="AA3" s="145" t="s">
        <v>858</v>
      </c>
      <c r="AB3" s="287" t="s">
        <v>857</v>
      </c>
      <c r="AC3" s="145" t="s">
        <v>858</v>
      </c>
      <c r="AD3" s="287" t="s">
        <v>857</v>
      </c>
      <c r="AE3" s="145" t="s">
        <v>858</v>
      </c>
      <c r="AF3" s="287" t="s">
        <v>857</v>
      </c>
      <c r="AG3" s="145" t="s">
        <v>858</v>
      </c>
      <c r="AH3" s="287" t="s">
        <v>857</v>
      </c>
      <c r="AI3" s="145" t="s">
        <v>858</v>
      </c>
      <c r="AJ3" s="130" t="s">
        <v>859</v>
      </c>
      <c r="AK3" s="229" t="s">
        <v>730</v>
      </c>
      <c r="AL3" s="127" t="s">
        <v>860</v>
      </c>
    </row>
    <row r="4" customFormat="false" ht="16" hidden="false" customHeight="false" outlineLevel="0" collapsed="false">
      <c r="B4" s="149"/>
      <c r="C4" s="149"/>
      <c r="D4" s="149" t="s">
        <v>75</v>
      </c>
      <c r="E4" s="288"/>
      <c r="F4" s="158"/>
      <c r="G4" s="164" t="n">
        <f aca="false">SUBTOTAL(109,G$15:INDEX(G:G,COUNTA($B:$B)+14-COUNTA($B$1:$B$14)))</f>
        <v>0</v>
      </c>
      <c r="H4" s="158"/>
      <c r="I4" s="164" t="n">
        <f aca="false">SUBTOTAL(109,I$15:INDEX(I:I,COUNTA($B:$B)+14-COUNTA($B$1:$B$14)))</f>
        <v>0</v>
      </c>
      <c r="J4" s="158"/>
      <c r="K4" s="164" t="n">
        <f aca="false">SUBTOTAL(109,K$15:INDEX(K:K,COUNTA($B:$B)+14-COUNTA($B$1:$B$14)))</f>
        <v>0</v>
      </c>
      <c r="L4" s="158"/>
      <c r="M4" s="164" t="n">
        <f aca="false">SUBTOTAL(109,M$15:INDEX(M:M,COUNTA($B:$B)+14-COUNTA($B$1:$B$14)))</f>
        <v>0</v>
      </c>
      <c r="N4" s="158"/>
      <c r="O4" s="164" t="n">
        <f aca="false">SUBTOTAL(109,O$15:INDEX(O:O,COUNTA($B:$B)+14-COUNTA($B$1:$B$14)))</f>
        <v>0</v>
      </c>
      <c r="P4" s="158"/>
      <c r="Q4" s="164" t="n">
        <f aca="false">SUBTOTAL(109,Q$15:INDEX(Q:Q,COUNTA($B:$B)+14-COUNTA($B$1:$B$14)))</f>
        <v>0</v>
      </c>
      <c r="R4" s="158"/>
      <c r="S4" s="164" t="n">
        <f aca="false">SUBTOTAL(109,S$15:INDEX(S:S,COUNTA($B:$B)+14-COUNTA($B$1:$B$14)))</f>
        <v>0</v>
      </c>
      <c r="T4" s="158"/>
      <c r="U4" s="164" t="n">
        <f aca="false">SUBTOTAL(109,U$15:INDEX(U:U,COUNTA($B:$B)+14-COUNTA($B$1:$B$14)))</f>
        <v>0</v>
      </c>
      <c r="V4" s="158"/>
      <c r="W4" s="164" t="n">
        <f aca="false">SUBTOTAL(109,W$15:INDEX(W:W,COUNTA($B:$B)+14-COUNTA($B$1:$B$14)))</f>
        <v>0</v>
      </c>
      <c r="X4" s="158"/>
      <c r="Y4" s="164" t="n">
        <f aca="false">SUBTOTAL(109,Y$15:INDEX(Y:Y,COUNTA($B:$B)+14-COUNTA($B$1:$B$14)))</f>
        <v>0</v>
      </c>
      <c r="Z4" s="158"/>
      <c r="AA4" s="164" t="n">
        <f aca="false">SUBTOTAL(109,AA$15:INDEX(AA:AA,COUNTA($B:$B)+14-COUNTA($B$1:$B$14)))</f>
        <v>0</v>
      </c>
      <c r="AB4" s="158"/>
      <c r="AC4" s="164" t="n">
        <f aca="false">SUBTOTAL(109,AC$15:INDEX(AC:AC,COUNTA($B:$B)+14-COUNTA($B$1:$B$14)))</f>
        <v>0</v>
      </c>
      <c r="AD4" s="158"/>
      <c r="AE4" s="164" t="n">
        <f aca="false">SUBTOTAL(109,AE$15:INDEX(AE:AE,COUNTA($B:$B)+14-COUNTA($B$1:$B$14)))</f>
        <v>0</v>
      </c>
      <c r="AF4" s="158"/>
      <c r="AG4" s="164" t="n">
        <f aca="false">SUBTOTAL(109,AG$15:INDEX(AG:AG,COUNTA($B:$B)+14-COUNTA($B$1:$B$14)))</f>
        <v>0</v>
      </c>
      <c r="AH4" s="158"/>
      <c r="AI4" s="164" t="n">
        <f aca="false">SUBTOTAL(109,AI$15:INDEX(AI:AI,COUNTA($B:$B)+14-COUNTA($B$1:$B$14)))</f>
        <v>0</v>
      </c>
      <c r="AJ4" s="265" t="n">
        <f aca="false">SUBTOTAL(109,AJ$15:INDEX(AJ:AJ,COUNTA($B:$B)+14-COUNTA($B$1:$B$14)))</f>
        <v>0</v>
      </c>
      <c r="AK4" s="156" t="n">
        <f aca="false">SUBTOTAL(109,AK$15:INDEX(AK:AK,COUNTA($B:$B)+14-COUNTA($B$1:$B$14)))</f>
        <v>0</v>
      </c>
      <c r="AL4" s="152" t="str">
        <f aca="false">IF(SUM($AK4)=0,"",$AJ4/$AK4)</f>
        <v/>
      </c>
    </row>
    <row r="5" customFormat="false" ht="16" hidden="false" customHeight="false" outlineLevel="0" collapsed="false">
      <c r="A5" s="25" t="s">
        <v>76</v>
      </c>
      <c r="B5" s="165" t="s">
        <v>76</v>
      </c>
      <c r="C5" s="165" t="s">
        <v>76</v>
      </c>
      <c r="D5" s="165" t="s">
        <v>76</v>
      </c>
      <c r="E5" s="282" t="s">
        <v>76</v>
      </c>
      <c r="F5" s="175" t="s">
        <v>76</v>
      </c>
      <c r="G5" s="84" t="s">
        <v>190</v>
      </c>
      <c r="H5" s="175" t="s">
        <v>76</v>
      </c>
      <c r="I5" s="84" t="s">
        <v>190</v>
      </c>
      <c r="J5" s="175" t="s">
        <v>76</v>
      </c>
      <c r="K5" s="84" t="s">
        <v>190</v>
      </c>
      <c r="L5" s="175" t="s">
        <v>76</v>
      </c>
      <c r="M5" s="84" t="s">
        <v>190</v>
      </c>
      <c r="N5" s="175" t="s">
        <v>76</v>
      </c>
      <c r="O5" s="84" t="s">
        <v>190</v>
      </c>
      <c r="P5" s="175" t="s">
        <v>76</v>
      </c>
      <c r="Q5" s="84" t="s">
        <v>190</v>
      </c>
      <c r="R5" s="175" t="s">
        <v>76</v>
      </c>
      <c r="S5" s="84" t="s">
        <v>190</v>
      </c>
      <c r="T5" s="175" t="s">
        <v>76</v>
      </c>
      <c r="U5" s="84" t="s">
        <v>190</v>
      </c>
      <c r="V5" s="175" t="s">
        <v>76</v>
      </c>
      <c r="W5" s="84" t="s">
        <v>190</v>
      </c>
      <c r="X5" s="175" t="s">
        <v>76</v>
      </c>
      <c r="Y5" s="84" t="s">
        <v>190</v>
      </c>
      <c r="Z5" s="175" t="s">
        <v>76</v>
      </c>
      <c r="AA5" s="84" t="s">
        <v>190</v>
      </c>
      <c r="AB5" s="175" t="s">
        <v>76</v>
      </c>
      <c r="AC5" s="84" t="s">
        <v>190</v>
      </c>
      <c r="AD5" s="175" t="s">
        <v>76</v>
      </c>
      <c r="AE5" s="84" t="s">
        <v>190</v>
      </c>
      <c r="AF5" s="175" t="s">
        <v>76</v>
      </c>
      <c r="AG5" s="84" t="s">
        <v>190</v>
      </c>
      <c r="AH5" s="175" t="s">
        <v>76</v>
      </c>
      <c r="AI5" s="84" t="s">
        <v>190</v>
      </c>
      <c r="AJ5" s="172" t="s">
        <v>76</v>
      </c>
      <c r="AK5" s="83" t="s">
        <v>76</v>
      </c>
      <c r="AL5" s="168" t="s">
        <v>76</v>
      </c>
    </row>
    <row r="6" customFormat="false" ht="16" hidden="false" customHeight="false" outlineLevel="0" collapsed="false">
      <c r="A6" s="25" t="s">
        <v>78</v>
      </c>
      <c r="B6" s="165" t="s">
        <v>78</v>
      </c>
      <c r="C6" s="165" t="s">
        <v>78</v>
      </c>
      <c r="D6" s="165" t="s">
        <v>78</v>
      </c>
      <c r="E6" s="282" t="s">
        <v>78</v>
      </c>
      <c r="F6" s="175" t="s">
        <v>193</v>
      </c>
      <c r="G6" s="84" t="s">
        <v>80</v>
      </c>
      <c r="H6" s="175" t="s">
        <v>193</v>
      </c>
      <c r="I6" s="84" t="s">
        <v>80</v>
      </c>
      <c r="J6" s="175" t="s">
        <v>193</v>
      </c>
      <c r="K6" s="84" t="s">
        <v>80</v>
      </c>
      <c r="L6" s="175" t="s">
        <v>193</v>
      </c>
      <c r="M6" s="84" t="s">
        <v>80</v>
      </c>
      <c r="N6" s="175" t="s">
        <v>193</v>
      </c>
      <c r="O6" s="84" t="s">
        <v>80</v>
      </c>
      <c r="P6" s="175" t="s">
        <v>193</v>
      </c>
      <c r="Q6" s="84" t="s">
        <v>80</v>
      </c>
      <c r="R6" s="175" t="s">
        <v>193</v>
      </c>
      <c r="S6" s="84" t="s">
        <v>80</v>
      </c>
      <c r="T6" s="175" t="s">
        <v>193</v>
      </c>
      <c r="U6" s="84" t="s">
        <v>80</v>
      </c>
      <c r="V6" s="175" t="s">
        <v>193</v>
      </c>
      <c r="W6" s="84" t="s">
        <v>80</v>
      </c>
      <c r="X6" s="175" t="s">
        <v>193</v>
      </c>
      <c r="Y6" s="84" t="s">
        <v>80</v>
      </c>
      <c r="Z6" s="175" t="s">
        <v>193</v>
      </c>
      <c r="AA6" s="84" t="s">
        <v>80</v>
      </c>
      <c r="AB6" s="175" t="s">
        <v>193</v>
      </c>
      <c r="AC6" s="84" t="s">
        <v>80</v>
      </c>
      <c r="AD6" s="175" t="s">
        <v>193</v>
      </c>
      <c r="AE6" s="84" t="s">
        <v>80</v>
      </c>
      <c r="AF6" s="175" t="s">
        <v>193</v>
      </c>
      <c r="AG6" s="84" t="s">
        <v>80</v>
      </c>
      <c r="AH6" s="175" t="s">
        <v>193</v>
      </c>
      <c r="AI6" s="84" t="s">
        <v>80</v>
      </c>
      <c r="AJ6" s="172" t="s">
        <v>81</v>
      </c>
      <c r="AK6" s="83" t="s">
        <v>81</v>
      </c>
      <c r="AL6" s="168" t="s">
        <v>81</v>
      </c>
    </row>
    <row r="7" customFormat="false" ht="16" hidden="false" customHeight="false" outlineLevel="0" collapsed="false">
      <c r="A7" s="25" t="s">
        <v>82</v>
      </c>
      <c r="B7" s="165" t="s">
        <v>82</v>
      </c>
      <c r="C7" s="165" t="s">
        <v>82</v>
      </c>
      <c r="D7" s="165" t="s">
        <v>82</v>
      </c>
      <c r="E7" s="282" t="s">
        <v>82</v>
      </c>
      <c r="F7" s="175" t="s">
        <v>194</v>
      </c>
      <c r="G7" s="84" t="s">
        <v>83</v>
      </c>
      <c r="H7" s="175" t="s">
        <v>194</v>
      </c>
      <c r="I7" s="84" t="s">
        <v>83</v>
      </c>
      <c r="J7" s="175" t="s">
        <v>194</v>
      </c>
      <c r="K7" s="84" t="s">
        <v>83</v>
      </c>
      <c r="L7" s="175" t="s">
        <v>194</v>
      </c>
      <c r="M7" s="84" t="s">
        <v>83</v>
      </c>
      <c r="N7" s="175" t="s">
        <v>194</v>
      </c>
      <c r="O7" s="84" t="s">
        <v>83</v>
      </c>
      <c r="P7" s="175" t="s">
        <v>194</v>
      </c>
      <c r="Q7" s="84" t="s">
        <v>83</v>
      </c>
      <c r="R7" s="175" t="s">
        <v>194</v>
      </c>
      <c r="S7" s="84" t="s">
        <v>83</v>
      </c>
      <c r="T7" s="175" t="s">
        <v>194</v>
      </c>
      <c r="U7" s="84" t="s">
        <v>83</v>
      </c>
      <c r="V7" s="175" t="s">
        <v>194</v>
      </c>
      <c r="W7" s="84" t="s">
        <v>83</v>
      </c>
      <c r="X7" s="175" t="s">
        <v>194</v>
      </c>
      <c r="Y7" s="84" t="s">
        <v>83</v>
      </c>
      <c r="Z7" s="175" t="s">
        <v>194</v>
      </c>
      <c r="AA7" s="84" t="s">
        <v>83</v>
      </c>
      <c r="AB7" s="175" t="s">
        <v>194</v>
      </c>
      <c r="AC7" s="84" t="s">
        <v>83</v>
      </c>
      <c r="AD7" s="175" t="s">
        <v>194</v>
      </c>
      <c r="AE7" s="84" t="s">
        <v>83</v>
      </c>
      <c r="AF7" s="175" t="s">
        <v>194</v>
      </c>
      <c r="AG7" s="84" t="s">
        <v>83</v>
      </c>
      <c r="AH7" s="175" t="s">
        <v>194</v>
      </c>
      <c r="AI7" s="84" t="s">
        <v>83</v>
      </c>
      <c r="AJ7" s="172" t="s">
        <v>83</v>
      </c>
      <c r="AK7" s="83" t="s">
        <v>83</v>
      </c>
      <c r="AL7" s="168" t="s">
        <v>194</v>
      </c>
    </row>
    <row r="8" s="190" customFormat="true" ht="16" hidden="false" customHeight="false" outlineLevel="0" collapsed="false">
      <c r="B8" s="181"/>
      <c r="C8" s="181"/>
      <c r="D8" s="181"/>
      <c r="E8" s="289"/>
      <c r="F8" s="175"/>
      <c r="G8" s="246" t="s">
        <v>861</v>
      </c>
      <c r="H8" s="175"/>
      <c r="I8" s="246" t="s">
        <v>862</v>
      </c>
      <c r="J8" s="175"/>
      <c r="K8" s="246" t="s">
        <v>863</v>
      </c>
      <c r="L8" s="175"/>
      <c r="M8" s="246" t="s">
        <v>864</v>
      </c>
      <c r="N8" s="175"/>
      <c r="O8" s="246" t="s">
        <v>865</v>
      </c>
      <c r="P8" s="175"/>
      <c r="Q8" s="246" t="s">
        <v>866</v>
      </c>
      <c r="R8" s="175"/>
      <c r="S8" s="290" t="s">
        <v>867</v>
      </c>
      <c r="T8" s="175"/>
      <c r="U8" s="246" t="s">
        <v>868</v>
      </c>
      <c r="V8" s="175"/>
      <c r="W8" s="246" t="s">
        <v>869</v>
      </c>
      <c r="X8" s="175"/>
      <c r="Y8" s="246" t="s">
        <v>870</v>
      </c>
      <c r="Z8" s="175"/>
      <c r="AA8" s="246" t="s">
        <v>871</v>
      </c>
      <c r="AB8" s="175"/>
      <c r="AC8" s="246" t="s">
        <v>872</v>
      </c>
      <c r="AD8" s="175"/>
      <c r="AE8" s="246" t="s">
        <v>873</v>
      </c>
      <c r="AF8" s="175"/>
      <c r="AG8" s="246" t="s">
        <v>874</v>
      </c>
      <c r="AH8" s="175"/>
      <c r="AI8" s="246" t="s">
        <v>875</v>
      </c>
      <c r="AJ8" s="186"/>
      <c r="AK8" s="187"/>
      <c r="AL8" s="168"/>
    </row>
    <row r="9" s="190" customFormat="true" ht="16" hidden="false" customHeight="false" outlineLevel="0" collapsed="false">
      <c r="B9" s="181"/>
      <c r="C9" s="181"/>
      <c r="D9" s="181"/>
      <c r="E9" s="289"/>
      <c r="F9" s="175"/>
      <c r="G9" s="246" t="s">
        <v>876</v>
      </c>
      <c r="H9" s="175"/>
      <c r="I9" s="246" t="s">
        <v>877</v>
      </c>
      <c r="J9" s="175"/>
      <c r="K9" s="246" t="s">
        <v>878</v>
      </c>
      <c r="L9" s="175"/>
      <c r="M9" s="246" t="s">
        <v>879</v>
      </c>
      <c r="N9" s="175"/>
      <c r="O9" s="246" t="s">
        <v>880</v>
      </c>
      <c r="P9" s="175"/>
      <c r="Q9" s="246" t="s">
        <v>881</v>
      </c>
      <c r="R9" s="175"/>
      <c r="S9" s="246" t="s">
        <v>882</v>
      </c>
      <c r="T9" s="175"/>
      <c r="U9" s="246" t="s">
        <v>883</v>
      </c>
      <c r="V9" s="175"/>
      <c r="W9" s="246" t="s">
        <v>884</v>
      </c>
      <c r="X9" s="175"/>
      <c r="Y9" s="246" t="s">
        <v>885</v>
      </c>
      <c r="Z9" s="175"/>
      <c r="AA9" s="246" t="s">
        <v>886</v>
      </c>
      <c r="AB9" s="175"/>
      <c r="AC9" s="246" t="s">
        <v>887</v>
      </c>
      <c r="AD9" s="175"/>
      <c r="AE9" s="246" t="s">
        <v>888</v>
      </c>
      <c r="AF9" s="175"/>
      <c r="AG9" s="246" t="s">
        <v>889</v>
      </c>
      <c r="AH9" s="175"/>
      <c r="AI9" s="246" t="s">
        <v>890</v>
      </c>
      <c r="AJ9" s="186"/>
      <c r="AK9" s="187"/>
      <c r="AL9" s="168"/>
    </row>
    <row r="10" s="190" customFormat="true" ht="16" hidden="false" customHeight="false" outlineLevel="0" collapsed="false">
      <c r="B10" s="181"/>
      <c r="C10" s="181"/>
      <c r="D10" s="181"/>
      <c r="E10" s="289"/>
      <c r="F10" s="175"/>
      <c r="G10" s="246" t="s">
        <v>221</v>
      </c>
      <c r="H10" s="175"/>
      <c r="I10" s="246" t="s">
        <v>221</v>
      </c>
      <c r="J10" s="175"/>
      <c r="K10" s="246" t="s">
        <v>221</v>
      </c>
      <c r="L10" s="175"/>
      <c r="M10" s="246" t="s">
        <v>221</v>
      </c>
      <c r="N10" s="175"/>
      <c r="O10" s="246" t="s">
        <v>221</v>
      </c>
      <c r="P10" s="175"/>
      <c r="Q10" s="246" t="s">
        <v>221</v>
      </c>
      <c r="R10" s="175"/>
      <c r="S10" s="246" t="s">
        <v>221</v>
      </c>
      <c r="T10" s="175"/>
      <c r="U10" s="246" t="s">
        <v>221</v>
      </c>
      <c r="V10" s="175"/>
      <c r="W10" s="246" t="s">
        <v>221</v>
      </c>
      <c r="X10" s="175"/>
      <c r="Y10" s="246" t="s">
        <v>221</v>
      </c>
      <c r="Z10" s="175"/>
      <c r="AA10" s="246" t="s">
        <v>221</v>
      </c>
      <c r="AB10" s="175"/>
      <c r="AC10" s="246" t="s">
        <v>221</v>
      </c>
      <c r="AD10" s="175"/>
      <c r="AE10" s="246" t="s">
        <v>221</v>
      </c>
      <c r="AF10" s="175"/>
      <c r="AG10" s="246" t="s">
        <v>221</v>
      </c>
      <c r="AH10" s="175"/>
      <c r="AI10" s="246" t="s">
        <v>221</v>
      </c>
      <c r="AJ10" s="186"/>
      <c r="AK10" s="187"/>
      <c r="AL10" s="168"/>
    </row>
    <row r="11" customFormat="false" ht="16" hidden="false" customHeight="false" outlineLevel="0" collapsed="false">
      <c r="F11" s="175" t="s">
        <v>770</v>
      </c>
      <c r="G11" s="84" t="s">
        <v>770</v>
      </c>
      <c r="H11" s="175" t="s">
        <v>770</v>
      </c>
      <c r="I11" s="84" t="s">
        <v>770</v>
      </c>
      <c r="J11" s="175" t="s">
        <v>770</v>
      </c>
      <c r="K11" s="84" t="s">
        <v>770</v>
      </c>
      <c r="L11" s="175" t="s">
        <v>770</v>
      </c>
      <c r="M11" s="84" t="s">
        <v>770</v>
      </c>
      <c r="N11" s="175" t="s">
        <v>770</v>
      </c>
      <c r="O11" s="84" t="s">
        <v>770</v>
      </c>
      <c r="P11" s="175" t="s">
        <v>770</v>
      </c>
      <c r="Q11" s="84" t="s">
        <v>770</v>
      </c>
      <c r="R11" s="175" t="s">
        <v>770</v>
      </c>
      <c r="S11" s="84" t="s">
        <v>770</v>
      </c>
      <c r="T11" s="175" t="s">
        <v>770</v>
      </c>
      <c r="U11" s="84" t="s">
        <v>770</v>
      </c>
      <c r="V11" s="175" t="s">
        <v>770</v>
      </c>
      <c r="W11" s="84" t="s">
        <v>770</v>
      </c>
      <c r="X11" s="175" t="s">
        <v>770</v>
      </c>
      <c r="Y11" s="84" t="s">
        <v>770</v>
      </c>
      <c r="Z11" s="175" t="s">
        <v>770</v>
      </c>
      <c r="AA11" s="84" t="s">
        <v>770</v>
      </c>
      <c r="AB11" s="175" t="s">
        <v>770</v>
      </c>
      <c r="AC11" s="84" t="s">
        <v>770</v>
      </c>
      <c r="AD11" s="175" t="s">
        <v>770</v>
      </c>
      <c r="AE11" s="84" t="s">
        <v>770</v>
      </c>
      <c r="AF11" s="175" t="s">
        <v>770</v>
      </c>
      <c r="AG11" s="84" t="s">
        <v>770</v>
      </c>
      <c r="AH11" s="175" t="s">
        <v>770</v>
      </c>
      <c r="AI11" s="84" t="s">
        <v>770</v>
      </c>
      <c r="AJ11" s="172" t="s">
        <v>770</v>
      </c>
      <c r="AK11" s="83" t="s">
        <v>770</v>
      </c>
      <c r="AL11" s="168" t="s">
        <v>770</v>
      </c>
    </row>
    <row r="12" customFormat="false" ht="16" hidden="false" customHeight="false" outlineLevel="0" collapsed="false">
      <c r="F12" s="175" t="s">
        <v>230</v>
      </c>
      <c r="G12" s="84" t="s">
        <v>230</v>
      </c>
      <c r="H12" s="175" t="s">
        <v>230</v>
      </c>
      <c r="I12" s="84" t="s">
        <v>230</v>
      </c>
      <c r="J12" s="175" t="s">
        <v>229</v>
      </c>
      <c r="K12" s="84" t="s">
        <v>229</v>
      </c>
      <c r="L12" s="175" t="s">
        <v>231</v>
      </c>
      <c r="M12" s="84" t="s">
        <v>231</v>
      </c>
      <c r="N12" s="175" t="s">
        <v>229</v>
      </c>
      <c r="O12" s="84" t="s">
        <v>229</v>
      </c>
      <c r="P12" s="175" t="s">
        <v>229</v>
      </c>
      <c r="Q12" s="84" t="s">
        <v>229</v>
      </c>
      <c r="R12" s="175" t="s">
        <v>229</v>
      </c>
      <c r="S12" s="84" t="s">
        <v>229</v>
      </c>
      <c r="T12" s="175" t="s">
        <v>229</v>
      </c>
      <c r="U12" s="84" t="s">
        <v>229</v>
      </c>
      <c r="V12" s="175" t="s">
        <v>229</v>
      </c>
      <c r="W12" s="84" t="s">
        <v>229</v>
      </c>
      <c r="X12" s="175" t="s">
        <v>229</v>
      </c>
      <c r="Y12" s="84" t="s">
        <v>229</v>
      </c>
      <c r="Z12" s="175" t="s">
        <v>229</v>
      </c>
      <c r="AA12" s="84" t="s">
        <v>229</v>
      </c>
      <c r="AB12" s="175" t="s">
        <v>229</v>
      </c>
      <c r="AC12" s="84" t="s">
        <v>229</v>
      </c>
      <c r="AD12" s="175" t="s">
        <v>229</v>
      </c>
      <c r="AE12" s="84" t="s">
        <v>229</v>
      </c>
      <c r="AF12" s="175" t="s">
        <v>229</v>
      </c>
      <c r="AG12" s="84" t="s">
        <v>229</v>
      </c>
      <c r="AH12" s="175" t="s">
        <v>229</v>
      </c>
      <c r="AI12" s="84" t="s">
        <v>229</v>
      </c>
      <c r="AJ12" s="172" t="s">
        <v>229</v>
      </c>
      <c r="AK12" s="83" t="s">
        <v>229</v>
      </c>
      <c r="AL12" s="168" t="s">
        <v>229</v>
      </c>
    </row>
    <row r="13" customFormat="false" ht="16" hidden="false" customHeight="false" outlineLevel="0" collapsed="false">
      <c r="AJ13" s="172"/>
      <c r="AK13" s="83"/>
    </row>
    <row r="14" customFormat="false" ht="16" hidden="false" customHeight="false" outlineLevel="0" collapsed="false">
      <c r="A14" s="79" t="s">
        <v>85</v>
      </c>
      <c r="B14" s="79" t="s">
        <v>86</v>
      </c>
      <c r="C14" s="79" t="s">
        <v>232</v>
      </c>
      <c r="D14" s="79" t="s">
        <v>233</v>
      </c>
      <c r="E14" s="291" t="s">
        <v>42</v>
      </c>
      <c r="F14" s="206" t="s">
        <v>891</v>
      </c>
      <c r="G14" s="196" t="s">
        <v>892</v>
      </c>
      <c r="H14" s="206" t="s">
        <v>893</v>
      </c>
      <c r="I14" s="196" t="s">
        <v>894</v>
      </c>
      <c r="J14" s="206" t="s">
        <v>895</v>
      </c>
      <c r="K14" s="196" t="s">
        <v>896</v>
      </c>
      <c r="L14" s="206" t="s">
        <v>897</v>
      </c>
      <c r="M14" s="196" t="s">
        <v>898</v>
      </c>
      <c r="N14" s="206" t="s">
        <v>899</v>
      </c>
      <c r="O14" s="196" t="s">
        <v>900</v>
      </c>
      <c r="P14" s="206" t="s">
        <v>901</v>
      </c>
      <c r="Q14" s="196" t="s">
        <v>902</v>
      </c>
      <c r="R14" s="206" t="s">
        <v>903</v>
      </c>
      <c r="S14" s="196" t="s">
        <v>904</v>
      </c>
      <c r="T14" s="206" t="s">
        <v>905</v>
      </c>
      <c r="U14" s="196" t="s">
        <v>906</v>
      </c>
      <c r="V14" s="206" t="s">
        <v>907</v>
      </c>
      <c r="W14" s="196" t="s">
        <v>908</v>
      </c>
      <c r="X14" s="206" t="s">
        <v>909</v>
      </c>
      <c r="Y14" s="196" t="s">
        <v>910</v>
      </c>
      <c r="Z14" s="206" t="s">
        <v>911</v>
      </c>
      <c r="AA14" s="196" t="s">
        <v>912</v>
      </c>
      <c r="AB14" s="206" t="s">
        <v>913</v>
      </c>
      <c r="AC14" s="196" t="s">
        <v>914</v>
      </c>
      <c r="AD14" s="206" t="s">
        <v>915</v>
      </c>
      <c r="AE14" s="196" t="s">
        <v>916</v>
      </c>
      <c r="AF14" s="206" t="s">
        <v>917</v>
      </c>
      <c r="AG14" s="196" t="s">
        <v>918</v>
      </c>
      <c r="AH14" s="206" t="s">
        <v>919</v>
      </c>
      <c r="AI14" s="196" t="s">
        <v>920</v>
      </c>
      <c r="AJ14" s="200" t="s">
        <v>921</v>
      </c>
      <c r="AK14" s="199" t="s">
        <v>824</v>
      </c>
      <c r="AL14" s="195" t="s">
        <v>922</v>
      </c>
    </row>
    <row r="15" customFormat="false" ht="16" hidden="false" customHeight="false" outlineLevel="0" collapsed="false">
      <c r="E15" s="282" t="str">
        <f aca="false">$B15&amp;"|"&amp;$C15&amp;"|"&amp;$D15</f>
        <v>||</v>
      </c>
      <c r="F15" s="175" t="str">
        <f aca="false">IF($D15="Female",100%,"")</f>
        <v/>
      </c>
      <c r="G15" s="84" t="str">
        <f aca="false" t="array" ref="G15:G15">IFERROR(ROUND($F15*IF($C15="50+",SUM(SUMIFS(PMTCT!$AF:$AF,PMTCT!$B:$B,$B15,PMTCT!$C:$C,{"50-54","55-59","60-64","65+"},PMTCT!$D:$D,$D15)),INDEX(PMTCT!$AF:$AF,MATCH($E15,PMTCT!$E:$E,0))),0),"")</f>
        <v/>
      </c>
      <c r="H15" s="175" t="str">
        <f aca="false">IF($D15="Female",100%,"")</f>
        <v/>
      </c>
      <c r="I15" s="84" t="str">
        <f aca="false" t="array" ref="I15:I15">IFERROR(ROUND($H15*IF($C15="50+",SUM(SUMIFS(PMTCT!$AV:$AV,PMTCT!$B:$B,$B15,PMTCT!$C:$C,{"50-54","55-59","60-64","65+"},PMTCT!$D:$D,$D15)),INDEX(PMTCT!$AV:$AV,MATCH($E15,PMTCT!$E:$E,0))),0),"")</f>
        <v/>
      </c>
      <c r="J15" s="175" t="n">
        <v>1</v>
      </c>
      <c r="K15" s="84" t="n">
        <f aca="false" t="array" ref="K15:K15">IFERROR(ROUND($J15*IF($C15="50+",SUM(SUMIFS(TB!$Q:$Q,TB!$B:$B,$B15,TB!$C:$C,{"50-54","55-59","60-64","65+"},TB!$D:$D,$D15)),INDEX(TB!$Q:$Q,MATCH($E15,TB!$E:$E,0))),0),"")</f>
        <v>0</v>
      </c>
      <c r="L15" s="175" t="str">
        <f aca="false">IF($D15="Male",100%,"")</f>
        <v/>
      </c>
      <c r="M15" s="84" t="str">
        <f aca="false" t="array" ref="M15:M15">IFERROR(ROUND($L14*IF($C14="50+",SUM(SUMIFS(VMMC!$AC:$AC,VMMC!$B:$B,$B14,VMMC!$C:$C,{"50-54","55-59","60-64","65+"},VMMC!$D:$D,$D14)),INDEX(VMMC!$AC:$AC,MATCH($E14,VMMC!$E:$E,0))),0),"")</f>
        <v/>
      </c>
      <c r="N15" s="175" t="n">
        <v>1</v>
      </c>
      <c r="O15" s="84" t="str">
        <f aca="false" t="array" ref="O15:O15">IFERROR(ROUND($N15*IF($C15="50+",SUM(SUMIFS(Cascade!$CR:$CR,Cascade!$B:$B,$B15,Cascade!$C:$C,{"50-54","55-59","60-64","65+"},Cascade!$D:$D,$D15)),INDEX(Cascade!$CR:$CR,MATCH($E15,Cascade!$E:$E,0))),0),"")</f>
        <v/>
      </c>
      <c r="P15" s="175" t="n">
        <v>1</v>
      </c>
      <c r="Q15" s="84" t="str">
        <f aca="false" t="array" ref="Q15:Q15">IFERROR(ROUND($P15*IF($C15="50+",SUM(SUMIFS(Cascade!$CT:$CT,Cascade!$B:$B,$B15,Cascade!$C:$C,{"50-54","55-59","60-64","65+"},Cascade!$D:$D,$D15)),INDEX(Cascade!$CT:$CT,MATCH($E15,Cascade!$E:$E,0))),0),"")</f>
        <v/>
      </c>
      <c r="R15" s="175" t="n">
        <v>1</v>
      </c>
      <c r="S15" s="84" t="str">
        <f aca="false">IFERROR(ROUND($R15*INDEX(HTS!$AI:$AI,MATCH($E15,HTS!$E:$E,0)),0),"")</f>
        <v/>
      </c>
      <c r="T15" s="175" t="n">
        <v>1</v>
      </c>
      <c r="U15" s="84" t="str">
        <f aca="false">IFERROR(ROUND($T15*INDEX(HTS!$AR:$AR,MATCH($E15,HTS!$E:$E,0)),0),"")</f>
        <v/>
      </c>
      <c r="V15" s="175" t="n">
        <v>1</v>
      </c>
      <c r="W15" s="84" t="str">
        <f aca="false">IFERROR(ROUND($V15*INDEX(HTS!$AU:$AU,MATCH($E15,HTS!$E:$E,0)),0),"")</f>
        <v/>
      </c>
      <c r="X15" s="175" t="n">
        <v>1</v>
      </c>
      <c r="Y15" s="84" t="str">
        <f aca="false">IFERROR(ROUND($X15*INDEX(HTS!$AX:$AX,MATCH($E15,HTS!$E:$E,0)),0),"")</f>
        <v/>
      </c>
      <c r="Z15" s="175" t="n">
        <v>1</v>
      </c>
      <c r="AA15" s="84" t="str">
        <f aca="false">IFERROR(ROUND($Z15*INDEX(HTS!$BA:$BA,MATCH($E15,HTS!$E:$E,0)),0),"")</f>
        <v/>
      </c>
      <c r="AB15" s="175" t="n">
        <v>1</v>
      </c>
      <c r="AC15" s="84" t="str">
        <f aca="false">IFERROR(ROUND($AB15*INDEX(HTS!$BD:$BD,MATCH($E15,HTS!$E:$E,0)),0),"")</f>
        <v/>
      </c>
      <c r="AD15" s="175" t="n">
        <v>1</v>
      </c>
      <c r="AE15" s="84" t="str">
        <f aca="false">IFERROR(ROUND($AD15*INDEX(HTS!$BG:$BG,MATCH($E15,HTS!$E:$E,0)),0),"")</f>
        <v/>
      </c>
      <c r="AF15" s="175" t="n">
        <v>1</v>
      </c>
      <c r="AG15" s="84" t="str">
        <f aca="false">IFERROR(ROUND($AF15*INDEX(HTS!$BJ:$BJ,MATCH($E15,HTS!$E:$E,0)),0),"")</f>
        <v/>
      </c>
      <c r="AH15" s="175" t="n">
        <v>1</v>
      </c>
      <c r="AI15" s="84" t="str">
        <f aca="false">IFERROR(ROUND($AH15*INDEX(HTS!$BM:$BM,MATCH($E15,HTS!$E:$E,0)),0),"")</f>
        <v/>
      </c>
      <c r="AJ15" s="215" t="n">
        <f aca="false">SUM($G15,$I15,$K15,$M15,$O15,$Q15,$S15,$U15,$W15,$Y15,$AA15,$AC15,$AE15,$AG15,$AI15)</f>
        <v>0</v>
      </c>
      <c r="AK15" s="177" t="str">
        <f aca="false">INDEX(HTS!$BP:$BP,MATCH($E15,HTS!$E:$E,0))</f>
        <v/>
      </c>
      <c r="AL15" s="168" t="str">
        <f aca="false">IF(SUM($AK15)=0,"",$AJ15/$AK15)</f>
        <v/>
      </c>
    </row>
  </sheetData>
  <conditionalFormatting sqref="F1:I1048576">
    <cfRule type="expression" priority="2" aboveAverage="0" equalAverage="0" bottom="0" percent="0" rank="0" text="" dxfId="0">
      <formula>$D1="Male"</formula>
    </cfRule>
  </conditionalFormatting>
  <conditionalFormatting sqref="L1:M1048576">
    <cfRule type="expression" priority="3" aboveAverage="0" equalAverage="0" bottom="0" percent="0" rank="0" text="" dxfId="1">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priority="4" aboveAverage="0" equalAverage="0" bottom="0" percent="0" rank="0" text="" dxfId="2">
      <formula>AND(ISNUMBER(F1),OR(ROUND(F1,2)&gt;1,ROUND(F1,2)&lt;0))</formula>
    </cfRule>
    <cfRule type="expression" priority="5" aboveAverage="0" equalAverage="0" bottom="0" percent="0" rank="0" text="" dxfId="3">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priority="6" aboveAverage="0" equalAverage="0" bottom="0" percent="0" rank="0" text="" dxfId="4">
      <formula>AND(ISNUMBER(G1),ROUND(G1,0)&lt;0)</formula>
    </cfRule>
  </conditionalFormatting>
  <hyperlinks>
    <hyperlink ref="F3" location="PMTCT!AC:AC" display="% of Positives"/>
    <hyperlink ref="H3" location="PMTCT!AV:AV" display="% of Positives"/>
    <hyperlink ref="J3" location="TB!Q:Q" display="% of Positives"/>
    <hyperlink ref="L3" location="VMMC!AC:AC" display="% of Positives"/>
    <hyperlink ref="N3" location="Cascade!CI:CI" display="% of Positives"/>
    <hyperlink ref="P3" location="Cascade!CK:CK" display="% of Positives"/>
    <hyperlink ref="R3" location="HTS!AI:AI" display="% of Positives"/>
    <hyperlink ref="T3" location="HTS!AR:AR" display="% of Positives"/>
    <hyperlink ref="V3" location="HTS!AU:AU" display="% of Positives"/>
    <hyperlink ref="X3" location="HTS!AX:AX" display="% of Positives"/>
    <hyperlink ref="Z3" location="HTS!BA:BA" display="% of Positives"/>
    <hyperlink ref="AB3" location="HTS!BD:BD" display="% of Positives"/>
    <hyperlink ref="AD3" location="HTS!BG:BG" display="% of Positives"/>
    <hyperlink ref="AF3" location="HTS!BM:BM" display="% of Positives"/>
    <hyperlink ref="AH3" location="HTS!BJ:BJ" display="% of Positives"/>
    <hyperlink ref="AK3" location="HTS!BP:BP" display="Final HTS_TST_POS (FY2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tabColor rgb="FF63BE7B"/>
    <pageSetUpPr fitToPage="false"/>
  </sheetPr>
  <dimension ref="A1:A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6" min="6" style="172" width="11.83"/>
    <col collapsed="false" customWidth="true" hidden="false" outlineLevel="0" max="7" min="7" style="83" width="11.83"/>
    <col collapsed="false" customWidth="true" hidden="false" outlineLevel="0" max="11" min="8" style="168" width="11.83"/>
    <col collapsed="false" customWidth="true" hidden="false" outlineLevel="0" max="15" min="12" style="84" width="11.83"/>
    <col collapsed="false" customWidth="true" hidden="false" outlineLevel="0" max="16" min="16" style="172" width="11.83"/>
    <col collapsed="false" customWidth="true" hidden="false" outlineLevel="0" max="17" min="17" style="174" width="11.83"/>
    <col collapsed="false" customWidth="true" hidden="false" outlineLevel="0" max="18" min="18" style="83" width="11.83"/>
    <col collapsed="false" customWidth="true" hidden="false" outlineLevel="0" max="19" min="19" style="168" width="11.83"/>
    <col collapsed="false" customWidth="true" hidden="false" outlineLevel="0" max="20" min="20" style="177" width="11.83"/>
    <col collapsed="false" customWidth="true" hidden="false" outlineLevel="0" max="21" min="21" style="168" width="11.83"/>
    <col collapsed="false" customWidth="true" hidden="false" outlineLevel="0" max="23" min="22" style="84" width="11.83"/>
    <col collapsed="false" customWidth="true" hidden="false" outlineLevel="0" max="24" min="24" style="175" width="11.83"/>
    <col collapsed="false" customWidth="true" hidden="false" outlineLevel="0" max="26" min="25" style="84" width="11.83"/>
    <col collapsed="false" customWidth="true" hidden="false" outlineLevel="0" max="28" min="27" style="168" width="11.83"/>
    <col collapsed="false" customWidth="true" hidden="false" outlineLevel="0" max="1025" min="29" style="25" width="10.83"/>
  </cols>
  <sheetData>
    <row r="1" s="63" customFormat="true" ht="31" hidden="false" customHeight="true" outlineLevel="0" collapsed="false">
      <c r="A1" s="90" t="s">
        <v>923</v>
      </c>
      <c r="B1" s="90"/>
      <c r="C1" s="90"/>
      <c r="D1" s="90"/>
      <c r="E1" s="90"/>
      <c r="F1" s="103" t="s">
        <v>924</v>
      </c>
      <c r="G1" s="106"/>
      <c r="H1" s="93"/>
      <c r="I1" s="93"/>
      <c r="J1" s="93"/>
      <c r="K1" s="93"/>
      <c r="L1" s="94"/>
      <c r="M1" s="94"/>
      <c r="N1" s="94"/>
      <c r="O1" s="94"/>
      <c r="P1" s="103" t="s">
        <v>925</v>
      </c>
      <c r="Q1" s="98"/>
      <c r="R1" s="98"/>
      <c r="S1" s="93"/>
      <c r="T1" s="98"/>
      <c r="U1" s="93"/>
      <c r="V1" s="94"/>
      <c r="W1" s="94"/>
      <c r="X1" s="102" t="s">
        <v>926</v>
      </c>
      <c r="Y1" s="94"/>
      <c r="Z1" s="94"/>
      <c r="AA1" s="95"/>
      <c r="AB1" s="95"/>
    </row>
    <row r="2" s="123" customFormat="true" ht="19" hidden="false" customHeight="false" outlineLevel="0" collapsed="false">
      <c r="A2" s="108"/>
      <c r="B2" s="108"/>
      <c r="C2" s="108"/>
      <c r="D2" s="108"/>
      <c r="E2" s="108"/>
      <c r="F2" s="228" t="s">
        <v>70</v>
      </c>
      <c r="G2" s="122"/>
      <c r="H2" s="111" t="s">
        <v>100</v>
      </c>
      <c r="I2" s="111"/>
      <c r="J2" s="111"/>
      <c r="K2" s="111"/>
      <c r="L2" s="226" t="s">
        <v>71</v>
      </c>
      <c r="M2" s="226"/>
      <c r="N2" s="226"/>
      <c r="O2" s="226"/>
      <c r="P2" s="228" t="s">
        <v>70</v>
      </c>
      <c r="Q2" s="116"/>
      <c r="R2" s="116"/>
      <c r="S2" s="111" t="s">
        <v>100</v>
      </c>
      <c r="T2" s="116"/>
      <c r="U2" s="111"/>
      <c r="V2" s="226" t="s">
        <v>71</v>
      </c>
      <c r="W2" s="226"/>
      <c r="X2" s="117" t="s">
        <v>100</v>
      </c>
      <c r="Y2" s="226" t="s">
        <v>71</v>
      </c>
      <c r="Z2" s="226"/>
      <c r="AA2" s="111" t="s">
        <v>70</v>
      </c>
      <c r="AB2" s="111"/>
    </row>
    <row r="3" customFormat="false" ht="117" hidden="false" customHeight="true" outlineLevel="0" collapsed="false">
      <c r="A3" s="124"/>
      <c r="B3" s="124"/>
      <c r="C3" s="124"/>
      <c r="D3" s="124"/>
      <c r="E3" s="124"/>
      <c r="F3" s="240" t="s">
        <v>153</v>
      </c>
      <c r="G3" s="229" t="s">
        <v>927</v>
      </c>
      <c r="H3" s="134" t="s">
        <v>928</v>
      </c>
      <c r="I3" s="134" t="s">
        <v>929</v>
      </c>
      <c r="J3" s="134" t="s">
        <v>930</v>
      </c>
      <c r="K3" s="134" t="s">
        <v>931</v>
      </c>
      <c r="L3" s="145" t="s">
        <v>932</v>
      </c>
      <c r="M3" s="145" t="s">
        <v>933</v>
      </c>
      <c r="N3" s="145" t="s">
        <v>934</v>
      </c>
      <c r="O3" s="145" t="s">
        <v>935</v>
      </c>
      <c r="P3" s="269" t="s">
        <v>936</v>
      </c>
      <c r="Q3" s="132" t="s">
        <v>937</v>
      </c>
      <c r="R3" s="132" t="s">
        <v>938</v>
      </c>
      <c r="S3" s="134" t="s">
        <v>939</v>
      </c>
      <c r="T3" s="132" t="s">
        <v>940</v>
      </c>
      <c r="U3" s="134" t="s">
        <v>941</v>
      </c>
      <c r="V3" s="145" t="s">
        <v>505</v>
      </c>
      <c r="W3" s="145" t="s">
        <v>504</v>
      </c>
      <c r="X3" s="139" t="s">
        <v>942</v>
      </c>
      <c r="Y3" s="145" t="s">
        <v>505</v>
      </c>
      <c r="Z3" s="145" t="s">
        <v>504</v>
      </c>
      <c r="AA3" s="127" t="s">
        <v>943</v>
      </c>
      <c r="AB3" s="127" t="s">
        <v>944</v>
      </c>
    </row>
    <row r="4" customFormat="false" ht="16" hidden="false" customHeight="false" outlineLevel="0" collapsed="false">
      <c r="A4" s="149"/>
      <c r="B4" s="149"/>
      <c r="C4" s="149"/>
      <c r="D4" s="149" t="s">
        <v>75</v>
      </c>
      <c r="E4" s="149"/>
      <c r="F4" s="265" t="n">
        <f aca="false">SUBTOTAL(109,F$15:INDEX(F:F,COUNTA($B:$B)+14-COUNTA($B$1:$B$14)))</f>
        <v>0</v>
      </c>
      <c r="G4" s="163" t="n">
        <f aca="false">SUBTOTAL(109,G$15:INDEX(G:G,COUNTA($B:$B)+14-COUNTA($B$1:$B$14)))</f>
        <v>0</v>
      </c>
      <c r="H4" s="152" t="str">
        <f aca="false">IF(SUM($F$4)=0,"",SUM($L$4,$M$4)/$F$4)</f>
        <v/>
      </c>
      <c r="I4" s="152" t="str">
        <f aca="false">IF(SUM($G$4)=0,"",SUM($N$4,$O$4)/$G$4)</f>
        <v/>
      </c>
      <c r="J4" s="152" t="str">
        <f aca="false">IF(SUM($L$4,$M$4)=0,"",$L$4/SUM($L$4,$M$4))</f>
        <v/>
      </c>
      <c r="K4" s="152" t="str">
        <f aca="false">IF(SUM($N$4,$O$4)=0,"",$N$4/SUM($N$4,$O$4))</f>
        <v/>
      </c>
      <c r="L4" s="164" t="n">
        <f aca="false">SUBTOTAL(109,L$15:INDEX(L:L,COUNTA($B:$B)+14-COUNTA($B$1:$B$14)))</f>
        <v>0</v>
      </c>
      <c r="M4" s="164" t="n">
        <f aca="false">SUBTOTAL(109,M$15:INDEX(M:M,COUNTA($B:$B)+14-COUNTA($B$1:$B$14)))</f>
        <v>0</v>
      </c>
      <c r="N4" s="164" t="n">
        <f aca="false">SUBTOTAL(109,N$15:INDEX(N:N,COUNTA($B:$B)+14-COUNTA($B$1:$B$14)))</f>
        <v>0</v>
      </c>
      <c r="O4" s="164" t="n">
        <f aca="false">SUBTOTAL(109,O$15:INDEX(O:O,COUNTA($B:$B)+14-COUNTA($B$1:$B$14)))</f>
        <v>0</v>
      </c>
      <c r="P4" s="265" t="n">
        <f aca="false">SUBTOTAL(109,P$15:INDEX(P:P,COUNTA($B:$B)+14-COUNTA($B$1:$B$14)))</f>
        <v>0</v>
      </c>
      <c r="Q4" s="156" t="n">
        <f aca="false">SUBTOTAL(109,Q$15:INDEX(Q:Q,COUNTA($B:$B)+14-COUNTA($B$1:$B$14)))</f>
        <v>0</v>
      </c>
      <c r="R4" s="163" t="n">
        <f aca="false">SUBTOTAL(109,R$15:INDEX(R:R,COUNTA($B:$B)+14-COUNTA($B$1:$B$14)))</f>
        <v>0</v>
      </c>
      <c r="S4" s="152" t="str">
        <f aca="false">IF(SUM($M$4)=0,"",$V$4/$M$4)</f>
        <v/>
      </c>
      <c r="T4" s="157" t="n">
        <f aca="false">SUBTOTAL(109,T$15:INDEX(T:T,COUNTA($B:$B)+14-COUNTA($B$1:$B$14)))</f>
        <v>0</v>
      </c>
      <c r="U4" s="152" t="str">
        <f aca="false">IF(SUM($O$4)=0,"",$W$4/$O$4)</f>
        <v/>
      </c>
      <c r="V4" s="164" t="n">
        <f aca="false">SUBTOTAL(109,V$15:INDEX(V:V,COUNTA($B:$B)+14-COUNTA($B$1:$B$14)))</f>
        <v>0</v>
      </c>
      <c r="W4" s="164" t="n">
        <f aca="false">SUBTOTAL(109,W$15:INDEX(W:W,COUNTA($B:$B)+14-COUNTA($B$1:$B$14)))</f>
        <v>0</v>
      </c>
      <c r="X4" s="158" t="str">
        <f aca="false">IF(SUM($V$4,$W$4)=0,"",SUM($Y$4,$Z$4)/SUM($V$4,$W$4))</f>
        <v/>
      </c>
      <c r="Y4" s="164" t="n">
        <f aca="false">SUBTOTAL(109,Y$15:INDEX(Y:Y,COUNTA($B:$B)+14-COUNTA($B$1:$B$14)))</f>
        <v>0</v>
      </c>
      <c r="Z4" s="164" t="n">
        <f aca="false">SUBTOTAL(109,Z$15:INDEX(Z:Z,COUNTA($B:$B)+14-COUNTA($B$1:$B$14)))</f>
        <v>0</v>
      </c>
      <c r="AA4" s="152" t="str">
        <f aca="false">IF(SUM($Q4)=0,"",(SUM($Y4)-$Q4)/$Q4)</f>
        <v/>
      </c>
      <c r="AB4" s="152" t="str">
        <f aca="false">IF(SUM($R4)=0,"",(SUM($Z4)-$R4)/$R4)</f>
        <v/>
      </c>
    </row>
    <row r="5" customFormat="false" ht="16" hidden="false" customHeight="false" outlineLevel="0" collapsed="false">
      <c r="A5" s="165" t="s">
        <v>76</v>
      </c>
      <c r="B5" s="165" t="s">
        <v>76</v>
      </c>
      <c r="C5" s="165" t="s">
        <v>76</v>
      </c>
      <c r="D5" s="165" t="s">
        <v>76</v>
      </c>
      <c r="E5" s="165" t="s">
        <v>76</v>
      </c>
      <c r="F5" s="172" t="s">
        <v>76</v>
      </c>
      <c r="G5" s="83" t="s">
        <v>76</v>
      </c>
      <c r="H5" s="168" t="s">
        <v>76</v>
      </c>
      <c r="I5" s="168" t="s">
        <v>76</v>
      </c>
      <c r="J5" s="168" t="s">
        <v>76</v>
      </c>
      <c r="K5" s="168" t="s">
        <v>76</v>
      </c>
      <c r="L5" s="84" t="s">
        <v>190</v>
      </c>
      <c r="M5" s="84" t="s">
        <v>190</v>
      </c>
      <c r="N5" s="84" t="s">
        <v>190</v>
      </c>
      <c r="O5" s="84" t="s">
        <v>190</v>
      </c>
      <c r="P5" s="172" t="s">
        <v>76</v>
      </c>
      <c r="Q5" s="174" t="s">
        <v>190</v>
      </c>
      <c r="R5" s="83" t="s">
        <v>190</v>
      </c>
      <c r="S5" s="168" t="s">
        <v>76</v>
      </c>
      <c r="T5" s="177" t="s">
        <v>76</v>
      </c>
      <c r="U5" s="168" t="s">
        <v>76</v>
      </c>
      <c r="V5" s="84" t="s">
        <v>190</v>
      </c>
      <c r="W5" s="84" t="s">
        <v>190</v>
      </c>
      <c r="X5" s="175" t="s">
        <v>76</v>
      </c>
      <c r="Y5" s="84" t="s">
        <v>190</v>
      </c>
      <c r="Z5" s="84" t="s">
        <v>190</v>
      </c>
      <c r="AA5" s="168" t="s">
        <v>76</v>
      </c>
      <c r="AB5" s="168" t="s">
        <v>76</v>
      </c>
    </row>
    <row r="6" customFormat="false" ht="16" hidden="false" customHeight="false" outlineLevel="0" collapsed="false">
      <c r="A6" s="165" t="s">
        <v>78</v>
      </c>
      <c r="B6" s="165" t="s">
        <v>78</v>
      </c>
      <c r="C6" s="165" t="s">
        <v>78</v>
      </c>
      <c r="D6" s="165" t="s">
        <v>78</v>
      </c>
      <c r="E6" s="165" t="s">
        <v>78</v>
      </c>
      <c r="F6" s="172" t="s">
        <v>81</v>
      </c>
      <c r="G6" s="83" t="s">
        <v>81</v>
      </c>
      <c r="H6" s="168" t="s">
        <v>193</v>
      </c>
      <c r="I6" s="168" t="s">
        <v>193</v>
      </c>
      <c r="J6" s="168" t="s">
        <v>192</v>
      </c>
      <c r="K6" s="168" t="s">
        <v>192</v>
      </c>
      <c r="L6" s="84" t="s">
        <v>80</v>
      </c>
      <c r="M6" s="84" t="s">
        <v>80</v>
      </c>
      <c r="N6" s="84" t="s">
        <v>80</v>
      </c>
      <c r="O6" s="84" t="s">
        <v>80</v>
      </c>
      <c r="P6" s="172" t="s">
        <v>192</v>
      </c>
      <c r="Q6" s="174" t="s">
        <v>79</v>
      </c>
      <c r="R6" s="83" t="s">
        <v>79</v>
      </c>
      <c r="S6" s="168" t="s">
        <v>193</v>
      </c>
      <c r="T6" s="177" t="s">
        <v>81</v>
      </c>
      <c r="U6" s="168" t="s">
        <v>193</v>
      </c>
      <c r="V6" s="84" t="s">
        <v>80</v>
      </c>
      <c r="W6" s="84" t="s">
        <v>80</v>
      </c>
      <c r="X6" s="175" t="s">
        <v>193</v>
      </c>
      <c r="Y6" s="84" t="s">
        <v>80</v>
      </c>
      <c r="Z6" s="84" t="s">
        <v>80</v>
      </c>
      <c r="AA6" s="168" t="s">
        <v>81</v>
      </c>
      <c r="AB6" s="168" t="s">
        <v>81</v>
      </c>
    </row>
    <row r="7" customFormat="false" ht="16" hidden="false" customHeight="false" outlineLevel="0" collapsed="false">
      <c r="A7" s="165" t="s">
        <v>82</v>
      </c>
      <c r="B7" s="165" t="s">
        <v>82</v>
      </c>
      <c r="C7" s="165" t="s">
        <v>82</v>
      </c>
      <c r="D7" s="165" t="s">
        <v>82</v>
      </c>
      <c r="E7" s="165" t="s">
        <v>82</v>
      </c>
      <c r="F7" s="172" t="s">
        <v>83</v>
      </c>
      <c r="G7" s="83" t="s">
        <v>83</v>
      </c>
      <c r="H7" s="168" t="s">
        <v>194</v>
      </c>
      <c r="I7" s="168" t="s">
        <v>194</v>
      </c>
      <c r="J7" s="168" t="s">
        <v>194</v>
      </c>
      <c r="K7" s="168" t="s">
        <v>194</v>
      </c>
      <c r="L7" s="84" t="s">
        <v>83</v>
      </c>
      <c r="M7" s="84" t="s">
        <v>83</v>
      </c>
      <c r="N7" s="84" t="s">
        <v>83</v>
      </c>
      <c r="O7" s="84" t="s">
        <v>83</v>
      </c>
      <c r="P7" s="172" t="s">
        <v>83</v>
      </c>
      <c r="Q7" s="174" t="s">
        <v>83</v>
      </c>
      <c r="R7" s="83" t="s">
        <v>83</v>
      </c>
      <c r="S7" s="168" t="s">
        <v>194</v>
      </c>
      <c r="T7" s="177" t="s">
        <v>83</v>
      </c>
      <c r="U7" s="168" t="s">
        <v>194</v>
      </c>
      <c r="V7" s="84" t="s">
        <v>83</v>
      </c>
      <c r="W7" s="84" t="s">
        <v>83</v>
      </c>
      <c r="X7" s="175" t="s">
        <v>194</v>
      </c>
      <c r="Y7" s="84" t="s">
        <v>83</v>
      </c>
      <c r="Z7" s="84" t="s">
        <v>83</v>
      </c>
      <c r="AA7" s="168" t="s">
        <v>194</v>
      </c>
      <c r="AB7" s="168" t="s">
        <v>194</v>
      </c>
    </row>
    <row r="8" customFormat="false" ht="16" hidden="false" customHeight="false" outlineLevel="0" collapsed="false">
      <c r="L8" s="246" t="s">
        <v>945</v>
      </c>
      <c r="M8" s="246" t="s">
        <v>945</v>
      </c>
      <c r="N8" s="246" t="s">
        <v>945</v>
      </c>
      <c r="O8" s="246" t="s">
        <v>945</v>
      </c>
      <c r="P8" s="186"/>
      <c r="Q8" s="292" t="s">
        <v>946</v>
      </c>
      <c r="R8" s="266" t="s">
        <v>946</v>
      </c>
      <c r="V8" s="246" t="s">
        <v>947</v>
      </c>
      <c r="W8" s="246" t="s">
        <v>947</v>
      </c>
      <c r="Y8" s="246" t="s">
        <v>946</v>
      </c>
      <c r="Z8" s="246" t="s">
        <v>946</v>
      </c>
    </row>
    <row r="9" customFormat="false" ht="16" hidden="false" customHeight="false" outlineLevel="0" collapsed="false">
      <c r="L9" s="246" t="s">
        <v>948</v>
      </c>
      <c r="M9" s="246" t="s">
        <v>948</v>
      </c>
      <c r="N9" s="246" t="s">
        <v>948</v>
      </c>
      <c r="O9" s="246" t="s">
        <v>948</v>
      </c>
      <c r="P9" s="186"/>
      <c r="Q9" s="292" t="s">
        <v>949</v>
      </c>
      <c r="R9" s="266" t="s">
        <v>949</v>
      </c>
      <c r="V9" s="246" t="s">
        <v>950</v>
      </c>
      <c r="W9" s="246" t="s">
        <v>950</v>
      </c>
      <c r="Y9" s="246" t="s">
        <v>949</v>
      </c>
      <c r="Z9" s="246" t="s">
        <v>949</v>
      </c>
    </row>
    <row r="10" customFormat="false" ht="16" hidden="false" customHeight="false" outlineLevel="0" collapsed="false">
      <c r="L10" s="246" t="s">
        <v>951</v>
      </c>
      <c r="M10" s="246" t="s">
        <v>952</v>
      </c>
      <c r="N10" s="246" t="s">
        <v>953</v>
      </c>
      <c r="O10" s="246" t="s">
        <v>954</v>
      </c>
      <c r="P10" s="186"/>
      <c r="Q10" s="292" t="s">
        <v>400</v>
      </c>
      <c r="R10" s="266" t="s">
        <v>399</v>
      </c>
      <c r="V10" s="246" t="s">
        <v>400</v>
      </c>
      <c r="W10" s="246" t="s">
        <v>399</v>
      </c>
      <c r="Y10" s="246" t="s">
        <v>400</v>
      </c>
      <c r="Z10" s="246" t="s">
        <v>399</v>
      </c>
    </row>
    <row r="11" customFormat="false" ht="16" hidden="false" customHeight="false" outlineLevel="0" collapsed="false">
      <c r="F11" s="172" t="s">
        <v>955</v>
      </c>
      <c r="G11" s="83" t="s">
        <v>955</v>
      </c>
      <c r="H11" s="168" t="s">
        <v>955</v>
      </c>
      <c r="I11" s="168" t="s">
        <v>955</v>
      </c>
      <c r="J11" s="168" t="s">
        <v>955</v>
      </c>
      <c r="K11" s="168" t="s">
        <v>955</v>
      </c>
      <c r="L11" s="84" t="s">
        <v>955</v>
      </c>
      <c r="M11" s="84" t="s">
        <v>955</v>
      </c>
      <c r="N11" s="84" t="s">
        <v>955</v>
      </c>
      <c r="O11" s="84" t="s">
        <v>955</v>
      </c>
      <c r="P11" s="172" t="s">
        <v>955</v>
      </c>
      <c r="Q11" s="174" t="s">
        <v>955</v>
      </c>
      <c r="R11" s="83" t="s">
        <v>955</v>
      </c>
      <c r="S11" s="168" t="s">
        <v>955</v>
      </c>
      <c r="T11" s="177" t="s">
        <v>955</v>
      </c>
      <c r="U11" s="168" t="s">
        <v>955</v>
      </c>
      <c r="V11" s="84" t="s">
        <v>955</v>
      </c>
      <c r="W11" s="84" t="s">
        <v>955</v>
      </c>
      <c r="X11" s="175" t="s">
        <v>955</v>
      </c>
      <c r="Y11" s="84" t="s">
        <v>955</v>
      </c>
      <c r="Z11" s="84" t="s">
        <v>955</v>
      </c>
      <c r="AA11" s="168" t="s">
        <v>955</v>
      </c>
      <c r="AB11" s="168" t="s">
        <v>955</v>
      </c>
    </row>
    <row r="12" customFormat="false" ht="16" hidden="false" customHeight="false" outlineLevel="0" collapsed="false">
      <c r="F12" s="172" t="s">
        <v>229</v>
      </c>
      <c r="G12" s="83" t="s">
        <v>229</v>
      </c>
      <c r="H12" s="168" t="s">
        <v>229</v>
      </c>
      <c r="I12" s="168" t="s">
        <v>229</v>
      </c>
      <c r="J12" s="168" t="s">
        <v>229</v>
      </c>
      <c r="K12" s="168" t="s">
        <v>229</v>
      </c>
      <c r="L12" s="84" t="s">
        <v>229</v>
      </c>
      <c r="M12" s="84" t="s">
        <v>229</v>
      </c>
      <c r="N12" s="84" t="s">
        <v>229</v>
      </c>
      <c r="O12" s="84" t="s">
        <v>229</v>
      </c>
      <c r="P12" s="172" t="s">
        <v>229</v>
      </c>
      <c r="Q12" s="174" t="s">
        <v>229</v>
      </c>
      <c r="R12" s="83" t="s">
        <v>229</v>
      </c>
      <c r="S12" s="168" t="s">
        <v>229</v>
      </c>
      <c r="T12" s="177" t="s">
        <v>229</v>
      </c>
      <c r="U12" s="168" t="s">
        <v>229</v>
      </c>
      <c r="V12" s="84" t="s">
        <v>229</v>
      </c>
      <c r="W12" s="84" t="s">
        <v>229</v>
      </c>
      <c r="X12" s="175" t="s">
        <v>229</v>
      </c>
      <c r="Y12" s="84" t="s">
        <v>229</v>
      </c>
      <c r="Z12" s="84" t="s">
        <v>229</v>
      </c>
      <c r="AA12" s="168" t="s">
        <v>229</v>
      </c>
      <c r="AB12" s="168" t="s">
        <v>229</v>
      </c>
    </row>
    <row r="14" customFormat="false" ht="16" hidden="false" customHeight="false" outlineLevel="0" collapsed="false">
      <c r="A14" s="79" t="s">
        <v>85</v>
      </c>
      <c r="B14" s="79" t="s">
        <v>86</v>
      </c>
      <c r="C14" s="79" t="s">
        <v>232</v>
      </c>
      <c r="D14" s="79" t="s">
        <v>233</v>
      </c>
      <c r="E14" s="79" t="s">
        <v>42</v>
      </c>
      <c r="F14" s="200" t="s">
        <v>293</v>
      </c>
      <c r="G14" s="199" t="s">
        <v>260</v>
      </c>
      <c r="H14" s="195" t="s">
        <v>956</v>
      </c>
      <c r="I14" s="195" t="s">
        <v>957</v>
      </c>
      <c r="J14" s="195" t="s">
        <v>958</v>
      </c>
      <c r="K14" s="195" t="s">
        <v>959</v>
      </c>
      <c r="L14" s="196" t="s">
        <v>960</v>
      </c>
      <c r="M14" s="196" t="s">
        <v>961</v>
      </c>
      <c r="N14" s="196" t="s">
        <v>962</v>
      </c>
      <c r="O14" s="196" t="s">
        <v>963</v>
      </c>
      <c r="P14" s="200" t="s">
        <v>964</v>
      </c>
      <c r="Q14" s="199" t="s">
        <v>965</v>
      </c>
      <c r="R14" s="199" t="s">
        <v>966</v>
      </c>
      <c r="S14" s="195" t="s">
        <v>967</v>
      </c>
      <c r="T14" s="199"/>
      <c r="U14" s="195" t="s">
        <v>968</v>
      </c>
      <c r="V14" s="196" t="s">
        <v>969</v>
      </c>
      <c r="W14" s="196" t="s">
        <v>970</v>
      </c>
      <c r="X14" s="206" t="s">
        <v>971</v>
      </c>
      <c r="Y14" s="196" t="s">
        <v>972</v>
      </c>
      <c r="Z14" s="196" t="s">
        <v>973</v>
      </c>
      <c r="AA14" s="195" t="s">
        <v>974</v>
      </c>
      <c r="AB14" s="195" t="s">
        <v>975</v>
      </c>
    </row>
    <row r="15" customFormat="false" ht="16" hidden="false" customHeight="false" outlineLevel="0" collapsed="false">
      <c r="E15" s="165" t="str">
        <f aca="false">B15&amp;"|"&amp;C15&amp;"|"&amp;D15</f>
        <v>||</v>
      </c>
      <c r="F15" s="172" t="str">
        <f aca="false" t="array" ref="F15:F15">IFERROR(1/(1/IF($C15="&lt;15",SUM(SUMIFS(Cascade!$BN:$BN,Cascade!$B:$B,$B15,Cascade!$C:$C,{"=&lt;01","01-04","05-09","10-14"},Cascade!$D:$D,$D15)),SUM(SUMIFS(Cascade!$BN:$BN,Cascade!$B:$B,$B15,Cascade!$C:$C,{"15-19","20-24","25-29","30-34","35-39","40-44","45-49","50-54","55-59","60-64","65+"},Cascade!$D:$D,$D15)))),"")</f>
        <v/>
      </c>
      <c r="G15" s="83" t="str">
        <f aca="false" t="array" ref="G15:G15">IFERROR(1/(1/IF($C15="&lt;15",SUM(SUMIFS(Cascade!$AG:$AG,Cascade!$B:$B,$B15,Cascade!$C:$C,{"=&lt;01","01-04","05-09","10-14"},Cascade!$D:$D,$D15)),SUM(SUMIFS(Cascade!$AG:$AG,Cascade!$B:$B,$B15,Cascade!$C:$C,{"15-19","20-24","25-29","30-34","35-39","40-44","45-49","50-54","55-59","60-64","65+"},Cascade!$D:$D,$D15)))),"")</f>
        <v/>
      </c>
      <c r="H15" s="168" t="n">
        <v>1</v>
      </c>
      <c r="I15" s="168" t="n">
        <v>1</v>
      </c>
      <c r="L15" s="84" t="n">
        <f aca="false">IF(SUM($F15)=0,0,ROUND($F15*$H15*$J15,0))</f>
        <v>0</v>
      </c>
      <c r="M15" s="84" t="n">
        <f aca="false">IF(SUM($F15)=0,0,ROUND($F15*$H15,0)-$L15)</f>
        <v>0</v>
      </c>
      <c r="N15" s="84" t="n">
        <f aca="false">IF(SUM($G15)=0,0,ROUND($G15*$I15*$K15,0))</f>
        <v>0</v>
      </c>
      <c r="O15" s="84" t="n">
        <f aca="false">IF(SUM($G15)=0,0,ROUND($G15*$I15,0)-$N15)</f>
        <v>0</v>
      </c>
      <c r="S15" s="168" t="n">
        <v>1</v>
      </c>
      <c r="T15" s="177" t="str">
        <f aca="false">IF(SUM($O15)=0,"",$O15-SUM($P15:$R15))</f>
        <v/>
      </c>
      <c r="U15" s="168" t="n">
        <v>0.9</v>
      </c>
      <c r="V15" s="84" t="n">
        <f aca="false">ROUND(SUM($M15)*$S15,0)</f>
        <v>0</v>
      </c>
      <c r="W15" s="84" t="n">
        <f aca="false">ROUND(SUM($T15)*$U15,0)</f>
        <v>0</v>
      </c>
      <c r="X15" s="175" t="n">
        <v>0.9</v>
      </c>
      <c r="Y15" s="84" t="n">
        <f aca="false">ROUND(SUM($V15)*$X15,0)</f>
        <v>0</v>
      </c>
      <c r="Z15" s="84" t="n">
        <f aca="false">ROUND(SUM($W15)*$X15,0)</f>
        <v>0</v>
      </c>
      <c r="AA15" s="168" t="str">
        <f aca="false">IF(SUM($Q15)=0,"",(SUM($Y15)-$Q15)/$Q15)</f>
        <v/>
      </c>
      <c r="AB15" s="168" t="str">
        <f aca="false">IF(SUM($R15)=0,"",(SUM($Z15)-$R15)/$R15)</f>
        <v/>
      </c>
    </row>
  </sheetData>
  <conditionalFormatting sqref="U1:U1048576 X1:X1048576">
    <cfRule type="expression" priority="2" aboveAverage="0" equalAverage="0" bottom="0" percent="0" rank="0" text="" dxfId="0">
      <formula>AND(ISNUMBER(U1),ROUND(SUM(U1),2)&lt;90%)</formula>
    </cfRule>
  </conditionalFormatting>
  <conditionalFormatting sqref="H1:K1048576 S1:S1048576 U1:U1048576 X1:X1048576">
    <cfRule type="expression" priority="3" aboveAverage="0" equalAverage="0" bottom="0" percent="0" rank="0" text="" dxfId="1">
      <formula>AND(ISNUMBER(H1),OR(ROUND(SUM(H1),2)&gt;1,ROUND(SUM(H1),2)&lt;0))</formula>
    </cfRule>
  </conditionalFormatting>
  <conditionalFormatting sqref="H1:H1048576 J1:J1048576">
    <cfRule type="expression" priority="4" aboveAverage="0" equalAverage="0" bottom="0" percent="0" rank="0" text="" dxfId="2">
      <formula>AND(SUM($F1)&lt;&gt;0,H1="",ROW(H1)&gt;14)</formula>
    </cfRule>
  </conditionalFormatting>
  <conditionalFormatting sqref="I1:I1048576 K1:K1048576">
    <cfRule type="expression" priority="5" aboveAverage="0" equalAverage="0" bottom="0" percent="0" rank="0" text="" dxfId="3">
      <formula>AND(SUM($G1)&gt;0,I1="",ROW(I1)&gt;14)</formula>
    </cfRule>
  </conditionalFormatting>
  <conditionalFormatting sqref="H1:H1048576 I1:I1048576 S1:S1048576">
    <cfRule type="expression" priority="6" aboveAverage="0" equalAverage="0" bottom="0" percent="0" rank="0" text="" dxfId="4">
      <formula>AND(ISNUMBER(H1),ROUND(SUM(H1),2)&lt;100%)</formula>
    </cfRule>
  </conditionalFormatting>
  <conditionalFormatting sqref="F1:G1048576 L1:R1048576 T1:T1048576 V1:W1048576 Y1:Z1048576">
    <cfRule type="expression" priority="7" aboveAverage="0" equalAverage="0" bottom="0" percent="0" rank="0" text="" dxfId="5">
      <formula>AND(ISNUMBER(xeq1),ROUND(SUM(xeq1),2)&lt;0)</formula>
    </cfRule>
  </conditionalFormatting>
  <hyperlinks>
    <hyperlink ref="F3" location="Cascade!BB:BB" display="TX_NEW (FY23)"/>
    <hyperlink ref="G3" location="Cascade!AL:AL" display="TX_CURR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tabColor rgb="FF63BE7B"/>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6" min="6" style="172" width="11.83"/>
    <col collapsed="false" customWidth="true" hidden="false" outlineLevel="0" max="7" min="7" style="168" width="11.83"/>
    <col collapsed="false" customWidth="true" hidden="false" outlineLevel="0" max="8" min="8" style="84" width="11.83"/>
    <col collapsed="false" customWidth="true" hidden="false" outlineLevel="0" max="1025" min="9" style="25" width="10.83"/>
  </cols>
  <sheetData>
    <row r="1" s="63" customFormat="true" ht="31" hidden="false" customHeight="true" outlineLevel="0" collapsed="false">
      <c r="A1" s="90" t="s">
        <v>976</v>
      </c>
      <c r="B1" s="90"/>
      <c r="C1" s="90"/>
      <c r="D1" s="90"/>
      <c r="E1" s="90"/>
      <c r="F1" s="103" t="s">
        <v>977</v>
      </c>
      <c r="G1" s="93"/>
      <c r="H1" s="94"/>
    </row>
    <row r="2" s="123" customFormat="true" ht="19" hidden="false" customHeight="false" outlineLevel="0" collapsed="false">
      <c r="A2" s="108"/>
      <c r="B2" s="108"/>
      <c r="C2" s="108"/>
      <c r="D2" s="108"/>
      <c r="E2" s="108"/>
      <c r="F2" s="228" t="s">
        <v>70</v>
      </c>
      <c r="G2" s="111" t="s">
        <v>100</v>
      </c>
      <c r="H2" s="226" t="s">
        <v>71</v>
      </c>
    </row>
    <row r="3" customFormat="false" ht="117" hidden="false" customHeight="true" outlineLevel="0" collapsed="false">
      <c r="A3" s="124"/>
      <c r="B3" s="124"/>
      <c r="C3" s="124"/>
      <c r="D3" s="124"/>
      <c r="E3" s="124"/>
      <c r="F3" s="269" t="s">
        <v>491</v>
      </c>
      <c r="G3" s="134" t="s">
        <v>978</v>
      </c>
      <c r="H3" s="145" t="s">
        <v>979</v>
      </c>
    </row>
    <row r="4" customFormat="false" ht="16" hidden="false" customHeight="false" outlineLevel="0" collapsed="false">
      <c r="A4" s="149"/>
      <c r="B4" s="149"/>
      <c r="C4" s="149"/>
      <c r="D4" s="149" t="s">
        <v>75</v>
      </c>
      <c r="E4" s="149"/>
      <c r="F4" s="265" t="n">
        <f aca="false">SUBTOTAL(109,F$15:INDEX(F:F,COUNTA($B:$B)+14-COUNTA($B$1:$B$14)))</f>
        <v>0</v>
      </c>
      <c r="G4" s="152" t="str">
        <f aca="false">IF($F$4=0,"",$H$4/$F$4-1)</f>
        <v/>
      </c>
      <c r="H4" s="164" t="n">
        <f aca="false">SUBTOTAL(109,H$15:INDEX(H:H,COUNTA($B:$B)+14-COUNTA($B$1:$B$14)))</f>
        <v>0</v>
      </c>
    </row>
    <row r="5" customFormat="false" ht="16" hidden="false" customHeight="false" outlineLevel="0" collapsed="false">
      <c r="A5" s="165" t="s">
        <v>76</v>
      </c>
      <c r="B5" s="165" t="s">
        <v>76</v>
      </c>
      <c r="C5" s="165" t="s">
        <v>76</v>
      </c>
      <c r="D5" s="165" t="s">
        <v>76</v>
      </c>
      <c r="E5" s="165" t="s">
        <v>76</v>
      </c>
      <c r="F5" s="172" t="s">
        <v>190</v>
      </c>
      <c r="G5" s="168" t="s">
        <v>76</v>
      </c>
      <c r="H5" s="84" t="s">
        <v>190</v>
      </c>
    </row>
    <row r="6" customFormat="false" ht="16" hidden="false" customHeight="false" outlineLevel="0" collapsed="false">
      <c r="A6" s="165" t="s">
        <v>78</v>
      </c>
      <c r="B6" s="165" t="s">
        <v>78</v>
      </c>
      <c r="C6" s="165" t="s">
        <v>78</v>
      </c>
      <c r="D6" s="165" t="s">
        <v>78</v>
      </c>
      <c r="E6" s="165" t="s">
        <v>78</v>
      </c>
      <c r="F6" s="172" t="s">
        <v>79</v>
      </c>
      <c r="G6" s="168" t="s">
        <v>193</v>
      </c>
      <c r="H6" s="84" t="s">
        <v>80</v>
      </c>
    </row>
    <row r="7" customFormat="false" ht="16" hidden="false" customHeight="false" outlineLevel="0" collapsed="false">
      <c r="A7" s="165" t="s">
        <v>82</v>
      </c>
      <c r="B7" s="165" t="s">
        <v>82</v>
      </c>
      <c r="C7" s="165" t="s">
        <v>82</v>
      </c>
      <c r="D7" s="165" t="s">
        <v>82</v>
      </c>
      <c r="E7" s="165" t="s">
        <v>82</v>
      </c>
      <c r="F7" s="172" t="s">
        <v>83</v>
      </c>
      <c r="G7" s="168" t="s">
        <v>194</v>
      </c>
      <c r="H7" s="84" t="s">
        <v>83</v>
      </c>
    </row>
    <row r="8" customFormat="false" ht="16" hidden="false" customHeight="false" outlineLevel="0" collapsed="false">
      <c r="F8" s="247" t="s">
        <v>980</v>
      </c>
      <c r="H8" s="246" t="s">
        <v>980</v>
      </c>
    </row>
    <row r="9" customFormat="false" ht="16" hidden="false" customHeight="false" outlineLevel="0" collapsed="false">
      <c r="F9" s="247" t="s">
        <v>981</v>
      </c>
      <c r="H9" s="246" t="s">
        <v>981</v>
      </c>
    </row>
    <row r="10" customFormat="false" ht="16" hidden="false" customHeight="false" outlineLevel="0" collapsed="false">
      <c r="F10" s="247"/>
      <c r="H10" s="246"/>
    </row>
    <row r="11" customFormat="false" ht="16" hidden="false" customHeight="false" outlineLevel="0" collapsed="false">
      <c r="F11" s="172" t="s">
        <v>769</v>
      </c>
      <c r="G11" s="245" t="s">
        <v>769</v>
      </c>
      <c r="H11" s="84" t="s">
        <v>769</v>
      </c>
    </row>
    <row r="12" customFormat="false" ht="16" hidden="false" customHeight="false" outlineLevel="0" collapsed="false">
      <c r="F12" s="172" t="s">
        <v>229</v>
      </c>
      <c r="G12" s="168" t="s">
        <v>229</v>
      </c>
      <c r="H12" s="84" t="s">
        <v>229</v>
      </c>
    </row>
    <row r="14" customFormat="false" ht="16" hidden="false" customHeight="false" outlineLevel="0" collapsed="false">
      <c r="A14" s="79" t="s">
        <v>85</v>
      </c>
      <c r="B14" s="79" t="s">
        <v>86</v>
      </c>
      <c r="C14" s="79" t="s">
        <v>232</v>
      </c>
      <c r="D14" s="79" t="s">
        <v>233</v>
      </c>
      <c r="E14" s="79" t="s">
        <v>42</v>
      </c>
      <c r="F14" s="200" t="s">
        <v>982</v>
      </c>
      <c r="G14" s="195" t="s">
        <v>983</v>
      </c>
      <c r="H14" s="196" t="s">
        <v>984</v>
      </c>
    </row>
    <row r="15" customFormat="false" ht="16" hidden="false" customHeight="false" outlineLevel="0" collapsed="false">
      <c r="E15" s="165" t="str">
        <f aca="false">B15&amp;"|"&amp;C15&amp;"|"&amp;D15</f>
        <v>||</v>
      </c>
      <c r="G15" s="168" t="str">
        <f aca="false">IF(SUM($F15)=0,"",0%)</f>
        <v/>
      </c>
      <c r="H15" s="84" t="str">
        <f aca="false">IF(SUM($F15)=0,"",ROUND($F15*(1+$G15),0))</f>
        <v/>
      </c>
    </row>
  </sheetData>
  <conditionalFormatting sqref="F1:F1048576 H1:H1048576">
    <cfRule type="expression" priority="2" aboveAverage="0" equalAverage="0" bottom="0" percent="0" rank="0" text="" dxfId="0">
      <formula>AND(ISNUMBER(D1),ROUND(D1,0)&lt;0)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63BE7B"/>
    <pageSetUpPr fitToPage="false"/>
  </sheetPr>
  <dimension ref="A1:U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10.83"/>
    <col collapsed="false" customWidth="true" hidden="false" outlineLevel="0" max="4" min="4" style="0" width="7.84"/>
    <col collapsed="false" customWidth="true" hidden="true" outlineLevel="0" max="5" min="5" style="0" width="7"/>
    <col collapsed="false" customWidth="true" hidden="false" outlineLevel="0" max="21" min="6" style="0" width="11.83"/>
    <col collapsed="false" customWidth="true" hidden="false" outlineLevel="0" max="1025" min="22" style="0" width="10.61"/>
  </cols>
  <sheetData>
    <row r="1" s="63" customFormat="true" ht="31" hidden="false" customHeight="true" outlineLevel="0" collapsed="false">
      <c r="A1" s="90" t="s">
        <v>985</v>
      </c>
      <c r="B1" s="90"/>
      <c r="C1" s="90"/>
      <c r="D1" s="90"/>
      <c r="E1" s="90"/>
      <c r="F1" s="293" t="s">
        <v>986</v>
      </c>
      <c r="G1" s="293"/>
      <c r="H1" s="293"/>
      <c r="I1" s="94"/>
      <c r="J1" s="93"/>
      <c r="K1" s="93"/>
      <c r="L1" s="93"/>
      <c r="M1" s="93"/>
      <c r="N1" s="93"/>
      <c r="O1" s="94"/>
      <c r="P1" s="94"/>
      <c r="Q1" s="94"/>
      <c r="R1" s="94"/>
      <c r="S1" s="94"/>
      <c r="T1" s="102" t="s">
        <v>987</v>
      </c>
      <c r="U1" s="94"/>
    </row>
    <row r="2" s="123" customFormat="true" ht="19" hidden="false" customHeight="false" outlineLevel="0" collapsed="false">
      <c r="A2" s="108"/>
      <c r="B2" s="108"/>
      <c r="C2" s="108"/>
      <c r="D2" s="108"/>
      <c r="E2" s="108"/>
      <c r="F2" s="294" t="s">
        <v>70</v>
      </c>
      <c r="G2" s="294"/>
      <c r="H2" s="294"/>
      <c r="I2" s="122"/>
      <c r="J2" s="111" t="s">
        <v>100</v>
      </c>
      <c r="K2" s="111"/>
      <c r="L2" s="111"/>
      <c r="M2" s="111"/>
      <c r="N2" s="111"/>
      <c r="O2" s="226" t="s">
        <v>71</v>
      </c>
      <c r="P2" s="226"/>
      <c r="Q2" s="226"/>
      <c r="R2" s="226"/>
      <c r="S2" s="226"/>
      <c r="T2" s="117" t="s">
        <v>100</v>
      </c>
      <c r="U2" s="226" t="s">
        <v>71</v>
      </c>
    </row>
    <row r="3" s="25" customFormat="true" ht="117" hidden="false" customHeight="true" outlineLevel="0" collapsed="false">
      <c r="A3" s="124"/>
      <c r="B3" s="124"/>
      <c r="C3" s="124"/>
      <c r="D3" s="124"/>
      <c r="E3" s="124"/>
      <c r="F3" s="229" t="s">
        <v>340</v>
      </c>
      <c r="G3" s="143" t="s">
        <v>988</v>
      </c>
      <c r="H3" s="143" t="s">
        <v>989</v>
      </c>
      <c r="I3" s="143" t="s">
        <v>491</v>
      </c>
      <c r="J3" s="134" t="s">
        <v>990</v>
      </c>
      <c r="K3" s="134" t="s">
        <v>991</v>
      </c>
      <c r="L3" s="134" t="s">
        <v>992</v>
      </c>
      <c r="M3" s="127" t="s">
        <v>993</v>
      </c>
      <c r="N3" s="134" t="s">
        <v>994</v>
      </c>
      <c r="O3" s="145" t="s">
        <v>995</v>
      </c>
      <c r="P3" s="145" t="s">
        <v>996</v>
      </c>
      <c r="Q3" s="145" t="s">
        <v>997</v>
      </c>
      <c r="R3" s="145" t="s">
        <v>998</v>
      </c>
      <c r="S3" s="145" t="s">
        <v>999</v>
      </c>
      <c r="T3" s="139" t="s">
        <v>1000</v>
      </c>
      <c r="U3" s="145" t="s">
        <v>1001</v>
      </c>
    </row>
    <row r="4" s="25" customFormat="true" ht="16" hidden="false" customHeight="false" outlineLevel="0" collapsed="false">
      <c r="A4" s="149"/>
      <c r="B4" s="149"/>
      <c r="C4" s="149"/>
      <c r="D4" s="149" t="s">
        <v>75</v>
      </c>
      <c r="E4" s="149"/>
      <c r="F4" s="157" t="n">
        <f aca="false">SUBTOTAL(109,F$15:INDEX(F:F,COUNTA($B:$B)+14-COUNTA($B$1:$B$14)))</f>
        <v>0</v>
      </c>
      <c r="G4" s="295"/>
      <c r="H4" s="163" t="n">
        <f aca="false">SUBTOTAL(109,H$15:INDEX(H:H,COUNTA($B:$B)+14-COUNTA($B$1:$B$14)))</f>
        <v>0</v>
      </c>
      <c r="I4" s="163" t="n">
        <f aca="false">SUBTOTAL(109,I$15:INDEX(I:I,COUNTA($B:$B)+14-COUNTA($B$1:$B$14)))</f>
        <v>0</v>
      </c>
      <c r="J4" s="152" t="str">
        <f aca="false">IF($I$4=0,"",$O$4/$I$4-1)</f>
        <v/>
      </c>
      <c r="K4" s="152" t="str">
        <f aca="false">IF($O$4=0,"",$P$4/$O$4)</f>
        <v/>
      </c>
      <c r="L4" s="152" t="str">
        <f aca="false">IF($O$4=0,"",$Q$4/$O$4)</f>
        <v/>
      </c>
      <c r="M4" s="152" t="str">
        <f aca="false">IF($O$4=0,"",SUM($R$4,$S$4)/$O$4)</f>
        <v/>
      </c>
      <c r="N4" s="152" t="str">
        <f aca="false">IF(SUM($R$4,$S$4)=0,"",$R$4/SUM($R$4,$S$4))</f>
        <v/>
      </c>
      <c r="O4" s="164" t="n">
        <f aca="false">SUBTOTAL(109,O$15:INDEX(O:O,COUNTA($B:$B)+14-COUNTA($B$1:$B$14)))</f>
        <v>0</v>
      </c>
      <c r="P4" s="164" t="n">
        <f aca="false">SUBTOTAL(109,P$15:INDEX(P:P,COUNTA($B:$B)+14-COUNTA($B$1:$B$14)))</f>
        <v>0</v>
      </c>
      <c r="Q4" s="164" t="n">
        <f aca="false">SUBTOTAL(109,Q$15:INDEX(Q:Q,COUNTA($B:$B)+14-COUNTA($B$1:$B$14)))</f>
        <v>0</v>
      </c>
      <c r="R4" s="164" t="n">
        <f aca="false">SUBTOTAL(109,R$15:INDEX(R:R,COUNTA($B:$B)+14-COUNTA($B$1:$B$14)))</f>
        <v>0</v>
      </c>
      <c r="S4" s="164" t="n">
        <f aca="false">SUBTOTAL(109,S$15:INDEX(S:S,COUNTA($B:$B)+14-COUNTA($B$1:$B$14)))</f>
        <v>0</v>
      </c>
      <c r="T4" s="158" t="str">
        <f aca="false">IF(SUM($R$4,$S$4)=0,"",$U$4/SUM($R$4,$S$4))</f>
        <v/>
      </c>
      <c r="U4" s="164" t="n">
        <f aca="false">SUBTOTAL(109,U$15:INDEX(U:U,COUNTA($B:$B)+14-COUNTA($B$1:$B$14)))</f>
        <v>0</v>
      </c>
    </row>
    <row r="5" s="25" customFormat="true" ht="16" hidden="false" customHeight="false" outlineLevel="0" collapsed="false">
      <c r="A5" s="165" t="s">
        <v>76</v>
      </c>
      <c r="B5" s="165" t="s">
        <v>76</v>
      </c>
      <c r="C5" s="165" t="s">
        <v>76</v>
      </c>
      <c r="D5" s="165" t="s">
        <v>76</v>
      </c>
      <c r="E5" s="165" t="s">
        <v>76</v>
      </c>
      <c r="F5" s="296" t="s">
        <v>76</v>
      </c>
      <c r="G5" s="296" t="s">
        <v>76</v>
      </c>
      <c r="H5" s="296" t="s">
        <v>76</v>
      </c>
      <c r="I5" s="296" t="s">
        <v>76</v>
      </c>
      <c r="J5" s="168" t="s">
        <v>76</v>
      </c>
      <c r="K5" s="168" t="s">
        <v>76</v>
      </c>
      <c r="L5" s="168" t="s">
        <v>76</v>
      </c>
      <c r="M5" s="168" t="s">
        <v>76</v>
      </c>
      <c r="N5" s="168" t="s">
        <v>76</v>
      </c>
      <c r="O5" s="84" t="s">
        <v>76</v>
      </c>
      <c r="P5" s="84" t="s">
        <v>190</v>
      </c>
      <c r="Q5" s="84" t="s">
        <v>190</v>
      </c>
      <c r="R5" s="84" t="s">
        <v>190</v>
      </c>
      <c r="S5" s="84" t="s">
        <v>190</v>
      </c>
      <c r="T5" s="175" t="s">
        <v>76</v>
      </c>
      <c r="U5" s="84" t="s">
        <v>190</v>
      </c>
    </row>
    <row r="6" s="25" customFormat="true" ht="16" hidden="false" customHeight="false" outlineLevel="0" collapsed="false">
      <c r="A6" s="165" t="s">
        <v>78</v>
      </c>
      <c r="B6" s="165" t="s">
        <v>78</v>
      </c>
      <c r="C6" s="165" t="s">
        <v>78</v>
      </c>
      <c r="D6" s="165" t="s">
        <v>78</v>
      </c>
      <c r="E6" s="165" t="s">
        <v>78</v>
      </c>
      <c r="F6" s="296" t="s">
        <v>81</v>
      </c>
      <c r="G6" s="296" t="s">
        <v>192</v>
      </c>
      <c r="H6" s="296" t="s">
        <v>192</v>
      </c>
      <c r="I6" s="296" t="s">
        <v>192</v>
      </c>
      <c r="J6" s="168" t="s">
        <v>193</v>
      </c>
      <c r="K6" s="168" t="s">
        <v>193</v>
      </c>
      <c r="L6" s="168" t="s">
        <v>193</v>
      </c>
      <c r="M6" s="168" t="s">
        <v>193</v>
      </c>
      <c r="N6" s="168" t="s">
        <v>193</v>
      </c>
      <c r="O6" s="84" t="s">
        <v>81</v>
      </c>
      <c r="P6" s="84" t="s">
        <v>80</v>
      </c>
      <c r="Q6" s="84" t="s">
        <v>80</v>
      </c>
      <c r="R6" s="84" t="s">
        <v>80</v>
      </c>
      <c r="S6" s="84" t="s">
        <v>80</v>
      </c>
      <c r="T6" s="175" t="s">
        <v>193</v>
      </c>
      <c r="U6" s="84" t="s">
        <v>80</v>
      </c>
    </row>
    <row r="7" s="25" customFormat="true" ht="16" hidden="false" customHeight="false" outlineLevel="0" collapsed="false">
      <c r="A7" s="165" t="s">
        <v>82</v>
      </c>
      <c r="B7" s="165" t="s">
        <v>82</v>
      </c>
      <c r="C7" s="165" t="s">
        <v>82</v>
      </c>
      <c r="D7" s="165" t="s">
        <v>82</v>
      </c>
      <c r="E7" s="165" t="s">
        <v>82</v>
      </c>
      <c r="F7" s="296" t="s">
        <v>83</v>
      </c>
      <c r="G7" s="296" t="s">
        <v>82</v>
      </c>
      <c r="H7" s="296" t="s">
        <v>83</v>
      </c>
      <c r="I7" s="83" t="s">
        <v>83</v>
      </c>
      <c r="J7" s="168" t="s">
        <v>194</v>
      </c>
      <c r="K7" s="168" t="s">
        <v>194</v>
      </c>
      <c r="L7" s="168" t="s">
        <v>194</v>
      </c>
      <c r="M7" s="168" t="s">
        <v>194</v>
      </c>
      <c r="N7" s="168" t="s">
        <v>194</v>
      </c>
      <c r="O7" s="84" t="s">
        <v>83</v>
      </c>
      <c r="P7" s="84" t="s">
        <v>83</v>
      </c>
      <c r="Q7" s="84" t="s">
        <v>83</v>
      </c>
      <c r="R7" s="84" t="s">
        <v>83</v>
      </c>
      <c r="S7" s="84" t="s">
        <v>83</v>
      </c>
      <c r="T7" s="175" t="s">
        <v>194</v>
      </c>
      <c r="U7" s="84" t="s">
        <v>83</v>
      </c>
    </row>
    <row r="8" s="25" customFormat="true" ht="16" hidden="false" customHeight="false" outlineLevel="0" collapsed="false">
      <c r="A8" s="165"/>
      <c r="B8" s="165"/>
      <c r="C8" s="165"/>
      <c r="D8" s="165"/>
      <c r="E8" s="165"/>
      <c r="F8" s="296"/>
      <c r="G8" s="295"/>
      <c r="H8" s="297" t="s">
        <v>1002</v>
      </c>
      <c r="I8" s="298" t="s">
        <v>1003</v>
      </c>
      <c r="J8" s="168"/>
      <c r="K8" s="168"/>
      <c r="L8" s="168"/>
      <c r="M8" s="168"/>
      <c r="N8" s="168"/>
      <c r="O8" s="84"/>
      <c r="P8" s="299" t="s">
        <v>1004</v>
      </c>
      <c r="Q8" s="299" t="s">
        <v>1005</v>
      </c>
      <c r="R8" s="246" t="s">
        <v>1006</v>
      </c>
      <c r="S8" s="246" t="s">
        <v>1006</v>
      </c>
      <c r="T8" s="175"/>
      <c r="U8" s="246" t="s">
        <v>1007</v>
      </c>
    </row>
    <row r="9" s="25" customFormat="true" ht="16" hidden="false" customHeight="false" outlineLevel="0" collapsed="false">
      <c r="A9" s="165"/>
      <c r="B9" s="165"/>
      <c r="C9" s="165"/>
      <c r="D9" s="165"/>
      <c r="E9" s="165"/>
      <c r="F9" s="296"/>
      <c r="G9" s="295"/>
      <c r="H9" s="297" t="s">
        <v>1008</v>
      </c>
      <c r="I9" s="298" t="s">
        <v>1009</v>
      </c>
      <c r="J9" s="168"/>
      <c r="K9" s="168"/>
      <c r="L9" s="168"/>
      <c r="M9" s="168"/>
      <c r="N9" s="168"/>
      <c r="O9" s="84"/>
      <c r="P9" s="299" t="s">
        <v>1010</v>
      </c>
      <c r="Q9" s="299" t="s">
        <v>1011</v>
      </c>
      <c r="R9" s="246" t="s">
        <v>1012</v>
      </c>
      <c r="S9" s="246" t="s">
        <v>1012</v>
      </c>
      <c r="T9" s="175"/>
      <c r="U9" s="246" t="s">
        <v>1013</v>
      </c>
    </row>
    <row r="10" s="25" customFormat="true" ht="16" hidden="false" customHeight="false" outlineLevel="0" collapsed="false">
      <c r="A10" s="165"/>
      <c r="B10" s="165"/>
      <c r="C10" s="165"/>
      <c r="D10" s="165"/>
      <c r="E10" s="165"/>
      <c r="F10" s="296"/>
      <c r="G10" s="295"/>
      <c r="H10" s="300"/>
      <c r="I10" s="266"/>
      <c r="J10" s="168"/>
      <c r="K10" s="168"/>
      <c r="L10" s="168"/>
      <c r="M10" s="168"/>
      <c r="N10" s="168"/>
      <c r="O10" s="84"/>
      <c r="P10" s="246"/>
      <c r="Q10" s="246"/>
      <c r="R10" s="246" t="s">
        <v>1014</v>
      </c>
      <c r="S10" s="246" t="s">
        <v>1015</v>
      </c>
      <c r="T10" s="175"/>
      <c r="U10" s="246"/>
    </row>
    <row r="11" s="25" customFormat="true" ht="16" hidden="false" customHeight="false" outlineLevel="0" collapsed="false">
      <c r="A11" s="165"/>
      <c r="B11" s="165"/>
      <c r="C11" s="165"/>
      <c r="D11" s="165"/>
      <c r="E11" s="165"/>
      <c r="F11" s="296" t="s">
        <v>1016</v>
      </c>
      <c r="G11" s="295"/>
      <c r="H11" s="296" t="s">
        <v>1016</v>
      </c>
      <c r="I11" s="83" t="s">
        <v>1016</v>
      </c>
      <c r="J11" s="245" t="s">
        <v>1016</v>
      </c>
      <c r="K11" s="245" t="s">
        <v>1017</v>
      </c>
      <c r="L11" s="245" t="s">
        <v>1018</v>
      </c>
      <c r="M11" s="245" t="s">
        <v>1016</v>
      </c>
      <c r="N11" s="168" t="s">
        <v>1016</v>
      </c>
      <c r="O11" s="84" t="s">
        <v>1016</v>
      </c>
      <c r="P11" s="84" t="s">
        <v>1017</v>
      </c>
      <c r="Q11" s="84" t="s">
        <v>1018</v>
      </c>
      <c r="R11" s="84" t="s">
        <v>1016</v>
      </c>
      <c r="S11" s="84" t="s">
        <v>1016</v>
      </c>
      <c r="T11" s="175" t="s">
        <v>1019</v>
      </c>
      <c r="U11" s="84" t="s">
        <v>1019</v>
      </c>
    </row>
    <row r="12" s="25" customFormat="true" ht="16" hidden="false" customHeight="false" outlineLevel="0" collapsed="false">
      <c r="A12" s="165"/>
      <c r="B12" s="165"/>
      <c r="C12" s="165"/>
      <c r="D12" s="165"/>
      <c r="E12" s="165"/>
      <c r="F12" s="296" t="s">
        <v>229</v>
      </c>
      <c r="G12" s="295"/>
      <c r="H12" s="296" t="s">
        <v>229</v>
      </c>
      <c r="I12" s="83" t="s">
        <v>229</v>
      </c>
      <c r="J12" s="245" t="s">
        <v>229</v>
      </c>
      <c r="K12" s="245" t="s">
        <v>230</v>
      </c>
      <c r="L12" s="245" t="s">
        <v>229</v>
      </c>
      <c r="M12" s="245" t="s">
        <v>229</v>
      </c>
      <c r="N12" s="168" t="s">
        <v>229</v>
      </c>
      <c r="O12" s="84" t="s">
        <v>229</v>
      </c>
      <c r="P12" s="84" t="s">
        <v>230</v>
      </c>
      <c r="Q12" s="84" t="s">
        <v>229</v>
      </c>
      <c r="R12" s="84" t="s">
        <v>229</v>
      </c>
      <c r="S12" s="84" t="s">
        <v>229</v>
      </c>
      <c r="T12" s="175" t="s">
        <v>229</v>
      </c>
      <c r="U12" s="84" t="s">
        <v>229</v>
      </c>
    </row>
    <row r="13" s="25" customFormat="true" ht="16" hidden="false" customHeight="false" outlineLevel="0" collapsed="false">
      <c r="A13" s="165"/>
      <c r="B13" s="165"/>
      <c r="C13" s="165"/>
      <c r="D13" s="165"/>
      <c r="E13" s="165"/>
      <c r="F13" s="296"/>
      <c r="G13" s="295"/>
      <c r="H13" s="296"/>
      <c r="I13" s="83"/>
      <c r="J13" s="168"/>
      <c r="K13" s="168"/>
      <c r="L13" s="168"/>
      <c r="M13" s="168"/>
      <c r="N13" s="168"/>
      <c r="O13" s="84"/>
      <c r="P13" s="84"/>
      <c r="Q13" s="84"/>
      <c r="R13" s="84"/>
      <c r="S13" s="84"/>
      <c r="T13" s="175"/>
      <c r="U13" s="84"/>
    </row>
    <row r="14" s="25" customFormat="true" ht="16" hidden="false" customHeight="false" outlineLevel="0" collapsed="false">
      <c r="A14" s="79" t="s">
        <v>85</v>
      </c>
      <c r="B14" s="79" t="s">
        <v>86</v>
      </c>
      <c r="C14" s="79" t="s">
        <v>232</v>
      </c>
      <c r="D14" s="79" t="s">
        <v>233</v>
      </c>
      <c r="E14" s="79" t="s">
        <v>42</v>
      </c>
      <c r="F14" s="301" t="s">
        <v>236</v>
      </c>
      <c r="G14" s="302" t="s">
        <v>1020</v>
      </c>
      <c r="H14" s="301" t="s">
        <v>1021</v>
      </c>
      <c r="I14" s="199" t="s">
        <v>1022</v>
      </c>
      <c r="J14" s="195" t="s">
        <v>1023</v>
      </c>
      <c r="K14" s="195" t="s">
        <v>1024</v>
      </c>
      <c r="L14" s="195" t="s">
        <v>1025</v>
      </c>
      <c r="M14" s="195" t="s">
        <v>1026</v>
      </c>
      <c r="N14" s="195" t="s">
        <v>1027</v>
      </c>
      <c r="O14" s="196" t="s">
        <v>1028</v>
      </c>
      <c r="P14" s="196" t="s">
        <v>1029</v>
      </c>
      <c r="Q14" s="196" t="s">
        <v>1030</v>
      </c>
      <c r="R14" s="196" t="s">
        <v>1031</v>
      </c>
      <c r="S14" s="196" t="s">
        <v>1032</v>
      </c>
      <c r="T14" s="206" t="s">
        <v>1033</v>
      </c>
      <c r="U14" s="196" t="s">
        <v>1034</v>
      </c>
    </row>
    <row r="15" s="25" customFormat="true" ht="16" hidden="false" customHeight="false" outlineLevel="0" collapsed="false">
      <c r="A15" s="165"/>
      <c r="B15" s="165"/>
      <c r="C15" s="165"/>
      <c r="D15" s="165"/>
      <c r="E15" s="165" t="str">
        <f aca="false">B15&amp;"|"&amp;C15&amp;"|"&amp;D15</f>
        <v>||</v>
      </c>
      <c r="F15" s="83" t="str">
        <f aca="false" t="array" ref="F15:F15">IFERROR(1/(1/IF(OR($C15="15-17",$C15="18-20"),INDEX(Cascade!$F:$F,MATCH($B15&amp;"|"&amp;"15-19"&amp;"|"&amp;$D15,Cascade!$E:$E,0))/2,IF($C15="18+",SUM(SUMIFS(Cascade!$F:$F,Cascade!$B:$B,$B15,Cascade!$C:$C,{"20-24","25-29","30-34","35-39","40-44","45-49","50-54","55-59","60-64","65+"},Cascade!$D:$D,$D15)),INDEX(Cascade!$F:$F,MATCH($E15,Cascade!$E:$E,0))))),"")</f>
        <v/>
      </c>
      <c r="G15" s="295"/>
      <c r="H15" s="295"/>
      <c r="I15" s="83"/>
      <c r="J15" s="168" t="str">
        <f aca="false">IF(SUM($I15)=0,"",0%)</f>
        <v/>
      </c>
      <c r="K15" s="168"/>
      <c r="L15" s="168"/>
      <c r="M15" s="168" t="n">
        <f aca="false">1-IF(NOT(AND($D15="Female",OR($C15="10-14",$C15="15-17"))),0,$K15)-IF(NOT(OR($C15="05-09",$C15="10-14")),0,$L15)</f>
        <v>1</v>
      </c>
      <c r="N15" s="168" t="n">
        <f aca="false">IF(SUM($M15)=0,"",20%)</f>
        <v>0.2</v>
      </c>
      <c r="O15" s="84" t="str">
        <f aca="false">IF(SUM($I15)&lt;=0,"",ROUND($I15*(1+$J15),0))</f>
        <v/>
      </c>
      <c r="P15" s="84" t="str">
        <f aca="false">IF(OR(AND(SUM($K15)=0,SUM($O15)=0),NOT(AND($D15="Female",$G15="Y",OR($C15="10-14",$C15="15-17")))),"",ROUND($O15*$K15,0))</f>
        <v/>
      </c>
      <c r="Q15" s="84" t="str">
        <f aca="false">IF(OR(AND(SUM($L15)=0,SUM($O15)=0),NOT(OR($C15="10-14",$C15="05-09"))),"",ROUND($O15*$L15,0))</f>
        <v/>
      </c>
      <c r="R15" s="84" t="str">
        <f aca="false">IF(SUM($O15)=0,"",ROUND($O15*$M15*$N15,0))</f>
        <v/>
      </c>
      <c r="S15" s="84" t="str">
        <f aca="false">IF(SUM($O15)=0,"",($O15*$M15)-$R15)</f>
        <v/>
      </c>
      <c r="T15" s="175" t="str">
        <f aca="false">IF(OR($C15="18+",$C15="18-20",SUM($O15)=0),"",100%)</f>
        <v/>
      </c>
      <c r="U15" s="171" t="str">
        <f aca="false">IF(OR($C15="18+",$C15="18-20",(SUM($R15,$S15)=0)),"",ROUND(SUM($R15,$S15)*$T15,0))</f>
        <v/>
      </c>
    </row>
  </sheetData>
  <conditionalFormatting sqref="T1:U1048576">
    <cfRule type="expression" priority="2" aboveAverage="0" equalAverage="0" bottom="0" percent="0" rank="0" text="" dxfId="0">
      <formula>OR($C1="18-20",$C1="18+")</formula>
    </cfRule>
  </conditionalFormatting>
  <conditionalFormatting sqref="N1:N1048576">
    <cfRule type="expression" priority="3" aboveAverage="0" equalAverage="0" bottom="0" percent="0" rank="0" text="" dxfId="1">
      <formula>AND(ISNUMBER($N1),ROUND(SUM($N1),2)&lt;20%)</formula>
    </cfRule>
  </conditionalFormatting>
  <conditionalFormatting sqref="K1:K1048576 P1:P1048576">
    <cfRule type="expression" priority="4" aboveAverage="0" equalAverage="0" bottom="0" percent="0" rank="0" text="" dxfId="2">
      <formula>AND($B1&lt;&gt;"",ROW(K1)&gt;14,NOT(AND($D1="Female",$G1="Y",OR($C1="10-14",$C1="15-17"))))</formula>
    </cfRule>
  </conditionalFormatting>
  <conditionalFormatting sqref="Q1:Q1048576 L1:L1048576">
    <cfRule type="expression" priority="5" aboveAverage="0" equalAverage="0" bottom="0" percent="0" rank="0" text="" dxfId="3">
      <formula>AND($E1&lt;&gt;"",ROW(L1)&gt;14,NOT(OR($C1="05-09",$C1="10-14")))</formula>
    </cfRule>
  </conditionalFormatting>
  <conditionalFormatting sqref="F1:F1048576">
    <cfRule type="expression" priority="6" aboveAverage="0" equalAverage="0" bottom="0" percent="0" rank="0" text="" dxfId="4">
      <formula>AND(ROW(F1)&gt;14,LEFT(B1,4)="_Mil")</formula>
    </cfRule>
  </conditionalFormatting>
  <conditionalFormatting sqref="F1:F1048576 H1:I1048576 O1:S1048576 U1:U1048576">
    <cfRule type="expression" priority="7" aboveAverage="0" equalAverage="0" bottom="0" percent="0" rank="0" text="" dxfId="5">
      <formula>AND(ISNUMBER(F1),ROUND(SUM(F1),0)&lt;0)</formula>
    </cfRule>
  </conditionalFormatting>
  <conditionalFormatting sqref="K1:N1048576 T1:T1048576">
    <cfRule type="expression" priority="8" aboveAverage="0" equalAverage="0" bottom="0" percent="0" rank="0" text="" dxfId="6">
      <formula>AND(ISNUMBER(K1),OR(ROUND(SUM(K1),2)&lt;0,ROUND(SUM(K1),2)&gt;1))</formula>
    </cfRule>
  </conditionalFormatting>
  <conditionalFormatting sqref="T1:T1048576">
    <cfRule type="expression" priority="9" aboveAverage="0" equalAverage="0" bottom="0" percent="0" rank="0" text="" dxfId="7">
      <formula>AND(ISNUMBER($T1),SUM($R1,$S1)&gt;0,ROUND(SUM($T1),2)&lt;1)</formula>
    </cfRule>
  </conditionalFormatting>
  <hyperlinks>
    <hyperlink ref="F3" location="Cascade!H:H" display="Host Country Est. PLHIV (FY22)"/>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tabColor rgb="FF63BE7B"/>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52.33"/>
    <col collapsed="false" customWidth="true" hidden="false" outlineLevel="0" max="3" min="3" style="172" width="11.83"/>
    <col collapsed="false" customWidth="true" hidden="false" outlineLevel="0" max="4" min="4" style="83" width="11.83"/>
    <col collapsed="false" customWidth="true" hidden="false" outlineLevel="0" max="6" min="5" style="168" width="11.83"/>
    <col collapsed="false" customWidth="true" hidden="false" outlineLevel="0" max="8" min="7" style="84" width="11.83"/>
    <col collapsed="false" customWidth="true" hidden="false" outlineLevel="0" max="1025" min="9" style="25" width="10.83"/>
  </cols>
  <sheetData>
    <row r="1" s="306" customFormat="true" ht="31" hidden="false" customHeight="true" outlineLevel="0" collapsed="false">
      <c r="A1" s="303" t="s">
        <v>1035</v>
      </c>
      <c r="B1" s="303"/>
      <c r="C1" s="304" t="s">
        <v>1036</v>
      </c>
      <c r="D1" s="293"/>
      <c r="E1" s="305"/>
      <c r="F1" s="305"/>
      <c r="G1" s="293"/>
      <c r="H1" s="293"/>
    </row>
    <row r="2" s="308" customFormat="true" ht="19" hidden="false" customHeight="false" outlineLevel="0" collapsed="false">
      <c r="A2" s="307"/>
      <c r="B2" s="307"/>
      <c r="C2" s="228" t="s">
        <v>70</v>
      </c>
      <c r="D2" s="122"/>
      <c r="E2" s="111" t="s">
        <v>100</v>
      </c>
      <c r="F2" s="111"/>
      <c r="G2" s="226" t="s">
        <v>71</v>
      </c>
      <c r="H2" s="226"/>
    </row>
    <row r="3" customFormat="false" ht="117" hidden="false" customHeight="true" outlineLevel="0" collapsed="false">
      <c r="C3" s="269" t="s">
        <v>1037</v>
      </c>
      <c r="D3" s="143" t="s">
        <v>1038</v>
      </c>
      <c r="E3" s="134" t="s">
        <v>1039</v>
      </c>
      <c r="F3" s="134" t="s">
        <v>1040</v>
      </c>
      <c r="G3" s="145" t="s">
        <v>1041</v>
      </c>
      <c r="H3" s="145" t="s">
        <v>1042</v>
      </c>
    </row>
    <row r="4" customFormat="false" ht="16" hidden="false" customHeight="false" outlineLevel="0" collapsed="false">
      <c r="A4" s="149"/>
      <c r="B4" s="149" t="s">
        <v>75</v>
      </c>
      <c r="C4" s="172" t="n">
        <f aca="false">SUBTOTAL(109,C$15:INDEX(C:C,COUNTA($B:$B)+14-COUNTA($B$1:$B$14)))</f>
        <v>0</v>
      </c>
      <c r="D4" s="83" t="n">
        <f aca="false">SUBTOTAL(109,D$15:INDEX(D:D,COUNTA($B:$B)+14-COUNTA($B$1:$B$14)))</f>
        <v>0</v>
      </c>
      <c r="E4" s="168" t="str">
        <f aca="false">IF($C$4=0,"",$G$4/$C$4-1)</f>
        <v/>
      </c>
      <c r="F4" s="168" t="str">
        <f aca="false">IF($D$4=0,"",$H$4/$D$4-1)</f>
        <v/>
      </c>
      <c r="G4" s="84" t="n">
        <f aca="false">SUBTOTAL(109,G$15:INDEX(G:G,COUNTA($B:$B)+14-COUNTA($B$1:$B$14)))</f>
        <v>0</v>
      </c>
      <c r="H4" s="84" t="n">
        <f aca="false">SUBTOTAL(109,H$15:INDEX(H:H,COUNTA($B:$B)+14-COUNTA($B$1:$B$14)))</f>
        <v>0</v>
      </c>
    </row>
    <row r="5" customFormat="false" ht="16" hidden="false" customHeight="false" outlineLevel="0" collapsed="false">
      <c r="A5" s="149" t="s">
        <v>76</v>
      </c>
      <c r="B5" s="149" t="s">
        <v>76</v>
      </c>
      <c r="C5" s="172" t="s">
        <v>190</v>
      </c>
      <c r="D5" s="83" t="s">
        <v>190</v>
      </c>
      <c r="E5" s="168" t="s">
        <v>76</v>
      </c>
      <c r="F5" s="168" t="s">
        <v>76</v>
      </c>
      <c r="G5" s="84" t="s">
        <v>190</v>
      </c>
      <c r="H5" s="84" t="s">
        <v>190</v>
      </c>
    </row>
    <row r="6" customFormat="false" ht="16" hidden="false" customHeight="false" outlineLevel="0" collapsed="false">
      <c r="A6" s="149" t="s">
        <v>78</v>
      </c>
      <c r="B6" s="149" t="s">
        <v>78</v>
      </c>
      <c r="C6" s="172" t="s">
        <v>79</v>
      </c>
      <c r="D6" s="83" t="s">
        <v>79</v>
      </c>
      <c r="E6" s="168" t="s">
        <v>193</v>
      </c>
      <c r="F6" s="168" t="s">
        <v>193</v>
      </c>
      <c r="G6" s="84" t="s">
        <v>80</v>
      </c>
      <c r="H6" s="84" t="s">
        <v>80</v>
      </c>
    </row>
    <row r="7" customFormat="false" ht="16" hidden="false" customHeight="false" outlineLevel="0" collapsed="false">
      <c r="A7" s="149" t="s">
        <v>82</v>
      </c>
      <c r="B7" s="149" t="s">
        <v>82</v>
      </c>
      <c r="C7" s="172" t="s">
        <v>83</v>
      </c>
      <c r="D7" s="83" t="s">
        <v>83</v>
      </c>
      <c r="E7" s="168" t="s">
        <v>194</v>
      </c>
      <c r="F7" s="168" t="s">
        <v>194</v>
      </c>
      <c r="G7" s="84" t="s">
        <v>83</v>
      </c>
      <c r="H7" s="84" t="s">
        <v>83</v>
      </c>
    </row>
    <row r="8" customFormat="false" ht="16" hidden="false" customHeight="false" outlineLevel="0" collapsed="false">
      <c r="A8" s="149"/>
      <c r="B8" s="149"/>
      <c r="C8" s="247" t="s">
        <v>1043</v>
      </c>
      <c r="D8" s="266" t="s">
        <v>1043</v>
      </c>
      <c r="G8" s="246" t="s">
        <v>1043</v>
      </c>
      <c r="H8" s="246" t="s">
        <v>1043</v>
      </c>
    </row>
    <row r="9" customFormat="false" ht="16" hidden="false" customHeight="false" outlineLevel="0" collapsed="false">
      <c r="A9" s="149"/>
      <c r="B9" s="149"/>
      <c r="C9" s="247" t="s">
        <v>1044</v>
      </c>
      <c r="D9" s="266" t="s">
        <v>1044</v>
      </c>
      <c r="G9" s="246" t="s">
        <v>1044</v>
      </c>
      <c r="H9" s="246" t="s">
        <v>1044</v>
      </c>
    </row>
    <row r="10" customFormat="false" ht="16" hidden="false" customHeight="false" outlineLevel="0" collapsed="false">
      <c r="A10" s="149"/>
      <c r="B10" s="149"/>
      <c r="C10" s="247" t="s">
        <v>1045</v>
      </c>
      <c r="D10" s="266" t="s">
        <v>1046</v>
      </c>
      <c r="G10" s="246" t="s">
        <v>1045</v>
      </c>
      <c r="H10" s="246" t="s">
        <v>1046</v>
      </c>
    </row>
    <row r="11" customFormat="false" ht="16" hidden="false" customHeight="false" outlineLevel="0" collapsed="false">
      <c r="A11" s="149"/>
      <c r="B11" s="149"/>
    </row>
    <row r="12" customFormat="false" ht="16" hidden="false" customHeight="false" outlineLevel="0" collapsed="false">
      <c r="A12" s="149"/>
      <c r="B12" s="149"/>
    </row>
    <row r="13" customFormat="false" ht="16" hidden="false" customHeight="false" outlineLevel="0" collapsed="false">
      <c r="A13" s="149"/>
      <c r="B13" s="149"/>
    </row>
    <row r="14" customFormat="false" ht="16" hidden="false" customHeight="false" outlineLevel="0" collapsed="false">
      <c r="A14" s="79" t="s">
        <v>85</v>
      </c>
      <c r="B14" s="79" t="s">
        <v>86</v>
      </c>
      <c r="C14" s="200" t="s">
        <v>1047</v>
      </c>
      <c r="D14" s="253" t="s">
        <v>1048</v>
      </c>
      <c r="E14" s="252" t="s">
        <v>1049</v>
      </c>
      <c r="F14" s="252" t="s">
        <v>1050</v>
      </c>
      <c r="G14" s="211" t="s">
        <v>1051</v>
      </c>
      <c r="H14" s="211" t="s">
        <v>1052</v>
      </c>
    </row>
    <row r="15" customFormat="false" ht="16" hidden="false" customHeight="false" outlineLevel="0" collapsed="false">
      <c r="E15" s="168" t="str">
        <f aca="false">IF(SUM($C15)=0,"",0%)</f>
        <v/>
      </c>
      <c r="F15" s="168" t="str">
        <f aca="false">IF(SUM($D15)=0,"",0%)</f>
        <v/>
      </c>
      <c r="G15" s="84" t="str">
        <f aca="false">IF(SUM($C15)=0,"",ROUND($C15*(1+$E15),0))</f>
        <v/>
      </c>
      <c r="H15" s="84" t="str">
        <f aca="false">IF(SUM($D15)=0,"",ROUND($D15*(1+$F15),0))</f>
        <v/>
      </c>
    </row>
  </sheetData>
  <conditionalFormatting sqref="G1:H1048576 C1:D1048576">
    <cfRule type="expression" priority="2" aboveAverage="0" equalAverage="0" bottom="0" percent="0" rank="0" text="" dxfId="0">
      <formula>AND(ISNUMBER(C1),ROUND(SUM(C1),0)&lt;0)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63BE7B"/>
    <pageSetUpPr fitToPage="false"/>
  </sheetPr>
  <dimension ref="A1:V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33"/>
    <col collapsed="false" customWidth="true" hidden="false" outlineLevel="0" max="6" min="6" style="172" width="11.83"/>
    <col collapsed="false" customWidth="true" hidden="false" outlineLevel="0" max="17" min="7" style="83" width="11.83"/>
    <col collapsed="false" customWidth="true" hidden="false" outlineLevel="0" max="20" min="18" style="168" width="11.83"/>
    <col collapsed="false" customWidth="true" hidden="false" outlineLevel="0" max="22" min="21" style="84" width="12.67"/>
    <col collapsed="false" customWidth="true" hidden="false" outlineLevel="0" max="1025" min="23" style="25" width="10.83"/>
  </cols>
  <sheetData>
    <row r="1" s="63" customFormat="true" ht="31" hidden="false" customHeight="true" outlineLevel="0" collapsed="false">
      <c r="A1" s="90" t="s">
        <v>1053</v>
      </c>
      <c r="B1" s="90"/>
      <c r="C1" s="90"/>
      <c r="D1" s="90"/>
      <c r="E1" s="90"/>
      <c r="F1" s="103" t="s">
        <v>1054</v>
      </c>
      <c r="G1" s="106"/>
      <c r="H1" s="99"/>
      <c r="I1" s="99"/>
      <c r="J1" s="99"/>
      <c r="K1" s="99"/>
      <c r="L1" s="99"/>
      <c r="M1" s="106"/>
      <c r="N1" s="106"/>
      <c r="O1" s="106"/>
      <c r="P1" s="106"/>
      <c r="Q1" s="106"/>
      <c r="R1" s="95"/>
      <c r="S1" s="95"/>
      <c r="T1" s="95"/>
      <c r="U1" s="94"/>
      <c r="V1" s="94"/>
    </row>
    <row r="2" s="123" customFormat="true" ht="19" hidden="false" customHeight="true" outlineLevel="0" collapsed="false">
      <c r="A2" s="223" t="s">
        <v>1055</v>
      </c>
      <c r="B2" s="223"/>
      <c r="C2" s="108"/>
      <c r="D2" s="108"/>
      <c r="E2" s="108"/>
      <c r="F2" s="228" t="s">
        <v>70</v>
      </c>
      <c r="G2" s="122"/>
      <c r="H2" s="115"/>
      <c r="I2" s="115"/>
      <c r="J2" s="115"/>
      <c r="K2" s="115"/>
      <c r="L2" s="115"/>
      <c r="M2" s="122"/>
      <c r="N2" s="122"/>
      <c r="O2" s="122"/>
      <c r="P2" s="122"/>
      <c r="Q2" s="122"/>
      <c r="R2" s="111"/>
      <c r="S2" s="111" t="s">
        <v>100</v>
      </c>
      <c r="T2" s="111"/>
      <c r="U2" s="226" t="s">
        <v>71</v>
      </c>
      <c r="V2" s="226"/>
    </row>
    <row r="3" customFormat="false" ht="117" hidden="false" customHeight="true" outlineLevel="0" collapsed="false">
      <c r="A3" s="223"/>
      <c r="B3" s="223"/>
      <c r="C3" s="124"/>
      <c r="D3" s="124"/>
      <c r="E3" s="124"/>
      <c r="F3" s="240" t="s">
        <v>339</v>
      </c>
      <c r="G3" s="309" t="s">
        <v>1056</v>
      </c>
      <c r="H3" s="229" t="s">
        <v>1057</v>
      </c>
      <c r="I3" s="229" t="s">
        <v>1058</v>
      </c>
      <c r="J3" s="229" t="s">
        <v>1059</v>
      </c>
      <c r="K3" s="229" t="s">
        <v>1060</v>
      </c>
      <c r="L3" s="229" t="s">
        <v>1061</v>
      </c>
      <c r="M3" s="143" t="s">
        <v>1062</v>
      </c>
      <c r="N3" s="143" t="s">
        <v>1063</v>
      </c>
      <c r="O3" s="143" t="s">
        <v>1064</v>
      </c>
      <c r="P3" s="143" t="s">
        <v>1065</v>
      </c>
      <c r="Q3" s="143" t="s">
        <v>1066</v>
      </c>
      <c r="R3" s="127" t="s">
        <v>1067</v>
      </c>
      <c r="S3" s="134" t="s">
        <v>1068</v>
      </c>
      <c r="T3" s="134" t="s">
        <v>1069</v>
      </c>
      <c r="U3" s="145" t="s">
        <v>1070</v>
      </c>
      <c r="V3" s="145" t="s">
        <v>1071</v>
      </c>
    </row>
    <row r="4" customFormat="false" ht="16" hidden="false" customHeight="false" outlineLevel="0" collapsed="false">
      <c r="A4" s="149"/>
      <c r="B4" s="149"/>
      <c r="C4" s="149"/>
      <c r="D4" s="149" t="s">
        <v>75</v>
      </c>
      <c r="E4" s="149"/>
      <c r="F4" s="265" t="n">
        <f aca="false">SUBTOTAL(109,F$15:INDEX(F:F,COUNTA($B:$B)+14-COUNTA($B$1:$B$14)))</f>
        <v>0</v>
      </c>
      <c r="G4" s="163" t="n">
        <f aca="false">SUBTOTAL(109,G$15:INDEX(G:G,COUNTA($B:$B)+14-COUNTA($B$1:$B$14)))</f>
        <v>0</v>
      </c>
      <c r="H4" s="163" t="n">
        <f aca="false">SUBTOTAL(109,H$15:INDEX(H:H,COUNTA($B:$B)+14-COUNTA($B$1:$B$14)))</f>
        <v>0</v>
      </c>
      <c r="I4" s="163" t="n">
        <f aca="false">SUBTOTAL(109,I$15:INDEX(I:I,COUNTA($B:$B)+14-COUNTA($B$1:$B$14)))</f>
        <v>0</v>
      </c>
      <c r="J4" s="163" t="n">
        <f aca="false">SUBTOTAL(109,J$15:INDEX(J:J,COUNTA($B:$B)+14-COUNTA($B$1:$B$14)))</f>
        <v>0</v>
      </c>
      <c r="K4" s="163" t="n">
        <f aca="false">SUBTOTAL(109,K$15:INDEX(K:K,COUNTA($B:$B)+14-COUNTA($B$1:$B$14)))</f>
        <v>0</v>
      </c>
      <c r="L4" s="163" t="n">
        <f aca="false">SUBTOTAL(109,L$15:INDEX(L:L,COUNTA($B:$B)+14-COUNTA($B$1:$B$14)))</f>
        <v>0</v>
      </c>
      <c r="M4" s="163" t="n">
        <f aca="false">SUBTOTAL(109,M$15:INDEX(M:M,COUNTA($B:$B)+14-COUNTA($B$1:$B$14)))</f>
        <v>0</v>
      </c>
      <c r="N4" s="163" t="n">
        <f aca="false">SUBTOTAL(109,N$15:INDEX(N:N,COUNTA($B:$B)+14-COUNTA($B$1:$B$14)))</f>
        <v>0</v>
      </c>
      <c r="O4" s="163" t="n">
        <f aca="false">SUBTOTAL(109,O$15:INDEX(O:O,COUNTA($B:$B)+14-COUNTA($B$1:$B$14)))</f>
        <v>0</v>
      </c>
      <c r="P4" s="163" t="n">
        <f aca="false">SUBTOTAL(109,P$15:INDEX(P:P,COUNTA($B:$B)+14-COUNTA($B$1:$B$14)))</f>
        <v>0</v>
      </c>
      <c r="Q4" s="163" t="n">
        <f aca="false">SUBTOTAL(109,Q$15:INDEX(Q:Q,COUNTA($B:$B)+14-COUNTA($B$1:$B$14)))</f>
        <v>0</v>
      </c>
      <c r="R4" s="152" t="str">
        <f aca="false">IF($Q$4=0,"",SUM($O$4,$P$4)/$Q$4)</f>
        <v/>
      </c>
      <c r="S4" s="152" t="str">
        <f aca="false">IF($U$4=0,"",$V$4/$U$4)</f>
        <v/>
      </c>
      <c r="T4" s="152" t="str">
        <f aca="false">IF($Q$4=0,"",$U$4/$Q$4-1)</f>
        <v/>
      </c>
      <c r="U4" s="164" t="n">
        <f aca="false">SUBTOTAL(109,U$15:INDEX(U:U,COUNTA($B:$B)+14-COUNTA($B$1:$B$14)))</f>
        <v>0</v>
      </c>
      <c r="V4" s="164" t="n">
        <f aca="false">SUBTOTAL(109,V$15:INDEX(V:V,COUNTA($B:$B)+14-COUNTA($B$1:$B$14)))</f>
        <v>0</v>
      </c>
    </row>
    <row r="5" customFormat="false" ht="16" hidden="false" customHeight="false" outlineLevel="0" collapsed="false">
      <c r="A5" s="165" t="s">
        <v>76</v>
      </c>
      <c r="B5" s="165" t="s">
        <v>76</v>
      </c>
      <c r="C5" s="165" t="s">
        <v>76</v>
      </c>
      <c r="D5" s="165" t="s">
        <v>76</v>
      </c>
      <c r="E5" s="165" t="s">
        <v>76</v>
      </c>
      <c r="F5" s="172" t="s">
        <v>76</v>
      </c>
      <c r="G5" s="83" t="s">
        <v>76</v>
      </c>
      <c r="H5" s="83" t="s">
        <v>76</v>
      </c>
      <c r="I5" s="83" t="s">
        <v>76</v>
      </c>
      <c r="J5" s="83" t="s">
        <v>76</v>
      </c>
      <c r="K5" s="83" t="s">
        <v>76</v>
      </c>
      <c r="L5" s="83" t="s">
        <v>76</v>
      </c>
      <c r="M5" s="83" t="s">
        <v>190</v>
      </c>
      <c r="N5" s="83" t="s">
        <v>190</v>
      </c>
      <c r="O5" s="83" t="s">
        <v>190</v>
      </c>
      <c r="P5" s="83" t="s">
        <v>190</v>
      </c>
      <c r="Q5" s="83" t="s">
        <v>76</v>
      </c>
      <c r="R5" s="168" t="s">
        <v>76</v>
      </c>
      <c r="S5" s="168" t="s">
        <v>76</v>
      </c>
      <c r="T5" s="168" t="s">
        <v>76</v>
      </c>
      <c r="U5" s="84" t="s">
        <v>190</v>
      </c>
      <c r="V5" s="84" t="s">
        <v>190</v>
      </c>
    </row>
    <row r="6" customFormat="false" ht="16" hidden="false" customHeight="false" outlineLevel="0" collapsed="false">
      <c r="A6" s="165" t="s">
        <v>78</v>
      </c>
      <c r="B6" s="165" t="s">
        <v>78</v>
      </c>
      <c r="C6" s="165" t="s">
        <v>78</v>
      </c>
      <c r="D6" s="165" t="s">
        <v>78</v>
      </c>
      <c r="E6" s="165" t="s">
        <v>78</v>
      </c>
      <c r="F6" s="172" t="s">
        <v>81</v>
      </c>
      <c r="G6" s="83" t="s">
        <v>193</v>
      </c>
      <c r="H6" s="83" t="s">
        <v>81</v>
      </c>
      <c r="I6" s="83" t="s">
        <v>81</v>
      </c>
      <c r="J6" s="83" t="s">
        <v>81</v>
      </c>
      <c r="K6" s="83" t="s">
        <v>81</v>
      </c>
      <c r="L6" s="83" t="s">
        <v>81</v>
      </c>
      <c r="M6" s="83" t="s">
        <v>79</v>
      </c>
      <c r="N6" s="83" t="s">
        <v>79</v>
      </c>
      <c r="O6" s="83" t="s">
        <v>79</v>
      </c>
      <c r="P6" s="83" t="s">
        <v>79</v>
      </c>
      <c r="Q6" s="83" t="s">
        <v>81</v>
      </c>
      <c r="R6" s="168" t="s">
        <v>81</v>
      </c>
      <c r="S6" s="168" t="s">
        <v>193</v>
      </c>
      <c r="T6" s="168" t="s">
        <v>193</v>
      </c>
      <c r="U6" s="84" t="s">
        <v>80</v>
      </c>
      <c r="V6" s="84" t="s">
        <v>80</v>
      </c>
    </row>
    <row r="7" customFormat="false" ht="16" hidden="false" customHeight="false" outlineLevel="0" collapsed="false">
      <c r="A7" s="165" t="s">
        <v>82</v>
      </c>
      <c r="B7" s="165" t="s">
        <v>82</v>
      </c>
      <c r="C7" s="165" t="s">
        <v>82</v>
      </c>
      <c r="D7" s="165" t="s">
        <v>82</v>
      </c>
      <c r="E7" s="165" t="s">
        <v>82</v>
      </c>
      <c r="F7" s="172" t="s">
        <v>83</v>
      </c>
      <c r="G7" s="83" t="s">
        <v>83</v>
      </c>
      <c r="H7" s="83" t="s">
        <v>83</v>
      </c>
      <c r="I7" s="83" t="s">
        <v>83</v>
      </c>
      <c r="J7" s="83" t="s">
        <v>83</v>
      </c>
      <c r="K7" s="83" t="s">
        <v>83</v>
      </c>
      <c r="L7" s="83" t="s">
        <v>83</v>
      </c>
      <c r="M7" s="83" t="s">
        <v>83</v>
      </c>
      <c r="N7" s="83" t="s">
        <v>83</v>
      </c>
      <c r="O7" s="83" t="s">
        <v>83</v>
      </c>
      <c r="P7" s="83" t="s">
        <v>83</v>
      </c>
      <c r="Q7" s="83" t="s">
        <v>83</v>
      </c>
      <c r="R7" s="168" t="s">
        <v>194</v>
      </c>
      <c r="S7" s="168" t="s">
        <v>194</v>
      </c>
      <c r="T7" s="168" t="s">
        <v>194</v>
      </c>
      <c r="U7" s="84" t="s">
        <v>83</v>
      </c>
      <c r="V7" s="84" t="s">
        <v>83</v>
      </c>
    </row>
    <row r="8" customFormat="false" ht="16" hidden="false" customHeight="false" outlineLevel="0" collapsed="false">
      <c r="M8" s="266" t="s">
        <v>1072</v>
      </c>
      <c r="N8" s="266" t="s">
        <v>1073</v>
      </c>
      <c r="O8" s="266" t="s">
        <v>1074</v>
      </c>
      <c r="P8" s="266" t="s">
        <v>1075</v>
      </c>
      <c r="Q8" s="187"/>
      <c r="U8" s="246" t="s">
        <v>1076</v>
      </c>
      <c r="V8" s="246" t="s">
        <v>1077</v>
      </c>
    </row>
    <row r="9" customFormat="false" ht="16" hidden="false" customHeight="false" outlineLevel="0" collapsed="false">
      <c r="F9" s="186"/>
      <c r="G9" s="187"/>
      <c r="H9" s="187"/>
      <c r="I9" s="187"/>
      <c r="J9" s="187"/>
      <c r="K9" s="187"/>
      <c r="L9" s="187"/>
      <c r="M9" s="298"/>
      <c r="N9" s="298"/>
      <c r="O9" s="298"/>
      <c r="P9" s="298"/>
      <c r="Q9" s="310"/>
      <c r="R9" s="311"/>
      <c r="U9" s="246"/>
      <c r="V9" s="246"/>
    </row>
    <row r="10" customFormat="false" ht="16" hidden="false" customHeight="false" outlineLevel="0" collapsed="false">
      <c r="F10" s="186"/>
      <c r="G10" s="187"/>
      <c r="H10" s="187"/>
      <c r="I10" s="187"/>
      <c r="J10" s="187"/>
      <c r="K10" s="187"/>
      <c r="L10" s="187"/>
      <c r="M10" s="266" t="s">
        <v>1078</v>
      </c>
      <c r="N10" s="266" t="s">
        <v>1079</v>
      </c>
      <c r="O10" s="266" t="s">
        <v>1080</v>
      </c>
      <c r="P10" s="266" t="s">
        <v>1081</v>
      </c>
      <c r="Q10" s="187"/>
      <c r="U10" s="246" t="s">
        <v>1082</v>
      </c>
      <c r="V10" s="246" t="s">
        <v>1083</v>
      </c>
    </row>
    <row r="11" customFormat="false" ht="16" hidden="false" customHeight="false" outlineLevel="0" collapsed="false">
      <c r="F11" s="172" t="s">
        <v>1084</v>
      </c>
      <c r="G11" s="83" t="s">
        <v>1084</v>
      </c>
      <c r="H11" s="83" t="s">
        <v>1085</v>
      </c>
      <c r="I11" s="83" t="s">
        <v>1085</v>
      </c>
      <c r="J11" s="83" t="s">
        <v>1084</v>
      </c>
      <c r="K11" s="83" t="s">
        <v>1084</v>
      </c>
      <c r="L11" s="83" t="s">
        <v>1084</v>
      </c>
      <c r="M11" s="83" t="s">
        <v>1084</v>
      </c>
      <c r="N11" s="83" t="s">
        <v>1084</v>
      </c>
      <c r="O11" s="83" t="s">
        <v>1084</v>
      </c>
      <c r="P11" s="83" t="s">
        <v>1084</v>
      </c>
      <c r="Q11" s="83" t="s">
        <v>1084</v>
      </c>
      <c r="R11" s="168" t="s">
        <v>1084</v>
      </c>
      <c r="S11" s="245" t="s">
        <v>1084</v>
      </c>
      <c r="T11" s="245" t="s">
        <v>1084</v>
      </c>
      <c r="U11" s="84" t="s">
        <v>1084</v>
      </c>
      <c r="V11" s="84" t="s">
        <v>1084</v>
      </c>
    </row>
    <row r="12" customFormat="false" ht="16" hidden="false" customHeight="false" outlineLevel="0" collapsed="false">
      <c r="F12" s="172" t="s">
        <v>230</v>
      </c>
      <c r="G12" s="83" t="s">
        <v>230</v>
      </c>
      <c r="H12" s="83" t="s">
        <v>230</v>
      </c>
      <c r="I12" s="83" t="s">
        <v>230</v>
      </c>
      <c r="J12" s="83" t="s">
        <v>230</v>
      </c>
      <c r="K12" s="83" t="s">
        <v>230</v>
      </c>
      <c r="L12" s="83" t="s">
        <v>230</v>
      </c>
      <c r="M12" s="83" t="s">
        <v>230</v>
      </c>
      <c r="N12" s="83" t="s">
        <v>230</v>
      </c>
      <c r="O12" s="83" t="s">
        <v>230</v>
      </c>
      <c r="P12" s="83" t="s">
        <v>230</v>
      </c>
      <c r="Q12" s="83" t="s">
        <v>230</v>
      </c>
      <c r="R12" s="168" t="s">
        <v>230</v>
      </c>
      <c r="S12" s="245" t="s">
        <v>230</v>
      </c>
      <c r="T12" s="245" t="s">
        <v>230</v>
      </c>
      <c r="U12" s="84" t="s">
        <v>230</v>
      </c>
      <c r="V12" s="84" t="s">
        <v>230</v>
      </c>
    </row>
    <row r="14" customFormat="false" ht="16" hidden="false" customHeight="false" outlineLevel="0" collapsed="false">
      <c r="A14" s="79" t="s">
        <v>85</v>
      </c>
      <c r="B14" s="79" t="s">
        <v>86</v>
      </c>
      <c r="C14" s="79" t="s">
        <v>232</v>
      </c>
      <c r="D14" s="79" t="s">
        <v>233</v>
      </c>
      <c r="E14" s="79" t="s">
        <v>42</v>
      </c>
      <c r="F14" s="200" t="s">
        <v>234</v>
      </c>
      <c r="G14" s="199" t="s">
        <v>1086</v>
      </c>
      <c r="H14" s="199" t="s">
        <v>1087</v>
      </c>
      <c r="I14" s="199" t="s">
        <v>1088</v>
      </c>
      <c r="J14" s="199" t="s">
        <v>984</v>
      </c>
      <c r="K14" s="199" t="s">
        <v>308</v>
      </c>
      <c r="L14" s="199" t="s">
        <v>438</v>
      </c>
      <c r="M14" s="199" t="s">
        <v>1089</v>
      </c>
      <c r="N14" s="199" t="s">
        <v>1090</v>
      </c>
      <c r="O14" s="199" t="s">
        <v>1091</v>
      </c>
      <c r="P14" s="199" t="s">
        <v>1092</v>
      </c>
      <c r="Q14" s="199" t="s">
        <v>1093</v>
      </c>
      <c r="R14" s="195" t="s">
        <v>1094</v>
      </c>
      <c r="S14" s="195" t="s">
        <v>1095</v>
      </c>
      <c r="T14" s="195" t="s">
        <v>1096</v>
      </c>
      <c r="U14" s="196" t="s">
        <v>1097</v>
      </c>
      <c r="V14" s="196" t="s">
        <v>1098</v>
      </c>
    </row>
    <row r="15" customFormat="false" ht="16" hidden="false" customHeight="false" outlineLevel="0" collapsed="false">
      <c r="E15" s="165" t="str">
        <f aca="false">B15&amp;"|"&amp;C15&amp;"|"&amp;D15</f>
        <v>||</v>
      </c>
      <c r="F15" s="172" t="str">
        <f aca="false" t="array" ref="F15:F15">IFERROR(1/(1/IF($C15="50+",SUM(SUMIFS(Cascade!$F:$F,Cascade!$B:$B,$B15,Cascade!$C:$C,{"50-54","55-59","60-64","65+"},Cascade!$D:$D,$D15)),INDEX(Cascade!$F:$F,MATCH($E15,Cascade!$E:$E,0)))),"")</f>
        <v/>
      </c>
      <c r="H15" s="83" t="n">
        <f aca="false">_xlfn.IFNA(INDEX(PrEP!$L:$L,MATCH($E15,PrEP!$E:$E,0)),"")</f>
        <v>0</v>
      </c>
      <c r="I15" s="83" t="n">
        <f aca="false">_xlfn.IFNA(INDEX(PrEP!$O:$O,MATCH($E15,PrEP!$E:$E,0)),"")</f>
        <v>0</v>
      </c>
      <c r="J15" s="83" t="str">
        <f aca="false">_xlfn.IFNA(INDEX(PP!$H:$H,MATCH($E15,PP!$E:$E,0)),"")</f>
        <v/>
      </c>
      <c r="K15" s="83" t="str">
        <f aca="false">_xlfn.IFNA(INDEX(HTS!$BP:$BP,MATCH($E15,HTS!$E:$E,0)),"")</f>
        <v/>
      </c>
      <c r="L15" s="83" t="str">
        <f aca="false">_xlfn.IFNA(INDEX(HTS!$BX:$BX,MATCH($E15,HTS!$E:$E,0)),"")</f>
        <v/>
      </c>
      <c r="Q15" s="83" t="str">
        <f aca="false">IF(SUM($M15:$P15)=0,"",SUM($M15:$P15))</f>
        <v/>
      </c>
      <c r="R15" s="168" t="str">
        <f aca="false">IF(SUM($Q15)=0,"",SUM($O15,$P15)/SUM($Q15))</f>
        <v/>
      </c>
      <c r="S15" s="168" t="str">
        <f aca="false">IF(SUM($Q15)=0,"",MAX(60%,SUM($R15)))</f>
        <v/>
      </c>
      <c r="T15" s="168" t="str">
        <f aca="false">IF(SUM($Q15)=0,"",0%)</f>
        <v/>
      </c>
      <c r="U15" s="84" t="str">
        <f aca="false">IF(SUM($Q15)=0,"",SUM($Q15)*(1+$T15))</f>
        <v/>
      </c>
      <c r="V15" s="84" t="str">
        <f aca="false">IF(SUM($U15)=0,"",ROUND(SUM($U15)*S15,0))</f>
        <v/>
      </c>
    </row>
  </sheetData>
  <mergeCells count="1">
    <mergeCell ref="A2:B3"/>
  </mergeCells>
  <conditionalFormatting sqref="V1:V1048576">
    <cfRule type="expression" priority="2" aboveAverage="0" equalAverage="0" bottom="0" percent="0" rank="0" text="" dxfId="0">
      <formula>AND(ISNUMBER(V1),SUM($V1)&gt;SUM($U1))</formula>
    </cfRule>
  </conditionalFormatting>
  <conditionalFormatting sqref="H1:I1048576">
    <cfRule type="expression" priority="3" aboveAverage="0" equalAverage="0" bottom="0" percent="0" rank="0" text="" dxfId="1">
      <formula>AND(ROW(H1)&gt;14,$C1="10-14")</formula>
    </cfRule>
  </conditionalFormatting>
  <conditionalFormatting sqref="F1:G1048576">
    <cfRule type="expression" priority="4" aboveAverage="0" equalAverage="0" bottom="0" percent="0" rank="0" text="" dxfId="2">
      <formula>AND(ROW(F1)&gt;14,LEFT(B1,4)="_Mil")</formula>
    </cfRule>
  </conditionalFormatting>
  <conditionalFormatting sqref="U1:V1048576 F1:N1048576">
    <cfRule type="expression" priority="5" aboveAverage="0" equalAverage="0" bottom="0" percent="0" rank="0" text="" dxfId="3">
      <formula>AND(ISNUMBER(F1),ROUND(SUM(F1),0)&lt;0)</formula>
    </cfRule>
  </conditionalFormatting>
  <conditionalFormatting sqref="R1:S1048576">
    <cfRule type="expression" priority="6" aboveAverage="0" equalAverage="0" bottom="0" percent="0" rank="0" text="" dxfId="4">
      <formula>AND(ISNUMBER(R1),OR(ROUND(SUM(R1),2)&lt;0,ROUND(SUM(R1),2)&gt;1))</formula>
    </cfRule>
  </conditionalFormatting>
  <conditionalFormatting sqref="S1:S1048576">
    <cfRule type="expression" priority="7" aboveAverage="0" equalAverage="0" bottom="0" percent="0" rank="0" text="" dxfId="5">
      <formula>AND(ROUND(SUM($S1),2)&lt;60%,SUM($U1)&gt;0)</formula>
    </cfRule>
  </conditionalFormatting>
  <hyperlinks>
    <hyperlink ref="F3" location="Cascade!F:F" display="Host Country Est. Female Population (FY22)"/>
    <hyperlink ref="H3" location="PrEP!L:L" display="PrEP_NEW (FY23)"/>
    <hyperlink ref="I3" location="PrEP!O:O" display=" PrEP_CT (FY23)"/>
    <hyperlink ref="J3" location="PP!H:H" display=" PP_PREV (FY23)"/>
    <hyperlink ref="K3" location="HTS!BP:BP" display="HTS_TST_POS (FY23)"/>
    <hyperlink ref="L3" location="HTS!BX:BX" display="HTS_TST_NEG (FY2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tabColor rgb="FF63BE7B"/>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14" topLeftCell="F15" activePane="bottomRight" state="frozen"/>
      <selection pane="topLeft" activeCell="A1" activeCellId="0" sqref="A1"/>
      <selection pane="topRight" activeCell="F1" activeCellId="0" sqref="F1"/>
      <selection pane="bottomLeft" activeCell="A15" activeCellId="0" sqref="A15"/>
      <selection pane="bottomRight" activeCell="O15" activeCellId="1" sqref="A15:E15 O15"/>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165" width="10.83"/>
    <col collapsed="false" customWidth="true" hidden="false" outlineLevel="0" max="4" min="4" style="165" width="7.84"/>
    <col collapsed="false" customWidth="true" hidden="true" outlineLevel="0" max="5" min="5" style="165" width="7"/>
    <col collapsed="false" customWidth="true" hidden="false" outlineLevel="0" max="6" min="6" style="172" width="11.83"/>
    <col collapsed="false" customWidth="true" hidden="false" outlineLevel="0" max="11" min="7" style="83" width="11.83"/>
    <col collapsed="false" customWidth="true" hidden="false" outlineLevel="0" max="12" min="12" style="84" width="11.83"/>
    <col collapsed="false" customWidth="true" hidden="false" outlineLevel="0" max="13" min="13" style="172" width="11.83"/>
    <col collapsed="false" customWidth="true" hidden="false" outlineLevel="0" max="14" min="14" style="83" width="11.83"/>
    <col collapsed="false" customWidth="true" hidden="false" outlineLevel="0" max="15" min="15" style="84" width="11.83"/>
    <col collapsed="false" customWidth="true" hidden="false" outlineLevel="0" max="1025" min="16" style="25" width="10.83"/>
  </cols>
  <sheetData>
    <row r="1" s="63" customFormat="true" ht="31" hidden="false" customHeight="true" outlineLevel="0" collapsed="false">
      <c r="A1" s="90" t="s">
        <v>1099</v>
      </c>
      <c r="B1" s="90"/>
      <c r="C1" s="90"/>
      <c r="D1" s="90"/>
      <c r="E1" s="90"/>
      <c r="F1" s="103" t="s">
        <v>586</v>
      </c>
      <c r="G1" s="94"/>
      <c r="H1" s="94"/>
      <c r="I1" s="94"/>
      <c r="J1" s="94"/>
      <c r="K1" s="94"/>
      <c r="L1" s="94"/>
      <c r="M1" s="103" t="s">
        <v>585</v>
      </c>
      <c r="N1" s="94"/>
      <c r="O1" s="94"/>
    </row>
    <row r="2" s="123" customFormat="true" ht="19" hidden="false" customHeight="false" outlineLevel="0" collapsed="false">
      <c r="A2" s="108"/>
      <c r="B2" s="108"/>
      <c r="C2" s="108"/>
      <c r="D2" s="108"/>
      <c r="E2" s="108"/>
      <c r="F2" s="228" t="s">
        <v>70</v>
      </c>
      <c r="G2" s="122"/>
      <c r="H2" s="122"/>
      <c r="I2" s="122"/>
      <c r="J2" s="122"/>
      <c r="K2" s="122"/>
      <c r="L2" s="226" t="s">
        <v>71</v>
      </c>
      <c r="M2" s="228" t="s">
        <v>70</v>
      </c>
      <c r="N2" s="122"/>
      <c r="O2" s="226" t="s">
        <v>71</v>
      </c>
    </row>
    <row r="3" customFormat="false" ht="117" hidden="false" customHeight="true" outlineLevel="0" collapsed="false">
      <c r="A3" s="124"/>
      <c r="B3" s="124"/>
      <c r="C3" s="124"/>
      <c r="D3" s="124"/>
      <c r="E3" s="124"/>
      <c r="F3" s="240" t="s">
        <v>1100</v>
      </c>
      <c r="G3" s="229" t="s">
        <v>1101</v>
      </c>
      <c r="H3" s="229" t="s">
        <v>1102</v>
      </c>
      <c r="I3" s="229" t="s">
        <v>1103</v>
      </c>
      <c r="J3" s="143" t="s">
        <v>1104</v>
      </c>
      <c r="K3" s="143" t="s">
        <v>1105</v>
      </c>
      <c r="L3" s="275" t="s">
        <v>1057</v>
      </c>
      <c r="M3" s="269" t="s">
        <v>1106</v>
      </c>
      <c r="N3" s="143" t="s">
        <v>1107</v>
      </c>
      <c r="O3" s="275" t="s">
        <v>1108</v>
      </c>
    </row>
    <row r="4" customFormat="false" ht="16" hidden="false" customHeight="false" outlineLevel="0" collapsed="false">
      <c r="A4" s="149"/>
      <c r="B4" s="149"/>
      <c r="C4" s="149"/>
      <c r="D4" s="149" t="s">
        <v>75</v>
      </c>
      <c r="E4" s="149"/>
      <c r="F4" s="265" t="n">
        <f aca="false">SUBTOTAL(109,F$15:INDEX(F:F,COUNTA($B:$B)+14-COUNTA($B$1:$B$14)))</f>
        <v>0</v>
      </c>
      <c r="G4" s="163" t="n">
        <f aca="false">SUBTOTAL(109,G$15:INDEX(G:G,COUNTA($B:$B)+14-COUNTA($B$1:$B$14)))</f>
        <v>0</v>
      </c>
      <c r="H4" s="163" t="n">
        <f aca="false">SUBTOTAL(109,H$15:INDEX(H:H,COUNTA($B:$B)+14-COUNTA($B$1:$B$14)))</f>
        <v>0</v>
      </c>
      <c r="I4" s="163" t="n">
        <f aca="false">SUBTOTAL(109,I$15:INDEX(I:I,COUNTA($B:$B)+14-COUNTA($B$1:$B$14)))</f>
        <v>0</v>
      </c>
      <c r="J4" s="163" t="n">
        <f aca="false">SUBTOTAL(109,J$15:INDEX(J:J,COUNTA($B:$B)+14-COUNTA($B$1:$B$14)))</f>
        <v>0</v>
      </c>
      <c r="K4" s="163" t="n">
        <f aca="false">SUBTOTAL(109,K$15:INDEX(K:K,COUNTA($B:$B)+14-COUNTA($B$1:$B$14)))</f>
        <v>0</v>
      </c>
      <c r="L4" s="164" t="n">
        <f aca="false">SUBTOTAL(109,L$15:INDEX(L:L,COUNTA($B:$B)+14-COUNTA($B$1:$B$14)))</f>
        <v>0</v>
      </c>
      <c r="M4" s="265" t="n">
        <f aca="false">SUBTOTAL(109,M$15:INDEX(M:M,COUNTA($B:$B)+14-COUNTA($B$1:$B$14)))</f>
        <v>0</v>
      </c>
      <c r="N4" s="163" t="n">
        <f aca="false">SUBTOTAL(109,N$15:INDEX(N:N,COUNTA($B:$B)+14-COUNTA($B$1:$B$14)))</f>
        <v>0</v>
      </c>
      <c r="O4" s="164" t="n">
        <f aca="false">SUBTOTAL(109,O$15:INDEX(O:O,COUNTA($B:$B)+14-COUNTA($B$1:$B$14)))</f>
        <v>0</v>
      </c>
    </row>
    <row r="5" customFormat="false" ht="16" hidden="false" customHeight="false" outlineLevel="0" collapsed="false">
      <c r="A5" s="165" t="s">
        <v>76</v>
      </c>
      <c r="B5" s="165" t="s">
        <v>76</v>
      </c>
      <c r="C5" s="165" t="s">
        <v>76</v>
      </c>
      <c r="D5" s="165" t="s">
        <v>76</v>
      </c>
      <c r="E5" s="165" t="s">
        <v>76</v>
      </c>
      <c r="F5" s="172" t="s">
        <v>76</v>
      </c>
      <c r="G5" s="83" t="s">
        <v>76</v>
      </c>
      <c r="H5" s="83" t="s">
        <v>76</v>
      </c>
      <c r="I5" s="83" t="s">
        <v>76</v>
      </c>
      <c r="J5" s="83" t="s">
        <v>190</v>
      </c>
      <c r="K5" s="83" t="s">
        <v>190</v>
      </c>
      <c r="L5" s="84" t="s">
        <v>190</v>
      </c>
      <c r="M5" s="172" t="s">
        <v>190</v>
      </c>
      <c r="N5" s="83" t="s">
        <v>190</v>
      </c>
      <c r="O5" s="84" t="s">
        <v>190</v>
      </c>
    </row>
    <row r="6" customFormat="false" ht="16" hidden="false" customHeight="false" outlineLevel="0" collapsed="false">
      <c r="A6" s="165" t="s">
        <v>78</v>
      </c>
      <c r="B6" s="165" t="s">
        <v>78</v>
      </c>
      <c r="C6" s="165" t="s">
        <v>78</v>
      </c>
      <c r="D6" s="165" t="s">
        <v>78</v>
      </c>
      <c r="E6" s="165" t="s">
        <v>78</v>
      </c>
      <c r="F6" s="172" t="s">
        <v>81</v>
      </c>
      <c r="G6" s="83" t="s">
        <v>81</v>
      </c>
      <c r="H6" s="83" t="s">
        <v>81</v>
      </c>
      <c r="I6" s="83" t="s">
        <v>81</v>
      </c>
      <c r="J6" s="83" t="s">
        <v>79</v>
      </c>
      <c r="K6" s="83" t="s">
        <v>79</v>
      </c>
      <c r="L6" s="84" t="s">
        <v>80</v>
      </c>
      <c r="M6" s="172" t="s">
        <v>79</v>
      </c>
      <c r="N6" s="83" t="s">
        <v>79</v>
      </c>
      <c r="O6" s="84" t="s">
        <v>80</v>
      </c>
    </row>
    <row r="7" customFormat="false" ht="16" hidden="false" customHeight="false" outlineLevel="0" collapsed="false">
      <c r="A7" s="165" t="s">
        <v>82</v>
      </c>
      <c r="B7" s="165" t="s">
        <v>82</v>
      </c>
      <c r="C7" s="165" t="s">
        <v>82</v>
      </c>
      <c r="D7" s="165" t="s">
        <v>82</v>
      </c>
      <c r="E7" s="165" t="s">
        <v>82</v>
      </c>
      <c r="F7" s="172" t="s">
        <v>83</v>
      </c>
      <c r="G7" s="83" t="s">
        <v>83</v>
      </c>
      <c r="H7" s="83" t="s">
        <v>83</v>
      </c>
      <c r="I7" s="83" t="s">
        <v>83</v>
      </c>
      <c r="J7" s="83" t="s">
        <v>83</v>
      </c>
      <c r="K7" s="83" t="s">
        <v>83</v>
      </c>
      <c r="L7" s="84" t="s">
        <v>83</v>
      </c>
      <c r="M7" s="172" t="s">
        <v>83</v>
      </c>
      <c r="N7" s="83" t="s">
        <v>83</v>
      </c>
      <c r="O7" s="84" t="s">
        <v>83</v>
      </c>
    </row>
    <row r="8" customFormat="false" ht="16" hidden="false" customHeight="false" outlineLevel="0" collapsed="false">
      <c r="J8" s="298" t="s">
        <v>1109</v>
      </c>
      <c r="K8" s="266" t="s">
        <v>1110</v>
      </c>
      <c r="L8" s="246" t="s">
        <v>1110</v>
      </c>
      <c r="M8" s="281" t="s">
        <v>1111</v>
      </c>
      <c r="N8" s="266" t="s">
        <v>1112</v>
      </c>
      <c r="O8" s="246" t="s">
        <v>1113</v>
      </c>
    </row>
    <row r="9" customFormat="false" ht="16" hidden="false" customHeight="false" outlineLevel="0" collapsed="false">
      <c r="J9" s="298" t="s">
        <v>1114</v>
      </c>
      <c r="K9" s="266" t="s">
        <v>1115</v>
      </c>
      <c r="L9" s="246" t="s">
        <v>1115</v>
      </c>
      <c r="M9" s="281" t="s">
        <v>1116</v>
      </c>
      <c r="N9" s="266" t="s">
        <v>1117</v>
      </c>
      <c r="O9" s="246" t="s">
        <v>1118</v>
      </c>
    </row>
    <row r="10" customFormat="false" ht="16" hidden="false" customHeight="false" outlineLevel="0" collapsed="false">
      <c r="J10" s="266"/>
      <c r="K10" s="266"/>
      <c r="L10" s="246"/>
      <c r="M10" s="247"/>
      <c r="N10" s="266"/>
      <c r="O10" s="246"/>
    </row>
    <row r="11" customFormat="false" ht="16" hidden="false" customHeight="false" outlineLevel="0" collapsed="false">
      <c r="F11" s="172" t="s">
        <v>770</v>
      </c>
      <c r="G11" s="83" t="s">
        <v>770</v>
      </c>
      <c r="H11" s="83" t="s">
        <v>1085</v>
      </c>
      <c r="I11" s="83" t="s">
        <v>1085</v>
      </c>
      <c r="J11" s="83" t="s">
        <v>770</v>
      </c>
      <c r="K11" s="83" t="s">
        <v>770</v>
      </c>
      <c r="L11" s="84" t="s">
        <v>770</v>
      </c>
      <c r="M11" s="172" t="s">
        <v>770</v>
      </c>
      <c r="N11" s="83" t="s">
        <v>770</v>
      </c>
      <c r="O11" s="84" t="s">
        <v>770</v>
      </c>
    </row>
    <row r="12" customFormat="false" ht="16" hidden="false" customHeight="false" outlineLevel="0" collapsed="false">
      <c r="F12" s="172" t="s">
        <v>229</v>
      </c>
      <c r="G12" s="83" t="s">
        <v>229</v>
      </c>
      <c r="H12" s="83" t="s">
        <v>230</v>
      </c>
      <c r="I12" s="83" t="s">
        <v>230</v>
      </c>
      <c r="J12" s="83" t="s">
        <v>229</v>
      </c>
      <c r="K12" s="83" t="s">
        <v>229</v>
      </c>
      <c r="L12" s="84" t="s">
        <v>229</v>
      </c>
      <c r="M12" s="172" t="s">
        <v>229</v>
      </c>
      <c r="N12" s="83" t="s">
        <v>229</v>
      </c>
      <c r="O12" s="84" t="s">
        <v>229</v>
      </c>
    </row>
    <row r="14" customFormat="false" ht="16" hidden="false" customHeight="false" outlineLevel="0" collapsed="false">
      <c r="A14" s="79" t="s">
        <v>85</v>
      </c>
      <c r="B14" s="79" t="s">
        <v>86</v>
      </c>
      <c r="C14" s="79" t="s">
        <v>232</v>
      </c>
      <c r="D14" s="79" t="s">
        <v>233</v>
      </c>
      <c r="E14" s="79" t="s">
        <v>42</v>
      </c>
      <c r="F14" s="200" t="s">
        <v>236</v>
      </c>
      <c r="G14" s="199" t="s">
        <v>1119</v>
      </c>
      <c r="H14" s="199" t="s">
        <v>1097</v>
      </c>
      <c r="I14" s="199" t="s">
        <v>1098</v>
      </c>
      <c r="J14" s="199" t="s">
        <v>1120</v>
      </c>
      <c r="K14" s="199" t="s">
        <v>1121</v>
      </c>
      <c r="L14" s="196" t="s">
        <v>1087</v>
      </c>
      <c r="M14" s="200" t="s">
        <v>1122</v>
      </c>
      <c r="N14" s="199" t="s">
        <v>1123</v>
      </c>
      <c r="O14" s="196" t="s">
        <v>1088</v>
      </c>
    </row>
    <row r="15" customFormat="false" ht="16" hidden="false" customHeight="false" outlineLevel="0" collapsed="false">
      <c r="E15" s="165" t="str">
        <f aca="false">B15&amp;"|"&amp;C15&amp;"|"&amp;D15</f>
        <v>||</v>
      </c>
      <c r="F15" s="172" t="str">
        <f aca="false" t="array" ref="F15:F15">IFERROR(1/(1/IF($C15="50+",SUM(SUMIFS(Cascade!$F:$F,Cascade!$B:$B,$B15,Cascade!$C:$C,{"50-54","55-59","60-64","65+"},Cascade!$D:$D,$D15)),INDEX(Cascade!$F:$F,MATCH($E15,Cascade!$E:$E,0)))),"")</f>
        <v/>
      </c>
      <c r="G15" s="83" t="str">
        <f aca="false">_xlfn.IFNA(INDEX(HTS!$BX:$BX,MATCH($E15,HTS!$E:$E,0)),"")</f>
        <v/>
      </c>
      <c r="H15" s="83" t="str">
        <f aca="false">_xlfn.IFNA(INDEX(AGYW!$U:$U,MATCH($E15,AGYW!$E:$E,0)),"")</f>
        <v/>
      </c>
      <c r="I15" s="83" t="str">
        <f aca="false">_xlfn.IFNA(INDEX(AGYW!$V:$V,MATCH($E15,AGYW!$E:$E,0)),"")</f>
        <v/>
      </c>
    </row>
  </sheetData>
  <conditionalFormatting sqref="H1:I1048576">
    <cfRule type="expression" priority="2" aboveAverage="0" equalAverage="0" bottom="0" percent="0" rank="0" text="" dxfId="0">
      <formula>AND(ROW(H1)&gt;14,$E1&lt;&gt;"",NOT(OR($C1="15-19",$C1="20-24",$C1="25-29")))</formula>
    </cfRule>
    <cfRule type="expression" priority="3" aboveAverage="0" equalAverage="0" bottom="0" percent="0" rank="0" text="" dxfId="1">
      <formula>AND(ROW(H1)&gt;14,$E1&lt;&gt;"",$D1&lt;&gt;"Females")</formula>
    </cfRule>
  </conditionalFormatting>
  <conditionalFormatting sqref="F1:F1048576">
    <cfRule type="expression" priority="4" aboveAverage="0" equalAverage="0" bottom="0" percent="0" rank="0" text="" dxfId="2">
      <formula>AND(ROW(F1)&gt;14,LEFT(B1,4)="_Mil")</formula>
    </cfRule>
  </conditionalFormatting>
  <conditionalFormatting sqref="F1:O1048576">
    <cfRule type="expression" priority="5" aboveAverage="0" equalAverage="0" bottom="0" percent="0" rank="0" text="" dxfId="3">
      <formula>AND(ISNUMBER(F1),ROUND(SUM(F1),0)&lt;0)</formula>
    </cfRule>
  </conditionalFormatting>
  <hyperlinks>
    <hyperlink ref="F3" location="Cascade!H:H" display="Host Country Est. PLHIV (FY23)"/>
    <hyperlink ref="G3" location="HTS!BX:BX" display="HTS_TST_NEG&#10;(FY23)"/>
    <hyperlink ref="H3" location="AGYW!U:U" display="AGYW_PREV (D) (FY23)"/>
    <hyperlink ref="I3" location="AGYW!V:V" display="AGYW_PREV (N) (FY23)"/>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63BE7B"/>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4" ySplit="14" topLeftCell="E15" activePane="bottomRight" state="frozen"/>
      <selection pane="topLeft" activeCell="A1" activeCellId="0" sqref="A1"/>
      <selection pane="topRight" activeCell="E1" activeCellId="0" sqref="E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0" width="16.16"/>
    <col collapsed="false" customWidth="true" hidden="false" outlineLevel="0" max="2" min="2" style="0" width="30.83"/>
    <col collapsed="false" customWidth="true" hidden="false" outlineLevel="0" max="3" min="3" style="0" width="7.84"/>
    <col collapsed="false" customWidth="true" hidden="true" outlineLevel="0" max="4" min="4" style="0" width="7.84"/>
    <col collapsed="false" customWidth="true" hidden="false" outlineLevel="0" max="5" min="5" style="272" width="12.33"/>
    <col collapsed="false" customWidth="true" hidden="false" outlineLevel="0" max="6" min="6" style="257" width="11.83"/>
    <col collapsed="false" customWidth="true" hidden="false" outlineLevel="0" max="9" min="7" style="258" width="11.83"/>
    <col collapsed="false" customWidth="true" hidden="false" outlineLevel="0" max="11" min="10" style="84" width="11.83"/>
    <col collapsed="false" customWidth="true" hidden="false" outlineLevel="0" max="1025" min="12" style="0" width="10.61"/>
  </cols>
  <sheetData>
    <row r="1" customFormat="false" ht="31" hidden="false" customHeight="true" outlineLevel="0" collapsed="false">
      <c r="A1" s="90" t="s">
        <v>1124</v>
      </c>
      <c r="B1" s="90"/>
      <c r="C1" s="90"/>
      <c r="D1" s="90"/>
      <c r="E1" s="103" t="s">
        <v>1124</v>
      </c>
      <c r="F1" s="94"/>
      <c r="G1" s="259"/>
      <c r="H1" s="93"/>
      <c r="I1" s="93"/>
      <c r="J1" s="94"/>
      <c r="K1" s="94"/>
    </row>
    <row r="2" customFormat="false" ht="19" hidden="false" customHeight="false" outlineLevel="0" collapsed="false">
      <c r="A2" s="108"/>
      <c r="B2" s="108"/>
      <c r="C2" s="108"/>
      <c r="D2" s="108"/>
      <c r="E2" s="114" t="s">
        <v>70</v>
      </c>
      <c r="F2" s="116"/>
      <c r="G2" s="111"/>
      <c r="H2" s="111" t="s">
        <v>100</v>
      </c>
      <c r="I2" s="111"/>
      <c r="J2" s="226" t="s">
        <v>71</v>
      </c>
      <c r="K2" s="226"/>
    </row>
    <row r="3" customFormat="false" ht="117" hidden="false" customHeight="true" outlineLevel="0" collapsed="false">
      <c r="D3" s="274"/>
      <c r="E3" s="312" t="s">
        <v>1125</v>
      </c>
      <c r="F3" s="143" t="s">
        <v>1126</v>
      </c>
      <c r="G3" s="147" t="s">
        <v>1127</v>
      </c>
      <c r="H3" s="134" t="s">
        <v>1128</v>
      </c>
      <c r="I3" s="134" t="s">
        <v>1129</v>
      </c>
      <c r="J3" s="145" t="s">
        <v>1130</v>
      </c>
      <c r="K3" s="145" t="s">
        <v>1131</v>
      </c>
    </row>
    <row r="4" customFormat="false" ht="16" hidden="false" customHeight="false" outlineLevel="0" collapsed="false">
      <c r="A4" s="149"/>
      <c r="B4" s="149"/>
      <c r="C4" s="149" t="s">
        <v>75</v>
      </c>
      <c r="D4" s="149"/>
      <c r="E4" s="265" t="n">
        <f aca="false">SUBTOTAL(109,E$15:INDEX(E:E,COUNTA($B:$B)+14-COUNTA($B$1:$B$14)))</f>
        <v>0</v>
      </c>
      <c r="F4" s="163" t="n">
        <f aca="false">SUBTOTAL(109,F$15:INDEX(F:F,COUNTA($B:$B)+14-COUNTA($B$1:$B$14)))</f>
        <v>0</v>
      </c>
      <c r="G4" s="313" t="str">
        <f aca="false">IF($E$4=0,"",$F$4/$E$4)</f>
        <v/>
      </c>
      <c r="H4" s="152" t="str">
        <f aca="false">IF($K$4=0,"",$J$4/$K$4)</f>
        <v/>
      </c>
      <c r="I4" s="152" t="str">
        <f aca="false">IF($F$4=0,"",$J$4/$F$4-1)</f>
        <v/>
      </c>
      <c r="J4" s="164" t="n">
        <f aca="false">SUBTOTAL(109,J$15:INDEX(J:J,COUNTA($B:$B)+14-COUNTA($B$1:$B$14)))</f>
        <v>0</v>
      </c>
      <c r="K4" s="164" t="n">
        <f aca="false">SUBTOTAL(109,K$15:INDEX(K:K,COUNTA($B:$B)+14-COUNTA($B$1:$B$14)))</f>
        <v>0</v>
      </c>
    </row>
    <row r="5" customFormat="false" ht="16" hidden="false" customHeight="false" outlineLevel="0" collapsed="false">
      <c r="A5" s="165" t="s">
        <v>76</v>
      </c>
      <c r="B5" s="165" t="s">
        <v>76</v>
      </c>
      <c r="C5" s="165" t="s">
        <v>76</v>
      </c>
      <c r="D5" s="165" t="s">
        <v>76</v>
      </c>
      <c r="E5" s="172" t="s">
        <v>189</v>
      </c>
      <c r="F5" s="83" t="s">
        <v>190</v>
      </c>
      <c r="G5" s="245" t="s">
        <v>76</v>
      </c>
      <c r="H5" s="168" t="s">
        <v>76</v>
      </c>
      <c r="I5" s="168" t="s">
        <v>76</v>
      </c>
      <c r="J5" s="84" t="s">
        <v>190</v>
      </c>
      <c r="K5" s="84" t="s">
        <v>189</v>
      </c>
    </row>
    <row r="6" customFormat="false" ht="16" hidden="false" customHeight="false" outlineLevel="0" collapsed="false">
      <c r="A6" s="165" t="s">
        <v>78</v>
      </c>
      <c r="B6" s="165" t="s">
        <v>78</v>
      </c>
      <c r="C6" s="165" t="s">
        <v>78</v>
      </c>
      <c r="D6" s="165" t="s">
        <v>78</v>
      </c>
      <c r="E6" s="172" t="s">
        <v>80</v>
      </c>
      <c r="F6" s="83" t="s">
        <v>79</v>
      </c>
      <c r="G6" s="245" t="s">
        <v>81</v>
      </c>
      <c r="H6" s="168" t="s">
        <v>193</v>
      </c>
      <c r="I6" s="168" t="s">
        <v>193</v>
      </c>
      <c r="J6" s="84" t="s">
        <v>80</v>
      </c>
      <c r="K6" s="84" t="s">
        <v>80</v>
      </c>
    </row>
    <row r="7" customFormat="false" ht="16" hidden="false" customHeight="false" outlineLevel="0" collapsed="false">
      <c r="A7" s="165" t="s">
        <v>82</v>
      </c>
      <c r="B7" s="165" t="s">
        <v>82</v>
      </c>
      <c r="C7" s="165" t="s">
        <v>82</v>
      </c>
      <c r="D7" s="165" t="s">
        <v>82</v>
      </c>
      <c r="E7" s="172" t="s">
        <v>83</v>
      </c>
      <c r="F7" s="83" t="s">
        <v>83</v>
      </c>
      <c r="G7" s="245" t="s">
        <v>194</v>
      </c>
      <c r="H7" s="168" t="s">
        <v>194</v>
      </c>
      <c r="I7" s="168" t="s">
        <v>194</v>
      </c>
      <c r="J7" s="84" t="s">
        <v>83</v>
      </c>
      <c r="K7" s="84" t="s">
        <v>83</v>
      </c>
    </row>
    <row r="8" customFormat="false" ht="16" hidden="false" customHeight="false" outlineLevel="0" collapsed="false">
      <c r="A8" s="165"/>
      <c r="B8" s="165"/>
      <c r="C8" s="165"/>
      <c r="D8" s="165"/>
      <c r="E8" s="247" t="s">
        <v>1132</v>
      </c>
      <c r="F8" s="266" t="s">
        <v>1133</v>
      </c>
      <c r="G8" s="245"/>
      <c r="H8" s="168"/>
      <c r="I8" s="168"/>
      <c r="J8" s="246" t="s">
        <v>1133</v>
      </c>
      <c r="K8" s="246" t="s">
        <v>1132</v>
      </c>
    </row>
    <row r="9" customFormat="false" ht="16" hidden="false" customHeight="false" outlineLevel="0" collapsed="false">
      <c r="A9" s="165"/>
      <c r="B9" s="165"/>
      <c r="C9" s="165"/>
      <c r="D9" s="165"/>
      <c r="E9" s="247"/>
      <c r="F9" s="266" t="s">
        <v>1134</v>
      </c>
      <c r="G9" s="245"/>
      <c r="H9" s="168"/>
      <c r="I9" s="168"/>
      <c r="J9" s="246" t="s">
        <v>1134</v>
      </c>
      <c r="K9" s="246"/>
    </row>
    <row r="10" customFormat="false" ht="16" hidden="false" customHeight="false" outlineLevel="0" collapsed="false">
      <c r="A10" s="165"/>
      <c r="B10" s="165"/>
      <c r="C10" s="165"/>
      <c r="D10" s="165"/>
      <c r="E10" s="247"/>
      <c r="F10" s="266"/>
      <c r="G10" s="245"/>
      <c r="H10" s="168"/>
      <c r="I10" s="168"/>
      <c r="J10" s="246"/>
      <c r="K10" s="246"/>
    </row>
    <row r="11" customFormat="false" ht="16" hidden="false" customHeight="false" outlineLevel="0" collapsed="false">
      <c r="A11" s="165"/>
      <c r="B11" s="165"/>
      <c r="C11" s="165"/>
      <c r="D11" s="165"/>
      <c r="E11" s="172"/>
      <c r="F11" s="83"/>
      <c r="G11" s="245"/>
      <c r="H11" s="168"/>
      <c r="I11" s="168"/>
    </row>
    <row r="12" customFormat="false" ht="16" hidden="false" customHeight="false" outlineLevel="0" collapsed="false">
      <c r="A12" s="165"/>
      <c r="B12" s="165"/>
      <c r="C12" s="165"/>
      <c r="D12" s="165"/>
      <c r="E12" s="172" t="s">
        <v>229</v>
      </c>
      <c r="F12" s="83" t="s">
        <v>229</v>
      </c>
      <c r="G12" s="245" t="s">
        <v>229</v>
      </c>
      <c r="H12" s="168" t="s">
        <v>229</v>
      </c>
      <c r="I12" s="168" t="s">
        <v>229</v>
      </c>
      <c r="J12" s="84" t="s">
        <v>229</v>
      </c>
      <c r="K12" s="84" t="s">
        <v>229</v>
      </c>
    </row>
    <row r="13" customFormat="false" ht="16" hidden="false" customHeight="false" outlineLevel="0" collapsed="false">
      <c r="A13" s="165"/>
      <c r="B13" s="165"/>
      <c r="C13" s="165"/>
      <c r="D13" s="165"/>
      <c r="E13" s="172"/>
      <c r="F13" s="83"/>
      <c r="G13" s="245"/>
      <c r="H13" s="168"/>
      <c r="I13" s="168"/>
    </row>
    <row r="14" customFormat="false" ht="16" hidden="false" customHeight="false" outlineLevel="0" collapsed="false">
      <c r="A14" s="79" t="s">
        <v>85</v>
      </c>
      <c r="B14" s="79" t="s">
        <v>86</v>
      </c>
      <c r="C14" s="79" t="s">
        <v>233</v>
      </c>
      <c r="D14" s="79" t="s">
        <v>42</v>
      </c>
      <c r="E14" s="200" t="s">
        <v>1135</v>
      </c>
      <c r="F14" s="199" t="s">
        <v>1136</v>
      </c>
      <c r="G14" s="195" t="s">
        <v>1137</v>
      </c>
      <c r="H14" s="195" t="s">
        <v>1138</v>
      </c>
      <c r="I14" s="195" t="s">
        <v>1139</v>
      </c>
      <c r="J14" s="196" t="s">
        <v>1140</v>
      </c>
      <c r="K14" s="196" t="s">
        <v>1141</v>
      </c>
    </row>
    <row r="15" s="25" customFormat="true" ht="16" hidden="false" customHeight="false" outlineLevel="0" collapsed="false">
      <c r="A15" s="165"/>
      <c r="B15" s="165"/>
      <c r="C15" s="165"/>
      <c r="D15" s="165" t="str">
        <f aca="false">B15&amp;"|"&amp;C15</f>
        <v>|</v>
      </c>
      <c r="E15" s="215"/>
      <c r="F15" s="83"/>
      <c r="G15" s="245" t="str">
        <f aca="false">IF(SUM($E15)=0,"",SUM($F15)/$E15)</f>
        <v/>
      </c>
      <c r="H15" s="168" t="str">
        <f aca="false">IF(SUM($G15)=0,"",$G15)</f>
        <v/>
      </c>
      <c r="I15" s="168" t="str">
        <f aca="false">IF(SUM($F15)=0,"",0%)</f>
        <v/>
      </c>
      <c r="J15" s="84" t="str">
        <f aca="false">IF(SUM($F15)=0,"",$F15*(1+SUM($I15)))</f>
        <v/>
      </c>
      <c r="K15" s="84" t="str">
        <f aca="false">IF(SUM($H15)=0,"",SUM($J15)/$H15)</f>
        <v/>
      </c>
    </row>
  </sheetData>
  <conditionalFormatting sqref="E1:E1048576 G1:H1048576 K1:K1048576">
    <cfRule type="expression" priority="2" aboveAverage="0" equalAverage="0" bottom="0" percent="0" rank="0" text="" dxfId="0">
      <formula>LEFT($B1,4)="_Mil"</formula>
    </cfRule>
  </conditionalFormatting>
  <conditionalFormatting sqref="H1:H1048576">
    <cfRule type="expression" priority="3" aboveAverage="0" equalAverage="0" bottom="0" percent="0" rank="0" text="" dxfId="1">
      <formula>AND(ISNUMBER(H1),H1&lt;&gt;G1)</formula>
    </cfRule>
  </conditionalFormatting>
  <conditionalFormatting sqref="J1:K1048576 E1:F1048576">
    <cfRule type="expression" priority="4" aboveAverage="0" equalAverage="0" bottom="0" percent="0" rank="0" text="" dxfId="2">
      <formula>AND(ISNUMBER(E1),ROUND(SUM(E1),0)&lt;0)</formula>
    </cfRule>
  </conditionalFormatting>
  <conditionalFormatting sqref="G1:H1048576">
    <cfRule type="expression" priority="5" aboveAverage="0" equalAverage="0" bottom="0" percent="0" rank="0" text="" dxfId="3">
      <formula>AND(ISNUMBER(G1),OR(ROUND(SUM(G1),2)&lt;0,ROUND(SUM(G1),2)&gt;1))</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63BE7B"/>
    <pageSetUpPr fitToPage="false"/>
  </sheetPr>
  <dimension ref="A1:BV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4" topLeftCell="C15" activePane="bottomRight" state="frozen"/>
      <selection pane="topLeft" activeCell="A1" activeCellId="0" sqref="A1"/>
      <selection pane="topRight" activeCell="C1" activeCellId="0" sqref="C1"/>
      <selection pane="bottomLeft" activeCell="A15" activeCellId="0" sqref="A15"/>
      <selection pane="bottomRight" activeCell="A1" activeCellId="1" sqref="A15:E15 A1"/>
    </sheetView>
  </sheetViews>
  <sheetFormatPr defaultRowHeight="16" zeroHeight="false" outlineLevelRow="0" outlineLevelCol="0"/>
  <cols>
    <col collapsed="false" customWidth="true" hidden="false" outlineLevel="0" max="1" min="1" style="165" width="16.16"/>
    <col collapsed="false" customWidth="true" hidden="false" outlineLevel="0" max="2" min="2" style="165" width="30.83"/>
    <col collapsed="false" customWidth="true" hidden="false" outlineLevel="0" max="3" min="3" style="215" width="11.83"/>
    <col collapsed="false" customWidth="true" hidden="false" outlineLevel="0" max="4" min="4" style="177" width="11.83"/>
    <col collapsed="false" customWidth="true" hidden="false" outlineLevel="0" max="5" min="5" style="314" width="11.83"/>
    <col collapsed="false" customWidth="true" hidden="false" outlineLevel="0" max="6" min="6" style="315" width="11.83"/>
    <col collapsed="false" customWidth="true" hidden="false" outlineLevel="0" max="8" min="7" style="176" width="11.83"/>
    <col collapsed="false" customWidth="true" hidden="false" outlineLevel="0" max="10" min="9" style="84" width="11.83"/>
    <col collapsed="false" customWidth="true" hidden="false" outlineLevel="0" max="11" min="11" style="215" width="11.83"/>
    <col collapsed="false" customWidth="true" hidden="false" outlineLevel="0" max="12" min="12" style="177" width="11.83"/>
    <col collapsed="false" customWidth="true" hidden="false" outlineLevel="0" max="13" min="13" style="314" width="11.83"/>
    <col collapsed="false" customWidth="true" hidden="false" outlineLevel="0" max="14" min="14" style="315" width="11.83"/>
    <col collapsed="false" customWidth="true" hidden="false" outlineLevel="0" max="16" min="15" style="176" width="11.83"/>
    <col collapsed="false" customWidth="true" hidden="false" outlineLevel="0" max="18" min="17" style="84" width="11.83"/>
    <col collapsed="false" customWidth="true" hidden="false" outlineLevel="0" max="19" min="19" style="215" width="11.83"/>
    <col collapsed="false" customWidth="true" hidden="false" outlineLevel="0" max="20" min="20" style="314" width="11.83"/>
    <col collapsed="false" customWidth="true" hidden="false" outlineLevel="0" max="21" min="21" style="315" width="11.83"/>
    <col collapsed="false" customWidth="true" hidden="false" outlineLevel="0" max="23" min="22" style="176" width="11.83"/>
    <col collapsed="false" customWidth="true" hidden="false" outlineLevel="0" max="25" min="24" style="84" width="11.83"/>
    <col collapsed="false" customWidth="true" hidden="false" outlineLevel="0" max="26" min="26" style="215" width="11.83"/>
    <col collapsed="false" customWidth="true" hidden="false" outlineLevel="0" max="27" min="27" style="314" width="11.83"/>
    <col collapsed="false" customWidth="true" hidden="false" outlineLevel="0" max="28" min="28" style="315" width="11.83"/>
    <col collapsed="false" customWidth="true" hidden="false" outlineLevel="0" max="30" min="29" style="176" width="11.83"/>
    <col collapsed="false" customWidth="true" hidden="false" outlineLevel="0" max="32" min="31" style="84" width="11.83"/>
    <col collapsed="false" customWidth="true" hidden="false" outlineLevel="0" max="33" min="33" style="215" width="11.83"/>
    <col collapsed="false" customWidth="true" hidden="false" outlineLevel="0" max="34" min="34" style="314" width="11.83"/>
    <col collapsed="false" customWidth="true" hidden="false" outlineLevel="0" max="35" min="35" style="315" width="11.83"/>
    <col collapsed="false" customWidth="true" hidden="false" outlineLevel="0" max="37" min="36" style="176" width="11.83"/>
    <col collapsed="false" customWidth="true" hidden="false" outlineLevel="0" max="39" min="38" style="84" width="11.83"/>
    <col collapsed="false" customWidth="true" hidden="false" outlineLevel="0" max="40" min="40" style="215" width="11.83"/>
    <col collapsed="false" customWidth="true" hidden="false" outlineLevel="0" max="41" min="41" style="314" width="11.83"/>
    <col collapsed="false" customWidth="true" hidden="false" outlineLevel="0" max="42" min="42" style="315" width="11.83"/>
    <col collapsed="false" customWidth="true" hidden="false" outlineLevel="0" max="44" min="43" style="176" width="11.83"/>
    <col collapsed="false" customWidth="true" hidden="false" outlineLevel="0" max="46" min="45" style="84" width="11.83"/>
    <col collapsed="false" customWidth="true" hidden="false" outlineLevel="0" max="47" min="47" style="215" width="11.83"/>
    <col collapsed="false" customWidth="true" hidden="false" outlineLevel="0" max="48" min="48" style="314" width="11.83"/>
    <col collapsed="false" customWidth="true" hidden="false" outlineLevel="0" max="49" min="49" style="315" width="11.83"/>
    <col collapsed="false" customWidth="true" hidden="false" outlineLevel="0" max="51" min="50" style="176" width="11.83"/>
    <col collapsed="false" customWidth="true" hidden="false" outlineLevel="0" max="53" min="52" style="84" width="11.83"/>
    <col collapsed="false" customWidth="true" hidden="false" outlineLevel="0" max="54" min="54" style="215" width="11.83"/>
    <col collapsed="false" customWidth="true" hidden="false" outlineLevel="0" max="55" min="55" style="314" width="11.83"/>
    <col collapsed="false" customWidth="true" hidden="false" outlineLevel="0" max="56" min="56" style="315" width="11.83"/>
    <col collapsed="false" customWidth="true" hidden="false" outlineLevel="0" max="58" min="57" style="176" width="11.83"/>
    <col collapsed="false" customWidth="true" hidden="false" outlineLevel="0" max="60" min="59" style="84" width="11.83"/>
    <col collapsed="false" customWidth="true" hidden="false" outlineLevel="0" max="61" min="61" style="215" width="11.83"/>
    <col collapsed="false" customWidth="true" hidden="false" outlineLevel="0" max="62" min="62" style="314" width="11.83"/>
    <col collapsed="false" customWidth="true" hidden="false" outlineLevel="0" max="63" min="63" style="315" width="11.83"/>
    <col collapsed="false" customWidth="true" hidden="false" outlineLevel="0" max="65" min="64" style="176" width="11.83"/>
    <col collapsed="false" customWidth="true" hidden="false" outlineLevel="0" max="67" min="66" style="84" width="11.83"/>
    <col collapsed="false" customWidth="true" hidden="false" outlineLevel="0" max="68" min="68" style="215" width="11.83"/>
    <col collapsed="false" customWidth="true" hidden="false" outlineLevel="0" max="69" min="69" style="314" width="11.83"/>
    <col collapsed="false" customWidth="true" hidden="false" outlineLevel="0" max="70" min="70" style="315" width="11.83"/>
    <col collapsed="false" customWidth="true" hidden="false" outlineLevel="0" max="72" min="71" style="176" width="11.83"/>
    <col collapsed="false" customWidth="true" hidden="false" outlineLevel="0" max="74" min="73" style="84" width="11.83"/>
    <col collapsed="false" customWidth="true" hidden="false" outlineLevel="0" max="1025" min="75" style="25" width="10.83"/>
  </cols>
  <sheetData>
    <row r="1" s="63" customFormat="true" ht="31" hidden="false" customHeight="true" outlineLevel="0" collapsed="false">
      <c r="A1" s="90" t="s">
        <v>1142</v>
      </c>
      <c r="B1" s="90"/>
      <c r="C1" s="103" t="s">
        <v>585</v>
      </c>
      <c r="D1" s="100"/>
      <c r="E1" s="316"/>
      <c r="F1" s="317"/>
      <c r="G1" s="100"/>
      <c r="H1" s="100"/>
      <c r="I1" s="94"/>
      <c r="J1" s="94"/>
      <c r="K1" s="103" t="s">
        <v>586</v>
      </c>
      <c r="L1" s="100"/>
      <c r="M1" s="316"/>
      <c r="N1" s="317"/>
      <c r="O1" s="100"/>
      <c r="P1" s="100"/>
      <c r="Q1" s="94"/>
      <c r="R1" s="94"/>
      <c r="S1" s="103" t="s">
        <v>26</v>
      </c>
      <c r="T1" s="316"/>
      <c r="U1" s="317"/>
      <c r="V1" s="100"/>
      <c r="W1" s="100"/>
      <c r="X1" s="94"/>
      <c r="Y1" s="94"/>
      <c r="Z1" s="103" t="s">
        <v>25</v>
      </c>
      <c r="AA1" s="316"/>
      <c r="AB1" s="317"/>
      <c r="AC1" s="100"/>
      <c r="AD1" s="100"/>
      <c r="AE1" s="94"/>
      <c r="AF1" s="94"/>
      <c r="AG1" s="103" t="s">
        <v>27</v>
      </c>
      <c r="AH1" s="316"/>
      <c r="AI1" s="317"/>
      <c r="AJ1" s="100"/>
      <c r="AK1" s="100"/>
      <c r="AL1" s="94"/>
      <c r="AM1" s="94"/>
      <c r="AN1" s="103" t="s">
        <v>28</v>
      </c>
      <c r="AO1" s="316"/>
      <c r="AP1" s="317"/>
      <c r="AQ1" s="100"/>
      <c r="AR1" s="100"/>
      <c r="AS1" s="94"/>
      <c r="AT1" s="94"/>
      <c r="AU1" s="103" t="s">
        <v>1143</v>
      </c>
      <c r="AV1" s="316"/>
      <c r="AW1" s="317"/>
      <c r="AX1" s="100"/>
      <c r="AY1" s="100"/>
      <c r="AZ1" s="94"/>
      <c r="BA1" s="94"/>
      <c r="BB1" s="103" t="s">
        <v>1144</v>
      </c>
      <c r="BC1" s="316"/>
      <c r="BD1" s="317"/>
      <c r="BE1" s="100"/>
      <c r="BF1" s="100"/>
      <c r="BG1" s="94"/>
      <c r="BH1" s="94"/>
      <c r="BI1" s="103" t="s">
        <v>588</v>
      </c>
      <c r="BJ1" s="316"/>
      <c r="BK1" s="317"/>
      <c r="BL1" s="100"/>
      <c r="BM1" s="100"/>
      <c r="BN1" s="94"/>
      <c r="BO1" s="94"/>
      <c r="BP1" s="103" t="s">
        <v>589</v>
      </c>
      <c r="BQ1" s="316"/>
      <c r="BR1" s="317"/>
      <c r="BS1" s="100"/>
      <c r="BT1" s="100"/>
      <c r="BU1" s="94"/>
      <c r="BV1" s="94"/>
    </row>
    <row r="2" s="123" customFormat="true" ht="19" hidden="false" customHeight="true" outlineLevel="0" collapsed="false">
      <c r="A2" s="223" t="s">
        <v>1145</v>
      </c>
      <c r="B2" s="223"/>
      <c r="C2" s="114" t="s">
        <v>1146</v>
      </c>
      <c r="D2" s="116"/>
      <c r="E2" s="318"/>
      <c r="F2" s="319" t="s">
        <v>1147</v>
      </c>
      <c r="G2" s="118"/>
      <c r="H2" s="118"/>
      <c r="I2" s="320"/>
      <c r="J2" s="226"/>
      <c r="K2" s="114" t="s">
        <v>1146</v>
      </c>
      <c r="L2" s="116"/>
      <c r="M2" s="318"/>
      <c r="N2" s="319" t="s">
        <v>1147</v>
      </c>
      <c r="O2" s="118"/>
      <c r="P2" s="118"/>
      <c r="Q2" s="320"/>
      <c r="R2" s="226"/>
      <c r="S2" s="114" t="s">
        <v>1146</v>
      </c>
      <c r="T2" s="318"/>
      <c r="U2" s="319" t="s">
        <v>1147</v>
      </c>
      <c r="V2" s="118"/>
      <c r="W2" s="118"/>
      <c r="X2" s="320"/>
      <c r="Y2" s="226"/>
      <c r="Z2" s="114" t="s">
        <v>1146</v>
      </c>
      <c r="AA2" s="318"/>
      <c r="AB2" s="319" t="s">
        <v>1147</v>
      </c>
      <c r="AC2" s="118"/>
      <c r="AD2" s="118"/>
      <c r="AE2" s="320"/>
      <c r="AF2" s="226"/>
      <c r="AG2" s="114" t="s">
        <v>1146</v>
      </c>
      <c r="AH2" s="318"/>
      <c r="AI2" s="319" t="s">
        <v>1147</v>
      </c>
      <c r="AJ2" s="118"/>
      <c r="AK2" s="118"/>
      <c r="AL2" s="320"/>
      <c r="AM2" s="226"/>
      <c r="AN2" s="114" t="s">
        <v>1146</v>
      </c>
      <c r="AO2" s="318"/>
      <c r="AP2" s="319" t="s">
        <v>1147</v>
      </c>
      <c r="AQ2" s="118"/>
      <c r="AR2" s="118"/>
      <c r="AS2" s="320"/>
      <c r="AT2" s="226"/>
      <c r="AU2" s="114" t="s">
        <v>1146</v>
      </c>
      <c r="AV2" s="318"/>
      <c r="AW2" s="319" t="s">
        <v>1147</v>
      </c>
      <c r="AX2" s="118"/>
      <c r="AY2" s="118"/>
      <c r="AZ2" s="320"/>
      <c r="BA2" s="226"/>
      <c r="BB2" s="114" t="s">
        <v>1146</v>
      </c>
      <c r="BC2" s="318"/>
      <c r="BD2" s="319" t="s">
        <v>1147</v>
      </c>
      <c r="BE2" s="118"/>
      <c r="BF2" s="118"/>
      <c r="BG2" s="320"/>
      <c r="BH2" s="226"/>
      <c r="BI2" s="114" t="s">
        <v>1146</v>
      </c>
      <c r="BJ2" s="318"/>
      <c r="BK2" s="319" t="s">
        <v>1147</v>
      </c>
      <c r="BL2" s="118"/>
      <c r="BM2" s="118"/>
      <c r="BN2" s="320"/>
      <c r="BO2" s="226"/>
      <c r="BP2" s="114" t="s">
        <v>1146</v>
      </c>
      <c r="BQ2" s="318"/>
      <c r="BR2" s="319" t="s">
        <v>1147</v>
      </c>
      <c r="BS2" s="118"/>
      <c r="BT2" s="118"/>
      <c r="BU2" s="320"/>
      <c r="BV2" s="226"/>
    </row>
    <row r="3" customFormat="false" ht="117" hidden="false" customHeight="true" outlineLevel="0" collapsed="false">
      <c r="A3" s="223"/>
      <c r="B3" s="223"/>
      <c r="C3" s="240" t="s">
        <v>1148</v>
      </c>
      <c r="D3" s="229" t="s">
        <v>1149</v>
      </c>
      <c r="E3" s="321" t="s">
        <v>1150</v>
      </c>
      <c r="F3" s="322" t="s">
        <v>1151</v>
      </c>
      <c r="G3" s="146" t="s">
        <v>1152</v>
      </c>
      <c r="H3" s="146" t="s">
        <v>1153</v>
      </c>
      <c r="I3" s="146" t="s">
        <v>1154</v>
      </c>
      <c r="J3" s="146" t="s">
        <v>1155</v>
      </c>
      <c r="K3" s="240" t="s">
        <v>1148</v>
      </c>
      <c r="L3" s="229" t="s">
        <v>1149</v>
      </c>
      <c r="M3" s="321" t="s">
        <v>1150</v>
      </c>
      <c r="N3" s="322" t="s">
        <v>1151</v>
      </c>
      <c r="O3" s="146" t="s">
        <v>1152</v>
      </c>
      <c r="P3" s="146" t="s">
        <v>1153</v>
      </c>
      <c r="Q3" s="146" t="s">
        <v>1154</v>
      </c>
      <c r="R3" s="146" t="s">
        <v>1155</v>
      </c>
      <c r="S3" s="240" t="s">
        <v>1148</v>
      </c>
      <c r="T3" s="321" t="s">
        <v>1150</v>
      </c>
      <c r="U3" s="322" t="s">
        <v>1151</v>
      </c>
      <c r="V3" s="146" t="s">
        <v>1152</v>
      </c>
      <c r="W3" s="146" t="s">
        <v>1153</v>
      </c>
      <c r="X3" s="146" t="s">
        <v>1154</v>
      </c>
      <c r="Y3" s="146" t="s">
        <v>1155</v>
      </c>
      <c r="Z3" s="240" t="s">
        <v>1148</v>
      </c>
      <c r="AA3" s="321" t="s">
        <v>1150</v>
      </c>
      <c r="AB3" s="322" t="s">
        <v>1151</v>
      </c>
      <c r="AC3" s="146" t="s">
        <v>1152</v>
      </c>
      <c r="AD3" s="146" t="s">
        <v>1153</v>
      </c>
      <c r="AE3" s="146" t="s">
        <v>1154</v>
      </c>
      <c r="AF3" s="146" t="s">
        <v>1155</v>
      </c>
      <c r="AG3" s="240" t="s">
        <v>1148</v>
      </c>
      <c r="AH3" s="321" t="s">
        <v>1150</v>
      </c>
      <c r="AI3" s="322" t="s">
        <v>1151</v>
      </c>
      <c r="AJ3" s="146" t="s">
        <v>1152</v>
      </c>
      <c r="AK3" s="146" t="s">
        <v>1153</v>
      </c>
      <c r="AL3" s="146" t="s">
        <v>1154</v>
      </c>
      <c r="AM3" s="146" t="s">
        <v>1155</v>
      </c>
      <c r="AN3" s="240" t="s">
        <v>1148</v>
      </c>
      <c r="AO3" s="321" t="s">
        <v>1150</v>
      </c>
      <c r="AP3" s="322" t="s">
        <v>1151</v>
      </c>
      <c r="AQ3" s="146" t="s">
        <v>1152</v>
      </c>
      <c r="AR3" s="146" t="s">
        <v>1153</v>
      </c>
      <c r="AS3" s="146" t="s">
        <v>1154</v>
      </c>
      <c r="AT3" s="146" t="s">
        <v>1155</v>
      </c>
      <c r="AU3" s="240" t="s">
        <v>1148</v>
      </c>
      <c r="AV3" s="321" t="s">
        <v>1150</v>
      </c>
      <c r="AW3" s="322" t="s">
        <v>1151</v>
      </c>
      <c r="AX3" s="146" t="s">
        <v>1152</v>
      </c>
      <c r="AY3" s="146" t="s">
        <v>1153</v>
      </c>
      <c r="AZ3" s="146" t="s">
        <v>1154</v>
      </c>
      <c r="BA3" s="146" t="s">
        <v>1155</v>
      </c>
      <c r="BB3" s="240" t="s">
        <v>1148</v>
      </c>
      <c r="BC3" s="321" t="s">
        <v>1150</v>
      </c>
      <c r="BD3" s="322" t="s">
        <v>1151</v>
      </c>
      <c r="BE3" s="146" t="s">
        <v>1152</v>
      </c>
      <c r="BF3" s="146" t="s">
        <v>1153</v>
      </c>
      <c r="BG3" s="146" t="s">
        <v>1154</v>
      </c>
      <c r="BH3" s="146" t="s">
        <v>1155</v>
      </c>
      <c r="BI3" s="240" t="s">
        <v>1148</v>
      </c>
      <c r="BJ3" s="321" t="s">
        <v>1150</v>
      </c>
      <c r="BK3" s="322" t="s">
        <v>1151</v>
      </c>
      <c r="BL3" s="146" t="s">
        <v>1152</v>
      </c>
      <c r="BM3" s="146" t="s">
        <v>1153</v>
      </c>
      <c r="BN3" s="146" t="s">
        <v>1154</v>
      </c>
      <c r="BO3" s="146" t="s">
        <v>1155</v>
      </c>
      <c r="BP3" s="240" t="s">
        <v>1148</v>
      </c>
      <c r="BQ3" s="321" t="s">
        <v>1150</v>
      </c>
      <c r="BR3" s="322" t="s">
        <v>1151</v>
      </c>
      <c r="BS3" s="146" t="s">
        <v>1152</v>
      </c>
      <c r="BT3" s="146" t="s">
        <v>1153</v>
      </c>
      <c r="BU3" s="146" t="s">
        <v>1154</v>
      </c>
      <c r="BV3" s="146" t="s">
        <v>1155</v>
      </c>
    </row>
    <row r="4" customFormat="false" ht="16" hidden="false" customHeight="false" outlineLevel="0" collapsed="false">
      <c r="A4" s="149"/>
      <c r="B4" s="149" t="s">
        <v>75</v>
      </c>
      <c r="C4" s="155" t="n">
        <f aca="false">SUBTOTAL(109,C$15:INDEX(C:C,COUNTA($B:$B)+14-COUNTA($B$1:$B$14)))</f>
        <v>0</v>
      </c>
      <c r="D4" s="157" t="n">
        <f aca="false">SUBTOTAL(109,D$15:INDEX(D:D,COUNTA($B:$B)+14-COUNTA($B$1:$B$14)))</f>
        <v>0</v>
      </c>
      <c r="E4" s="323" t="n">
        <f aca="false">SUBTOTAL(109,E$15:INDEX(E:E,COUNTA($B:$B)+14-COUNTA($B$1:$B$14)))</f>
        <v>0</v>
      </c>
      <c r="F4" s="324" t="n">
        <f aca="false">SUBTOTAL(109,F$15:INDEX(F:F,COUNTA($B:$B)+14-COUNTA($B$1:$B$14)))</f>
        <v>0</v>
      </c>
      <c r="G4" s="159" t="n">
        <f aca="false">SUBTOTAL(109,G$15:INDEX(G:G,COUNTA($B:$B)+14-COUNTA($B$1:$B$14)))</f>
        <v>0</v>
      </c>
      <c r="H4" s="159" t="n">
        <f aca="false">SUBTOTAL(109,H$15:INDEX(H:H,COUNTA($B:$B)+14-COUNTA($B$1:$B$14)))</f>
        <v>0</v>
      </c>
      <c r="I4" s="164" t="n">
        <f aca="false">SUBTOTAL(109,I$15:INDEX(I:I,COUNTA($B:$B)+14-COUNTA($B$1:$B$14)))</f>
        <v>0</v>
      </c>
      <c r="J4" s="164" t="n">
        <f aca="false">SUBTOTAL(109,J$15:INDEX(J:J,COUNTA($B:$B)+14-COUNTA($B$1:$B$14)))</f>
        <v>0</v>
      </c>
      <c r="K4" s="155" t="n">
        <f aca="false">SUBTOTAL(109,K$15:INDEX(K:K,COUNTA($B:$B)+14-COUNTA($B$1:$B$14)))</f>
        <v>0</v>
      </c>
      <c r="L4" s="157" t="n">
        <f aca="false">SUBTOTAL(109,L$15:INDEX(L:L,COUNTA($B:$B)+14-COUNTA($B$1:$B$14)))</f>
        <v>0</v>
      </c>
      <c r="M4" s="323" t="n">
        <f aca="false">SUBTOTAL(109,M$15:INDEX(M:M,COUNTA($B:$B)+14-COUNTA($B$1:$B$14)))</f>
        <v>0</v>
      </c>
      <c r="N4" s="324" t="n">
        <f aca="false">SUBTOTAL(109,N$15:INDEX(N:N,COUNTA($B:$B)+14-COUNTA($B$1:$B$14)))</f>
        <v>0</v>
      </c>
      <c r="O4" s="159" t="n">
        <f aca="false">SUBTOTAL(109,O$15:INDEX(O:O,COUNTA($B:$B)+14-COUNTA($B$1:$B$14)))</f>
        <v>0</v>
      </c>
      <c r="P4" s="159" t="n">
        <f aca="false">SUBTOTAL(109,P$15:INDEX(P:P,COUNTA($B:$B)+14-COUNTA($B$1:$B$14)))</f>
        <v>0</v>
      </c>
      <c r="Q4" s="164" t="n">
        <f aca="false">SUBTOTAL(109,Q$15:INDEX(Q:Q,COUNTA($B:$B)+14-COUNTA($B$1:$B$14)))</f>
        <v>0</v>
      </c>
      <c r="R4" s="164" t="n">
        <f aca="false">SUBTOTAL(109,R$15:INDEX(R:R,COUNTA($B:$B)+14-COUNTA($B$1:$B$14)))</f>
        <v>0</v>
      </c>
      <c r="S4" s="155" t="n">
        <f aca="false">SUBTOTAL(109,S$15:INDEX(S:S,COUNTA($B:$B)+14-COUNTA($B$1:$B$14)))</f>
        <v>0</v>
      </c>
      <c r="T4" s="323" t="n">
        <f aca="false">SUBTOTAL(109,T$15:INDEX(T:T,COUNTA($B:$B)+14-COUNTA($B$1:$B$14)))</f>
        <v>0</v>
      </c>
      <c r="U4" s="324" t="n">
        <f aca="false">SUBTOTAL(109,U$15:INDEX(U:U,COUNTA($B:$B)+14-COUNTA($B$1:$B$14)))</f>
        <v>0</v>
      </c>
      <c r="V4" s="159" t="n">
        <f aca="false">SUBTOTAL(109,V$15:INDEX(V:V,COUNTA($B:$B)+14-COUNTA($B$1:$B$14)))</f>
        <v>0</v>
      </c>
      <c r="W4" s="159" t="n">
        <f aca="false">SUBTOTAL(109,W$15:INDEX(W:W,COUNTA($B:$B)+14-COUNTA($B$1:$B$14)))</f>
        <v>0</v>
      </c>
      <c r="X4" s="164" t="n">
        <f aca="false">SUBTOTAL(109,X$15:INDEX(X:X,COUNTA($B:$B)+14-COUNTA($B$1:$B$14)))</f>
        <v>0</v>
      </c>
      <c r="Y4" s="164" t="n">
        <f aca="false">SUBTOTAL(109,Y$15:INDEX(Y:Y,COUNTA($B:$B)+14-COUNTA($B$1:$B$14)))</f>
        <v>0</v>
      </c>
      <c r="Z4" s="155" t="n">
        <f aca="false">SUBTOTAL(109,Z$15:INDEX(Z:Z,COUNTA($B:$B)+14-COUNTA($B$1:$B$14)))</f>
        <v>0</v>
      </c>
      <c r="AA4" s="323" t="n">
        <f aca="false">SUBTOTAL(109,AA$15:INDEX(AA:AA,COUNTA($B:$B)+14-COUNTA($B$1:$B$14)))</f>
        <v>0</v>
      </c>
      <c r="AB4" s="324" t="n">
        <f aca="false">SUBTOTAL(109,AB$15:INDEX(AB:AB,COUNTA($B:$B)+14-COUNTA($B$1:$B$14)))</f>
        <v>0</v>
      </c>
      <c r="AC4" s="159" t="n">
        <f aca="false">SUBTOTAL(109,AC$15:INDEX(AC:AC,COUNTA($B:$B)+14-COUNTA($B$1:$B$14)))</f>
        <v>0</v>
      </c>
      <c r="AD4" s="159" t="n">
        <f aca="false">SUBTOTAL(109,AD$15:INDEX(AD:AD,COUNTA($B:$B)+14-COUNTA($B$1:$B$14)))</f>
        <v>0</v>
      </c>
      <c r="AE4" s="164" t="n">
        <f aca="false">SUBTOTAL(109,AE$15:INDEX(AE:AE,COUNTA($B:$B)+14-COUNTA($B$1:$B$14)))</f>
        <v>0</v>
      </c>
      <c r="AF4" s="164" t="n">
        <f aca="false">SUBTOTAL(109,AF$15:INDEX(AF:AF,COUNTA($B:$B)+14-COUNTA($B$1:$B$14)))</f>
        <v>0</v>
      </c>
      <c r="AG4" s="155" t="n">
        <f aca="false">SUBTOTAL(109,AG$15:INDEX(AG:AG,COUNTA($B:$B)+14-COUNTA($B$1:$B$14)))</f>
        <v>0</v>
      </c>
      <c r="AH4" s="323" t="n">
        <f aca="false">SUBTOTAL(109,AH$15:INDEX(AH:AH,COUNTA($B:$B)+14-COUNTA($B$1:$B$14)))</f>
        <v>0</v>
      </c>
      <c r="AI4" s="324" t="n">
        <f aca="false">SUBTOTAL(109,AI$15:INDEX(AI:AI,COUNTA($B:$B)+14-COUNTA($B$1:$B$14)))</f>
        <v>0</v>
      </c>
      <c r="AJ4" s="159" t="n">
        <f aca="false">SUBTOTAL(109,AJ$15:INDEX(AJ:AJ,COUNTA($B:$B)+14-COUNTA($B$1:$B$14)))</f>
        <v>0</v>
      </c>
      <c r="AK4" s="159" t="n">
        <f aca="false">SUBTOTAL(109,AK$15:INDEX(AK:AK,COUNTA($B:$B)+14-COUNTA($B$1:$B$14)))</f>
        <v>0</v>
      </c>
      <c r="AL4" s="164" t="n">
        <f aca="false">SUBTOTAL(109,AL$15:INDEX(AL:AL,COUNTA($B:$B)+14-COUNTA($B$1:$B$14)))</f>
        <v>0</v>
      </c>
      <c r="AM4" s="164" t="n">
        <f aca="false">SUBTOTAL(109,AM$15:INDEX(AM:AM,COUNTA($B:$B)+14-COUNTA($B$1:$B$14)))</f>
        <v>0</v>
      </c>
      <c r="AN4" s="155" t="n">
        <f aca="false">SUBTOTAL(109,AN$15:INDEX(AN:AN,COUNTA($B:$B)+14-COUNTA($B$1:$B$14)))</f>
        <v>0</v>
      </c>
      <c r="AO4" s="323" t="n">
        <f aca="false">SUBTOTAL(109,AO$15:INDEX(AO:AO,COUNTA($B:$B)+14-COUNTA($B$1:$B$14)))</f>
        <v>0</v>
      </c>
      <c r="AP4" s="324" t="n">
        <f aca="false">SUBTOTAL(109,AP$15:INDEX(AP:AP,COUNTA($B:$B)+14-COUNTA($B$1:$B$14)))</f>
        <v>0</v>
      </c>
      <c r="AQ4" s="159" t="n">
        <f aca="false">SUBTOTAL(109,AQ$15:INDEX(AQ:AQ,COUNTA($B:$B)+14-COUNTA($B$1:$B$14)))</f>
        <v>0</v>
      </c>
      <c r="AR4" s="159" t="n">
        <f aca="false">SUBTOTAL(109,AR$15:INDEX(AR:AR,COUNTA($B:$B)+14-COUNTA($B$1:$B$14)))</f>
        <v>0</v>
      </c>
      <c r="AS4" s="164" t="n">
        <f aca="false">SUBTOTAL(109,AS$15:INDEX(AS:AS,COUNTA($B:$B)+14-COUNTA($B$1:$B$14)))</f>
        <v>0</v>
      </c>
      <c r="AT4" s="164" t="n">
        <f aca="false">SUBTOTAL(109,AT$15:INDEX(AT:AT,COUNTA($B:$B)+14-COUNTA($B$1:$B$14)))</f>
        <v>0</v>
      </c>
      <c r="AU4" s="155" t="n">
        <f aca="false">SUBTOTAL(109,AU$15:INDEX(AU:AU,COUNTA($B:$B)+14-COUNTA($B$1:$B$14)))</f>
        <v>0</v>
      </c>
      <c r="AV4" s="323" t="n">
        <f aca="false">SUBTOTAL(109,AV$15:INDEX(AV:AV,COUNTA($B:$B)+14-COUNTA($B$1:$B$14)))</f>
        <v>0</v>
      </c>
      <c r="AW4" s="324" t="n">
        <f aca="false">SUBTOTAL(109,AW$15:INDEX(AW:AW,COUNTA($B:$B)+14-COUNTA($B$1:$B$14)))</f>
        <v>0</v>
      </c>
      <c r="AX4" s="159" t="n">
        <f aca="false">SUBTOTAL(109,AX$15:INDEX(AX:AX,COUNTA($B:$B)+14-COUNTA($B$1:$B$14)))</f>
        <v>0</v>
      </c>
      <c r="AY4" s="159" t="n">
        <f aca="false">SUBTOTAL(109,AY$15:INDEX(AY:AY,COUNTA($B:$B)+14-COUNTA($B$1:$B$14)))</f>
        <v>0</v>
      </c>
      <c r="AZ4" s="164" t="n">
        <f aca="false">SUBTOTAL(109,AZ$15:INDEX(AZ:AZ,COUNTA($B:$B)+14-COUNTA($B$1:$B$14)))</f>
        <v>0</v>
      </c>
      <c r="BA4" s="164" t="n">
        <f aca="false">SUBTOTAL(109,BA$15:INDEX(BA:BA,COUNTA($B:$B)+14-COUNTA($B$1:$B$14)))</f>
        <v>0</v>
      </c>
      <c r="BB4" s="155" t="n">
        <f aca="false">SUBTOTAL(109,BB$15:INDEX(BB:BB,COUNTA($B:$B)+14-COUNTA($B$1:$B$14)))</f>
        <v>0</v>
      </c>
      <c r="BC4" s="323" t="n">
        <f aca="false">SUBTOTAL(109,BC$15:INDEX(BC:BC,COUNTA($B:$B)+14-COUNTA($B$1:$B$14)))</f>
        <v>0</v>
      </c>
      <c r="BD4" s="324" t="n">
        <f aca="false">SUBTOTAL(109,BD$15:INDEX(BD:BD,COUNTA($B:$B)+14-COUNTA($B$1:$B$14)))</f>
        <v>0</v>
      </c>
      <c r="BE4" s="159" t="n">
        <f aca="false">SUBTOTAL(109,BE$15:INDEX(BE:BE,COUNTA($B:$B)+14-COUNTA($B$1:$B$14)))</f>
        <v>0</v>
      </c>
      <c r="BF4" s="159" t="n">
        <f aca="false">SUBTOTAL(109,BF$15:INDEX(BF:BF,COUNTA($B:$B)+14-COUNTA($B$1:$B$14)))</f>
        <v>0</v>
      </c>
      <c r="BG4" s="164" t="n">
        <f aca="false">SUBTOTAL(109,BG$15:INDEX(BG:BG,COUNTA($B:$B)+14-COUNTA($B$1:$B$14)))</f>
        <v>0</v>
      </c>
      <c r="BH4" s="164" t="n">
        <f aca="false">SUBTOTAL(109,BH$15:INDEX(BH:BH,COUNTA($B:$B)+14-COUNTA($B$1:$B$14)))</f>
        <v>0</v>
      </c>
      <c r="BI4" s="155" t="n">
        <f aca="false">SUBTOTAL(109,BI$15:INDEX(BI:BI,COUNTA($B:$B)+14-COUNTA($B$1:$B$14)))</f>
        <v>0</v>
      </c>
      <c r="BJ4" s="323" t="n">
        <f aca="false">SUBTOTAL(109,BJ$15:INDEX(BJ:BJ,COUNTA($B:$B)+14-COUNTA($B$1:$B$14)))</f>
        <v>0</v>
      </c>
      <c r="BK4" s="324" t="n">
        <f aca="false">SUBTOTAL(109,BK$15:INDEX(BK:BK,COUNTA($B:$B)+14-COUNTA($B$1:$B$14)))</f>
        <v>0</v>
      </c>
      <c r="BL4" s="159" t="n">
        <f aca="false">SUBTOTAL(109,BL$15:INDEX(BL:BL,COUNTA($B:$B)+14-COUNTA($B$1:$B$14)))</f>
        <v>0</v>
      </c>
      <c r="BM4" s="159" t="n">
        <f aca="false">SUBTOTAL(109,BM$15:INDEX(BM:BM,COUNTA($B:$B)+14-COUNTA($B$1:$B$14)))</f>
        <v>0</v>
      </c>
      <c r="BN4" s="164" t="n">
        <f aca="false">SUBTOTAL(109,BN$15:INDEX(BN:BN,COUNTA($B:$B)+14-COUNTA($B$1:$B$14)))</f>
        <v>0</v>
      </c>
      <c r="BO4" s="164" t="n">
        <f aca="false">SUBTOTAL(109,BO$15:INDEX(BO:BO,COUNTA($B:$B)+14-COUNTA($B$1:$B$14)))</f>
        <v>0</v>
      </c>
      <c r="BP4" s="155" t="n">
        <f aca="false">SUBTOTAL(109,BP$15:INDEX(BP:BP,COUNTA($B:$B)+14-COUNTA($B$1:$B$14)))</f>
        <v>0</v>
      </c>
      <c r="BQ4" s="323" t="n">
        <f aca="false">SUBTOTAL(109,BQ$15:INDEX(BQ:BQ,COUNTA($B:$B)+14-COUNTA($B$1:$B$14)))</f>
        <v>0</v>
      </c>
      <c r="BR4" s="324" t="n">
        <f aca="false">SUBTOTAL(109,BR$15:INDEX(BR:BR,COUNTA($B:$B)+14-COUNTA($B$1:$B$14)))</f>
        <v>0</v>
      </c>
      <c r="BS4" s="159" t="n">
        <f aca="false">SUBTOTAL(109,BS$15:INDEX(BS:BS,COUNTA($B:$B)+14-COUNTA($B$1:$B$14)))</f>
        <v>0</v>
      </c>
      <c r="BT4" s="159" t="n">
        <f aca="false">SUBTOTAL(109,BT$15:INDEX(BT:BT,COUNTA($B:$B)+14-COUNTA($B$1:$B$14)))</f>
        <v>0</v>
      </c>
      <c r="BU4" s="164" t="n">
        <f aca="false">SUBTOTAL(109,BU$15:INDEX(BU:BU,COUNTA($B:$B)+14-COUNTA($B$1:$B$14)))</f>
        <v>0</v>
      </c>
      <c r="BV4" s="164" t="n">
        <f aca="false">SUBTOTAL(109,BV$15:INDEX(BV:BV,COUNTA($B:$B)+14-COUNTA($B$1:$B$14)))</f>
        <v>0</v>
      </c>
    </row>
    <row r="5" customFormat="false" ht="16" hidden="false" customHeight="false" outlineLevel="0" collapsed="false">
      <c r="A5" s="165" t="s">
        <v>76</v>
      </c>
      <c r="B5" s="165" t="s">
        <v>76</v>
      </c>
      <c r="C5" s="215" t="s">
        <v>76</v>
      </c>
      <c r="D5" s="177" t="s">
        <v>76</v>
      </c>
      <c r="E5" s="314" t="s">
        <v>76</v>
      </c>
      <c r="F5" s="315" t="s">
        <v>76</v>
      </c>
      <c r="G5" s="176" t="s">
        <v>76</v>
      </c>
      <c r="H5" s="176" t="s">
        <v>76</v>
      </c>
      <c r="I5" s="84" t="s">
        <v>76</v>
      </c>
      <c r="J5" s="84" t="s">
        <v>76</v>
      </c>
      <c r="K5" s="215" t="s">
        <v>76</v>
      </c>
      <c r="L5" s="177" t="s">
        <v>76</v>
      </c>
      <c r="M5" s="314" t="s">
        <v>76</v>
      </c>
      <c r="N5" s="315" t="s">
        <v>76</v>
      </c>
      <c r="O5" s="176" t="s">
        <v>76</v>
      </c>
      <c r="P5" s="176" t="s">
        <v>76</v>
      </c>
      <c r="Q5" s="84" t="s">
        <v>76</v>
      </c>
      <c r="R5" s="84" t="s">
        <v>76</v>
      </c>
      <c r="S5" s="215" t="s">
        <v>76</v>
      </c>
      <c r="T5" s="314" t="s">
        <v>76</v>
      </c>
      <c r="U5" s="315" t="s">
        <v>76</v>
      </c>
      <c r="V5" s="176" t="s">
        <v>76</v>
      </c>
      <c r="W5" s="176" t="s">
        <v>76</v>
      </c>
      <c r="X5" s="84" t="s">
        <v>76</v>
      </c>
      <c r="Y5" s="84" t="s">
        <v>76</v>
      </c>
      <c r="Z5" s="215" t="s">
        <v>76</v>
      </c>
      <c r="AA5" s="314" t="s">
        <v>76</v>
      </c>
      <c r="AB5" s="315" t="s">
        <v>76</v>
      </c>
      <c r="AC5" s="176" t="s">
        <v>76</v>
      </c>
      <c r="AD5" s="176" t="s">
        <v>76</v>
      </c>
      <c r="AE5" s="84" t="s">
        <v>76</v>
      </c>
      <c r="AF5" s="84" t="s">
        <v>76</v>
      </c>
      <c r="AG5" s="215" t="s">
        <v>76</v>
      </c>
      <c r="AH5" s="314" t="s">
        <v>76</v>
      </c>
      <c r="AI5" s="315" t="s">
        <v>76</v>
      </c>
      <c r="AJ5" s="176" t="s">
        <v>76</v>
      </c>
      <c r="AK5" s="176" t="s">
        <v>76</v>
      </c>
      <c r="AL5" s="84" t="s">
        <v>76</v>
      </c>
      <c r="AM5" s="84" t="s">
        <v>76</v>
      </c>
      <c r="AN5" s="215" t="s">
        <v>76</v>
      </c>
      <c r="AO5" s="314" t="s">
        <v>76</v>
      </c>
      <c r="AP5" s="315" t="s">
        <v>76</v>
      </c>
      <c r="AQ5" s="176" t="s">
        <v>76</v>
      </c>
      <c r="AR5" s="176" t="s">
        <v>76</v>
      </c>
      <c r="AS5" s="84" t="s">
        <v>76</v>
      </c>
      <c r="AT5" s="84" t="s">
        <v>76</v>
      </c>
      <c r="AU5" s="215" t="s">
        <v>76</v>
      </c>
      <c r="AV5" s="314" t="s">
        <v>76</v>
      </c>
      <c r="AW5" s="315" t="s">
        <v>76</v>
      </c>
      <c r="AX5" s="176" t="s">
        <v>76</v>
      </c>
      <c r="AY5" s="176" t="s">
        <v>76</v>
      </c>
      <c r="AZ5" s="84" t="s">
        <v>76</v>
      </c>
      <c r="BA5" s="84" t="s">
        <v>76</v>
      </c>
      <c r="BB5" s="215" t="s">
        <v>76</v>
      </c>
      <c r="BC5" s="314" t="s">
        <v>76</v>
      </c>
      <c r="BD5" s="315" t="s">
        <v>76</v>
      </c>
      <c r="BE5" s="176" t="s">
        <v>76</v>
      </c>
      <c r="BF5" s="176" t="s">
        <v>76</v>
      </c>
      <c r="BG5" s="84" t="s">
        <v>76</v>
      </c>
      <c r="BH5" s="84" t="s">
        <v>76</v>
      </c>
      <c r="BI5" s="215" t="s">
        <v>76</v>
      </c>
      <c r="BJ5" s="314" t="s">
        <v>76</v>
      </c>
      <c r="BK5" s="315" t="s">
        <v>76</v>
      </c>
      <c r="BL5" s="176" t="s">
        <v>76</v>
      </c>
      <c r="BM5" s="176" t="s">
        <v>76</v>
      </c>
      <c r="BN5" s="84" t="s">
        <v>76</v>
      </c>
      <c r="BO5" s="84" t="s">
        <v>76</v>
      </c>
      <c r="BP5" s="215" t="s">
        <v>76</v>
      </c>
      <c r="BQ5" s="314" t="s">
        <v>76</v>
      </c>
      <c r="BR5" s="315" t="s">
        <v>76</v>
      </c>
      <c r="BS5" s="176" t="s">
        <v>76</v>
      </c>
      <c r="BT5" s="176" t="s">
        <v>76</v>
      </c>
      <c r="BU5" s="84" t="s">
        <v>76</v>
      </c>
      <c r="BV5" s="84" t="s">
        <v>76</v>
      </c>
    </row>
    <row r="6" customFormat="false" ht="16" hidden="false" customHeight="false" outlineLevel="0" collapsed="false">
      <c r="A6" s="165" t="s">
        <v>78</v>
      </c>
      <c r="B6" s="165" t="s">
        <v>78</v>
      </c>
      <c r="C6" s="215" t="s">
        <v>81</v>
      </c>
      <c r="D6" s="177" t="s">
        <v>81</v>
      </c>
      <c r="E6" s="314" t="s">
        <v>81</v>
      </c>
      <c r="F6" s="315" t="s">
        <v>81</v>
      </c>
      <c r="G6" s="176" t="s">
        <v>81</v>
      </c>
      <c r="H6" s="176" t="s">
        <v>81</v>
      </c>
      <c r="I6" s="84" t="s">
        <v>81</v>
      </c>
      <c r="J6" s="84" t="s">
        <v>81</v>
      </c>
      <c r="K6" s="215" t="s">
        <v>81</v>
      </c>
      <c r="L6" s="177" t="s">
        <v>81</v>
      </c>
      <c r="M6" s="314" t="s">
        <v>81</v>
      </c>
      <c r="N6" s="315" t="s">
        <v>81</v>
      </c>
      <c r="O6" s="176" t="s">
        <v>81</v>
      </c>
      <c r="P6" s="176" t="s">
        <v>81</v>
      </c>
      <c r="Q6" s="84" t="s">
        <v>81</v>
      </c>
      <c r="R6" s="84" t="s">
        <v>81</v>
      </c>
      <c r="S6" s="215" t="s">
        <v>81</v>
      </c>
      <c r="T6" s="314" t="s">
        <v>81</v>
      </c>
      <c r="U6" s="315" t="s">
        <v>81</v>
      </c>
      <c r="V6" s="176" t="s">
        <v>81</v>
      </c>
      <c r="W6" s="176" t="s">
        <v>81</v>
      </c>
      <c r="X6" s="84" t="s">
        <v>81</v>
      </c>
      <c r="Y6" s="84" t="s">
        <v>81</v>
      </c>
      <c r="Z6" s="215" t="s">
        <v>81</v>
      </c>
      <c r="AA6" s="314" t="s">
        <v>81</v>
      </c>
      <c r="AB6" s="315" t="s">
        <v>81</v>
      </c>
      <c r="AC6" s="176" t="s">
        <v>81</v>
      </c>
      <c r="AD6" s="176" t="s">
        <v>81</v>
      </c>
      <c r="AE6" s="84" t="s">
        <v>81</v>
      </c>
      <c r="AF6" s="84" t="s">
        <v>81</v>
      </c>
      <c r="AG6" s="215" t="s">
        <v>81</v>
      </c>
      <c r="AH6" s="314" t="s">
        <v>81</v>
      </c>
      <c r="AI6" s="315" t="s">
        <v>81</v>
      </c>
      <c r="AJ6" s="176" t="s">
        <v>81</v>
      </c>
      <c r="AK6" s="176" t="s">
        <v>81</v>
      </c>
      <c r="AL6" s="84" t="s">
        <v>81</v>
      </c>
      <c r="AM6" s="84" t="s">
        <v>81</v>
      </c>
      <c r="AN6" s="215" t="s">
        <v>81</v>
      </c>
      <c r="AO6" s="314" t="s">
        <v>81</v>
      </c>
      <c r="AP6" s="315" t="s">
        <v>81</v>
      </c>
      <c r="AQ6" s="176" t="s">
        <v>81</v>
      </c>
      <c r="AR6" s="176" t="s">
        <v>81</v>
      </c>
      <c r="AS6" s="84" t="s">
        <v>81</v>
      </c>
      <c r="AT6" s="84" t="s">
        <v>81</v>
      </c>
      <c r="AU6" s="215" t="s">
        <v>81</v>
      </c>
      <c r="AV6" s="314" t="s">
        <v>81</v>
      </c>
      <c r="AW6" s="315" t="s">
        <v>81</v>
      </c>
      <c r="AX6" s="176" t="s">
        <v>81</v>
      </c>
      <c r="AY6" s="176" t="s">
        <v>81</v>
      </c>
      <c r="AZ6" s="84" t="s">
        <v>81</v>
      </c>
      <c r="BA6" s="84" t="s">
        <v>81</v>
      </c>
      <c r="BB6" s="215" t="s">
        <v>81</v>
      </c>
      <c r="BC6" s="314" t="s">
        <v>81</v>
      </c>
      <c r="BD6" s="315" t="s">
        <v>81</v>
      </c>
      <c r="BE6" s="176" t="s">
        <v>81</v>
      </c>
      <c r="BF6" s="176" t="s">
        <v>81</v>
      </c>
      <c r="BG6" s="84" t="s">
        <v>81</v>
      </c>
      <c r="BH6" s="84" t="s">
        <v>81</v>
      </c>
      <c r="BI6" s="215" t="s">
        <v>81</v>
      </c>
      <c r="BJ6" s="314" t="s">
        <v>81</v>
      </c>
      <c r="BK6" s="315" t="s">
        <v>81</v>
      </c>
      <c r="BL6" s="176" t="s">
        <v>81</v>
      </c>
      <c r="BM6" s="176" t="s">
        <v>81</v>
      </c>
      <c r="BN6" s="84" t="s">
        <v>81</v>
      </c>
      <c r="BO6" s="84" t="s">
        <v>81</v>
      </c>
      <c r="BP6" s="215" t="s">
        <v>81</v>
      </c>
      <c r="BQ6" s="314" t="s">
        <v>81</v>
      </c>
      <c r="BR6" s="315" t="s">
        <v>81</v>
      </c>
      <c r="BS6" s="176" t="s">
        <v>81</v>
      </c>
      <c r="BT6" s="176" t="s">
        <v>81</v>
      </c>
      <c r="BU6" s="84" t="s">
        <v>81</v>
      </c>
      <c r="BV6" s="84" t="s">
        <v>81</v>
      </c>
    </row>
    <row r="7" customFormat="false" ht="16" hidden="false" customHeight="false" outlineLevel="0" collapsed="false">
      <c r="A7" s="165" t="s">
        <v>82</v>
      </c>
      <c r="B7" s="165" t="s">
        <v>82</v>
      </c>
      <c r="C7" s="215" t="s">
        <v>83</v>
      </c>
      <c r="D7" s="177" t="s">
        <v>83</v>
      </c>
      <c r="E7" s="314" t="s">
        <v>83</v>
      </c>
      <c r="F7" s="315" t="s">
        <v>83</v>
      </c>
      <c r="G7" s="176" t="s">
        <v>83</v>
      </c>
      <c r="H7" s="176" t="s">
        <v>83</v>
      </c>
      <c r="I7" s="84" t="s">
        <v>83</v>
      </c>
      <c r="J7" s="84" t="s">
        <v>83</v>
      </c>
      <c r="K7" s="215" t="s">
        <v>83</v>
      </c>
      <c r="L7" s="177" t="s">
        <v>83</v>
      </c>
      <c r="M7" s="314" t="s">
        <v>83</v>
      </c>
      <c r="N7" s="315" t="s">
        <v>83</v>
      </c>
      <c r="O7" s="176" t="s">
        <v>83</v>
      </c>
      <c r="P7" s="176" t="s">
        <v>83</v>
      </c>
      <c r="Q7" s="84" t="s">
        <v>83</v>
      </c>
      <c r="R7" s="84" t="s">
        <v>83</v>
      </c>
      <c r="S7" s="215" t="s">
        <v>83</v>
      </c>
      <c r="T7" s="314" t="s">
        <v>83</v>
      </c>
      <c r="U7" s="315" t="s">
        <v>83</v>
      </c>
      <c r="V7" s="176" t="s">
        <v>83</v>
      </c>
      <c r="W7" s="176" t="s">
        <v>83</v>
      </c>
      <c r="X7" s="84" t="s">
        <v>83</v>
      </c>
      <c r="Y7" s="84" t="s">
        <v>83</v>
      </c>
      <c r="Z7" s="215" t="s">
        <v>83</v>
      </c>
      <c r="AA7" s="314" t="s">
        <v>83</v>
      </c>
      <c r="AB7" s="315" t="s">
        <v>83</v>
      </c>
      <c r="AC7" s="176" t="s">
        <v>83</v>
      </c>
      <c r="AD7" s="176" t="s">
        <v>83</v>
      </c>
      <c r="AE7" s="84" t="s">
        <v>83</v>
      </c>
      <c r="AF7" s="84" t="s">
        <v>83</v>
      </c>
      <c r="AG7" s="215" t="s">
        <v>83</v>
      </c>
      <c r="AH7" s="314" t="s">
        <v>83</v>
      </c>
      <c r="AI7" s="315" t="s">
        <v>83</v>
      </c>
      <c r="AJ7" s="176" t="s">
        <v>83</v>
      </c>
      <c r="AK7" s="176" t="s">
        <v>83</v>
      </c>
      <c r="AL7" s="84" t="s">
        <v>83</v>
      </c>
      <c r="AM7" s="84" t="s">
        <v>83</v>
      </c>
      <c r="AN7" s="215" t="s">
        <v>83</v>
      </c>
      <c r="AO7" s="314" t="s">
        <v>83</v>
      </c>
      <c r="AP7" s="315" t="s">
        <v>83</v>
      </c>
      <c r="AQ7" s="176" t="s">
        <v>83</v>
      </c>
      <c r="AR7" s="176" t="s">
        <v>83</v>
      </c>
      <c r="AS7" s="84" t="s">
        <v>83</v>
      </c>
      <c r="AT7" s="84" t="s">
        <v>83</v>
      </c>
      <c r="AU7" s="215" t="s">
        <v>83</v>
      </c>
      <c r="AV7" s="314" t="s">
        <v>83</v>
      </c>
      <c r="AW7" s="315" t="s">
        <v>83</v>
      </c>
      <c r="AX7" s="176" t="s">
        <v>83</v>
      </c>
      <c r="AY7" s="176" t="s">
        <v>83</v>
      </c>
      <c r="AZ7" s="84" t="s">
        <v>83</v>
      </c>
      <c r="BA7" s="84" t="s">
        <v>83</v>
      </c>
      <c r="BB7" s="215" t="s">
        <v>83</v>
      </c>
      <c r="BC7" s="314" t="s">
        <v>83</v>
      </c>
      <c r="BD7" s="315" t="s">
        <v>83</v>
      </c>
      <c r="BE7" s="176" t="s">
        <v>83</v>
      </c>
      <c r="BF7" s="176" t="s">
        <v>83</v>
      </c>
      <c r="BG7" s="84" t="s">
        <v>83</v>
      </c>
      <c r="BH7" s="84" t="s">
        <v>83</v>
      </c>
      <c r="BI7" s="215" t="s">
        <v>83</v>
      </c>
      <c r="BJ7" s="314" t="s">
        <v>83</v>
      </c>
      <c r="BK7" s="315" t="s">
        <v>83</v>
      </c>
      <c r="BL7" s="176" t="s">
        <v>83</v>
      </c>
      <c r="BM7" s="176" t="s">
        <v>83</v>
      </c>
      <c r="BN7" s="84" t="s">
        <v>83</v>
      </c>
      <c r="BO7" s="84" t="s">
        <v>83</v>
      </c>
      <c r="BP7" s="215" t="s">
        <v>83</v>
      </c>
      <c r="BQ7" s="314" t="s">
        <v>83</v>
      </c>
      <c r="BR7" s="315" t="s">
        <v>83</v>
      </c>
      <c r="BS7" s="176" t="s">
        <v>83</v>
      </c>
      <c r="BT7" s="176" t="s">
        <v>83</v>
      </c>
      <c r="BU7" s="84" t="s">
        <v>83</v>
      </c>
      <c r="BV7" s="84" t="s">
        <v>83</v>
      </c>
    </row>
    <row r="14" customFormat="false" ht="16" hidden="false" customHeight="false" outlineLevel="0" collapsed="false">
      <c r="A14" s="79" t="s">
        <v>85</v>
      </c>
      <c r="B14" s="79" t="s">
        <v>86</v>
      </c>
      <c r="C14" s="200" t="s">
        <v>1156</v>
      </c>
      <c r="D14" s="199" t="s">
        <v>1157</v>
      </c>
      <c r="E14" s="325" t="s">
        <v>1158</v>
      </c>
      <c r="F14" s="326" t="s">
        <v>1159</v>
      </c>
      <c r="G14" s="196" t="s">
        <v>1160</v>
      </c>
      <c r="H14" s="196" t="s">
        <v>1161</v>
      </c>
      <c r="I14" s="196" t="s">
        <v>1162</v>
      </c>
      <c r="J14" s="196" t="s">
        <v>1163</v>
      </c>
      <c r="K14" s="200" t="s">
        <v>1164</v>
      </c>
      <c r="L14" s="199" t="s">
        <v>1165</v>
      </c>
      <c r="M14" s="325" t="s">
        <v>1166</v>
      </c>
      <c r="N14" s="326" t="s">
        <v>1167</v>
      </c>
      <c r="O14" s="196" t="s">
        <v>1168</v>
      </c>
      <c r="P14" s="196" t="s">
        <v>1169</v>
      </c>
      <c r="Q14" s="196" t="s">
        <v>1170</v>
      </c>
      <c r="R14" s="196" t="s">
        <v>1171</v>
      </c>
      <c r="S14" s="200" t="s">
        <v>1172</v>
      </c>
      <c r="T14" s="325" t="s">
        <v>1173</v>
      </c>
      <c r="U14" s="326" t="s">
        <v>1174</v>
      </c>
      <c r="V14" s="196" t="s">
        <v>1175</v>
      </c>
      <c r="W14" s="196" t="s">
        <v>1176</v>
      </c>
      <c r="X14" s="196" t="s">
        <v>1177</v>
      </c>
      <c r="Y14" s="196" t="s">
        <v>1178</v>
      </c>
      <c r="Z14" s="200" t="s">
        <v>1179</v>
      </c>
      <c r="AA14" s="325" t="s">
        <v>1180</v>
      </c>
      <c r="AB14" s="326" t="s">
        <v>1181</v>
      </c>
      <c r="AC14" s="196" t="s">
        <v>1182</v>
      </c>
      <c r="AD14" s="196" t="s">
        <v>1183</v>
      </c>
      <c r="AE14" s="196" t="s">
        <v>1184</v>
      </c>
      <c r="AF14" s="196" t="s">
        <v>1185</v>
      </c>
      <c r="AG14" s="200" t="s">
        <v>1186</v>
      </c>
      <c r="AH14" s="325" t="s">
        <v>1187</v>
      </c>
      <c r="AI14" s="326" t="s">
        <v>1188</v>
      </c>
      <c r="AJ14" s="196" t="s">
        <v>1189</v>
      </c>
      <c r="AK14" s="196" t="s">
        <v>1190</v>
      </c>
      <c r="AL14" s="196" t="s">
        <v>1191</v>
      </c>
      <c r="AM14" s="196" t="s">
        <v>1192</v>
      </c>
      <c r="AN14" s="200" t="s">
        <v>1193</v>
      </c>
      <c r="AO14" s="325" t="s">
        <v>1194</v>
      </c>
      <c r="AP14" s="326" t="s">
        <v>1195</v>
      </c>
      <c r="AQ14" s="196" t="s">
        <v>1196</v>
      </c>
      <c r="AR14" s="196" t="s">
        <v>1197</v>
      </c>
      <c r="AS14" s="196" t="s">
        <v>1198</v>
      </c>
      <c r="AT14" s="196" t="s">
        <v>1199</v>
      </c>
      <c r="AU14" s="200" t="s">
        <v>1200</v>
      </c>
      <c r="AV14" s="325" t="s">
        <v>1201</v>
      </c>
      <c r="AW14" s="326" t="s">
        <v>1202</v>
      </c>
      <c r="AX14" s="196" t="s">
        <v>1203</v>
      </c>
      <c r="AY14" s="196" t="s">
        <v>1204</v>
      </c>
      <c r="AZ14" s="196" t="s">
        <v>1205</v>
      </c>
      <c r="BA14" s="196" t="s">
        <v>1206</v>
      </c>
      <c r="BB14" s="200" t="s">
        <v>1207</v>
      </c>
      <c r="BC14" s="325" t="s">
        <v>1208</v>
      </c>
      <c r="BD14" s="326" t="s">
        <v>1209</v>
      </c>
      <c r="BE14" s="196" t="s">
        <v>1210</v>
      </c>
      <c r="BF14" s="196" t="s">
        <v>1211</v>
      </c>
      <c r="BG14" s="196" t="s">
        <v>1212</v>
      </c>
      <c r="BH14" s="196" t="s">
        <v>1213</v>
      </c>
      <c r="BI14" s="200" t="s">
        <v>1214</v>
      </c>
      <c r="BJ14" s="325" t="s">
        <v>1215</v>
      </c>
      <c r="BK14" s="326" t="s">
        <v>1216</v>
      </c>
      <c r="BL14" s="196" t="s">
        <v>1217</v>
      </c>
      <c r="BM14" s="196" t="s">
        <v>1218</v>
      </c>
      <c r="BN14" s="196" t="s">
        <v>1219</v>
      </c>
      <c r="BO14" s="196" t="s">
        <v>1220</v>
      </c>
      <c r="BP14" s="200" t="s">
        <v>1221</v>
      </c>
      <c r="BQ14" s="325" t="s">
        <v>1222</v>
      </c>
      <c r="BR14" s="326" t="s">
        <v>1223</v>
      </c>
      <c r="BS14" s="196" t="s">
        <v>1224</v>
      </c>
      <c r="BT14" s="196" t="s">
        <v>1225</v>
      </c>
      <c r="BU14" s="196" t="s">
        <v>1226</v>
      </c>
      <c r="BV14" s="196" t="s">
        <v>1227</v>
      </c>
    </row>
    <row r="15" customFormat="false" ht="16" hidden="false" customHeight="false" outlineLevel="0" collapsed="false">
      <c r="C15" s="215" t="n">
        <f aca="false" t="array" ref="C15:C15">SUM(SUMIFS(PrEP!$O:$O,PrEP!$B:$B,$B15,PrEP!$C:$C,{"15-19","20-24","25-29","30-34","35-39","40-44","45-49","50+"},PrEP!$D:$D,"Female"))</f>
        <v>0</v>
      </c>
      <c r="D15" s="177" t="n">
        <f aca="false" t="array" ref="D15:D15">SUM(SUMIFS(PrEP!$O:$O,PrEP!$B:$B,$B15,PrEP!$C:$C,{"15-19","20-24","25-29"},PrEP!$D:$D,"Female"))</f>
        <v>0</v>
      </c>
      <c r="E15" s="314" t="n">
        <f aca="false" t="array" ref="E15:E15">SUM(SUMIFS(PrEP!$O:$O,PrEP!$B:$B,$B15,PrEP!$C:$C,{"15-19","20-24","25-29","30-34","35-39","40-44","45-49","50+"},PrEP!$D:$D,"Male"))</f>
        <v>0</v>
      </c>
      <c r="F15" s="315" t="str">
        <f aca="false">_xlfn.IFNA(INDEX(KP!$I:$I,MATCH(($B15&amp;"|"&amp;F$3),KP!$D:$D,0)),"")</f>
        <v/>
      </c>
      <c r="G15" s="176" t="str">
        <f aca="false">_xlfn.IFNA(INDEX(KP!$I:$I,MATCH(($B15&amp;"|"&amp;G$3),KP!$D:$D,0)),"")</f>
        <v/>
      </c>
      <c r="H15" s="176" t="str">
        <f aca="false">_xlfn.IFNA(INDEX(KP!$I:$I,MATCH(($B15&amp;"|"&amp;H$3),KP!$D:$D,0)),"")</f>
        <v/>
      </c>
      <c r="I15" s="176" t="str">
        <f aca="false">_xlfn.IFNA(INDEX(KP!$I:$I,MATCH(($B15&amp;"|"&amp;I$3),KP!$D:$D,0)),"")</f>
        <v/>
      </c>
      <c r="J15" s="176" t="str">
        <f aca="false">_xlfn.IFNA(INDEX(KP!$I:$I,MATCH(($B15&amp;"|"&amp;J$3),KP!$D:$D,0)),"")</f>
        <v/>
      </c>
      <c r="K15" s="215" t="n">
        <f aca="false" t="array" ref="K15:K15">SUM(SUMIFS(PrEP!$L:$L,PrEP!$B:$B,$B15,PrEP!$C:$C,{"15-19","20-24","25-29","30-34","35-39","40-44","45-49","50+"},PrEP!$D:$D,"Female"))</f>
        <v>0</v>
      </c>
      <c r="L15" s="177" t="n">
        <f aca="false" t="array" ref="L15:L15">SUM(SUMIFS(PrEP!$L:$L,PrEP!$B:$B,$B15,PrEP!$C:$C,{"15-19","20-24","25-29"},PrEP!$D:$D,"Female"))</f>
        <v>0</v>
      </c>
      <c r="M15" s="314" t="n">
        <f aca="false" t="array" ref="M15:M15">SUM(SUMIFS(PrEP!$L:$L,PrEP!$B:$B,$B15,PrEP!$C:$C,{"15-19","20-24","25-29","30-34","35-39","40-44","45-49","50+"},PrEP!$D:$D,"Male"))</f>
        <v>0</v>
      </c>
      <c r="N15" s="315" t="str">
        <f aca="false">_xlfn.IFNA(INDEX(KP!$K:$K,MATCH(($B15&amp;"|"&amp;N$3),KP!$D:$D,0)),"")</f>
        <v/>
      </c>
      <c r="O15" s="176" t="str">
        <f aca="false">_xlfn.IFNA(INDEX(KP!$K:$K,MATCH(($B15&amp;"|"&amp;O$3),KP!$D:$D,0)),"")</f>
        <v/>
      </c>
      <c r="P15" s="176" t="str">
        <f aca="false">_xlfn.IFNA(INDEX(KP!$K:$K,MATCH(($B15&amp;"|"&amp;P$3),KP!$D:$D,0)),"")</f>
        <v/>
      </c>
      <c r="Q15" s="176" t="str">
        <f aca="false">_xlfn.IFNA(INDEX(KP!$K:$K,MATCH(($B15&amp;"|"&amp;Q$3),KP!$D:$D,0)),"")</f>
        <v/>
      </c>
      <c r="R15" s="176" t="str">
        <f aca="false">_xlfn.IFNA(INDEX(KP!$K:$K,MATCH(($B15&amp;"|"&amp;R$3),KP!$D:$D,0)),"")</f>
        <v/>
      </c>
      <c r="S15" s="215" t="n">
        <f aca="false" t="array" ref="S15:S15">SUM(SUMIFS(Cascade!$BQ:$BQ,Cascade!$B:$B,$B15,Cascade!$C:$C,{"15-19","20-24","25-29","30-34","35-39","40-44","45-49","50-54","55-59","60-64","65+"},Cascade!$D:$D,"Female"))</f>
        <v>0</v>
      </c>
      <c r="T15" s="314" t="n">
        <f aca="false" t="array" ref="T15:T15">SUM(SUMIFS(Cascade!$BQ:$BQ,Cascade!$B:$B,$B15,Cascade!$C:$C,{"15-19","20-24","25-29","30-34","35-39","40-44","45-49","50-54","55-59","60-64","65+"},Cascade!$D:$D,"Male"))</f>
        <v>0</v>
      </c>
      <c r="U15" s="315" t="str">
        <f aca="false">_xlfn.IFNA(INDEX(KP!$P:$P,MATCH(($B15&amp;"|"&amp;U$3),KP!$D:$D,0)),"")</f>
        <v/>
      </c>
      <c r="V15" s="176" t="str">
        <f aca="false">_xlfn.IFNA(INDEX(KP!$P:$P,MATCH(($B15&amp;"|"&amp;V$3),KP!$D:$D,0)),"")</f>
        <v/>
      </c>
      <c r="W15" s="176" t="str">
        <f aca="false">_xlfn.IFNA(INDEX(KP!$P:$P,MATCH(($B15&amp;"|"&amp;W$3),KP!$D:$D,0)),"")</f>
        <v/>
      </c>
      <c r="X15" s="176" t="str">
        <f aca="false">_xlfn.IFNA(INDEX(KP!$P:$P,MATCH(($B15&amp;"|"&amp;X$3),KP!$D:$D,0)),"")</f>
        <v/>
      </c>
      <c r="Y15" s="176" t="str">
        <f aca="false">_xlfn.IFNA(INDEX(KP!$P:$P,MATCH(($B15&amp;"|"&amp;Y$3),KP!$D:$D,0)),"")</f>
        <v/>
      </c>
      <c r="Z15" s="215" t="n">
        <f aca="false" t="array" ref="Z15:Z15">SUM(SUMIFS(Cascade!$BN:$BN,Cascade!$B:$B,$B15,Cascade!$C:$C,{"15-19","20-24","25-29","30-34","35-39","40-44","45-49","50-54","55-59","60-64","65+"},Cascade!$D:$D,"Female"))</f>
        <v>0</v>
      </c>
      <c r="AA15" s="314" t="n">
        <f aca="false" t="array" ref="AA15:AA15">SUM(SUMIFS(Cascade!$BN:$BN,Cascade!$B:$B,$B15,Cascade!$C:$C,{"15-19","20-24","25-29","30-34","35-39","40-44","45-49","50-54","55-59","60-64","65+"},Cascade!$D:$D,"Male"))</f>
        <v>0</v>
      </c>
      <c r="AB15" s="315" t="str">
        <f aca="false">_xlfn.IFNA(INDEX(KP!$V:$V,MATCH(($B15&amp;"|"&amp;AB$3),KP!$D:$D,0)),"")</f>
        <v/>
      </c>
      <c r="AC15" s="176" t="str">
        <f aca="false">_xlfn.IFNA(INDEX(KP!$V:$V,MATCH(($B15&amp;"|"&amp;AC$3),KP!$D:$D,0)),"")</f>
        <v/>
      </c>
      <c r="AD15" s="176" t="str">
        <f aca="false">_xlfn.IFNA(INDEX(KP!$V:$V,MATCH(($B15&amp;"|"&amp;AD$3),KP!$D:$D,0)),"")</f>
        <v/>
      </c>
      <c r="AE15" s="176" t="str">
        <f aca="false">_xlfn.IFNA(INDEX(KP!$V:$V,MATCH(($B15&amp;"|"&amp;AE$3),KP!$D:$D,0)),"")</f>
        <v/>
      </c>
      <c r="AF15" s="176" t="str">
        <f aca="false">_xlfn.IFNA(INDEX(KP!$V:$V,MATCH(($B15&amp;"|"&amp;AF$3),KP!$D:$D,0)),"")</f>
        <v/>
      </c>
      <c r="AG15" s="215" t="n">
        <f aca="false" t="array" ref="AG15:AG15">SUM(SUMIFS(Cascade!$AU:$AU,Cascade!$B:$B,$B15,Cascade!$C:$C,{"15-19","20-24","25-29","30-34","35-39","40-44","45-49","50-54","55-59","60-64","65+"},Cascade!$D:$D,"Female"))</f>
        <v>0</v>
      </c>
      <c r="AH15" s="314" t="n">
        <f aca="false" t="array" ref="AH15:AH15">SUM(SUMIFS(Cascade!$AU:$AU,Cascade!$B:$B,$B15,Cascade!$C:$C,{"15-19","20-24","25-29","30-34","35-39","40-44","45-49","50-54","55-59","60-64","65+"},Cascade!$D:$D,"Male"))</f>
        <v>0</v>
      </c>
      <c r="AI15" s="315" t="str">
        <f aca="false">_xlfn.IFNA(INDEX(KP!$Y:$Y,MATCH(($B15&amp;"|"&amp;AI$3),KP!$D:$D,0)),"")</f>
        <v/>
      </c>
      <c r="AJ15" s="176" t="str">
        <f aca="false">_xlfn.IFNA(INDEX(KP!$Y:$Y,MATCH(($B15&amp;"|"&amp;AJ$3),KP!$D:$D,0)),"")</f>
        <v/>
      </c>
      <c r="AK15" s="176" t="str">
        <f aca="false">_xlfn.IFNA(INDEX(KP!$Y:$Y,MATCH(($B15&amp;"|"&amp;AK$3),KP!$D:$D,0)),"")</f>
        <v/>
      </c>
      <c r="AL15" s="176" t="str">
        <f aca="false">_xlfn.IFNA(INDEX(KP!$Y:$Y,MATCH(($B15&amp;"|"&amp;AL$3),KP!$D:$D,0)),"")</f>
        <v/>
      </c>
      <c r="AM15" s="176" t="str">
        <f aca="false">_xlfn.IFNA(INDEX(KP!$Y:$Y,MATCH(($B15&amp;"|"&amp;AM$3),KP!$D:$D,0)),"")</f>
        <v/>
      </c>
      <c r="AN15" s="215" t="n">
        <f aca="false" t="array" ref="AN15:AN15">SUM(SUMIFS(Cascade!$AP:$AP,Cascade!$B:$B,$B15,Cascade!$C:$C,{"15-19","20-24","25-29","30-34","35-39","40-44","45-49","50-54","55-59","60-64","65+"},Cascade!$D:$D,"Female"))</f>
        <v>0</v>
      </c>
      <c r="AO15" s="314" t="n">
        <f aca="false" t="array" ref="AO15:AO15">SUM(SUMIFS(Cascade!$AP:$AP,Cascade!$B:$B,$B15,Cascade!$C:$C,{"15-19","20-24","25-29","30-34","35-39","40-44","45-49","50-54","55-59","60-64","65+"},Cascade!$D:$D,"Male"))</f>
        <v>0</v>
      </c>
      <c r="AP15" s="315" t="str">
        <f aca="false">_xlfn.IFNA(INDEX(KP!$AA:$AA,MATCH(($B15&amp;"|"&amp;AP$3),KP!$D:$D,0)),"")</f>
        <v/>
      </c>
      <c r="AQ15" s="176" t="str">
        <f aca="false">_xlfn.IFNA(INDEX(KP!$AA:$AA,MATCH(($B15&amp;"|"&amp;AQ$3),KP!$D:$D,0)),"")</f>
        <v/>
      </c>
      <c r="AR15" s="176" t="str">
        <f aca="false">_xlfn.IFNA(INDEX(KP!$AA:$AA,MATCH(($B15&amp;"|"&amp;AR$3),KP!$D:$D,0)),"")</f>
        <v/>
      </c>
      <c r="AS15" s="176" t="str">
        <f aca="false">_xlfn.IFNA(INDEX(KP!$AA:$AA,MATCH(($B15&amp;"|"&amp;AS$3),KP!$D:$D,0)),"")</f>
        <v/>
      </c>
      <c r="AT15" s="176" t="str">
        <f aca="false">_xlfn.IFNA(INDEX(KP!$AA:$AA,MATCH(($B15&amp;"|"&amp;AT$3),KP!$D:$D,0)),"")</f>
        <v/>
      </c>
      <c r="AU15" s="215" t="n">
        <f aca="false" t="array" ref="AU15:AU15">SUM(SUMIFS(HTS!$BP:$BP,HTS!$B:$B,$B15,HTS!$C:$C,{"15-19","20-24","25-29","30-34","35-39","40-44","45-49","50+"},HTS!$D:$D,"Female"))</f>
        <v>0</v>
      </c>
      <c r="AV15" s="314" t="n">
        <f aca="false" t="array" ref="AV15:AV15">SUM(SUMIFS(HTS!$BP:$BP,HTS!$B:$B,$B15,HTS!$C:$C,{"15-19","20-24","25-29","30-34","35-39","40-44","45-49","50+"},HTS!$D:$D,"Male"))</f>
        <v>0</v>
      </c>
      <c r="AW15" s="315" t="str">
        <f aca="false">_xlfn.IFNA(INDEX(KP!$AI:$AI,MATCH(($B15&amp;"|"&amp;AW$3),KP!$D:$D,0)),"")</f>
        <v/>
      </c>
      <c r="AX15" s="176" t="str">
        <f aca="false">_xlfn.IFNA(INDEX(KP!$AI:$AI,MATCH(($B15&amp;"|"&amp;AX$3),KP!$D:$D,0)),"")</f>
        <v/>
      </c>
      <c r="AY15" s="176" t="str">
        <f aca="false">_xlfn.IFNA(INDEX(KP!$AI:$AI,MATCH(($B15&amp;"|"&amp;AY$3),KP!$D:$D,0)),"")</f>
        <v/>
      </c>
      <c r="AZ15" s="176" t="str">
        <f aca="false">_xlfn.IFNA(INDEX(KP!$AI:$AI,MATCH(($B15&amp;"|"&amp;AZ$3),KP!$D:$D,0)),"")</f>
        <v/>
      </c>
      <c r="BA15" s="176" t="str">
        <f aca="false">_xlfn.IFNA(INDEX(KP!$AI:$AI,MATCH(($B15&amp;"|"&amp;BA$3),KP!$D:$D,0)),"")</f>
        <v/>
      </c>
      <c r="BB15" s="215" t="n">
        <f aca="false" t="array" ref="BB15:BB15">SUM(SUMIFS(HTS!$BX:$BX,HTS!$B:$B,$B15,HTS!$C:$C,{"15-19","20-24","25-29","30-34","35-39","40-44","45-49","50+"},HTS!$D:$D,"Female"))</f>
        <v>0</v>
      </c>
      <c r="BC15" s="314" t="n">
        <f aca="false" t="array" ref="BC15:BC15">SUM(SUMIFS(HTS!$BX:$BX,HTS!$B:$B,$B15,HTS!$C:$C,{"15-19","20-24","25-29","30-34","35-39","40-44","45-49","50+"},HTS!$D:$D,"Male"))</f>
        <v>0</v>
      </c>
      <c r="BD15" s="315" t="str">
        <f aca="false">_xlfn.IFNA(INDEX(KP!$AJ:$AJ,MATCH(($B15&amp;"|"&amp;BD$3),KP!$D:$D,0)),"")</f>
        <v/>
      </c>
      <c r="BE15" s="176" t="str">
        <f aca="false">_xlfn.IFNA(INDEX(KP!$AJ:$AJ,MATCH(($B15&amp;"|"&amp;BE$3),KP!$D:$D,0)),"")</f>
        <v/>
      </c>
      <c r="BF15" s="176" t="str">
        <f aca="false">_xlfn.IFNA(INDEX(KP!$AJ:$AJ,MATCH(($B15&amp;"|"&amp;BF$3),KP!$D:$D,0)),"")</f>
        <v/>
      </c>
      <c r="BG15" s="176" t="str">
        <f aca="false">_xlfn.IFNA(INDEX(KP!$AJ:$AJ,MATCH(($B15&amp;"|"&amp;BG$3),KP!$D:$D,0)),"")</f>
        <v/>
      </c>
      <c r="BH15" s="176" t="str">
        <f aca="false">_xlfn.IFNA(INDEX(KP!$AJ:$AJ,MATCH(($B15&amp;"|"&amp;BH$3),KP!$D:$D,0)),"")</f>
        <v/>
      </c>
      <c r="BI15" s="215" t="n">
        <f aca="false" t="array" ref="BI15:BI15">SUM(SUMIFS(HTS_RECENT!$AJ:$AJ,HTS_RECENT!$B:$B,$B15,HTS_RECENT!$C:$C,{"15-19","20-24","25-29","30-34","35-39","40-44","45-49","50+"},HTS_RECENT!$D:$D,"Female"))</f>
        <v>0</v>
      </c>
      <c r="BJ15" s="314" t="n">
        <f aca="false" t="array" ref="BJ15:BJ15">SUM(SUMIFS(HTS_RECENT!$AJ:$AJ,HTS_RECENT!$B:$B,$B15,HTS_RECENT!$C:$C,{"15-19","20-24","25-29","30-34","35-39","40-44","45-49","50+"},HTS_RECENT!$D:$D,"Male"))</f>
        <v>0</v>
      </c>
      <c r="BK15" s="315" t="str">
        <f aca="false">_xlfn.IFNA(INDEX(KP!$AL:$AL,MATCH(($B15&amp;"|"&amp;BK$3),KP!$D:$D,0)),"")</f>
        <v/>
      </c>
      <c r="BL15" s="176" t="str">
        <f aca="false">_xlfn.IFNA(INDEX(KP!$AL:$AL,MATCH(($B15&amp;"|"&amp;BL$3),KP!$D:$D,0)),"")</f>
        <v/>
      </c>
      <c r="BM15" s="176" t="str">
        <f aca="false">_xlfn.IFNA(INDEX(KP!$AL:$AL,MATCH(($B15&amp;"|"&amp;BM$3),KP!$D:$D,0)),"")</f>
        <v/>
      </c>
      <c r="BN15" s="176" t="str">
        <f aca="false">_xlfn.IFNA(INDEX(KP!$AL:$AL,MATCH(($B15&amp;"|"&amp;BN$3),KP!$D:$D,0)),"")</f>
        <v/>
      </c>
      <c r="BO15" s="176" t="str">
        <f aca="false">_xlfn.IFNA(INDEX(KP!$AL:$AL,MATCH(($B15&amp;"|"&amp;BO$3),KP!$D:$D,0)),"")</f>
        <v/>
      </c>
      <c r="BP15" s="215" t="n">
        <f aca="false" t="array" ref="BP15:BP15">SUM(SUMIFS(HTS!$CC:$CC,HTS!$B:$B,$B15,HTS!$C:$C,{"15-19","20-24","25-29","30-34","35-39","40-44","45-49","50+"},HTS!$D:$D,"Female"))</f>
        <v>0</v>
      </c>
      <c r="BQ15" s="314" t="n">
        <f aca="false" t="array" ref="BQ15:BQ15">SUM(SUMIFS(HTS!$CC:$CC,HTS!$B:$B,$B15,HTS!$C:$C,{"15-19","20-24","25-29","30-34","35-39","40-44","45-49","50+"},HTS!$D:$D,"Male"))</f>
        <v>0</v>
      </c>
      <c r="BR15" s="315" t="str">
        <f aca="false">_xlfn.IFNA(INDEX(KP!$AN:$AN,MATCH(($B15&amp;"|"&amp;BR$3),KP!$D:$D,0)),"")</f>
        <v/>
      </c>
      <c r="BS15" s="176" t="str">
        <f aca="false">_xlfn.IFNA(INDEX(KP!$AN:$AN,MATCH(($B15&amp;"|"&amp;BS$3),KP!$D:$D,0)),"")</f>
        <v/>
      </c>
      <c r="BT15" s="176" t="str">
        <f aca="false">_xlfn.IFNA(INDEX(KP!$AN:$AN,MATCH(($B15&amp;"|"&amp;BT$3),KP!$D:$D,0)),"")</f>
        <v/>
      </c>
      <c r="BU15" s="176" t="str">
        <f aca="false">_xlfn.IFNA(INDEX(KP!$AN:$AN,MATCH(($B15&amp;"|"&amp;BU$3),KP!$D:$D,0)),"")</f>
        <v/>
      </c>
      <c r="BV15" s="176" t="str">
        <f aca="false">_xlfn.IFNA(INDEX(KP!$AN:$AN,MATCH(($B15&amp;"|"&amp;BV$3),KP!$D:$D,0)),"")</f>
        <v/>
      </c>
    </row>
  </sheetData>
  <mergeCells count="1">
    <mergeCell ref="A2:B3"/>
  </mergeCells>
  <conditionalFormatting sqref="S1:S1048576 U1:U1048576">
    <cfRule type="expression" priority="2" aboveAverage="0" equalAverage="0" bottom="0" percent="0" rank="0" text="" dxfId="0">
      <formula>AND(ROW($U1)&gt;14,SUM($U1)&gt;$S1)</formula>
    </cfRule>
  </conditionalFormatting>
  <conditionalFormatting sqref="T1:T1048576 V1:V1048576">
    <cfRule type="expression" priority="3" aboveAverage="0" equalAverage="0" bottom="0" percent="0" rank="0" text="" dxfId="1">
      <formula>AND(ROW($V1)&gt;14,SUM($V1)&gt;$T1)</formula>
    </cfRule>
  </conditionalFormatting>
  <conditionalFormatting sqref="S1:T1048576 W1:Y1048576">
    <cfRule type="expression" priority="4" aboveAverage="0" equalAverage="0" bottom="0" percent="0" rank="0" text="" dxfId="2">
      <formula>(($S1-$U1)+($T1-$V1))&lt;SUM($W1:$Y1)</formula>
    </cfRule>
  </conditionalFormatting>
  <conditionalFormatting sqref="Z1:Z1048576 AB1:AB1048576">
    <cfRule type="expression" priority="5" aboveAverage="0" equalAverage="0" bottom="0" percent="0" rank="0" text="" dxfId="3">
      <formula>AND(ROW($AB1)&gt;14,SUM($AB1)&gt;$Z1)</formula>
    </cfRule>
  </conditionalFormatting>
  <conditionalFormatting sqref="AA1:AA1048576 AC1:AC1048576">
    <cfRule type="expression" priority="6" aboveAverage="0" equalAverage="0" bottom="0" percent="0" rank="0" text="" dxfId="4">
      <formula>AND(ROW($AC1)&gt;14,SUM($AC1)&gt;$AA1)</formula>
    </cfRule>
  </conditionalFormatting>
  <conditionalFormatting sqref="Z1:AA1048576 AD1:AF1048576">
    <cfRule type="expression" priority="7" aboveAverage="0" equalAverage="0" bottom="0" percent="0" rank="0" text="" dxfId="5">
      <formula>(($Z1-$AB1)+($AA1-$AC1))&lt;SUM($AD1:$AF1)</formula>
    </cfRule>
  </conditionalFormatting>
  <conditionalFormatting sqref="AG1:AG1048576 AI1:AI1048576">
    <cfRule type="expression" priority="8" aboveAverage="0" equalAverage="0" bottom="0" percent="0" rank="0" text="" dxfId="6">
      <formula>AND(ROW($AI1)&gt;14,SUM($AI1)&gt;$AG1)</formula>
    </cfRule>
  </conditionalFormatting>
  <conditionalFormatting sqref="AH1:AH1048576 AJ1:AJ1048576">
    <cfRule type="expression" priority="9" aboveAverage="0" equalAverage="0" bottom="0" percent="0" rank="0" text="" dxfId="7">
      <formula>AND(ROW($AJ1)&gt;14,SUM($AJ1)&gt;$AH1)</formula>
    </cfRule>
  </conditionalFormatting>
  <conditionalFormatting sqref="AG1:AH1048576 AK1:AM1048576">
    <cfRule type="expression" priority="10" aboveAverage="0" equalAverage="0" bottom="0" percent="0" rank="0" text="" dxfId="8">
      <formula>(($AG1-$AI1)+($AH1-$AJ1))&lt;SUM($AK1:$AM1)</formula>
    </cfRule>
  </conditionalFormatting>
  <conditionalFormatting sqref="AN1:AN1048576 AP1:AP1048576">
    <cfRule type="expression" priority="11" aboveAverage="0" equalAverage="0" bottom="0" percent="0" rank="0" text="" dxfId="9">
      <formula>AND(ROW($AP1)&gt;14,SUM($AP1)&gt;$AN1)</formula>
    </cfRule>
  </conditionalFormatting>
  <conditionalFormatting sqref="AO1:AO1048576 AQ1:AQ1048576">
    <cfRule type="expression" priority="12" aboveAverage="0" equalAverage="0" bottom="0" percent="0" rank="0" text="" dxfId="10">
      <formula>AND(ROW($AQ1)&gt;14,SUM($AQ1)&gt;$AO1)</formula>
    </cfRule>
  </conditionalFormatting>
  <conditionalFormatting sqref="AN1:AO1048576 AR1:AT1048576">
    <cfRule type="expression" priority="13" aboveAverage="0" equalAverage="0" bottom="0" percent="0" rank="0" text="" dxfId="11">
      <formula>(($AN1-$AP1)+($AO1-$AQ1))&lt;SUM($AR1:$AT1)</formula>
    </cfRule>
  </conditionalFormatting>
  <conditionalFormatting sqref="AU1:AU1048576 AW1:AW1048576">
    <cfRule type="expression" priority="14" aboveAverage="0" equalAverage="0" bottom="0" percent="0" rank="0" text="" dxfId="12">
      <formula>AND(ROW($AW1)&gt;14,SUM($AW1)&gt;$AU1)</formula>
    </cfRule>
  </conditionalFormatting>
  <conditionalFormatting sqref="AV1:AV1048576 AX1:AX1048576">
    <cfRule type="expression" priority="15" aboveAverage="0" equalAverage="0" bottom="0" percent="0" rank="0" text="" dxfId="13">
      <formula>AND(ROW($AX1)&gt;14,SUM($AX1)&gt;$AV1)</formula>
    </cfRule>
  </conditionalFormatting>
  <conditionalFormatting sqref="AU1:AV1048576 AY1:BA1048576">
    <cfRule type="expression" priority="16" aboveAverage="0" equalAverage="0" bottom="0" percent="0" rank="0" text="" dxfId="14">
      <formula>(($AU1-$AW1)+($AV1-$AX1))&lt;SUM($AY1:$BA1)</formula>
    </cfRule>
  </conditionalFormatting>
  <conditionalFormatting sqref="BB1:BB1048576 BD1:BD1048576">
    <cfRule type="expression" priority="17" aboveAverage="0" equalAverage="0" bottom="0" percent="0" rank="0" text="" dxfId="15">
      <formula>AND(ROW($BD1)&gt;14,SUM($BD1)&gt;$BB1)</formula>
    </cfRule>
  </conditionalFormatting>
  <conditionalFormatting sqref="BC1:BC1048576 BE1:BE1048576">
    <cfRule type="expression" priority="18" aboveAverage="0" equalAverage="0" bottom="0" percent="0" rank="0" text="" dxfId="16">
      <formula>AND(ROW($BE1)&gt;14,SUM($BE1)&gt;$BC1)</formula>
    </cfRule>
  </conditionalFormatting>
  <conditionalFormatting sqref="BB1:BC1048576 BF1:BH1048576">
    <cfRule type="expression" priority="19" aboveAverage="0" equalAverage="0" bottom="0" percent="0" rank="0" text="" dxfId="17">
      <formula>(($BB1-$BD1)+($BC1-$BE1))&lt;SUM($BF1:$BH1)</formula>
    </cfRule>
  </conditionalFormatting>
  <conditionalFormatting sqref="BI1:BI1048576 BK1:BK1048576">
    <cfRule type="expression" priority="20" aboveAverage="0" equalAverage="0" bottom="0" percent="0" rank="0" text="" dxfId="18">
      <formula>AND(ROW($BK1)&gt;14,SUM($BK1)&gt;$BI1)</formula>
    </cfRule>
  </conditionalFormatting>
  <conditionalFormatting sqref="BL1:BL1048576 BJ1:BJ1048576">
    <cfRule type="expression" priority="21" aboveAverage="0" equalAverage="0" bottom="0" percent="0" rank="0" text="" dxfId="19">
      <formula>AND(ROW($BL1)&gt;14,SUM($BL1)&gt;$BJ1)</formula>
    </cfRule>
  </conditionalFormatting>
  <conditionalFormatting sqref="BI1:BJ1048576 BM1:BO1048576">
    <cfRule type="expression" priority="22" aboveAverage="0" equalAverage="0" bottom="0" percent="0" rank="0" text="" dxfId="20">
      <formula>(($BI1-$BK1)+($BJ1-$BL1))&lt;SUM($BM1:$BO1)</formula>
    </cfRule>
  </conditionalFormatting>
  <conditionalFormatting sqref="BP1:BP1048576 BR1:BR1048576">
    <cfRule type="expression" priority="23" aboveAverage="0" equalAverage="0" bottom="0" percent="0" rank="0" text="" dxfId="21">
      <formula>AND(ROW($BR1)&gt;14,SUM($BR1)&gt;$BP1)</formula>
    </cfRule>
  </conditionalFormatting>
  <conditionalFormatting sqref="BQ1:BQ1048576 BS1:BS1048576">
    <cfRule type="expression" priority="24" aboveAverage="0" equalAverage="0" bottom="0" percent="0" rank="0" text="" dxfId="22">
      <formula>AND(ROW($BS1)&gt;14,SUM($BS1)&gt;$BQ1)</formula>
    </cfRule>
  </conditionalFormatting>
  <conditionalFormatting sqref="BP1:BQ1048576 BT1:BV1048576">
    <cfRule type="expression" priority="25" aboveAverage="0" equalAverage="0" bottom="0" percent="0" rank="0" text="" dxfId="23">
      <formula>(($BP1-$BR1)+($BQ1-$BS1))&lt;SUM($BT1:$BV1)</formula>
    </cfRule>
  </conditionalFormatting>
  <conditionalFormatting sqref="C1:D1048576 F1:F1048576">
    <cfRule type="expression" priority="26" aboveAverage="0" equalAverage="0" bottom="0" percent="0" rank="0" text="" dxfId="24">
      <formula>AND(ISNUMBER($F1),SUM($F1)&gt;$C1)</formula>
    </cfRule>
  </conditionalFormatting>
  <conditionalFormatting sqref="G1:G1048576 E1:E1048576">
    <cfRule type="expression" priority="27" aboveAverage="0" equalAverage="0" bottom="0" percent="0" rank="0" text="" dxfId="25">
      <formula>AND(ISNUMBER($G1),SUM($G1)&gt;$E1)</formula>
    </cfRule>
  </conditionalFormatting>
  <conditionalFormatting sqref="H1:J1048576 C1:E1048576">
    <cfRule type="expression" priority="28" aboveAverage="0" equalAverage="0" bottom="0" percent="0" rank="0" text="" dxfId="26">
      <formula>(($C1-$F1)+($E1-$G1))&lt;SUM($H1:$J1)</formula>
    </cfRule>
  </conditionalFormatting>
  <conditionalFormatting sqref="K1:L1048576 N1:N1048576">
    <cfRule type="expression" priority="29" aboveAverage="0" equalAverage="0" bottom="0" percent="0" rank="0" text="" dxfId="27">
      <formula>AND(ROW($N1)&gt;14,SUM($N1)&gt;$K1)</formula>
    </cfRule>
  </conditionalFormatting>
  <conditionalFormatting sqref="M1:M1048576 O1:O1048576">
    <cfRule type="expression" priority="30" aboveAverage="0" equalAverage="0" bottom="0" percent="0" rank="0" text="" dxfId="28">
      <formula>AND(ROW($O1)&gt;14,SUM($O1)&gt;$M1)</formula>
    </cfRule>
  </conditionalFormatting>
  <conditionalFormatting sqref="K1:M1048576 P1:R1048576">
    <cfRule type="expression" priority="31" aboveAverage="0" equalAverage="0" bottom="0" percent="0" rank="0" text="" dxfId="29">
      <formula>(($K1-$N1)+($M1-$O1))&lt;SUM($P1:$R1)</formula>
    </cfRule>
  </conditionalFormatting>
  <hyperlinks>
    <hyperlink ref="C3" location="PrEP!O:O" display="Female, 15+ (FY23)"/>
    <hyperlink ref="D3" location="PrEP!O:O" display="AGYW, 15-29 (FY23)"/>
    <hyperlink ref="E3" location="PrEP!O:O" display="Male, 15+ (FY23)"/>
    <hyperlink ref="F3" location="KP!I:I" display="FSW"/>
    <hyperlink ref="G3" location="KP!I:I" display="MSM"/>
    <hyperlink ref="H3" location="KP!I:I" display="People in prisons and other enclosed settings"/>
    <hyperlink ref="I3" location="KP!I:I" display="PWID"/>
    <hyperlink ref="J3" location="KP!I:I" display="TG"/>
    <hyperlink ref="K3" location="PrEP!L:L" display="Female, 15+ (FY23)"/>
    <hyperlink ref="L3" location="PrEP!L:L" display="AGYW, 15-29 (FY23)"/>
    <hyperlink ref="M3" location="PrEP!L:L" display="Male, 15+ (FY23)"/>
    <hyperlink ref="N3" location="KP!K:K" display="FSW"/>
    <hyperlink ref="O3" location="KP!K:K" display="MSM"/>
    <hyperlink ref="P3" location="KP!K:K" display="People in prisons and other enclosed settings"/>
    <hyperlink ref="Q3" location="KP!K:K" display="PWID"/>
    <hyperlink ref="R3" location="KP!K:K" display="TG"/>
    <hyperlink ref="S3" location="Cascade!BF:BF" display="Female, 15+ (FY23)"/>
    <hyperlink ref="T3" location="Cascade!BF:BF" display="Male, 15+ (FY23)"/>
    <hyperlink ref="U3" location="KP!P:P" display="FSW"/>
    <hyperlink ref="V3" location="KP!P:P" display="MSM"/>
    <hyperlink ref="W3" location="KP!P:P" display="People in prisons and other enclosed settings"/>
    <hyperlink ref="X3" location="KP!P:P" display="PWID"/>
    <hyperlink ref="Y3" location="KP!P:P" display="TG"/>
    <hyperlink ref="Z3" location="Cascade!BB:BB" display="Female, 15+ (FY23)"/>
    <hyperlink ref="AA3" location="Cascade!BB:BB" display="Male, 15+ (FY23)"/>
    <hyperlink ref="AB3" location="KP!V:V" display="FSW"/>
    <hyperlink ref="AC3" location="KP!V:V" display="MSM"/>
    <hyperlink ref="AD3" location="KP!V:V" display="People in prisons and other enclosed settings"/>
    <hyperlink ref="AE3" location="KP!V:V" display="PWID"/>
    <hyperlink ref="AF3" location="KP!V:V" display="TG"/>
    <hyperlink ref="AG3" location="Cascade!AY:AY" display="Female, 15+ (FY23)"/>
    <hyperlink ref="AH3" location="Cascade!AY:AY" display="Male, 15+ (FY23)"/>
    <hyperlink ref="AI3" location="KP!Y:Y" display="FSW"/>
    <hyperlink ref="AJ3" location="KP!Y:Y" display="MSM"/>
    <hyperlink ref="AK3" location="KP!Y:Y" display="People in prisons and other enclosed settings"/>
    <hyperlink ref="AL3" location="KP!Y:Y" display="PWID"/>
    <hyperlink ref="AM3" location="KP!Y:Y" display="TG"/>
    <hyperlink ref="AN3" location="Cascade!AW:AW" display="Female, 15+ (FY23)"/>
    <hyperlink ref="AO3" location="Cascade!AW:AW" display="Male, 15+ (FY23)"/>
    <hyperlink ref="AP3" location="KP!AA:AA" display="FSW"/>
    <hyperlink ref="AQ3" location="KP!AA:AA" display="MSM"/>
    <hyperlink ref="AR3" location="KP!AA:AA" display="People in prisons and other enclosed settings"/>
    <hyperlink ref="AS3" location="KP!AA:AA" display="PWID"/>
    <hyperlink ref="AT3" location="KP!AA:AA" display="TG"/>
    <hyperlink ref="AU3" location="HTS!BP:BP" display="Female, 15+ (FY23)"/>
    <hyperlink ref="AV3" location="HTS!BP:BP" display="Male, 15+ (FY23)"/>
    <hyperlink ref="AW3" location="KP!AI:AI" display="FSW"/>
    <hyperlink ref="AX3" location="KP!AI:AI" display="MSM"/>
    <hyperlink ref="AY3" location="KP!AI:AI" display="People in prisons and other enclosed settings"/>
    <hyperlink ref="AZ3" location="KP!AI:AI" display="PWID"/>
    <hyperlink ref="BA3" location="KP!AI:AI" display="TG"/>
    <hyperlink ref="BB3" location="HTS!BX:BX" display="Female, 15+ (FY23)"/>
    <hyperlink ref="BC3" location="HTS!BX:BX" display="Male, 15+ (FY23)"/>
    <hyperlink ref="BD3" location="KP!AJ:AJ" display="FSW"/>
    <hyperlink ref="BE3" location="KP!AJ:AJ" display="MSM"/>
    <hyperlink ref="BF3" location="KP!AJ:AJ" display="People in prisons and other enclosed settings"/>
    <hyperlink ref="BG3" location="KP!AJ:AJ" display="PWID"/>
    <hyperlink ref="BH3" location="KP!AJ:AJ" display="TG"/>
    <hyperlink ref="BI3" location="HTS_RECENT!AJ:AJ" display="Female, 15+ (FY23)"/>
    <hyperlink ref="BJ3" location="HTS_RECENT!AJ:AJ" display="Male, 15+ (FY23)"/>
    <hyperlink ref="BK3" location="KP!AL:AL" display="FSW"/>
    <hyperlink ref="BL3" location="KP!AL:AL" display="MSM"/>
    <hyperlink ref="BM3" location="KP!AL:AL" display="People in prisons and other enclosed settings"/>
    <hyperlink ref="BN3" location="KP!AL:AL" display="PWID"/>
    <hyperlink ref="BO3" location="KP!AL:AL" display="TG"/>
    <hyperlink ref="BP3" location="HTS!CC:CC" display="Female, 15+ (FY23)"/>
    <hyperlink ref="BQ3" location="HTS!CC:CC" display="Male, 15+ (FY23)"/>
    <hyperlink ref="BR3" location="KP!AN:AN" display="FSW"/>
    <hyperlink ref="BS3" location="KP!AN:AN" display="MSM"/>
    <hyperlink ref="BT3" location="KP!AN:AN" display="People in prisons and other enclosed settings"/>
    <hyperlink ref="BU3" location="KP!AN:AN" display="PWID"/>
    <hyperlink ref="BV3" location="KP!AN:AN" display="T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2018-11-07T14:50:29Z</dcterms:created>
  <dc:creator>Scott Jackson</dc:creator>
  <dc:description/>
  <dc:language>en-US</dc:language>
  <cp:lastModifiedBy/>
  <dcterms:modified xsi:type="dcterms:W3CDTF">2022-03-30T10:46:56Z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