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7E6314B4-AC33-2D4A-AF0A-1BE11FAD4A1A}" xr6:coauthVersionLast="47" xr6:coauthVersionMax="47" xr10:uidLastSave="{00000000-0000-0000-0000-000000000000}"/>
  <bookViews>
    <workbookView xWindow="0" yWindow="500" windowWidth="33600" windowHeight="20500" activeTab="3"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HTS" sheetId="12" r:id="rId10"/>
    <sheet name="CXCA" sheetId="6" r:id="rId11"/>
    <sheet name="HTS_RECENT" sheetId="36" r:id="rId12"/>
    <sheet name="TX_TB_PREV" sheetId="9" r:id="rId13"/>
    <sheet name="PP" sheetId="15" r:id="rId14"/>
    <sheet name="OVC" sheetId="14" r:id="rId15"/>
    <sheet name="GEND" sheetId="34" r:id="rId16"/>
    <sheet name="AGYW" sheetId="44" r:id="rId17"/>
    <sheet name="PrEP" sheetId="16" r:id="rId18"/>
    <sheet name="KP_MAT" sheetId="40" r:id="rId19"/>
    <sheet name="KP Validation" sheetId="46" r:id="rId20"/>
    <sheet name="PSNUxIM" sheetId="47" state="hidden" r:id="rId21"/>
  </sheets>
  <definedNames>
    <definedName name="_xlnm._FilterDatabase" localSheetId="16" hidden="1">AGYW!$B$14:$M$39</definedName>
    <definedName name="_xlnm._FilterDatabase" localSheetId="3" hidden="1">Cascade!$B$14:$CP$3876</definedName>
    <definedName name="_xlnm._FilterDatabase" localSheetId="10" hidden="1">CXCA!$C$1:$C$51</definedName>
    <definedName name="_xlnm._FilterDatabase" localSheetId="5" hidden="1">EID!$B$14:$G$15</definedName>
    <definedName name="_xlnm._FilterDatabase" localSheetId="9" hidden="1">HTS!$B$14:$CC$3551</definedName>
    <definedName name="_xlnm._FilterDatabase" localSheetId="11" hidden="1">HTS_RECENT!$B$14:$AI$3551</definedName>
    <definedName name="_xlnm._FilterDatabase" localSheetId="8" hidden="1">KP!$B$14:$K$66</definedName>
    <definedName name="_xlnm._FilterDatabase" localSheetId="19" hidden="1">'KP Validation'!$B$14:$BV$63</definedName>
    <definedName name="_xlnm._FilterDatabase" localSheetId="18" hidden="1">KP_MAT!$B$14:$J$75</definedName>
    <definedName name="_xlnm._FilterDatabase" localSheetId="14" hidden="1">OVC!$B$14:$U$1911</definedName>
    <definedName name="_xlnm._FilterDatabase" localSheetId="4" hidden="1">PMTCT!$B$14:$BB$15</definedName>
    <definedName name="_xlnm._FilterDatabase" localSheetId="13" hidden="1">PP!$B$14:$H$51</definedName>
    <definedName name="_xlnm._FilterDatabase" localSheetId="17" hidden="1">PrEP!$B$14:$O$39</definedName>
    <definedName name="_xlnm._FilterDatabase" localSheetId="20"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VMMC!$B$14:$AG$15</definedName>
    <definedName name="HTS_INDEX.share" localSheetId="11">HTS_RECENT!#REF!</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_POS.PMTCT" localSheetId="11">HTS_RECENT!#REF!</definedName>
    <definedName name="HTS_TST_POS.TB" localSheetId="11">HTS_RECENT!#REF!</definedName>
    <definedName name="HTS_TST_POS.VMMC" localSheetId="11">HTS_RECENT!#REF!</definedName>
    <definedName name="HTS_TST.Distributions" localSheetId="11">HTS_RECENT!#REF!</definedName>
    <definedName name="HTS_TST.Emergency" localSheetId="11">HTS_RECENT!$V:$W</definedName>
    <definedName name="HTS_TST.Emergency.Share" localSheetId="11">HTS_RECENT!#REF!</definedName>
    <definedName name="HTS_TST.Inpat" localSheetId="11">HTS_RECENT!$R:$S</definedName>
    <definedName name="HTS_TST.Inpat.Share" localSheetId="11">HTS_RECENT!#REF!</definedName>
    <definedName name="HTS_TST.Linkages" localSheetId="11">HTS_RECENT!#REF!</definedName>
    <definedName name="HTS_TST.Malnutrition" localSheetId="11">HTS_RECENT!#REF!</definedName>
    <definedName name="HTS_TST.Malnutrition.Share" localSheetId="11">HTS_RECENT!#REF!</definedName>
    <definedName name="HTS_TST.MobileMod" localSheetId="11">HTS_RECENT!$AD:$AE</definedName>
    <definedName name="HTS_TST.MobileMod.Share" localSheetId="11">HTS_RECENT!#REF!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HTS_TST.Other" localSheetId="11">HTS_RECENT!$X:$Y</definedName>
    <definedName name="HTS_TST.Other.Share" localSheetId="11">HTS_RECENT!#REF!</definedName>
    <definedName name="HTS_TST.OtherMod" localSheetId="11">HTS_RECENT!$AH:$AI</definedName>
    <definedName name="HTS_TST.OtherMod.Share" localSheetId="11">HTS_RECENT!#REF!</definedName>
    <definedName name="HTS_TST.Pediatric" localSheetId="11">HTS_RECENT!#REF!</definedName>
    <definedName name="HTS_TST.Pediatric.Share" localSheetId="11">HTS_RECENT!#REF!</definedName>
    <definedName name="HTS_TST.STIClinic" localSheetId="11">HTS_RECENT!$T:$U</definedName>
    <definedName name="HTS_TST.STIClinic.Share" localSheetId="11">HTS_RECENT!#REF!</definedName>
    <definedName name="HTS_TST.VCT" localSheetId="11">HTS_RECENT!$Z:$AA</definedName>
    <definedName name="HTS_TST.VCT.Share" localSheetId="11">HTS_RECENT!#REF!</definedName>
    <definedName name="HTS_TST.VCTMod" localSheetId="11">HTS_RECENT!#REF!</definedName>
    <definedName name="HTS_TST.VCTMod.Share" localSheetId="11">HTS_RECENT!#REF!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 localSheetId="20">ROUND(MAX(IF(ISNUMBER(FIND("DSD",PSNUxIM!$CW$14:$FS$14)),PSNUxIM!$CW1:$FS1)),1)</definedName>
    <definedName name="MIN_DSD">ROUND(MAX(IF(ISNUMBER(FIND("DSD",PSNUxIM!$CW$14:$FS$14)),PSNUxIM!$CW1:$FS1)),1)</definedName>
    <definedName name="MIN_TA" localSheetId="20">ROUND(MAX(IF(ISNUMBER(FIND("TA",PSNUxIM!$CW$14:$FS$14)),PSNUxIM!$CW1:$FS1)),1)</definedName>
    <definedName name="MIN_TA">ROUND(MAX(IF(ISNUMBER(FIND("TA",#REF!)),#REF!)),1)</definedName>
    <definedName name="PrEP_CURR.N.Age_Sex.T" localSheetId="16">AGYW!#REF!</definedName>
    <definedName name="PrEP_CURR.N.KeyPop.T" localSheetId="19">'KP Validation'!#REF!</definedName>
    <definedName name="PrEP_CURR.N.KeyPop.T" localSheetId="18">KP_MAT!#REF!</definedName>
    <definedName name="PrEP_NEW.N.Age_Sex.T" localSheetId="16">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5" i="8" l="1"/>
  <c r="U15" i="44"/>
  <c r="K15" i="40"/>
  <c r="J15" i="40"/>
  <c r="S15" i="14"/>
  <c r="CY15" i="5"/>
  <c r="BT15" i="5"/>
  <c r="BH15" i="5"/>
  <c r="AP15" i="5"/>
  <c r="AU15" i="5" s="1"/>
  <c r="BG15" i="5"/>
  <c r="AN15" i="7"/>
  <c r="X15" i="7"/>
  <c r="V15" i="7"/>
  <c r="BI15" i="5" l="1"/>
  <c r="FM15" i="47"/>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U15" i="10" l="1"/>
  <c r="T15" i="10"/>
  <c r="BR15" i="5"/>
  <c r="BR4" i="5"/>
  <c r="L15" i="12" a="1"/>
  <c r="L15" i="12" s="1"/>
  <c r="K15" i="12" a="1"/>
  <c r="K15" i="12" s="1"/>
  <c r="AO15" i="5"/>
  <c r="C15" i="20"/>
  <c r="BF15" i="5" l="1"/>
  <c r="BB15" i="5"/>
  <c r="BA15" i="5"/>
  <c r="AS15" i="5"/>
  <c r="AR15" i="5"/>
  <c r="L15" i="46" l="1" a="1"/>
  <c r="L15" i="46" s="1"/>
  <c r="AB15" i="9"/>
  <c r="P4" i="9"/>
  <c r="M15" i="36" a="1"/>
  <c r="M15" i="36" s="1"/>
  <c r="I15" i="36" a="1"/>
  <c r="I15" i="36" s="1"/>
  <c r="G15" i="36" a="1"/>
  <c r="G15" i="36" s="1"/>
  <c r="J4" i="6"/>
  <c r="Z15" i="10"/>
  <c r="X15" i="10"/>
  <c r="L15" i="7"/>
  <c r="O15" i="8"/>
  <c r="R15" i="8" s="1"/>
  <c r="P15" i="8" l="1"/>
  <c r="T15" i="8" s="1"/>
  <c r="Q15" i="8"/>
  <c r="M15" i="12" l="1" a="1"/>
  <c r="M15" i="12" s="1"/>
  <c r="W15" i="8"/>
  <c r="K15" i="36" a="1"/>
  <c r="K15" i="36" s="1"/>
  <c r="U15" i="8"/>
  <c r="S15" i="8"/>
  <c r="CD15" i="5"/>
  <c r="CK15" i="5" s="1"/>
  <c r="AT15" i="7" l="1"/>
  <c r="AC15" i="7"/>
  <c r="AA15" i="7"/>
  <c r="Y15" i="7"/>
  <c r="U15" i="7"/>
  <c r="AH15" i="7" s="1"/>
  <c r="AJ15" i="7" s="1"/>
  <c r="AQ15" i="7" s="1"/>
  <c r="T15" i="7"/>
  <c r="R15" i="7"/>
  <c r="Q15" i="7"/>
  <c r="P15" i="7"/>
  <c r="O15" i="7"/>
  <c r="N15" i="7"/>
  <c r="M15" i="7"/>
  <c r="AD15" i="7" l="1"/>
  <c r="AK15" i="7"/>
  <c r="AI15" i="7"/>
  <c r="BD15" i="5"/>
  <c r="BM15" i="5"/>
  <c r="L15" i="5"/>
  <c r="AF15" i="7" l="1"/>
  <c r="AE15" i="7"/>
  <c r="AG15" i="7"/>
  <c r="AP15" i="7"/>
  <c r="AO15" i="7"/>
  <c r="CE15" i="5"/>
  <c r="CL15" i="5" s="1"/>
  <c r="CG15" i="5"/>
  <c r="CN15" i="5" s="1"/>
  <c r="AM15" i="7" l="1"/>
  <c r="AR15" i="7"/>
  <c r="AL15" i="7"/>
  <c r="BA15" i="7"/>
  <c r="AV15" i="7" l="1"/>
  <c r="AU15" i="7"/>
  <c r="AW15" i="7"/>
  <c r="BO15" i="5"/>
  <c r="N15" i="5"/>
  <c r="Q2" i="3"/>
  <c r="BW15" i="5"/>
  <c r="BP15" i="5"/>
  <c r="BB15" i="7" l="1"/>
  <c r="AX15" i="7"/>
  <c r="AY15" i="7"/>
  <c r="N4" i="5"/>
  <c r="AX4" i="5" s="1"/>
  <c r="AH4" i="5" l="1"/>
  <c r="AS4" i="5" s="1"/>
  <c r="AE4" i="5"/>
  <c r="BB4" i="5" s="1"/>
  <c r="AC4" i="5"/>
  <c r="AR4" i="5" s="1"/>
  <c r="Z4" i="5"/>
  <c r="BA4" i="5" s="1"/>
  <c r="I15" i="40" l="1"/>
  <c r="H15" i="40"/>
  <c r="H15" i="34"/>
  <c r="G15" i="34"/>
  <c r="F15" i="34"/>
  <c r="E15" i="34"/>
  <c r="U15" i="14"/>
  <c r="T15" i="14"/>
  <c r="R15" i="14"/>
  <c r="Q15" i="14"/>
  <c r="P15" i="14"/>
  <c r="N15" i="14"/>
  <c r="J15" i="14"/>
  <c r="H15" i="15"/>
  <c r="G15" i="15"/>
  <c r="AC15" i="9"/>
  <c r="G15" i="9" a="1"/>
  <c r="G15" i="9" s="1"/>
  <c r="S15" i="9" s="1"/>
  <c r="F15" i="9" a="1"/>
  <c r="F15" i="9" s="1"/>
  <c r="E15" i="36"/>
  <c r="CB15" i="12"/>
  <c r="V15" i="13"/>
  <c r="Q15" i="13"/>
  <c r="AC15" i="13" l="1"/>
  <c r="AD15" i="13"/>
  <c r="Y15" i="13"/>
  <c r="N15" i="9"/>
  <c r="O15" i="9"/>
  <c r="T15" i="9" s="1"/>
  <c r="L15" i="9"/>
  <c r="M15" i="9"/>
  <c r="W15" i="9" s="1"/>
  <c r="Z15" i="9" s="1"/>
  <c r="F15" i="20"/>
  <c r="I15" i="20" s="1"/>
  <c r="AA15" i="13" l="1"/>
  <c r="AI15" i="13"/>
  <c r="X15" i="9"/>
  <c r="AA15" i="9" s="1"/>
  <c r="T4" i="9"/>
  <c r="G15" i="20"/>
  <c r="K15" i="20" s="1"/>
  <c r="BV15" i="12" a="1"/>
  <c r="BV15" i="12" s="1"/>
  <c r="AF4" i="5"/>
  <c r="AA4" i="5"/>
  <c r="AI4" i="5"/>
  <c r="AD4" i="5"/>
  <c r="AL15" i="13" l="1"/>
  <c r="AJ15" i="13"/>
  <c r="L15" i="20"/>
  <c r="N15" i="20" s="1"/>
  <c r="P15" i="20" s="1"/>
  <c r="P4" i="20" s="1"/>
  <c r="AO4" i="5"/>
  <c r="R15" i="20" l="1"/>
  <c r="T15" i="20" s="1"/>
  <c r="V15" i="20" s="1"/>
  <c r="AO15" i="46" a="1"/>
  <c r="AO15" i="46" s="1"/>
  <c r="AN15" i="46" a="1"/>
  <c r="AN15" i="46" s="1"/>
  <c r="AH15" i="46" a="1"/>
  <c r="AH15" i="46" s="1"/>
  <c r="AG15" i="46" a="1"/>
  <c r="AG15" i="46" s="1"/>
  <c r="AA15" i="46" a="1"/>
  <c r="AA15" i="46" s="1"/>
  <c r="Z15" i="46" a="1"/>
  <c r="Z15" i="46" s="1"/>
  <c r="T15" i="46" a="1"/>
  <c r="T15" i="46" s="1"/>
  <c r="S15" i="46" a="1"/>
  <c r="S15" i="46" s="1"/>
  <c r="AG4" i="5"/>
  <c r="BF4" i="5" s="1"/>
  <c r="AB4" i="5"/>
  <c r="R4" i="20" l="1"/>
  <c r="S4" i="20" s="1"/>
  <c r="R15" i="5"/>
  <c r="J15" i="5"/>
  <c r="H15" i="5"/>
  <c r="F15" i="5"/>
  <c r="P15" i="5"/>
  <c r="M15" i="10"/>
  <c r="V15" i="5"/>
  <c r="L15" i="10"/>
  <c r="X15" i="5"/>
  <c r="T15" i="5"/>
  <c r="AJ15" i="5" s="1"/>
  <c r="AK15" i="5" s="1"/>
  <c r="H4" i="14"/>
  <c r="M4" i="16"/>
  <c r="J4" i="16"/>
  <c r="M4" i="13"/>
  <c r="L4" i="13"/>
  <c r="AF4" i="13"/>
  <c r="AE4" i="13"/>
  <c r="D15" i="46" a="1"/>
  <c r="D15" i="46" s="1"/>
  <c r="D4" i="46" s="1"/>
  <c r="L4" i="46"/>
  <c r="BE15" i="5" l="1"/>
  <c r="BV15" i="5"/>
  <c r="AL15" i="5"/>
  <c r="AM15" i="5" s="1"/>
  <c r="AN15" i="5" s="1"/>
  <c r="AQ15" i="5"/>
  <c r="AT15" i="5" s="1"/>
  <c r="AZ15" i="5"/>
  <c r="AZ4" i="5" s="1"/>
  <c r="AY15" i="5"/>
  <c r="AW15" i="5"/>
  <c r="AW4" i="5" s="1"/>
  <c r="AV15" i="5"/>
  <c r="AX15" i="5" s="1"/>
  <c r="K15" i="5"/>
  <c r="M15" i="5"/>
  <c r="O15" i="5"/>
  <c r="BU15" i="5"/>
  <c r="Q15" i="5"/>
  <c r="U15" i="5"/>
  <c r="G15" i="5"/>
  <c r="Y15" i="5"/>
  <c r="I15" i="5"/>
  <c r="W15" i="5"/>
  <c r="V4" i="5"/>
  <c r="AQ4" i="5" s="1"/>
  <c r="S15" i="5"/>
  <c r="R4" i="5"/>
  <c r="Q15" i="44"/>
  <c r="Q4" i="44"/>
  <c r="R4" i="44" l="1"/>
  <c r="T4" i="44"/>
  <c r="BC15" i="5"/>
  <c r="V15" i="44"/>
  <c r="T15" i="44"/>
  <c r="S15" i="44"/>
  <c r="R15" i="44"/>
  <c r="BH4" i="5" l="1"/>
  <c r="V15" i="10" l="1"/>
  <c r="D15" i="45" l="1"/>
  <c r="L15" i="8" l="1"/>
  <c r="N15" i="8"/>
  <c r="E15" i="46" l="1" a="1"/>
  <c r="E15" i="46" s="1"/>
  <c r="K15" i="46" a="1"/>
  <c r="K15" i="46" s="1"/>
  <c r="M15" i="46" a="1"/>
  <c r="M15" i="46" s="1"/>
  <c r="C15" i="46" a="1"/>
  <c r="C15" i="46" s="1"/>
  <c r="BQ15" i="46" a="1"/>
  <c r="BQ15" i="46" s="1"/>
  <c r="BP15" i="46" a="1"/>
  <c r="BP15" i="46" s="1"/>
  <c r="M4" i="46" l="1"/>
  <c r="K4" i="46"/>
  <c r="C4" i="46"/>
  <c r="E4" i="46"/>
  <c r="BP4" i="46"/>
  <c r="BQ4" i="46"/>
  <c r="BT4" i="5" l="1"/>
  <c r="AN4" i="13"/>
  <c r="AM4" i="13"/>
  <c r="O4" i="13"/>
  <c r="N4" i="13"/>
  <c r="G4" i="44" l="1"/>
  <c r="CY4" i="5" l="1"/>
  <c r="CH15" i="5"/>
  <c r="CO15" i="5" s="1"/>
  <c r="S4" i="10"/>
  <c r="R4" i="10"/>
  <c r="G15" i="40" l="1"/>
  <c r="E15" i="45" l="1"/>
  <c r="E4" i="45" l="1"/>
  <c r="E15" i="5"/>
  <c r="F15" i="14" l="1" a="1"/>
  <c r="F15" i="14" s="1"/>
  <c r="J15" i="10"/>
  <c r="K15" i="10"/>
  <c r="G15" i="12" a="1"/>
  <c r="G15" i="12" s="1"/>
  <c r="CF15" i="5"/>
  <c r="CM15" i="5" s="1"/>
  <c r="K15" i="7"/>
  <c r="I15" i="7"/>
  <c r="H15" i="7"/>
  <c r="J15" i="7"/>
  <c r="G15" i="7"/>
  <c r="F15" i="7"/>
  <c r="F15" i="12" a="1"/>
  <c r="F15" i="12" s="1"/>
  <c r="Q4" i="13"/>
  <c r="S4" i="13" s="1"/>
  <c r="K4" i="40"/>
  <c r="H4" i="40" s="1"/>
  <c r="M15" i="14"/>
  <c r="E15" i="15"/>
  <c r="AD4" i="13" l="1"/>
  <c r="AC4" i="13"/>
  <c r="W15" i="7" l="1"/>
  <c r="AN4" i="5"/>
  <c r="AK4" i="5" s="1"/>
  <c r="O4" i="7"/>
  <c r="P4" i="7"/>
  <c r="R4" i="7"/>
  <c r="N4" i="7"/>
  <c r="Q4" i="7"/>
  <c r="M4" i="7"/>
  <c r="M4" i="10"/>
  <c r="L4" i="7"/>
  <c r="F4" i="14"/>
  <c r="L4" i="10"/>
  <c r="T4" i="10" s="1"/>
  <c r="E15" i="14"/>
  <c r="D15" i="13"/>
  <c r="V4" i="7" l="1"/>
  <c r="X4" i="7"/>
  <c r="W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X4" i="5"/>
  <c r="BT15" i="12" l="1" a="1"/>
  <c r="BT15" i="12" s="1"/>
  <c r="AQ4" i="7"/>
  <c r="AK4" i="7"/>
  <c r="AH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F4" i="5"/>
  <c r="H4" i="5"/>
  <c r="P4" i="5"/>
  <c r="AY4" i="5" s="1"/>
  <c r="T4" i="5"/>
  <c r="V4" i="44"/>
  <c r="U4" i="44"/>
  <c r="S4" i="44" s="1"/>
  <c r="P4" i="44"/>
  <c r="O4" i="44"/>
  <c r="N4" i="44"/>
  <c r="E15" i="44"/>
  <c r="M4" i="44"/>
  <c r="G4" i="6"/>
  <c r="F4" i="6"/>
  <c r="BE4" i="5" l="1"/>
  <c r="AJ4" i="5"/>
  <c r="F15" i="44" a="1"/>
  <c r="F15" i="44" s="1"/>
  <c r="F4" i="44" s="1"/>
  <c r="L4" i="5"/>
  <c r="J4" i="5"/>
  <c r="AL4" i="5"/>
  <c r="BU4" i="5"/>
  <c r="AV4" i="5"/>
  <c r="BV4" i="5"/>
  <c r="AM4" i="5"/>
  <c r="AJ4" i="7"/>
  <c r="AM4" i="7"/>
  <c r="AI4" i="7"/>
  <c r="AO4" i="7"/>
  <c r="AP4" i="7"/>
  <c r="J15" i="44"/>
  <c r="J4" i="44" s="1"/>
  <c r="BU15" i="12" l="1" a="1"/>
  <c r="BU15" i="12" s="1"/>
  <c r="AA4" i="46" l="1"/>
  <c r="Z4" i="46"/>
  <c r="S4" i="46"/>
  <c r="T4" i="46"/>
  <c r="AN4" i="46" l="1"/>
  <c r="AG4" i="46"/>
  <c r="AO4" i="46"/>
  <c r="AH4" i="46"/>
  <c r="D15" i="40" l="1"/>
  <c r="J4" i="40"/>
  <c r="F4" i="40"/>
  <c r="I4" i="40" s="1"/>
  <c r="E4" i="40"/>
  <c r="G4" i="40" s="1"/>
  <c r="O15" i="14" l="1"/>
  <c r="CC15" i="12"/>
  <c r="Q4" i="14" l="1"/>
  <c r="P4" i="14"/>
  <c r="O4" i="14" l="1"/>
  <c r="L15" i="36"/>
  <c r="H15" i="36"/>
  <c r="F15" i="36"/>
  <c r="K4" i="14" l="1"/>
  <c r="M4" i="14"/>
  <c r="L4" i="14"/>
  <c r="I4" i="8"/>
  <c r="E15" i="16" l="1"/>
  <c r="F15" i="16" l="1" a="1"/>
  <c r="F15" i="16" s="1"/>
  <c r="F4" i="16" s="1"/>
  <c r="I15" i="16"/>
  <c r="I4" i="16" s="1"/>
  <c r="H15" i="16"/>
  <c r="H4" i="16" s="1"/>
  <c r="H15" i="44"/>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CA4" i="12"/>
  <c r="CB4" i="12" s="1"/>
  <c r="F4" i="8"/>
  <c r="G4" i="8" s="1"/>
  <c r="S4" i="7"/>
  <c r="T4" i="7" s="1"/>
  <c r="AK4" i="13" l="1"/>
  <c r="AH4" i="13"/>
  <c r="AG4" i="13"/>
  <c r="AL4" i="13"/>
  <c r="H4" i="34" l="1"/>
  <c r="G4" i="34"/>
  <c r="U4" i="7"/>
  <c r="Y4" i="7" s="1"/>
  <c r="E15" i="9"/>
  <c r="CC4" i="12"/>
  <c r="E15" i="6"/>
  <c r="E15" i="10"/>
  <c r="E15" i="8"/>
  <c r="E15" i="12"/>
  <c r="E15" i="7"/>
  <c r="H4" i="15"/>
  <c r="S4" i="14"/>
  <c r="H4" i="8"/>
  <c r="J4" i="8" s="1"/>
  <c r="T4" i="14" l="1"/>
  <c r="N4" i="14"/>
  <c r="G15" i="10"/>
  <c r="G4" i="10" s="1"/>
  <c r="I15" i="10"/>
  <c r="I4" i="10" s="1"/>
  <c r="H15" i="10"/>
  <c r="F15" i="10"/>
  <c r="P15" i="10" s="1"/>
  <c r="BV4" i="12"/>
  <c r="I4" i="7"/>
  <c r="F4" i="7"/>
  <c r="H4" i="7" s="1"/>
  <c r="G4" i="7"/>
  <c r="J4" i="7" s="1"/>
  <c r="U4" i="14"/>
  <c r="N15" i="10" l="1"/>
  <c r="Q15" i="10"/>
  <c r="AA15" i="10" s="1"/>
  <c r="O15" i="10"/>
  <c r="J4" i="10"/>
  <c r="F4" i="10"/>
  <c r="AC15" i="10" l="1"/>
  <c r="N15" i="12" s="1" a="1"/>
  <c r="N15" i="12" s="1"/>
  <c r="AD15" i="10"/>
  <c r="AB15" i="10"/>
  <c r="O4" i="10"/>
  <c r="N4" i="10"/>
  <c r="BW15" i="12" a="1"/>
  <c r="BW15" i="12" s="1"/>
  <c r="BJ15" i="46" a="1"/>
  <c r="BJ15" i="46" s="1"/>
  <c r="H4" i="10"/>
  <c r="P4" i="10"/>
  <c r="AH15" i="10" l="1"/>
  <c r="AF15" i="10"/>
  <c r="AE15" i="10"/>
  <c r="BJ4" i="46"/>
  <c r="Q4" i="10"/>
  <c r="U4" i="10" s="1"/>
  <c r="AA4" i="10" l="1"/>
  <c r="AB4" i="10"/>
  <c r="Z4" i="10" l="1"/>
  <c r="X4" i="10"/>
  <c r="AF4" i="10"/>
  <c r="AC4" i="10"/>
  <c r="BW4" i="12"/>
  <c r="AE4" i="10" l="1"/>
  <c r="AD4" i="10"/>
  <c r="BC15" i="46" a="1"/>
  <c r="BC15" i="46" s="1"/>
  <c r="BC4" i="46" s="1"/>
  <c r="K4" i="36"/>
  <c r="G4" i="36"/>
  <c r="M4" i="36"/>
  <c r="N4" i="12" l="1"/>
  <c r="O4" i="8" l="1"/>
  <c r="AD4" i="7"/>
  <c r="T4" i="8"/>
  <c r="AE4" i="7"/>
  <c r="N4" i="8" l="1"/>
  <c r="L4" i="8"/>
  <c r="AA4" i="7"/>
  <c r="AC4" i="7"/>
  <c r="BT4" i="12"/>
  <c r="AF4" i="7" l="1"/>
  <c r="BA4" i="7" l="1"/>
  <c r="AL4" i="7"/>
  <c r="AN4" i="7"/>
  <c r="AG4" i="7"/>
  <c r="CD4" i="5"/>
  <c r="BU4" i="12"/>
  <c r="K4" i="12" l="1"/>
  <c r="AR4" i="7"/>
  <c r="AT4" i="7" s="1"/>
  <c r="I4" i="36"/>
  <c r="AV4" i="7"/>
  <c r="AU4" i="7" l="1"/>
  <c r="BB4" i="7"/>
  <c r="BB15" i="46" a="1"/>
  <c r="BB15" i="46" s="1"/>
  <c r="BB4" i="46" s="1"/>
  <c r="AW4" i="7"/>
  <c r="AY4" i="7"/>
  <c r="AX4" i="7"/>
  <c r="CE4" i="5"/>
  <c r="L4" i="12" l="1"/>
  <c r="C4" i="20"/>
  <c r="F4" i="20"/>
  <c r="E4" i="20" l="1"/>
  <c r="D4" i="20"/>
  <c r="G4" i="20"/>
  <c r="Q4" i="8"/>
  <c r="S4" i="8" s="1"/>
  <c r="R4" i="8" l="1"/>
  <c r="CF4" i="5"/>
  <c r="U4" i="8"/>
  <c r="V4" i="20" l="1"/>
  <c r="T4" i="20"/>
  <c r="U4" i="20" s="1"/>
  <c r="M4" i="12"/>
  <c r="CG4" i="5"/>
  <c r="L4" i="20"/>
  <c r="M4" i="20" s="1"/>
  <c r="AV15" i="46" l="1" a="1"/>
  <c r="AV15" i="46" s="1"/>
  <c r="AV4" i="46" s="1"/>
  <c r="AU15" i="46" a="1"/>
  <c r="AU15" i="46" s="1"/>
  <c r="AU4" i="46" s="1"/>
  <c r="N4" i="20"/>
  <c r="Q4" i="20" l="1"/>
  <c r="O4" i="20"/>
  <c r="F4" i="9"/>
  <c r="H4" i="9" s="1"/>
  <c r="L4" i="9"/>
  <c r="M4" i="9"/>
  <c r="U4" i="9" s="1"/>
  <c r="J4" i="9" l="1"/>
  <c r="G4" i="9"/>
  <c r="S4" i="9" s="1"/>
  <c r="N4" i="9"/>
  <c r="W4" i="9"/>
  <c r="I4" i="9" l="1"/>
  <c r="Z4" i="9"/>
  <c r="O4" i="9"/>
  <c r="V4" i="9" s="1"/>
  <c r="AA4" i="9"/>
  <c r="X4" i="9"/>
  <c r="Y4" i="9" s="1"/>
  <c r="K4" i="9" l="1"/>
  <c r="CH4" i="5"/>
  <c r="BI15" i="46" l="1" a="1"/>
  <c r="BI15" i="46" s="1"/>
  <c r="BI4" i="46" s="1"/>
  <c r="AP4" i="5"/>
  <c r="AU4" i="5"/>
  <c r="AT4" i="5" s="1"/>
  <c r="BI4" i="5" l="1"/>
  <c r="BN15" i="5" l="1"/>
  <c r="BX15" i="5" s="1"/>
  <c r="BM4" i="5"/>
  <c r="BJ15" i="5"/>
  <c r="BK15" i="5" s="1"/>
  <c r="BN4" i="5"/>
  <c r="BW4" i="5" s="1"/>
  <c r="BX4" i="5"/>
  <c r="BJ4" i="5"/>
  <c r="BD4" i="5" s="1"/>
  <c r="BQ15" i="5"/>
  <c r="BS15" i="5" s="1"/>
  <c r="BS4" i="5" s="1"/>
  <c r="BL15" i="5" l="1"/>
  <c r="BK4" i="5"/>
  <c r="H15" i="6"/>
  <c r="BQ4" i="5"/>
  <c r="BY15" i="5"/>
  <c r="CB15" i="5" s="1"/>
  <c r="H4" i="6" l="1"/>
  <c r="K15" i="6"/>
  <c r="K4" i="6" s="1"/>
  <c r="CA15" i="5"/>
  <c r="BY4" i="5"/>
  <c r="BG4" i="5"/>
  <c r="BL4" i="5"/>
  <c r="CX15" i="5" l="1"/>
  <c r="CC15" i="5"/>
  <c r="CJ15" i="5" s="1"/>
  <c r="AG15" i="10"/>
  <c r="AG4" i="10" s="1"/>
  <c r="AH4" i="10" s="1"/>
  <c r="CB4" i="5"/>
  <c r="Z15" i="8"/>
  <c r="H15" i="12" a="1"/>
  <c r="H15" i="12" s="1"/>
  <c r="V15" i="8"/>
  <c r="V4" i="8" s="1"/>
  <c r="W4" i="8" s="1"/>
  <c r="Y15" i="8"/>
  <c r="AZ15" i="7"/>
  <c r="AZ4" i="7" s="1"/>
  <c r="AA15" i="8"/>
  <c r="CI15" i="5" l="1"/>
  <c r="O15" i="12" s="1" a="1"/>
  <c r="O15" i="12" s="1"/>
  <c r="O4" i="12" s="1"/>
  <c r="CX4" i="5"/>
  <c r="CP4" i="5"/>
  <c r="CL4" i="5"/>
  <c r="CN4" i="5"/>
  <c r="CA4" i="5"/>
  <c r="CK4" i="5"/>
  <c r="CO4" i="5"/>
  <c r="CJ4" i="5"/>
  <c r="BC4" i="5"/>
  <c r="CM4" i="5"/>
  <c r="X15" i="8"/>
  <c r="AI15" i="10"/>
  <c r="BC15" i="7"/>
  <c r="AJ15" i="10"/>
  <c r="BD15" i="7"/>
  <c r="CV15" i="5"/>
  <c r="CW15" i="5" s="1"/>
  <c r="CC4" i="5"/>
  <c r="CQ4" i="5" s="1"/>
  <c r="CT15" i="5"/>
  <c r="CU15" i="5" s="1"/>
  <c r="AX15" i="12"/>
  <c r="T15" i="12"/>
  <c r="BG15" i="12"/>
  <c r="BC15" i="12"/>
  <c r="AI15" i="12"/>
  <c r="BI15" i="12"/>
  <c r="H4" i="12"/>
  <c r="AU15" i="12"/>
  <c r="AR15" i="12"/>
  <c r="AG15" i="12"/>
  <c r="BO15" i="12"/>
  <c r="BO4" i="12" s="1"/>
  <c r="AL15" i="12"/>
  <c r="BP15" i="12"/>
  <c r="R15" i="12"/>
  <c r="BD15" i="12"/>
  <c r="AO15" i="12"/>
  <c r="S15" i="12"/>
  <c r="BJ15" i="12"/>
  <c r="BA15" i="12"/>
  <c r="U15" i="12"/>
  <c r="BM15" i="12"/>
  <c r="CP15" i="5" l="1"/>
  <c r="CI4" i="5"/>
  <c r="U15" i="36"/>
  <c r="U4" i="36" s="1"/>
  <c r="AR4" i="12"/>
  <c r="Y4" i="12" s="1"/>
  <c r="AS15" i="12"/>
  <c r="AS4" i="12" s="1"/>
  <c r="AX4" i="12"/>
  <c r="AA4" i="12" s="1"/>
  <c r="Y15" i="36"/>
  <c r="Y4" i="36" s="1"/>
  <c r="AY15" i="12"/>
  <c r="AY4" i="12" s="1"/>
  <c r="BJ4" i="12"/>
  <c r="AE4" i="12" s="1"/>
  <c r="AG15" i="36"/>
  <c r="AG4" i="36" s="1"/>
  <c r="BK15" i="12"/>
  <c r="BK4" i="12" s="1"/>
  <c r="I15" i="12" a="1"/>
  <c r="I15" i="12" s="1"/>
  <c r="CT4" i="5"/>
  <c r="O15" i="36" a="1"/>
  <c r="O15" i="36" s="1"/>
  <c r="BH15" i="12"/>
  <c r="BH4" i="12" s="1"/>
  <c r="AE15" i="36"/>
  <c r="AE4" i="36" s="1"/>
  <c r="BG4" i="12"/>
  <c r="BE15" i="12"/>
  <c r="BE4" i="12" s="1"/>
  <c r="BD4" i="12"/>
  <c r="AC4" i="12" s="1"/>
  <c r="AC15" i="36"/>
  <c r="AC4" i="36" s="1"/>
  <c r="S4" i="12"/>
  <c r="T4" i="12"/>
  <c r="U4" i="12"/>
  <c r="R4" i="12"/>
  <c r="J15" i="12" a="1"/>
  <c r="J15" i="12" s="1"/>
  <c r="CV4" i="5"/>
  <c r="Q15" i="36" a="1"/>
  <c r="Q15" i="36" s="1"/>
  <c r="Q4" i="36" s="1"/>
  <c r="AV15" i="12"/>
  <c r="AV4" i="12" s="1"/>
  <c r="W15" i="36"/>
  <c r="W4" i="36" s="1"/>
  <c r="AU4" i="12"/>
  <c r="Z4" i="12" s="1"/>
  <c r="AK15" i="36"/>
  <c r="K15" i="44"/>
  <c r="K4" i="44" s="1"/>
  <c r="BP4" i="12"/>
  <c r="BQ15" i="12"/>
  <c r="BQ4" i="12" s="1"/>
  <c r="BB15" i="12"/>
  <c r="BB4" i="12" s="1"/>
  <c r="AA15" i="36"/>
  <c r="AA4" i="36" s="1"/>
  <c r="BA4" i="12"/>
  <c r="AB4" i="12" s="1"/>
  <c r="AO4" i="12"/>
  <c r="AP15" i="12"/>
  <c r="AP4" i="12" s="1"/>
  <c r="BN15" i="12"/>
  <c r="BN4" i="12" s="1"/>
  <c r="AI15" i="36"/>
  <c r="AI4" i="36" s="1"/>
  <c r="BM4" i="12"/>
  <c r="AI4" i="12"/>
  <c r="AJ15" i="12"/>
  <c r="S15" i="36"/>
  <c r="S4" i="36" s="1"/>
  <c r="AB15" i="8"/>
  <c r="AB4" i="8" s="1"/>
  <c r="BE15" i="7"/>
  <c r="BE4" i="7" s="1"/>
  <c r="AK15" i="10"/>
  <c r="AK4" i="10" s="1"/>
  <c r="AL4" i="12"/>
  <c r="W4" i="12" s="1"/>
  <c r="AM15" i="12"/>
  <c r="AM4" i="12" s="1"/>
  <c r="BF4" i="12" l="1"/>
  <c r="BI4" i="12"/>
  <c r="AD4" i="12"/>
  <c r="AW4" i="12"/>
  <c r="BL4" i="12"/>
  <c r="CW4" i="5"/>
  <c r="CS4" i="5" s="1"/>
  <c r="BS15" i="12" a="1"/>
  <c r="BS15" i="12" s="1"/>
  <c r="BS4" i="12" s="1"/>
  <c r="BR15" i="12" a="1"/>
  <c r="BR15" i="12" s="1"/>
  <c r="BR4" i="12" s="1"/>
  <c r="CU4" i="5"/>
  <c r="CR4" i="5" s="1"/>
  <c r="AF4" i="12"/>
  <c r="V4" i="12"/>
  <c r="O4" i="36"/>
  <c r="AJ15" i="36"/>
  <c r="AJ4" i="36" s="1"/>
  <c r="J4" i="12"/>
  <c r="Q4" i="12" s="1"/>
  <c r="Q15" i="12"/>
  <c r="AJ4" i="12"/>
  <c r="AH4" i="12" s="1"/>
  <c r="AN4" i="12"/>
  <c r="AK4" i="36"/>
  <c r="AL4" i="36" s="1"/>
  <c r="AL15" i="36"/>
  <c r="BC4" i="12"/>
  <c r="P15" i="12"/>
  <c r="I4" i="12"/>
  <c r="P4" i="12" s="1"/>
  <c r="AQ4" i="12"/>
  <c r="AK4" i="12"/>
  <c r="AZ4" i="12"/>
  <c r="AT4" i="12"/>
  <c r="X4" i="12"/>
  <c r="BX15" i="12" l="1"/>
  <c r="AG4" i="12"/>
  <c r="BY15" i="12" l="1"/>
  <c r="L15" i="44"/>
  <c r="L4" i="44" s="1"/>
  <c r="G15" i="16"/>
  <c r="G4" i="16" s="1"/>
  <c r="BX4" i="12"/>
  <c r="BY4" i="12" l="1"/>
  <c r="BZ4" i="12" s="1"/>
  <c r="BZ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Z3" authorId="0" shapeId="0" xr:uid="{276AE954-1421-E546-BA99-EB7A20D2834A}">
      <text>
        <r>
          <rPr>
            <sz val="10"/>
            <color rgb="FF000000"/>
            <rFont val="Tahoma"/>
            <family val="2"/>
          </rPr>
          <t>This includes both HTS_TST_POS &amp; PMTCT_HEI_POS</t>
        </r>
      </text>
    </comment>
    <comment ref="AE3" authorId="0" shapeId="0" xr:uid="{2247C1CF-7FE6-8740-A996-A686E9BDAD55}">
      <text>
        <r>
          <rPr>
            <sz val="10"/>
            <color rgb="FF000000"/>
            <rFont val="Tahoma"/>
            <family val="2"/>
          </rPr>
          <t>This includes both HTS_TST_POS &amp; PMTCT_HEI_POS.</t>
        </r>
      </text>
    </comment>
    <comment ref="AJ3" authorId="0" shapeId="0" xr:uid="{AF3B8E71-5323-E142-AAD5-3718147E287C}">
      <text>
        <r>
          <rPr>
            <sz val="10"/>
            <color rgb="FF000000"/>
            <rFont val="Tahoma"/>
            <family val="2"/>
          </rPr>
          <t>To estimate PEPFAR's Contribution to the HIV Response in the Host Country, the Data Pack compares PEPFAR TX_CURR vs. Host Country ART.</t>
        </r>
      </text>
    </comment>
    <comment ref="AL3" authorId="0" shapeId="0" xr:uid="{1F623491-D1CE-B449-9AB0-2C0B1B937511}">
      <text>
        <r>
          <rPr>
            <sz val="10"/>
            <color rgb="FF000000"/>
            <rFont val="Tahoma"/>
            <family val="2"/>
          </rPr>
          <t>To calculate a working PopVLS Rate, the Data Pack first attempts to calculate this from VLS data provided in the Host Country Context section of this tab. If that is unavailable, the Data Pack then attempts to proxy this using PEPFAR TX_PVLS (N) (from FY22 if available, and otherwise from FY21) against the PLHIV provided in the Host Country Context section.</t>
        </r>
      </text>
    </comment>
    <comment ref="AO3" authorId="0" shapeId="0" xr:uid="{47FC168B-213D-4545-B956-16F8EF684F6E}">
      <text>
        <r>
          <rPr>
            <b/>
            <sz val="10"/>
            <color rgb="FF000000"/>
            <rFont val="Tahoma"/>
            <family val="2"/>
          </rPr>
          <t>#VALUE!</t>
        </r>
        <r>
          <rPr>
            <sz val="10"/>
            <color rgb="FF000000"/>
            <rFont val="Tahoma"/>
            <family val="2"/>
          </rPr>
          <t xml:space="preserve"> - Follow hyperlink to EID tab to resolve this issue by supplying missing rates.</t>
        </r>
      </text>
    </comment>
    <comment ref="AP3" authorId="0" shapeId="0" xr:uid="{537B22CF-DC84-F54A-A7C2-BFDEA6BB3B28}">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AT3" authorId="0" shapeId="0" xr:uid="{A0C66611-4C2D-C646-80EE-15390C87239D}">
      <text>
        <r>
          <rPr>
            <sz val="10"/>
            <color rgb="FF000000"/>
            <rFont val="Tahoma"/>
            <family val="2"/>
          </rPr>
          <t>Defaults to the higher of 95%, the historic PEPFAR VLS Rate, or the Host Country Estimated VLS Rate.</t>
        </r>
      </text>
    </comment>
    <comment ref="AU3" authorId="0" shapeId="0" xr:uid="{5A50C29B-FD10-3D40-9A1E-498C04AB8E9D}">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AX3" authorId="0" shapeId="0" xr:uid="{178F0F06-2EAF-1C4A-A595-51E401BF1B9C}">
      <text>
        <r>
          <rPr>
            <sz val="10"/>
            <color rgb="FF000000"/>
            <rFont val="Tahoma"/>
            <family val="2"/>
          </rPr>
          <t xml:space="preserve">Based on the combination of the </t>
        </r>
      </text>
    </comment>
    <comment ref="AZ3" authorId="0" shapeId="0" xr:uid="{E43E5662-6968-0144-B73A-1BC6A5F35D49}">
      <text>
        <r>
          <rPr>
            <b/>
            <sz val="10"/>
            <color rgb="FF000000"/>
            <rFont val="Tahoma"/>
            <family val="2"/>
          </rPr>
          <t>Negative values</t>
        </r>
        <r>
          <rPr>
            <sz val="10"/>
            <color rgb="FF000000"/>
            <rFont val="Tahoma"/>
            <family val="2"/>
          </rPr>
          <t xml:space="preserve"> in this column may potentially be related to differences between residential- vs. treatment-centric models.</t>
        </r>
      </text>
    </comment>
    <comment ref="BC3" authorId="0" shapeId="0" xr:uid="{447A8550-87C6-5945-BB90-6DB6889D042A}">
      <text>
        <r>
          <rPr>
            <sz val="10"/>
            <color rgb="FF000000"/>
            <rFont val="Tahoma"/>
            <family val="2"/>
          </rPr>
          <t>Defaults to the higher of 95%, the historic PEPFAR Linkage Rate, or the estimated Host Country ART initiation rate.</t>
        </r>
      </text>
    </comment>
    <comment ref="BD3" authorId="0" shapeId="0" xr:uid="{490651F7-B0B8-A543-91D2-0833571A798C}">
      <text>
        <r>
          <rPr>
            <sz val="10"/>
            <color rgb="FF000000"/>
            <rFont val="Tahoma"/>
            <family val="2"/>
          </rPr>
          <t>Per MER Guidance, individuals must have been initiated on ART for at least 3 months to be eligible for VL Testing.</t>
        </r>
      </text>
    </comment>
    <comment ref="BH3" authorId="0" shapeId="0" xr:uid="{440AAE62-BBE3-BE46-9D4A-BC81A1CDF546}">
      <text>
        <r>
          <rPr>
            <b/>
            <sz val="10"/>
            <color rgb="FF000000"/>
            <rFont val="Tahoma"/>
            <family val="2"/>
          </rPr>
          <t>#VALUE!</t>
        </r>
        <r>
          <rPr>
            <sz val="10"/>
            <color rgb="FF000000"/>
            <rFont val="Tahoma"/>
            <family val="2"/>
          </rPr>
          <t xml:space="preserve"> Check rates for:
</t>
        </r>
        <r>
          <rPr>
            <sz val="10"/>
            <color rgb="FF000000"/>
            <rFont val="Tahoma"/>
            <family val="2"/>
          </rPr>
          <t xml:space="preserve">
</t>
        </r>
        <r>
          <rPr>
            <sz val="10"/>
            <color rgb="FF000000"/>
            <rFont val="Tahoma"/>
            <family val="2"/>
          </rPr>
          <t xml:space="preserve">- PEPFAR Contribution
</t>
        </r>
        <r>
          <rPr>
            <sz val="10"/>
            <color rgb="FF000000"/>
            <rFont val="Tahoma"/>
            <family val="2"/>
          </rPr>
          <t xml:space="preserve">- Linkage
</t>
        </r>
        <r>
          <rPr>
            <sz val="10"/>
            <color rgb="FF000000"/>
            <rFont val="Tahoma"/>
            <family val="2"/>
          </rPr>
          <t>- % New Infections Diagnosed &amp; Linked</t>
        </r>
      </text>
    </comment>
    <comment ref="BI3" authorId="0" shapeId="0" xr:uid="{944DCC40-618A-CC44-8550-DFCA544FB07E}">
      <text>
        <r>
          <rPr>
            <sz val="10"/>
            <color rgb="FF000000"/>
            <rFont val="Tahoma"/>
            <family val="2"/>
          </rPr>
          <t>Based on the combination of Planned PopVLS rate, the number of newly infected initiated on ART, &amp; the planned Eligibility rate of those recently initiated on ART.</t>
        </r>
      </text>
    </comment>
    <comment ref="BL3" authorId="0" shapeId="0" xr:uid="{8278BCFD-9DCD-5345-919F-12C9F93E07E6}">
      <text>
        <r>
          <rPr>
            <sz val="10"/>
            <color rgb="FF000000"/>
            <rFont val="Tahoma"/>
            <family val="2"/>
          </rPr>
          <t>Where Final Coverage Rates are less or more than 100%, return and review proposed PopVLS Rates (FY23) in the VL_SUPPRESSION_SUBNAT section.</t>
        </r>
      </text>
    </comment>
    <comment ref="BM3" authorId="0" shapeId="0" xr:uid="{3FE1B096-924E-414E-8CD0-4533F2F27374}">
      <text>
        <r>
          <rPr>
            <sz val="10"/>
            <color rgb="FF000000"/>
            <rFont val="Tahoma"/>
            <family val="2"/>
          </rPr>
          <t>i.e., % of ART Initiations not from RTT</t>
        </r>
      </text>
    </comment>
    <comment ref="BO3" authorId="0" shapeId="0" xr:uid="{D9DC7C64-455F-E940-B49A-93F3BB050E0F}">
      <text>
        <r>
          <rPr>
            <sz val="10"/>
            <color rgb="FF000000"/>
            <rFont val="Tahoma"/>
            <family val="2"/>
          </rPr>
          <t>Applies to both Host Country and PEPFAR models.</t>
        </r>
      </text>
    </comment>
    <comment ref="BP3" authorId="0" shapeId="0" xr:uid="{E8CF64B3-5144-574C-AE4A-D33AF9790817}">
      <text>
        <r>
          <rPr>
            <sz val="10"/>
            <color rgb="FF000000"/>
            <rFont val="Tahoma"/>
            <family val="2"/>
          </rPr>
          <t>Applies to both Host Country and PEPFAR models.</t>
        </r>
      </text>
    </comment>
    <comment ref="BV3" authorId="0" shapeId="0" xr:uid="{159659A3-B5D7-0B4C-B5D3-73D03A4E82D0}">
      <text>
        <r>
          <rPr>
            <sz val="10"/>
            <color rgb="FF000000"/>
            <rFont val="Tahoma"/>
            <family val="2"/>
          </rPr>
          <t>This currently takes into account new infections but not mortality in both the numerator and denominator.</t>
        </r>
      </text>
    </comment>
    <comment ref="BW3" authorId="0" shapeId="0" xr:uid="{023C1A10-F0BC-8D4C-BB93-A1477BF969E7}">
      <text>
        <r>
          <rPr>
            <sz val="10"/>
            <color rgb="FF000000"/>
            <rFont val="Tahoma"/>
            <family val="2"/>
          </rPr>
          <t>Specifically, of the prev. infected counted in TX_NEW (excluding New Infections), what % had previously been diagnosed?</t>
        </r>
      </text>
    </comment>
    <comment ref="CD3" authorId="0" shapeId="0" xr:uid="{B370B5FC-F9EB-DD42-AC95-33EC4A095AA6}">
      <text>
        <r>
          <rPr>
            <b/>
            <sz val="10"/>
            <color rgb="FF000000"/>
            <rFont val="Tahoma"/>
            <family val="2"/>
          </rPr>
          <t xml:space="preserve">#VALUE!: </t>
        </r>
        <r>
          <rPr>
            <sz val="10"/>
            <color rgb="FF000000"/>
            <rFont val="Tahoma"/>
            <family val="2"/>
          </rPr>
          <t>Follow hyperlink and provide missing Yield and Known Positivity rates.</t>
        </r>
      </text>
    </comment>
    <comment ref="CE3" authorId="0" shapeId="0" xr:uid="{F87C6E9F-BB82-7843-9D11-41D4D4919EE5}">
      <text>
        <r>
          <rPr>
            <b/>
            <sz val="10"/>
            <color rgb="FF000000"/>
            <rFont val="Tahoma"/>
            <family val="34"/>
          </rPr>
          <t xml:space="preserve">#VALUE!: </t>
        </r>
        <r>
          <rPr>
            <sz val="10"/>
            <color rgb="FF000000"/>
            <rFont val="Tahoma"/>
            <family val="34"/>
          </rPr>
          <t>Follow hyperlink and provide missing Yield and Known Positivity rates.</t>
        </r>
      </text>
    </comment>
    <comment ref="CF3" authorId="0" shapeId="0" xr:uid="{5781455F-CF5D-4642-A660-A7D892977F10}">
      <text>
        <r>
          <rPr>
            <b/>
            <sz val="10"/>
            <color rgb="FF000000"/>
            <rFont val="Tahoma"/>
            <family val="34"/>
          </rPr>
          <t xml:space="preserve">#VALUE!: </t>
        </r>
        <r>
          <rPr>
            <sz val="10"/>
            <color rgb="FF000000"/>
            <rFont val="Tahoma"/>
            <family val="34"/>
          </rPr>
          <t>Follow hyperlink and provide missing Yield and Known Positivity rates.</t>
        </r>
      </text>
    </comment>
    <comment ref="CG3" authorId="0" shapeId="0" xr:uid="{0DAA8CD2-C824-2B4A-86FD-97EB7498DC1C}">
      <text>
        <r>
          <rPr>
            <b/>
            <sz val="10"/>
            <color rgb="FF000000"/>
            <rFont val="Tahoma"/>
            <family val="34"/>
          </rPr>
          <t xml:space="preserve">#VALUE!: </t>
        </r>
        <r>
          <rPr>
            <sz val="10"/>
            <color rgb="FF000000"/>
            <rFont val="Tahoma"/>
            <family val="34"/>
          </rPr>
          <t>Follow hyperlink and provide missing Yield and Known Positivity rates.</t>
        </r>
      </text>
    </comment>
    <comment ref="CQ3" authorId="0" shapeId="0" xr:uid="{554A2474-AA4F-0E45-AE83-49ED7F3B5318}">
      <text>
        <r>
          <rPr>
            <b/>
            <sz val="10"/>
            <color rgb="FF000000"/>
            <rFont val="Tahoma"/>
            <family val="2"/>
          </rPr>
          <t xml:space="preserve">Red highlights: </t>
        </r>
        <r>
          <rPr>
            <sz val="10"/>
            <color rgb="FF000000"/>
            <rFont val="Tahoma"/>
            <family val="2"/>
          </rPr>
          <t>Information required.</t>
        </r>
      </text>
    </comment>
    <comment ref="CR3" authorId="1" shapeId="0" xr:uid="{846982D7-B956-9C43-80AF-9987410C0060}">
      <text>
        <r>
          <rPr>
            <b/>
            <sz val="10"/>
            <color rgb="FF000000"/>
            <rFont val="Tahoma"/>
            <family val="2"/>
          </rPr>
          <t xml:space="preserve">Yellow highlights: </t>
        </r>
        <r>
          <rPr>
            <sz val="10"/>
            <color rgb="FF000000"/>
            <rFont val="Tahoma"/>
            <family val="2"/>
          </rPr>
          <t xml:space="preserve">HTS_INDEX yields &lt;10% for 15+ yr olds. Encourage testing strategies that prioritize testing among high yield populations, or work to increase yields through more refined identification methods.
</t>
        </r>
        <r>
          <rPr>
            <sz val="10"/>
            <color rgb="FF000000"/>
            <rFont val="Tahoma"/>
            <family val="2"/>
          </rPr>
          <t xml:space="preserve">
</t>
        </r>
        <r>
          <rPr>
            <b/>
            <sz val="10"/>
            <color rgb="FF000000"/>
            <rFont val="Tahoma"/>
            <family val="2"/>
          </rPr>
          <t xml:space="preserve">Red highlights: </t>
        </r>
        <r>
          <rPr>
            <sz val="10"/>
            <color rgb="FF000000"/>
            <rFont val="Tahoma"/>
            <family val="2"/>
          </rPr>
          <t>Information required.</t>
        </r>
      </text>
    </comment>
    <comment ref="CS3" authorId="1" shapeId="0" xr:uid="{8C5EA5CF-B22C-2841-8751-BF3E2FC571B4}">
      <text>
        <r>
          <rPr>
            <b/>
            <sz val="10"/>
            <color rgb="FF000000"/>
            <rFont val="Tahoma"/>
            <family val="34"/>
          </rPr>
          <t xml:space="preserve">Yellow highlights: </t>
        </r>
        <r>
          <rPr>
            <sz val="10"/>
            <color rgb="FF000000"/>
            <rFont val="Tahoma"/>
            <family val="34"/>
          </rPr>
          <t xml:space="preserve">HTS_INDEX yields &lt;10% for 15+ yr olds. Encourage testing strategies that prioritize testing among high yield populations, or work to increase yields through more refined identification methods.
</t>
        </r>
        <r>
          <rPr>
            <sz val="10"/>
            <color rgb="FF000000"/>
            <rFont val="Calibri"/>
            <family val="2"/>
          </rPr>
          <t xml:space="preserve">
</t>
        </r>
        <r>
          <rPr>
            <b/>
            <sz val="10"/>
            <color rgb="FF000000"/>
            <rFont val="Tahoma"/>
            <family val="34"/>
          </rPr>
          <t xml:space="preserve">Red highlights: </t>
        </r>
        <r>
          <rPr>
            <sz val="10"/>
            <color rgb="FF000000"/>
            <rFont val="Tahoma"/>
            <family val="34"/>
          </rPr>
          <t>Information required.</t>
        </r>
      </text>
    </comment>
    <comment ref="CU3" authorId="1" shapeId="0" xr:uid="{E5E68074-A876-F143-8AD6-A88BBEF2EC75}">
      <text>
        <r>
          <rPr>
            <b/>
            <sz val="10"/>
            <color rgb="FF000000"/>
            <rFont val="Tahoma"/>
            <family val="2"/>
          </rPr>
          <t xml:space="preserve">#DIV/0!
</t>
        </r>
        <r>
          <rPr>
            <sz val="10"/>
            <color rgb="FF000000"/>
            <rFont val="Tahoma"/>
            <family val="2"/>
          </rPr>
          <t>If you see this displayed in the Roll-up row, filter for this error value and enter valid yield rates for HTS_INDEX to the left.</t>
        </r>
      </text>
    </comment>
    <comment ref="CW3" authorId="1" shapeId="0" xr:uid="{6A88A0D6-7A4C-9C4F-A2EF-91A4A73C6EC0}">
      <text>
        <r>
          <rPr>
            <b/>
            <sz val="10"/>
            <color rgb="FF000000"/>
            <rFont val="Tahoma"/>
            <family val="2"/>
          </rPr>
          <t xml:space="preserve">#DIV/0!
</t>
        </r>
        <r>
          <rPr>
            <sz val="10"/>
            <color rgb="FF000000"/>
            <rFont val="Tahoma"/>
            <family val="2"/>
          </rPr>
          <t>If you see this displayed in the Roll-up row, filter for this error value and enter valid yield rates for HTS_INDEX to the left.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U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X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E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F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V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 ref="AC3" authorId="0" shapeId="0" xr:uid="{431EB5A6-C0DE-D144-AD2F-D6F968F9F1BB}">
      <text>
        <r>
          <rPr>
            <b/>
            <sz val="10"/>
            <color rgb="FF000000"/>
            <rFont val="Tahoma"/>
            <family val="34"/>
          </rPr>
          <t xml:space="preserve">#VALUE!: </t>
        </r>
        <r>
          <rPr>
            <sz val="10"/>
            <color rgb="FF000000"/>
            <rFont val="Tahoma"/>
            <family val="34"/>
          </rPr>
          <t>Provide missing Yield (FY23) rates.</t>
        </r>
      </text>
    </comment>
    <comment ref="AE3" authorId="0" shapeId="0" xr:uid="{31C1BF17-4075-DB48-8F78-389DC21E9DE3}">
      <text>
        <r>
          <rPr>
            <b/>
            <sz val="10"/>
            <color rgb="FF000000"/>
            <rFont val="Tahoma"/>
            <family val="2"/>
          </rPr>
          <t>Yellow Highlights</t>
        </r>
        <r>
          <rPr>
            <sz val="10"/>
            <color rgb="FF000000"/>
            <rFont val="Tahoma"/>
            <family val="2"/>
          </rPr>
          <t>: Linkage &lt;95%</t>
        </r>
      </text>
    </comment>
    <comment ref="AF3" authorId="1" shapeId="0" xr:uid="{EBD399B5-FEE8-4B44-8104-E3985BD84841}">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P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AF3" authorId="0"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H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Q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T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W3" authorId="0" shapeId="0" xr:uid="{68861E93-FEFF-BD4C-9704-7F7FDF44266D}">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Z3" authorId="0" shapeId="0" xr:uid="{20B0C624-3F79-A44D-9A0A-8C97CD88FEF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BM3" authorId="0"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N3" authorId="0"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P3" authorId="1" shapeId="0" xr:uid="{14BE245F-E6B5-DE44-A5B8-8FF5D77AACE4}">
      <text>
        <r>
          <rPr>
            <sz val="10"/>
            <color rgb="FF000000"/>
            <rFont val="Tahoma"/>
            <family val="2"/>
          </rPr>
          <t>Inclusive of PMTCT_STAT, HTS PMTCT Post ANC1, TB, VMMC, INDEX, and all other modalities.</t>
        </r>
      </text>
    </comment>
    <comment ref="BQ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BY3" authorId="1" shapeId="0" xr:uid="{81FDBCB4-31C9-8244-9580-D15BA71B8ECC}">
      <text>
        <r>
          <rPr>
            <sz val="10"/>
            <color rgb="FF000000"/>
            <rFont val="Tahoma"/>
            <family val="2"/>
          </rPr>
          <t>Inclusive of PMTCT_STAT, HTS PMTCT Post ANC1, TB, VMMC, INDEX, and all other modalities.</t>
        </r>
      </text>
    </comment>
    <comment ref="BZ3" authorId="1" shapeId="0" xr:uid="{398872DA-DB3C-6644-9FC9-5940F2BA3FDE}">
      <text>
        <r>
          <rPr>
            <sz val="10"/>
            <color rgb="FF000000"/>
            <rFont val="Tahoma"/>
            <family val="34"/>
          </rPr>
          <t>Total Positives divided by Total Tests.</t>
        </r>
      </text>
    </comment>
    <comment ref="CC3" authorId="0" shapeId="0" xr:uid="{EEEFC336-BDF3-0241-9F2A-0DF9293E3137}">
      <text>
        <r>
          <rPr>
            <sz val="10"/>
            <color rgb="FF000000"/>
            <rFont val="Tahoma"/>
            <family val="34"/>
          </rPr>
          <t>If HTS_SELF was not reported or performed previously, but will be in upcoming targets, set manually below.</t>
        </r>
      </text>
    </comment>
    <comment ref="AJ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M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P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S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V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Y4" authorId="1" shapeId="0" xr:uid="{D03003EB-07E0-8040-AF61-E22A6916179A}">
      <text>
        <r>
          <rPr>
            <b/>
            <sz val="10"/>
            <color rgb="FF000000"/>
            <rFont val="Tahoma"/>
            <family val="2"/>
          </rPr>
          <t xml:space="preserve">#DIV/0!: </t>
        </r>
        <r>
          <rPr>
            <sz val="10"/>
            <color rgb="FF000000"/>
            <rFont val="Tahoma"/>
            <family val="2"/>
          </rPr>
          <t>If you see this here, check yields.</t>
        </r>
      </text>
    </comment>
    <comment ref="BB4" authorId="1" shapeId="0" xr:uid="{8AC61119-D48F-1A49-A385-C0F5321CF6AC}">
      <text>
        <r>
          <rPr>
            <b/>
            <sz val="10"/>
            <color rgb="FF000000"/>
            <rFont val="Tahoma"/>
            <family val="2"/>
          </rPr>
          <t xml:space="preserve">#DIV/0!: </t>
        </r>
        <r>
          <rPr>
            <sz val="10"/>
            <color rgb="FF000000"/>
            <rFont val="Tahoma"/>
            <family val="2"/>
          </rPr>
          <t>If you see this here, check yields.</t>
        </r>
      </text>
    </comment>
    <comment ref="BH4" authorId="1" shapeId="0" xr:uid="{F95E7E9D-4FFC-6A4C-BDB7-41BD1F524F35}">
      <text>
        <r>
          <rPr>
            <b/>
            <sz val="10"/>
            <color rgb="FF000000"/>
            <rFont val="Tahoma"/>
            <family val="34"/>
          </rPr>
          <t xml:space="preserve">#DIV/0!: </t>
        </r>
        <r>
          <rPr>
            <sz val="10"/>
            <color rgb="FF000000"/>
            <rFont val="Tahoma"/>
            <family val="34"/>
          </rPr>
          <t>If you see this here, check yields.</t>
        </r>
      </text>
    </comment>
    <comment ref="BN4" authorId="1" shapeId="0" xr:uid="{617BF4AA-8841-2C44-B1E3-1A10DC2F7F72}">
      <text>
        <r>
          <rPr>
            <b/>
            <sz val="10"/>
            <color rgb="FF000000"/>
            <rFont val="Tahoma"/>
            <family val="34"/>
          </rPr>
          <t xml:space="preserve">#DIV/0!: </t>
        </r>
        <r>
          <rPr>
            <sz val="10"/>
            <color rgb="FF000000"/>
            <rFont val="Tahoma"/>
            <family val="34"/>
          </rPr>
          <t>If you see this here, check yields.</t>
        </r>
      </text>
    </comment>
    <comment ref="BY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<sst xmlns="http://schemas.openxmlformats.org/spreadsheetml/2006/main" count="6225" uniqueCount="1240">
  <si>
    <t>TX_CURR</t>
  </si>
  <si>
    <t>TX_NEW</t>
  </si>
  <si>
    <t>Assumptions</t>
  </si>
  <si>
    <t>Targets</t>
  </si>
  <si>
    <t>Roll-up</t>
  </si>
  <si>
    <t>PSNU</t>
  </si>
  <si>
    <t>Sex</t>
  </si>
  <si>
    <t>CXCA</t>
  </si>
  <si>
    <t>VMMC</t>
  </si>
  <si>
    <t>HTS_INDEX</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</si>
  <si>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</si>
  <si>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</si>
  <si>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</si>
  <si>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</si>
  <si>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</si>
  <si>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</si>
  <si>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</si>
  <si>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</si>
  <si>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</si>
  <si>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</si>
  <si>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</si>
  <si>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</si>
  <si>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</si>
  <si>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</si>
  <si>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</si>
  <si>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</si>
  <si>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</si>
  <si>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</si>
  <si>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</si>
  <si>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</si>
  <si>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</si>
  <si>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</si>
  <si>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</si>
  <si>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</si>
  <si>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</si>
  <si>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</si>
  <si>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</si>
  <si>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</si>
  <si>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</si>
  <si>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</si>
  <si>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</si>
  <si>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</si>
  <si>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</si>
  <si>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</si>
  <si>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</si>
  <si>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</si>
  <si>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</si>
  <si>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</si>
  <si>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</si>
  <si>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</si>
  <si>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</si>
  <si>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</si>
  <si>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</si>
  <si>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</si>
  <si>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</si>
  <si>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</si>
  <si>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</si>
  <si>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</si>
  <si>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</si>
  <si>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</si>
  <si>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</si>
  <si>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</si>
  <si>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</si>
  <si>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</si>
  <si>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</si>
  <si>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</si>
  <si>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</si>
  <si>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</si>
  <si>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HTS_TST: PMTCT Post ANC1</t>
  </si>
  <si>
    <t>PMTCT_HEI_POS (N)</t>
  </si>
  <si>
    <t>Prioritization</t>
  </si>
  <si>
    <t>VMMC_CIRC_POS linked to ART</t>
  </si>
  <si>
    <t>KeyPop</t>
  </si>
  <si>
    <t>Reference</t>
  </si>
  <si>
    <t>PMTCT_STAT &amp; PMTCT_ART</t>
  </si>
  <si>
    <t>ID</t>
  </si>
  <si>
    <t>Host Country Context</t>
  </si>
  <si>
    <t>value</t>
  </si>
  <si>
    <t>--&gt;</t>
  </si>
  <si>
    <t>Adding Estimates from Spectrum</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</si>
  <si>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</si>
  <si>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</si>
  <si>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</si>
  <si>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</si>
  <si>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</si>
  <si>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</si>
  <si>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</si>
  <si>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</si>
  <si>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</si>
  <si>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</si>
  <si>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</si>
  <si>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</si>
  <si>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</si>
  <si>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</si>
  <si>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</si>
  <si>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</si>
  <si>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</si>
  <si>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</si>
  <si>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</si>
  <si>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</si>
  <si>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</si>
  <si>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</si>
  <si>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</si>
  <si>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</si>
  <si>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</si>
  <si>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</si>
  <si>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</si>
  <si>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</si>
  <si>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</si>
  <si>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</si>
  <si>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</si>
  <si>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</si>
  <si>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</si>
  <si>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</si>
  <si>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</si>
  <si>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</si>
  <si>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</si>
  <si>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</si>
  <si>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</si>
  <si>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</si>
  <si>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</si>
  <si>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</si>
  <si>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</si>
  <si>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</si>
  <si>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</si>
  <si>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</si>
  <si>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</si>
  <si>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</si>
  <si>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</si>
  <si>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</si>
  <si>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</si>
  <si>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</si>
  <si>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</si>
  <si>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</si>
  <si>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</si>
  <si>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</si>
  <si>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</si>
  <si>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</si>
  <si>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</si>
  <si>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</si>
  <si>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</si>
  <si>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</si>
  <si>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</si>
  <si>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</si>
  <si>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</si>
  <si>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</si>
  <si>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</si>
  <si>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</si>
  <si>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</si>
  <si>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</si>
  <si>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</si>
  <si>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</si>
  <si>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</si>
  <si>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</si>
  <si>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</si>
  <si>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</si>
  <si>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</si>
  <si>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</si>
  <si>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</si>
  <si>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</si>
  <si>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</si>
  <si>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</si>
  <si>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</si>
  <si>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</si>
  <si>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</si>
  <si>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</si>
  <si>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</si>
  <si>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</si>
  <si>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</si>
  <si>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</si>
  <si>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</si>
  <si>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</si>
  <si>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</si>
  <si>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</si>
  <si>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</si>
  <si>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</si>
  <si>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</si>
  <si>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</si>
  <si>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</si>
  <si>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</si>
  <si>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</si>
  <si>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</si>
  <si>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</si>
  <si>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</si>
  <si>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</si>
  <si>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</si>
  <si>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</si>
  <si>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</si>
  <si>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</si>
  <si>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</si>
  <si>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</si>
  <si>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</si>
  <si>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</si>
  <si>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</si>
  <si>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</si>
  <si>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</si>
  <si>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</si>
  <si>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</si>
  <si>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</si>
  <si>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</si>
  <si>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</si>
  <si>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</si>
  <si>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</si>
  <si>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</si>
  <si>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</si>
  <si>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</si>
  <si>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</si>
  <si>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</si>
  <si>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</si>
  <si>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</si>
  <si>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</si>
  <si>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</si>
  <si>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</si>
  <si>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</si>
  <si>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</si>
  <si>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</si>
  <si>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</si>
  <si>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</si>
  <si>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</si>
  <si>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</si>
  <si>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</si>
  <si>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</si>
  <si>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</si>
  <si>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</si>
  <si>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</si>
  <si>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</si>
  <si>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</si>
  <si>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</si>
  <si>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</si>
  <si>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</si>
  <si>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</si>
  <si>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</si>
  <si>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</si>
  <si>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</si>
  <si>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</si>
  <si>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</si>
  <si>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</si>
  <si>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</si>
  <si>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</si>
  <si>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</si>
  <si>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</si>
  <si>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</si>
  <si>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</si>
  <si>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</si>
  <si>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</si>
  <si>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</si>
  <si>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</si>
  <si>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</si>
  <si>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</si>
  <si>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</si>
  <si>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</si>
  <si>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</si>
  <si>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</si>
  <si>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</si>
  <si>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</si>
  <si>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</si>
  <si>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</si>
  <si>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</si>
  <si>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</si>
  <si>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</si>
  <si>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</si>
  <si>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</si>
  <si>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</si>
  <si>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</si>
  <si>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</si>
  <si>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</si>
  <si>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</si>
  <si>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</si>
  <si>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</si>
  <si>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</si>
  <si>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HIV Positive</t>
  </si>
  <si>
    <t>HIV Negative</t>
  </si>
  <si>
    <t>Indeterminate/Not Tested</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</si>
  <si>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</si>
  <si>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</si>
  <si>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</si>
  <si>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</si>
  <si>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</si>
  <si>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</si>
  <si>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</si>
  <si>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</si>
  <si>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</si>
  <si>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</si>
  <si>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</si>
  <si>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</si>
  <si>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</si>
  <si>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</si>
  <si>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</si>
  <si>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</si>
  <si>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</si>
  <si>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</si>
  <si>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</si>
  <si>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</si>
  <si>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</si>
  <si>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</si>
  <si>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</si>
  <si>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</si>
  <si>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</si>
  <si>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</si>
  <si>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</si>
  <si>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</si>
  <si>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</si>
  <si>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</si>
  <si>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VL_SUPPRESSED.T_1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</si>
  <si>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</si>
  <si>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</si>
  <si>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</si>
  <si>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</si>
  <si>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</si>
  <si>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</si>
  <si>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</si>
  <si>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</si>
  <si>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</si>
  <si>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</si>
  <si>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</si>
  <si>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</si>
  <si>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</si>
  <si>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</si>
  <si>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</si>
  <si>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</si>
  <si>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</si>
  <si>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</si>
  <si>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</si>
  <si>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</si>
  <si>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</si>
  <si>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</si>
  <si>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</si>
  <si>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</si>
  <si>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</si>
  <si>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</si>
  <si>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</si>
  <si>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</si>
  <si>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</si>
  <si>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HTS_INDEX.Pos.ComShare</t>
  </si>
  <si>
    <t>HTS_INDEX_COM.New.Yield</t>
  </si>
  <si>
    <t>HTS_INDEX_FAC.New.Yield</t>
  </si>
  <si>
    <t>HTS_INDEX_COM.New.Pos.T</t>
  </si>
  <si>
    <t>HTS_INDEX_COM.New.Neg.T</t>
  </si>
  <si>
    <t>HTS_INDEX_FAC.New.Pos.T</t>
  </si>
  <si>
    <t>HTS_INDEX_FAC.New.Neg.T</t>
  </si>
  <si>
    <t>HTS_TST.IndexCom.Pos.Share</t>
  </si>
  <si>
    <t>HTS_TST.IndexFac.Pos.Share</t>
  </si>
  <si>
    <t>HTS_TST.Inpat.Pos.Share</t>
  </si>
  <si>
    <t>HTS_TST.Peds.Pos.Share</t>
  </si>
  <si>
    <t>HTS_TST.Maln.Pos.Share</t>
  </si>
  <si>
    <t>HTS_TST.TB.Pos.Share</t>
  </si>
  <si>
    <t>HTS_TST.PMTCT.Pos.Share</t>
  </si>
  <si>
    <t>HTS_TST.PostANC1.Pos.Share</t>
  </si>
  <si>
    <t>HTS_TST.VMMC.Pos.Share</t>
  </si>
  <si>
    <t>HTS_TST.STI.Pos.Share</t>
  </si>
  <si>
    <t>HTS_TST.EW.Pos.Share</t>
  </si>
  <si>
    <t>HTS_TST.Other.Pos.Share</t>
  </si>
  <si>
    <t>HTS_TST.VCT.Pos.Share</t>
  </si>
  <si>
    <t>HTS_TST.MobileCom.Pos.Share</t>
  </si>
  <si>
    <t>HTS_TST.OtherCom.Pos.Share</t>
  </si>
  <si>
    <t>HTS_TST.Pos.DistCheck</t>
  </si>
  <si>
    <t>HTS_TST.Inpat.Pos.Yield</t>
  </si>
  <si>
    <t>HTS_TST.Inpat.Pos.T</t>
  </si>
  <si>
    <t>HTS_TST.Inpat.Neg.T</t>
  </si>
  <si>
    <t>HTS_TST.Peds.Yield</t>
  </si>
  <si>
    <t>HTS_TST.Peds.Pos.T</t>
  </si>
  <si>
    <t>HTS_TST.Peds.Neg.T</t>
  </si>
  <si>
    <t>HTS_TST.Maln.Yield</t>
  </si>
  <si>
    <t>HTS_TST.Maln.Pos.T</t>
  </si>
  <si>
    <t>HTS_TST.Maln.Neg.T</t>
  </si>
  <si>
    <t>TB_STAT.N.New.Pos.T</t>
  </si>
  <si>
    <t>TB_STAT.N.New.Neg.T</t>
  </si>
  <si>
    <t>PMTCT_STAT.N.New.Pos.T</t>
  </si>
  <si>
    <t>PMTCT_STAT.N.New.Neg.T</t>
  </si>
  <si>
    <t>HTS_TST.PostANC1.Pos.T</t>
  </si>
  <si>
    <t>HTS_TST.PostANC1.Neg.T</t>
  </si>
  <si>
    <t>VMMC_CIRC.Pos.T</t>
  </si>
  <si>
    <t>VMMC_CIRC.Neg.T</t>
  </si>
  <si>
    <t>HTS_TST.STI.Yield</t>
  </si>
  <si>
    <t>HTS_TST.STI.Pos.T</t>
  </si>
  <si>
    <t>HTS_TST.STI.Neg.T</t>
  </si>
  <si>
    <t>HTS_TST.EW.Yield</t>
  </si>
  <si>
    <t>HTS_TST.EW.Pos.T</t>
  </si>
  <si>
    <t>HTS_TST.EW.Neg.T</t>
  </si>
  <si>
    <t>HTS_TST.Other.Yield</t>
  </si>
  <si>
    <t>HTS_TST.Other.Pos.T</t>
  </si>
  <si>
    <t>HTS_TST.Other.Neg.T</t>
  </si>
  <si>
    <t>HTS_TST.VCT.Yield</t>
  </si>
  <si>
    <t>HTS_TST.VCT.Pos.T</t>
  </si>
  <si>
    <t>HTS_TST.VCT.Neg.T</t>
  </si>
  <si>
    <t>HTS_TST.MobileCom.Yield</t>
  </si>
  <si>
    <t>HTS_TST.MobileCom.Pos.T</t>
  </si>
  <si>
    <t>HTS_TST.MobileCom.Neg.T</t>
  </si>
  <si>
    <t>HTS_TST.OtherCom.Yield</t>
  </si>
  <si>
    <t>HTS_TST.OtherCom.Pos.T</t>
  </si>
  <si>
    <t>HTS_TST.OtherCom.Neg.T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</si>
  <si>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</si>
  <si>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</si>
  <si>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</si>
  <si>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</si>
  <si>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</si>
  <si>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</si>
  <si>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</si>
  <si>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</si>
  <si>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</si>
  <si>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</si>
  <si>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</si>
  <si>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</si>
  <si>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</si>
  <si>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</si>
  <si>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</si>
  <si>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</si>
  <si>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</si>
  <si>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</si>
  <si>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</si>
  <si>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</si>
  <si>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</si>
  <si>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</si>
  <si>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</si>
  <si>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</si>
  <si>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</si>
  <si>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</si>
  <si>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</si>
  <si>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</si>
  <si>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</si>
  <si>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</si>
  <si>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</si>
  <si>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</si>
  <si>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</si>
  <si>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</si>
  <si>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</si>
  <si>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</si>
  <si>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</si>
  <si>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</si>
  <si>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</si>
  <si>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</si>
  <si>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</si>
  <si>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</si>
  <si>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</si>
  <si>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</si>
  <si>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</si>
  <si>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</si>
  <si>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</si>
  <si>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</si>
  <si>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</si>
  <si>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</si>
  <si>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</si>
  <si>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</si>
  <si>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</si>
  <si>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</si>
  <si>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</si>
  <si>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</si>
  <si>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</si>
  <si>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</si>
  <si>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</si>
  <si>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</si>
  <si>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</si>
  <si>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</si>
  <si>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</si>
  <si>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</si>
  <si>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</si>
  <si>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</si>
  <si>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</si>
  <si>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</si>
  <si>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</si>
  <si>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</si>
  <si>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</si>
  <si>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</si>
  <si>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</si>
  <si>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</si>
  <si>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</si>
  <si>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</si>
  <si>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</si>
  <si>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</si>
  <si>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</si>
  <si>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</si>
  <si>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</si>
  <si>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</si>
  <si>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</si>
  <si>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</si>
  <si>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</si>
  <si>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TX_NEW.PrevDiag.T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</si>
  <si>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</si>
  <si>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</si>
  <si>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</si>
  <si>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</si>
  <si>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</si>
  <si>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</si>
  <si>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</si>
  <si>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</si>
  <si>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</si>
  <si>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</si>
  <si>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</si>
  <si>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</si>
  <si>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</si>
  <si>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</si>
  <si>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</si>
  <si>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</si>
  <si>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</si>
  <si>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</si>
  <si>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</si>
  <si>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</si>
  <si>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</si>
  <si>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</si>
  <si>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</si>
  <si>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HTS_TST.Linkage.R</t>
  </si>
  <si>
    <t>HTS_TST.Linkage.T</t>
  </si>
  <si>
    <t>TX_PVLS.D.Eligible.Rt.T</t>
  </si>
  <si>
    <t>DIAGNOSED_SUBNAT.Rt.T_1</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</si>
  <si>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</si>
  <si>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</si>
  <si>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</si>
  <si>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</si>
  <si>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</si>
  <si>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</si>
  <si>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</si>
  <si>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</si>
  <si>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</si>
  <si>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</si>
  <si>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</si>
  <si>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</si>
  <si>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</si>
  <si>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</si>
  <si>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</si>
  <si>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</si>
  <si>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</si>
  <si>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</si>
  <si>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</si>
  <si>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</si>
  <si>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</si>
  <si>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</si>
  <si>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</si>
  <si>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</si>
  <si>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</si>
  <si>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</si>
  <si>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</si>
  <si>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</si>
  <si>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</si>
  <si>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</si>
  <si>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VMMC_CIRC.Linkage.T</t>
  </si>
  <si>
    <t>TX_NEW.VMMC.T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</si>
  <si>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</si>
  <si>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</si>
  <si>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</si>
  <si>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</si>
  <si>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</si>
  <si>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</si>
  <si>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</si>
  <si>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</si>
  <si>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</si>
  <si>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</si>
  <si>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</si>
  <si>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</si>
  <si>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</si>
  <si>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</si>
  <si>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</si>
  <si>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</si>
  <si>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</si>
  <si>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</si>
  <si>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</si>
  <si>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</si>
  <si>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</si>
  <si>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</si>
  <si>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</si>
  <si>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</si>
  <si>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</si>
  <si>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</si>
  <si>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</si>
  <si>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</si>
  <si>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</si>
  <si>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</si>
  <si>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</si>
  <si>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</si>
  <si>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</si>
  <si>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</si>
  <si>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</si>
  <si>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HTS_INDEX.Pos.T</t>
  </si>
  <si>
    <t>HTS_TST.TB.Pos.Share.T</t>
  </si>
  <si>
    <t>HTS_TST.VMMC.Pos.Share.T</t>
  </si>
  <si>
    <t>HTS_TST.HEI_POS.Share.T</t>
  </si>
  <si>
    <t>HTS_TST.Total_Other.Pos.Share.T</t>
  </si>
  <si>
    <t>KP_MAT.NatlContr.T</t>
  </si>
  <si>
    <t>KP_MAT.Growth.T</t>
  </si>
  <si>
    <t>SNU Prioritization (FY22)</t>
  </si>
  <si>
    <t>OVC_SERV.R</t>
  </si>
  <si>
    <t>Comprehensive - Graduated</t>
  </si>
  <si>
    <t>Comprehensive - Active</t>
  </si>
  <si>
    <t>DIAGNOSED_SUBNAT.T</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</si>
  <si>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</si>
  <si>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</si>
  <si>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</si>
  <si>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</si>
  <si>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</si>
  <si>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</si>
  <si>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</si>
  <si>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</si>
  <si>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</si>
  <si>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</si>
  <si>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</si>
  <si>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</si>
  <si>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</si>
  <si>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</si>
  <si>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</si>
  <si>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</si>
  <si>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</si>
  <si>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</si>
  <si>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</si>
  <si>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Host Country Est. PLHIV (FY22)</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</si>
  <si>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</si>
  <si>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</si>
  <si>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</si>
  <si>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</si>
  <si>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</si>
  <si>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</si>
  <si>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</si>
  <si>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</si>
  <si>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</si>
  <si>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</si>
  <si>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</si>
  <si>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</si>
  <si>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</si>
  <si>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</si>
  <si>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</si>
  <si>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</si>
  <si>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</si>
  <si>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</si>
  <si>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</si>
  <si>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</si>
  <si>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</si>
  <si>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</si>
  <si>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</si>
  <si>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</si>
  <si>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</si>
  <si>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</si>
  <si>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</si>
  <si>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</si>
  <si>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</si>
  <si>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</si>
  <si>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</si>
  <si>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</si>
  <si>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</si>
  <si>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</si>
  <si>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</si>
  <si>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</si>
  <si>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</si>
  <si>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</si>
  <si>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</si>
  <si>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</si>
  <si>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</si>
  <si>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</si>
  <si>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</si>
  <si>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</si>
  <si>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</si>
  <si>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</si>
  <si>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</si>
  <si>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</si>
  <si>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</si>
  <si>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</si>
  <si>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</si>
  <si>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</si>
  <si>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</si>
  <si>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</si>
  <si>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</si>
  <si>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</si>
  <si>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</si>
  <si>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</si>
  <si>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</si>
  <si>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</si>
  <si>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</si>
  <si>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</si>
  <si>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</si>
  <si>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</si>
  <si>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</si>
  <si>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</si>
  <si>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</si>
  <si>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</si>
  <si>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</si>
  <si>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</si>
  <si>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</si>
  <si>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</si>
  <si>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</si>
  <si>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</si>
  <si>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</si>
  <si>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</si>
  <si>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</si>
  <si>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</si>
  <si>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</si>
  <si>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</si>
  <si>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</si>
  <si>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</si>
  <si>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</si>
  <si>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</si>
  <si>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</si>
  <si>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</si>
  <si>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</si>
  <si>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</si>
  <si>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</si>
  <si>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</si>
  <si>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</si>
  <si>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</si>
  <si>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</si>
  <si>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</si>
  <si>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</si>
  <si>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</si>
  <si>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</si>
  <si>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</si>
  <si>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</si>
  <si>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</si>
  <si>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</si>
  <si>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</si>
  <si>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TX_CURR_SUBNAT.DistrictUncertainty.R</t>
  </si>
  <si>
    <t>TX_CURR_SUBNAT.DistrictUncertainty.T_1</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</si>
  <si>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</si>
  <si>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</si>
  <si>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</si>
  <si>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</si>
  <si>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</si>
  <si>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</si>
  <si>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</si>
  <si>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</si>
  <si>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</si>
  <si>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</si>
  <si>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</si>
  <si>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</si>
  <si>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</si>
  <si>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</si>
  <si>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</si>
  <si>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</si>
  <si>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</si>
  <si>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VMMC_CIRC: HIV Positive (%)</t>
  </si>
  <si>
    <t>TB_STAT: New Positive (%)</t>
  </si>
  <si>
    <t>HTS_TST PMTCT Post ANC1: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</si>
  <si>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</si>
  <si>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</si>
  <si>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</si>
  <si>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</si>
  <si>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</si>
  <si>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</si>
  <si>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</si>
  <si>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</si>
  <si>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</si>
  <si>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</si>
  <si>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</si>
  <si>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</si>
  <si>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</si>
  <si>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</si>
  <si>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</si>
  <si>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</si>
  <si>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</si>
  <si>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</si>
  <si>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</si>
  <si>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</si>
  <si>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Host Country PMTCT_STAT_SUBNAT (N) - Known Positive (FY22)</t>
  </si>
  <si>
    <t>Host Country PMTCT_STAT_SUBNAT (N) - New Positive (FY22)</t>
  </si>
  <si>
    <t>Host Country PMTCT_STAT_SUBNAT (N) - New Negative (FY22)</t>
  </si>
  <si>
    <t>Host Country PMTCT_ART_SUBNAT (D) - # HIV-positive pregnant women (FY22)</t>
  </si>
  <si>
    <t>Host Country PMTCT_ART_SUBNAT (N) - Already on ART (FY22)</t>
  </si>
  <si>
    <t>Host Country PMTCT_ART_SUBNAT (N) - New on ART (FY22)</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</si>
  <si>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</si>
  <si>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</si>
  <si>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</si>
  <si>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</si>
  <si>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</si>
  <si>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</si>
  <si>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TX_CURR_SUBNAT</t>
  </si>
  <si>
    <t>VL_SUPPRESSION_SUBNAT</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</si>
  <si>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</si>
  <si>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</si>
  <si>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</si>
  <si>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</si>
  <si>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</si>
  <si>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</si>
  <si>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</si>
  <si>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</si>
  <si>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</si>
  <si>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</si>
  <si>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</si>
  <si>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</si>
  <si>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</si>
  <si>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</si>
  <si>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</si>
  <si>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COP22 Data Pack</t>
  </si>
  <si>
    <t>Host Country Est. HIV Prevalence (FY22) (%)</t>
  </si>
  <si>
    <t>Host Country Est. TX_CURR_SUBNAT (FY22)</t>
  </si>
  <si>
    <t>TX_NEW (FY23)</t>
  </si>
  <si>
    <t>TX_CURR (FY23)</t>
  </si>
  <si>
    <t>VL_TESTING_SUBNAT.T_1</t>
  </si>
  <si>
    <t>HTS_INDEX_FAC: Positive (%)</t>
  </si>
  <si>
    <t>HTS_INDEX_COM: Positive (%)</t>
  </si>
  <si>
    <t>N55pM5ZuWcI</t>
  </si>
  <si>
    <t>LCrR2BK3wmA</t>
  </si>
  <si>
    <t>Targeted PEPFAR proportion of Host Country PMTCT_STAT_SUBNAT (D) (FY23) (%)</t>
  </si>
  <si>
    <t>PMTCT_STAT_SUBNAT (D) (FY23)</t>
  </si>
  <si>
    <t>PMTCT_STAT (D) (FY23)</t>
  </si>
  <si>
    <t>Targeted testing coverage of ANC1 clients (FY23) (%)</t>
  </si>
  <si>
    <t>Host Country PMTCT_STAT_SUBNAT (N) - Known Positive (FY23)</t>
  </si>
  <si>
    <t>Host Country PMTCT_STAT_SUBNAT (N) - New Positive (FY23)</t>
  </si>
  <si>
    <t>Host Country PMTCT_STAT_SUBNAT (N) - New Negative (FY23)</t>
  </si>
  <si>
    <t>Total HTS_TST_POS (FY23)</t>
  </si>
  <si>
    <t>Total Positives from PMTCT_STAT ANC1 (FY23) (%)</t>
  </si>
  <si>
    <t>Total Positives from PMTCT Post ANC1 (FY23) (%)</t>
  </si>
  <si>
    <t>Total Positives from HTS_INDEX (FY23) (%)</t>
  </si>
  <si>
    <t>Total Positives from TB_STAT (FY23) (%)</t>
  </si>
  <si>
    <t>Total Positives from All Other Modalities (FY23) (%)</t>
  </si>
  <si>
    <t>Host Country Est. Female Population (FY22)</t>
  </si>
  <si>
    <t>Host Country Est. ART Coverage (FY22) (%)</t>
  </si>
  <si>
    <t>Host Country PMTCT_STAT_SUBNAT (D) - # New ANC clients (FY22)</t>
  </si>
  <si>
    <t>To shut off TB_STAT entirely:
1. Replace all formulas for "TB_STAT (D) (FY23) targets with zeros.</t>
  </si>
  <si>
    <t>TB_STAT (D) (FY23)</t>
  </si>
  <si>
    <t>Targeted TB_STAT Coverage (FY23) (%)</t>
  </si>
  <si>
    <t>Total Positives from PMTCT_STAT (FY23) (%)</t>
  </si>
  <si>
    <t>Total Positives from Post ANC1 (FY23) (%)</t>
  </si>
  <si>
    <t>Total Positives from VMMC (FY23) (%)</t>
  </si>
  <si>
    <t>Targeted Host Country VMMC Coverage (FY23) (%)</t>
  </si>
  <si>
    <t>Targeted Host Country VMMC_TOTALCIRC_SUBNAT (FY23)</t>
  </si>
  <si>
    <t>Targeted Host Country VMMC_CIRC_SUBNAT (FY23)</t>
  </si>
  <si>
    <t>Total Positives from VMMC_CIRC (FY23) (%)</t>
  </si>
  <si>
    <t>Host Country Est. Male Population (FY22)</t>
  </si>
  <si>
    <t>Host Country VMMC_CIRC_SUBNAT (FY22)</t>
  </si>
  <si>
    <t>Host Country VMMC_TOTALCIRC_SUBNAT (FY22)</t>
  </si>
  <si>
    <t>Host Country Est. VMMC Coverage (FY22) (%)</t>
  </si>
  <si>
    <t>PrEP_NEW - KeyPop (FY23)</t>
  </si>
  <si>
    <t>KP_PREV (FY23)</t>
  </si>
  <si>
    <t>TX_CURR - KeyPop (FY23)</t>
  </si>
  <si>
    <t>TX_NET_NEW - KeyPop (FY23)</t>
  </si>
  <si>
    <t>Proportion of TX_NET_NEW from New ART Initiation (FY23) (%)</t>
  </si>
  <si>
    <t>Targeted Retention Rate - Already on ART (FY23) (%)</t>
  </si>
  <si>
    <t>Targeted Retention Rate - New on ART (FY23) (%)</t>
  </si>
  <si>
    <t>TX_NEW - KeyPop (FY23)</t>
  </si>
  <si>
    <t>% of TX_NEW Eligible for VL Test (FY23) (%)</t>
  </si>
  <si>
    <t>Proportion of eligible w/ access to VL testing (FY23) (%)</t>
  </si>
  <si>
    <t>TX_PVLS (D) - KeyPop (FY23)</t>
  </si>
  <si>
    <t>Targeted VL Suppression Rate (FY23) (%)</t>
  </si>
  <si>
    <t>TX_PVLS (N) - KeyPop (FY23)</t>
  </si>
  <si>
    <t>TX_NEW from Previously Diagnosed (FY23) (%)</t>
  </si>
  <si>
    <t>TX_NEW from Previously Diagnosed (FY23)</t>
  </si>
  <si>
    <t>TX_NEW from all other sources (FY23)</t>
  </si>
  <si>
    <t>Targeted ART Linkage Rate (FY23) (%)</t>
  </si>
  <si>
    <t>Yield (FY23) (%)</t>
  </si>
  <si>
    <t>KeyPop, Positive (FY23)</t>
  </si>
  <si>
    <t>KeyPop, Negative (FY23)</t>
  </si>
  <si>
    <t>% of HTS_TST KeyPop Positives (FY23) (%)</t>
  </si>
  <si>
    <t>HTS_RECENT - KeyPop (FY23)</t>
  </si>
  <si>
    <t>HTS_SELF - KeyPop (FY23)</t>
  </si>
  <si>
    <t>Host Country Est. Total Size (FY22)</t>
  </si>
  <si>
    <t>Host Country Est. KPLHIV (FY22)</t>
  </si>
  <si>
    <t>PMTCT_STAT New Positives (FY23)</t>
  </si>
  <si>
    <t>HTS_TST Post ANC1 New Positives (FY23)</t>
  </si>
  <si>
    <t>TB_STAT New Positives (FY23)</t>
  </si>
  <si>
    <t>VMMC_CIRC New Positives (FY23)</t>
  </si>
  <si>
    <t>HTS_TST_POS from All Other Modalities (FY23)</t>
  </si>
  <si>
    <t>PMTCT_STAT New Negatives (FY23)</t>
  </si>
  <si>
    <t>HTS_TST Post ANC1 Negatives (FY23)</t>
  </si>
  <si>
    <t>TB_STAT New Negatives (FY23)</t>
  </si>
  <si>
    <t>VMMC_CIRC Negatives (FY23)</t>
  </si>
  <si>
    <t>HTS_SELF (FY23)</t>
  </si>
  <si>
    <t>Female, 15+ (FY23)</t>
  </si>
  <si>
    <t>Male, 15+ (FY23)</t>
  </si>
  <si>
    <t>CXCA_SCRN (FY23)</t>
  </si>
  <si>
    <t>Observed CXCA Screening Coverage Rate (FY21 Results) (%)</t>
  </si>
  <si>
    <t>FY22 Targets</t>
  </si>
  <si>
    <t>PP_PREV (FY23)</t>
  </si>
  <si>
    <t>FY21 Results</t>
  </si>
  <si>
    <t>Physical/Emotional Violence (FY23)</t>
  </si>
  <si>
    <t>Sexual Violence (FY23)</t>
  </si>
  <si>
    <t>Physical/Emotional Violence (FY22 Targets)</t>
  </si>
  <si>
    <t>Sexual Violence (FY22 Targets)</t>
  </si>
  <si>
    <t>PrEP_NEW (FY23)</t>
  </si>
  <si>
    <t xml:space="preserve"> PP_PREV (FY23)</t>
  </si>
  <si>
    <t>Primary Package Incomplete: Service Started (FY21 Results)</t>
  </si>
  <si>
    <t>Primary Package Incomplete: Service Completed (FY21 Results)</t>
  </si>
  <si>
    <t>Primary Package Completed (FY21 Results)</t>
  </si>
  <si>
    <t>Primary Package and Secondary (FY21 Results)</t>
  </si>
  <si>
    <t>Total AGYW_PREV (FY21 Results)</t>
  </si>
  <si>
    <t>Observed Percent Completion (FY21 Results) (%)</t>
  </si>
  <si>
    <t>Projected Net Change in Total AGYW_PREV from FY21 Results (%)</t>
  </si>
  <si>
    <t>HTS_TST_NEG
(FY23)</t>
  </si>
  <si>
    <t>AGYW_PREV (D) (FY23)</t>
  </si>
  <si>
    <t>AGYW_PREV (N) (FY23)</t>
  </si>
  <si>
    <t>PrEP_NEW (FY22 Targets)</t>
  </si>
  <si>
    <t>PrEP_CURR (FY22 Targets)</t>
  </si>
  <si>
    <t>PrEP_NEW (FY21 Results)</t>
  </si>
  <si>
    <t>PrEP_CURR (FY21 Results)</t>
  </si>
  <si>
    <t>Targeted PEPFAR Coverage of KP_MAT_SUBNAT (FY23) (%)</t>
  </si>
  <si>
    <t>KP_MAT (FY23)</t>
  </si>
  <si>
    <t>Host Country KP_MAT_SUBNAT (FY23)</t>
  </si>
  <si>
    <t>Host Country Est. KP_MAT_SUBNAT (FY22)</t>
  </si>
  <si>
    <t>PEPFAR KP_MAT (FY22 Targets)</t>
  </si>
  <si>
    <t>Observed PEPFAR Coverage of KP_MAT_SUBNAT (FY22 Targets) (%)</t>
  </si>
  <si>
    <t>YvPOllVtINQ</t>
  </si>
  <si>
    <t>MylJht530Cc</t>
  </si>
  <si>
    <t>PrEP_CT</t>
  </si>
  <si>
    <t>PrEP_CT.T</t>
  </si>
  <si>
    <t>PrEP_CURR - KeyPop (FY22 Targets)</t>
  </si>
  <si>
    <t>PrEP_NEW - KeyPop (FY22 Targets)</t>
  </si>
  <si>
    <t>KP_PREV (FY22 Targets)</t>
  </si>
  <si>
    <t>TX_CURR - KeyPop (FY22 Targets)</t>
  </si>
  <si>
    <t>TX_NEW - KeyPop (FY22 Targets)</t>
  </si>
  <si>
    <t>HTS_SELF - KeyPop (FY22 Targets)</t>
  </si>
  <si>
    <t>TX_CURR - KeyPop (FY21 Results)</t>
  </si>
  <si>
    <t>PrEP_CT - KeyPop (FY23)</t>
  </si>
  <si>
    <t>PrEP_CT.KP.T</t>
  </si>
  <si>
    <t>PrEP_CT.Female.T</t>
  </si>
  <si>
    <t>PrEP_CT.AGYW.T</t>
  </si>
  <si>
    <t>PrEP_CT.Male.T</t>
  </si>
  <si>
    <t>PrEP_CT.KP.FSW.T</t>
  </si>
  <si>
    <t>PrEP_CT.KP.MSM.T</t>
  </si>
  <si>
    <t>PrEP_CT.KP.Enclosed.T</t>
  </si>
  <si>
    <t>PrEP_CT.KP.PWID.T</t>
  </si>
  <si>
    <t>PrEP_CT.KP.TG.T</t>
  </si>
  <si>
    <t>HTS_TST.SNS.Pos.Share</t>
  </si>
  <si>
    <t>HTS_TST.SNS.Pos.T</t>
  </si>
  <si>
    <t>HTS_TST.SNS.Neg.T</t>
  </si>
  <si>
    <t>HTS_RECENT.SNS.Rt</t>
  </si>
  <si>
    <t>HTS_RECENT.SNS.T</t>
  </si>
  <si>
    <t>SNS (Community)</t>
  </si>
  <si>
    <t>HTS_TST.SNSCom.Yield</t>
  </si>
  <si>
    <t>HTS_TST.SNSCom.Pos.T</t>
  </si>
  <si>
    <t>HTS_TST.SNSCom.Neg.T</t>
  </si>
  <si>
    <t>SNS (Facility)</t>
  </si>
  <si>
    <t>HTS_RECENT.SNSCom.Rt</t>
  </si>
  <si>
    <t>HTS_RECENT.SNSCom.T</t>
  </si>
  <si>
    <t>TX_PVLS.N.Routine.T</t>
  </si>
  <si>
    <t>Est. Positivity Rate, ≤ 02 mo (FY21 Results) (%)</t>
  </si>
  <si>
    <t>Est. Positivity Rate, ≤ 02 mo (FY23) (%)</t>
  </si>
  <si>
    <t>Est. Positivity Rate, 02 - 12 mo (FY21 Results) (%)</t>
  </si>
  <si>
    <t>Est. Positivity Rate, 02 - 12 mo (FY23) (%)</t>
  </si>
  <si>
    <t>SNU Prioritization (FY23)</t>
  </si>
  <si>
    <t>VL_TESTING_SUBNAT.DistrictUncertainty.T_1</t>
  </si>
  <si>
    <t>VL_SUPPRESSED.DistrictUncertainty.T_1</t>
  </si>
  <si>
    <t>HTS_TST_POS + PMTCT_HEI_POS (FY23)</t>
  </si>
  <si>
    <t>HTS_INDEX Positives
(FY23)</t>
  </si>
  <si>
    <t>VMMC Tested Positives (FY23)</t>
  </si>
  <si>
    <t>PMTCT_HEI_POS
(FY23)</t>
  </si>
  <si>
    <t>Total Positives from PMTCT ANC1 (FY23) (%)</t>
  </si>
  <si>
    <t>Total Positives from PMTCT_HEI_POS (FY23) (%)</t>
  </si>
  <si>
    <t>% HTS_INDEX_POS identified in Community Sites (FY23) (%)</t>
  </si>
  <si>
    <t>COMMUNITY - Contacts Tested, New Negative (FY23)</t>
  </si>
  <si>
    <t>FACILITY - Contacts Tested, New Negative (FY23)</t>
  </si>
  <si>
    <t>Actual % HTS_TST_POS from Index (FY23) (%)</t>
  </si>
  <si>
    <t>HIV_PREV.DistrictUncertainty.T_1</t>
  </si>
  <si>
    <t>PLHIV.DistrictUncertainty.T_1</t>
  </si>
  <si>
    <t>POP_EST.DistrictUncertainty.T_1</t>
  </si>
  <si>
    <t>VL_SUPPRESSED.Rt.T_1</t>
  </si>
  <si>
    <t>TX_PVLS.N.NatlContr.T</t>
  </si>
  <si>
    <t>VL_SUPPRESSED.T</t>
  </si>
  <si>
    <t>TX_PVLS.N.NatlContr.T_1</t>
  </si>
  <si>
    <t>TX_PVLS.N.Routine.T_1</t>
  </si>
  <si>
    <t>TX_PVLS.N.Routine.R</t>
  </si>
  <si>
    <t>VL_TESTING_SUBNAT.Rt.T_1</t>
  </si>
  <si>
    <t>TX_PVLS.N.Rt.R</t>
  </si>
  <si>
    <t>TX_PVLS.N.Rt.T</t>
  </si>
  <si>
    <t>yXZtvoYQXcD</t>
  </si>
  <si>
    <t>FjLaCnuoQWR</t>
  </si>
  <si>
    <t>TX_NEW.R</t>
  </si>
  <si>
    <t>TX_NEW.T_1</t>
  </si>
  <si>
    <t>TX_CURR_SUBNAT (FY23)</t>
  </si>
  <si>
    <t>TX_CURR_SUBNAT.T</t>
  </si>
  <si>
    <t>COMMUNITY - Yield (Contacts newly tested) (FY23) (%)</t>
  </si>
  <si>
    <t>FACILITY - Yield (Contacts newly tested) (FY23) (%)</t>
  </si>
  <si>
    <t>Testing Reference Distribution</t>
  </si>
  <si>
    <t>HTS_TST.Index.Pos.Share.T_1</t>
  </si>
  <si>
    <t>RSE: Population (District-level) (%)</t>
  </si>
  <si>
    <t>RSE: PLHIV (District-level) (%)</t>
  </si>
  <si>
    <t>RSE: HIV Prevalence (District-level) (%)</t>
  </si>
  <si>
    <t>RSE: TX_CURR_SUBNAT.R (District-level) (%)</t>
  </si>
  <si>
    <t>RSE: TX_CURR_SUBNAT.T_1 (District-level) (%)</t>
  </si>
  <si>
    <t>RSE: ART Patients Tested for VLS
(District-level) (%)</t>
  </si>
  <si>
    <t>RSE: Virally Suppressed ART Patients (District-level) (%)</t>
  </si>
  <si>
    <t>HTS_TST.Index.Pos.ShareActual.T</t>
  </si>
  <si>
    <t>HTS_TST.Index.Pos.ShareTargeted.T</t>
  </si>
  <si>
    <t>PMTCT_HEI_POS Virally Suppressed (FY23)</t>
  </si>
  <si>
    <t>PMTCT_HEI_POS.TX_CURR.T</t>
  </si>
  <si>
    <t>PMTCT_HEI_POS.TX_PVLS.N.T</t>
  </si>
  <si>
    <t>PMTCT_HEI_POS.TX_PVLS.D.T</t>
  </si>
  <si>
    <t>Est. PEPFAR proportion of Host Country PMTCT_STAT_SUBNAT (D) (FY22) (%)</t>
  </si>
  <si>
    <t>Est. % ANC1 clients Known HIV Positive (FY21 results) (%)</t>
  </si>
  <si>
    <t>Projected % ANC1 clients Known HIV Positive (FY23) (%)</t>
  </si>
  <si>
    <t>Est. Host Country # HIV-positive pregnant women (FY23)</t>
  </si>
  <si>
    <t>Est. Host Country # HIV+ Pregnant Women Already on ART (FY23)</t>
  </si>
  <si>
    <t>Est. Host Country # HIV+ Pregnant Women New on ART (FY23)</t>
  </si>
  <si>
    <t>Total eligible for Post ANC1 retesting (FY23)</t>
  </si>
  <si>
    <t>Yield
(FY21 Results)
(%)</t>
  </si>
  <si>
    <t>Yield
(FY23) (%)</t>
  </si>
  <si>
    <t>FY23 SNU Prioritization Translation</t>
  </si>
  <si>
    <t>≤ 02 mo (FY23)</t>
  </si>
  <si>
    <t>02 - 12 mo (FY23)</t>
  </si>
  <si>
    <t>Targeted TX Retention Rate (FY23) (%)</t>
  </si>
  <si>
    <t>Total HIV+ infants identified (FY23)</t>
  </si>
  <si>
    <t>HIV+ infants tested for VLS (FY23)</t>
  </si>
  <si>
    <t>HIV+ infants  Virally Suppressed (FY23)</t>
  </si>
  <si>
    <t>HIV+ infants linked to ART (FY23)</t>
  </si>
  <si>
    <t>HIV+ infants retained on ART at end of FY23</t>
  </si>
  <si>
    <t>PMTCT_HEI_POS.Ret.T</t>
  </si>
  <si>
    <t>PMTCT_HEI_POS.VLS.Rt.T</t>
  </si>
  <si>
    <t>PMTCT_HEI_POS.Access.Rt.T</t>
  </si>
  <si>
    <t>PMTCT_HEI_POS.Eligible.Rt.T</t>
  </si>
  <si>
    <t>Projected % TB clients already Known HIV+ (FY23) (%)</t>
  </si>
  <si>
    <t>Est. PEPFAR Coverage of Host Country VMMC_CIRC_SUBNAT (FY22) (%)</t>
  </si>
  <si>
    <t>Projected Indeterminate/Not Tested rate (FY23) (%)</t>
  </si>
  <si>
    <t>ART Linkage</t>
  </si>
  <si>
    <t>KeyPop, Positive (FY22 Targets)</t>
  </si>
  <si>
    <t>KeyPop, Negative (FY22 Targets)</t>
  </si>
  <si>
    <t>Facility - SNS (%)</t>
  </si>
  <si>
    <t>Community - SNS (%)</t>
  </si>
  <si>
    <t>HTS_TST.SNSCom.Pos.Share</t>
  </si>
  <si>
    <t>HTS_TST.SNS.Yield</t>
  </si>
  <si>
    <t>HTS_INDEX Community New Negatives (FY23)</t>
  </si>
  <si>
    <t>HTS_INDEX Facility New Negatives (FY23)</t>
  </si>
  <si>
    <t>HTS_INDEX Community Positives (FY23)</t>
  </si>
  <si>
    <t>HTS_INDEX Facility Positives (FY23)</t>
  </si>
  <si>
    <t>COMMUNITY - Contacts Tested, Positive (FY23)</t>
  </si>
  <si>
    <t>FACILITY - Contacts Tested, Positive (FY23)</t>
  </si>
  <si>
    <t>Targeted CXCA Screening coverage rate (FY23) (%)</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</si>
  <si>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</si>
  <si>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</si>
  <si>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</si>
  <si>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</si>
  <si>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</si>
  <si>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</si>
  <si>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</si>
  <si>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 xml:space="preserve"> PrEP_CT (FY23)</t>
  </si>
  <si>
    <t>HTS_TST_POS (FY23)</t>
  </si>
  <si>
    <t>HTS_TST_NEG (FY23)</t>
  </si>
  <si>
    <t>Projected Change in KP_MAT (FY23) (%)</t>
  </si>
  <si>
    <t>KvVcLT8u0I7</t>
  </si>
  <si>
    <t>IKC8RWqIbx9</t>
  </si>
  <si>
    <t>Xxj42CRWEPD</t>
  </si>
  <si>
    <t>sKjBJe2Um3s</t>
  </si>
  <si>
    <t>5 yr, 01+, 50+</t>
  </si>
  <si>
    <t>5 yr, 10+, 50+</t>
  </si>
  <si>
    <t>5 yr, 15+, 50+</t>
  </si>
  <si>
    <t>TB_STAT (N): New Positives (FY22 Targets)</t>
  </si>
  <si>
    <t>Est. % TB clients already Known HIV Positive (FY21 Results) (%)</t>
  </si>
  <si>
    <t>PEPFAR VMMC_CIRC (FY22 Targets)</t>
  </si>
  <si>
    <t>PEPFAR VMMC_CIRC (FY21 Results)</t>
  </si>
  <si>
    <t>Observed Indeterminate/Not Tested Rate (FY21 Results) (%)</t>
  </si>
  <si>
    <t>HTS_SELF (FY22 Targets)</t>
  </si>
  <si>
    <t>rxgD4kPnUIg</t>
  </si>
  <si>
    <t>HVzzfyVVIs1</t>
  </si>
  <si>
    <t>MD74x7fNR4j</t>
  </si>
  <si>
    <t>Qk8HjZeOBom</t>
  </si>
  <si>
    <t>DIAGNOSED_SUBNAT.DistrictUncertainty.R</t>
  </si>
  <si>
    <t>RSE: PLHIV who know HIV Status (District-level) (%)</t>
  </si>
  <si>
    <t>agoURWZyPpn</t>
  </si>
  <si>
    <t>G7SQxPyGfFo</t>
  </si>
  <si>
    <t>bwlf1Jfww0L</t>
  </si>
  <si>
    <t>GlyNHRiJTOu</t>
  </si>
  <si>
    <t>L7WtGlktM3V</t>
  </si>
  <si>
    <t>ut2wnnl1wHd</t>
  </si>
  <si>
    <t>w9SZ1C4cYZH</t>
  </si>
  <si>
    <t>zvvb5B8E4XP</t>
  </si>
  <si>
    <t>IRrwpjKx7ye</t>
  </si>
  <si>
    <t>dCS5eK7N31F</t>
  </si>
  <si>
    <t>olULPdHspqP</t>
  </si>
  <si>
    <t>i4ilzanYtHD</t>
  </si>
  <si>
    <t>Est. # infants born to HIV-positive women (FY23)</t>
  </si>
  <si>
    <t>Targeted % HIV exposed infants tested by 2 mo (FY23) (%)</t>
  </si>
  <si>
    <t>Targeted % HIV exposed infants tested by 12 mo (FY23) (%)</t>
  </si>
  <si>
    <t>Targeted TPT completion (FY23) (%)</t>
  </si>
  <si>
    <t>Est. TB Screen Positivity Rate: Already on ART (FY23) (%)</t>
  </si>
  <si>
    <t>Est. TB Screen Positivity Rate: New on ART (FY23) (%)</t>
  </si>
  <si>
    <t>Targeted coverage: Already on ART (FY23) (%)</t>
  </si>
  <si>
    <t>Targeted coverage: New on ART (FY23) (%)</t>
  </si>
  <si>
    <t>Aggregate Yield Rate (FY23) (%)</t>
  </si>
  <si>
    <t>Total HTS_TST (FY23)</t>
  </si>
  <si>
    <t>Total HTS_TST_NEG (FY23)</t>
  </si>
  <si>
    <t>Original HTS_TST_POS (FY23)</t>
  </si>
  <si>
    <t>_Military ONLY: Change in VMMC_CIRC FY22-FY23 (%)</t>
  </si>
  <si>
    <t>CXCA_SCRN (FY21 Results)</t>
  </si>
  <si>
    <t>CXCA_SCRN (FY22 Targets)</t>
  </si>
  <si>
    <t>Aggregate Recency Test Coverage Rate (FY23) (%)</t>
  </si>
  <si>
    <t>Total Recency Tests (FY23)</t>
  </si>
  <si>
    <t>Targeted DREAMS % of Total OVC_SERV (FY23) (%)</t>
  </si>
  <si>
    <t>Targeted Preventive % of Total OVC_SERV (FY23) (%)</t>
  </si>
  <si>
    <t>Targeted Comprehensive % of Total OVC_SERV (FY23) (%)</t>
  </si>
  <si>
    <t>Targeted Graduation Rate among Comprehensive (FY23) (%)</t>
  </si>
  <si>
    <t># OVC with reported HIV Status (FY23)</t>
  </si>
  <si>
    <t>Denominator - Started or Completed any DREAMS Service (FY23)</t>
  </si>
  <si>
    <t>Numerator - Completed at least Primary Package (FY23)</t>
  </si>
  <si>
    <t>Targeted Percent Completion (FY23) (%)</t>
  </si>
  <si>
    <t>TX_PVLS.D.Routine.T_1</t>
  </si>
  <si>
    <t>TX_PVLS.D.Routine.R</t>
  </si>
  <si>
    <t>HTS_TST.Pos.Total_With_HEI.R</t>
  </si>
  <si>
    <t>HTS_TST.Pos.Total_With_HEI.T_1</t>
  </si>
  <si>
    <t>PopVLS_SUBNAT.Rt.T_1</t>
  </si>
  <si>
    <t>ijNOkoDJX6d</t>
  </si>
  <si>
    <t>Host Country Est. PopVLS Rate (VLS/PLHIV) (FY22) (%)</t>
  </si>
  <si>
    <t>HTS_TST_POS from HTS_INDEX (FY22 Targets) (%)</t>
  </si>
  <si>
    <t>HTS_TST_POS from HTS_INDEX (FY23 Targets) (%)</t>
  </si>
  <si>
    <t>PREP_CT (FY23)</t>
  </si>
  <si>
    <t>New Positives</t>
  </si>
  <si>
    <t>PEPFAR FY21 Cascade (Observed)</t>
  </si>
  <si>
    <t>PEPFAR FY22 Cascade (Planned)</t>
  </si>
  <si>
    <t>HTS_TST.Linkage.T_1</t>
  </si>
  <si>
    <t>TX_PVLS.D.Rt.T_1</t>
  </si>
  <si>
    <t>TX_PVLS.N.Rt.T_1</t>
  </si>
  <si>
    <t>Working PopVLS Rate (FY22) (%)</t>
  </si>
  <si>
    <t>PopVLS.Rt.T_1</t>
  </si>
  <si>
    <t>PEPFAR VLS Rate (FY21 Results) (%)</t>
  </si>
  <si>
    <t>PEPFAR VLS Rate (FY22 Targets) (%)</t>
  </si>
  <si>
    <t>PEPFAR ART Linkage Rate (FY21 Results) (%)</t>
  </si>
  <si>
    <t>PEPFAR ART Linkage Rate (FY22 Targets) (%)</t>
  </si>
  <si>
    <t>RSE: New Infections (District-level) (%)</t>
  </si>
  <si>
    <t>Targeted Retention Rate - Initiated on ART (FY23) (%)</t>
  </si>
  <si>
    <t>TX_PVLS (D) Routine (FY23)</t>
  </si>
  <si>
    <t>Planned PopVLS Rate (FY23) (%)</t>
  </si>
  <si>
    <t>TX_PVLS (N) Routine (FY23)</t>
  </si>
  <si>
    <t>NEW_INFECTIONS_SUBNAT.T_1</t>
  </si>
  <si>
    <t>NEW_INFECTIONS_SUBNAT.DistrictUncertainty.T_1</t>
  </si>
  <si>
    <t>Planned VLS Rate (FY23) (%)</t>
  </si>
  <si>
    <t>H.C. Est. % Diagnosed on ART (FY22) (%)</t>
  </si>
  <si>
    <t>H.C.  Est. Population (FY22)</t>
  </si>
  <si>
    <t>H.C. Est. PLHIV (FY22)</t>
  </si>
  <si>
    <t>H.C. Est. HIV Prevalence (FY22) (%)</t>
  </si>
  <si>
    <t>H.C. Projected New Infections (FY23)</t>
  </si>
  <si>
    <t>H.C. Est. PLHIV Diagnosed (FY22)</t>
  </si>
  <si>
    <t>H.C. Observed TX_CURR_SUBNAT (FY21)</t>
  </si>
  <si>
    <t>H.C. Est. TX_CURR_SUBNAT (FY22)</t>
  </si>
  <si>
    <t>H.C. Est. ART Patients Tested for VLS 
(FY22)</t>
  </si>
  <si>
    <t>H.C. Est. Virally Suppressed ART Patients (FY22)</t>
  </si>
  <si>
    <t>DIAGNOSED_SUBNAT (FY23)</t>
  </si>
  <si>
    <t>H.C. Est. Population ART Coverage (ART/PLHIV) (FY22) (%)</t>
  </si>
  <si>
    <t>H.C. Est. VLS Rate (FY22) (%)</t>
  </si>
  <si>
    <t>PEPFAR Testing</t>
  </si>
  <si>
    <t>PopVLS.Rt.T</t>
  </si>
  <si>
    <t>TX_EVLT.T</t>
  </si>
  <si>
    <t>RSE: Incidence Rate (District-level) (%)</t>
  </si>
  <si>
    <t>H.C. Projected Incidence Rate (FY23) (%)</t>
  </si>
  <si>
    <t>Incidence_SUBNAT.Rt.T_1</t>
  </si>
  <si>
    <t>Incidence_SUBNAT.Rt.DistrictUncertainty.T_1</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</si>
  <si>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</si>
  <si>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Planned VLT Coverage (FY23) (%)</t>
  </si>
  <si>
    <t>H.C. Est. VLT Coverage (FY22) (%)</t>
  </si>
  <si>
    <t>PEPFAR  Total EVLT (FY23)</t>
  </si>
  <si>
    <t>Targeted % EVLT (FY23) (%)</t>
  </si>
  <si>
    <t>Targeted VLS Rate (FY23) (%)</t>
  </si>
  <si>
    <t>Targeted VLT Coverage among Eligible (FY23) (%)</t>
  </si>
  <si>
    <t>HIV+ Infants Eligible for VLT (FY23)</t>
  </si>
  <si>
    <t>PMTCT_HEI_POS.EVLT.T</t>
  </si>
  <si>
    <t>Total PMTCT_STAT (N) (FY23)</t>
  </si>
  <si>
    <t>Known HIV Status, Positive (FY23)</t>
  </si>
  <si>
    <t>Newly Tested, Positive (FY23)</t>
  </si>
  <si>
    <t>Newly Tested, Negative (FY23)</t>
  </si>
  <si>
    <t>Already on ART (FY23)</t>
  </si>
  <si>
    <t>New on ART (FY23)</t>
  </si>
  <si>
    <t>Positive (FY23)</t>
  </si>
  <si>
    <t>Negative (FY23)</t>
  </si>
  <si>
    <t>Linked to ART (FY23)</t>
  </si>
  <si>
    <t>PMTCT_STAT (D) (FY22 Targets)</t>
  </si>
  <si>
    <t>Projected Yield among Newly Tested (FY23) (%)</t>
  </si>
  <si>
    <t>Est. Yield among Newly Tested (FY21 Results) (%)</t>
  </si>
  <si>
    <t>Est. Yield among Newly Tested ANC1 clients (FY21 Results) (%)</t>
  </si>
  <si>
    <t>Est. Yield among Newly Tested ANC1 clients (FY23) (%)</t>
  </si>
  <si>
    <t>Observed Yield among Newly Tested (FY21 Results) (%)</t>
  </si>
  <si>
    <t>H.C. Planned Population ART Coverage (ART/PLHIV) (FY23) (%)</t>
  </si>
  <si>
    <t>Planned PEPFAR Coverage of Host Country VMMC_CIRC_SUBNAT (FY23) (%)</t>
  </si>
  <si>
    <t>R</t>
  </si>
  <si>
    <t>Cumulative Previous Completion of TPT (Results FY17-21)</t>
  </si>
  <si>
    <t>TB_PREV.N.R</t>
  </si>
  <si>
    <t>TB_PREV (N) - New on ART (FY22 Targets)</t>
  </si>
  <si>
    <t>TB_PREV (N) - Already on ART (FY22 Targets)</t>
  </si>
  <si>
    <t>Targeted % Comprehensive OVC (&lt;18) with reported HIV Status (FY23) (%)</t>
  </si>
  <si>
    <t>AGYW, 15-29 (FY23)</t>
  </si>
  <si>
    <t>For each indicator, red highlighting may indicate:
- MSM &gt; Males
- FSW &gt; Females
- After removing MSM &amp; FSW from Total Targets, the sum of People in prisons and other enclosed settings, PWID, &amp; TG is still higher than the remainder from Total Targets.</t>
  </si>
  <si>
    <t>Est. PEPFAR Contribution to HIV Response (FY22) (%)</t>
  </si>
  <si>
    <t>VLT Coverage</t>
  </si>
  <si>
    <t>Targeted Linkage Rate (FY23) (%)</t>
  </si>
  <si>
    <t>Final Planned VLT Coverage (FY23) (%)</t>
  </si>
  <si>
    <t>H.C. Est. % PLHIV Diagnosed (FY22) (%)</t>
  </si>
  <si>
    <t>VL_SUPPRESSION_SUBNAT (FY23)</t>
  </si>
  <si>
    <t>Planned PEPFAR Contribution to HIV Response (FY23) (%)</t>
  </si>
  <si>
    <t>H.C. Est. # PLHIV Previously Undiagnosed (FY22)</t>
  </si>
  <si>
    <t>H.C. Est. # Previously Diagnosed not on ART (FY22)</t>
  </si>
  <si>
    <t>PEPFAR VLT Coverage (FY22 Targets) (%)</t>
  </si>
  <si>
    <t>% Prev. Infected TX_NEW from Prev. Diagnosed (FY23) (%)</t>
  </si>
  <si>
    <t>PLHIV.Undiagnosed.T_1</t>
  </si>
  <si>
    <t>DIAGNOSED_SUBNAT.NoART.T_1</t>
  </si>
  <si>
    <t>TX_PVLS.D.Rt.T</t>
  </si>
  <si>
    <t>TX_CURR.New.NonNewInfections.T</t>
  </si>
  <si>
    <t>TX_CURR.New.T</t>
  </si>
  <si>
    <t>TX_CURR.New.NewInfections.T</t>
  </si>
  <si>
    <t>TX_PVLS.D.RtFinal.T</t>
  </si>
  <si>
    <t>TX_CURR.New.NonNewInfections.Naive.Rt.T</t>
  </si>
  <si>
    <t>PopART.Rt.T_1</t>
  </si>
  <si>
    <t>PopART.Rt.T</t>
  </si>
  <si>
    <t>TX_NEW.NonNewInfections.PrevDiag.Rt.T</t>
  </si>
  <si>
    <t>TX_NEW.NewDiag.T</t>
  </si>
  <si>
    <t>TX_TB.D.Already.Neg.Elig.T</t>
  </si>
  <si>
    <t>Est. # Already on ART Eligible for TPT (FY23)</t>
  </si>
  <si>
    <t>TX_CURR.NoTPT.T_1</t>
  </si>
  <si>
    <t>Planned % New Infections Diagnosed (FY23) (%)</t>
  </si>
  <si>
    <t>Planned % Recently Initiated on ART Eligible for VLT (FY23) (%)</t>
  </si>
  <si>
    <t>TX_NET_NEW (FY23)</t>
  </si>
  <si>
    <t>TX_NET_NEW.T_1</t>
  </si>
  <si>
    <t>TX_NET_NEW.T</t>
  </si>
  <si>
    <t>TX_NEW from New Diagnoses (FY23)</t>
  </si>
  <si>
    <t>TX_NET_NEW (FY22 Targets)</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</si>
  <si>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</si>
  <si>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</si>
  <si>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</si>
  <si>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</si>
  <si>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</si>
  <si>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</si>
  <si>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</si>
  <si>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</si>
  <si>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</si>
  <si>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</si>
  <si>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</si>
  <si>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</si>
  <si>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</si>
  <si>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</si>
  <si>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</si>
  <si>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</si>
  <si>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</si>
  <si>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</si>
  <si>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</si>
  <si>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</si>
  <si>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</si>
  <si>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</si>
  <si>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</si>
  <si>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</si>
  <si>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</si>
  <si>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Total PMTCT: Positives (From ANC1 &amp; Post ANC1, incl. Known Pos) (FY23)</t>
  </si>
  <si>
    <t>Already on ART who have likely completed TPT in last 5 years (FY23) (%)</t>
  </si>
  <si>
    <t>New Infections Initiated on ART (FY23)</t>
  </si>
  <si>
    <t>Total Initiated on ART (FY23)</t>
  </si>
  <si>
    <t>% Prev. Infections Initiated on ART who are Treatment Naive (FY23) (%)</t>
  </si>
  <si>
    <t>Prev. Infections Initiated on ART (FY23)</t>
  </si>
  <si>
    <t>Host Country Est. Number of Vulnerable AGYW (FY22)</t>
  </si>
  <si>
    <t>NEW_INFECTIONS_SUBNAT.ART.Rt.T</t>
  </si>
  <si>
    <t>% TPT Initiation Rate - New on ART (FY23) (%)</t>
  </si>
  <si>
    <t>% TPT Initiation Rate - Already on ART (FY23) (%)</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</si>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</sst>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0"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8"/>
      <color rgb="FF000000"/>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s>
  <fills count="11">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8" fillId="0" borderId="0" applyNumberFormat="0" applyFill="0" applyBorder="0" applyAlignment="0" applyProtection="0"/>
    <xf numFmtId="0" fontId="31" fillId="8" borderId="0" applyNumberFormat="0" applyBorder="0" applyAlignment="0" applyProtection="0"/>
  </cellStyleXfs>
  <cellXfs count="493">
    <xf numFmtId="0" fontId="0" fillId="0" borderId="0" xfId="0"/>
    <xf numFmtId="49" fontId="2" fillId="0" borderId="0" xfId="0" applyNumberFormat="1" applyFont="1" applyFill="1" applyAlignment="1">
      <alignment vertical="center"/>
    </xf>
    <xf numFmtId="49" fontId="8" fillId="0" borderId="0" xfId="0" applyNumberFormat="1" applyFont="1" applyFill="1"/>
    <xf numFmtId="9" fontId="8" fillId="0" borderId="0" xfId="1" applyFont="1"/>
    <xf numFmtId="0" fontId="12" fillId="0" borderId="0" xfId="0" applyFont="1"/>
    <xf numFmtId="49" fontId="4" fillId="0" borderId="0" xfId="0" applyNumberFormat="1" applyFont="1" applyFill="1" applyAlignment="1">
      <alignment vertical="center"/>
    </xf>
    <xf numFmtId="49" fontId="0" fillId="0" borderId="0" xfId="0" applyNumberFormat="1"/>
    <xf numFmtId="49" fontId="8" fillId="0" borderId="0" xfId="0" applyNumberFormat="1" applyFont="1"/>
    <xf numFmtId="0" fontId="11" fillId="0" borderId="0" xfId="0" applyFont="1" applyAlignment="1">
      <alignment horizontal="left" vertical="center"/>
    </xf>
    <xf numFmtId="0" fontId="10" fillId="0" borderId="0" xfId="0" applyFont="1" applyAlignment="1">
      <alignment horizontal="left" vertical="center"/>
    </xf>
    <xf numFmtId="0" fontId="15" fillId="0" borderId="0" xfId="0" applyNumberFormat="1" applyFont="1"/>
    <xf numFmtId="0" fontId="0" fillId="0" borderId="0" xfId="0" applyNumberFormat="1"/>
    <xf numFmtId="49" fontId="15" fillId="0" borderId="0" xfId="0" applyNumberFormat="1" applyFont="1"/>
    <xf numFmtId="0" fontId="0" fillId="2" borderId="0" xfId="0" applyNumberFormat="1" applyFill="1"/>
    <xf numFmtId="0" fontId="15" fillId="2" borderId="0" xfId="0" quotePrefix="1" applyNumberFormat="1" applyFont="1" applyFill="1"/>
    <xf numFmtId="0" fontId="15" fillId="7" borderId="1" xfId="0" applyNumberFormat="1" applyFont="1" applyFill="1" applyBorder="1" applyAlignment="1">
      <alignment horizontal="center"/>
    </xf>
    <xf numFmtId="0" fontId="17" fillId="2" borderId="0" xfId="0" applyNumberFormat="1" applyFont="1" applyFill="1" applyAlignment="1">
      <alignment horizontal="center"/>
    </xf>
    <xf numFmtId="0" fontId="0" fillId="0" borderId="0" xfId="0" applyFill="1"/>
    <xf numFmtId="9" fontId="8" fillId="0" borderId="0" xfId="1" applyNumberFormat="1" applyFont="1"/>
    <xf numFmtId="9" fontId="16"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8" fillId="0" borderId="0" xfId="0" applyFont="1"/>
    <xf numFmtId="49" fontId="8" fillId="0" borderId="0" xfId="1" applyNumberFormat="1" applyFont="1"/>
    <xf numFmtId="0" fontId="0" fillId="0" borderId="0" xfId="0" applyFont="1"/>
    <xf numFmtId="49" fontId="0" fillId="0" borderId="0" xfId="0" applyNumberFormat="1" applyAlignment="1">
      <alignment horizontal="right"/>
    </xf>
    <xf numFmtId="49" fontId="0" fillId="0" borderId="0" xfId="0" applyNumberFormat="1" applyFont="1"/>
    <xf numFmtId="9" fontId="2" fillId="4" borderId="0" xfId="0" applyNumberFormat="1" applyFont="1" applyFill="1" applyAlignment="1">
      <alignment vertical="center"/>
    </xf>
    <xf numFmtId="0" fontId="0" fillId="0" borderId="0" xfId="0" applyNumberFormat="1" applyFont="1"/>
    <xf numFmtId="9" fontId="2" fillId="4" borderId="0" xfId="1" applyNumberFormat="1" applyFont="1" applyFill="1" applyAlignment="1">
      <alignment vertical="center"/>
    </xf>
    <xf numFmtId="49" fontId="2" fillId="0" borderId="0" xfId="0" applyNumberFormat="1" applyFont="1" applyAlignment="1">
      <alignment horizontal="left" vertical="center"/>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9" fontId="0" fillId="0" borderId="0" xfId="0" applyNumberFormat="1" applyFont="1"/>
    <xf numFmtId="49" fontId="15" fillId="3" borderId="0" xfId="0" applyNumberFormat="1" applyFont="1" applyFill="1"/>
    <xf numFmtId="49" fontId="25" fillId="0" borderId="0" xfId="0" applyNumberFormat="1" applyFont="1"/>
    <xf numFmtId="49" fontId="22" fillId="3" borderId="0" xfId="0" applyNumberFormat="1" applyFont="1" applyFill="1"/>
    <xf numFmtId="9" fontId="25" fillId="0" borderId="0" xfId="1" applyNumberFormat="1" applyFont="1"/>
    <xf numFmtId="0" fontId="26" fillId="0" borderId="0" xfId="0" applyFont="1"/>
    <xf numFmtId="0" fontId="16" fillId="0" borderId="0" xfId="0" applyFont="1"/>
    <xf numFmtId="9" fontId="25" fillId="2" borderId="2" xfId="0" applyNumberFormat="1" applyFont="1" applyFill="1" applyBorder="1" applyAlignment="1">
      <alignment horizontal="center" vertical="center" wrapText="1"/>
    </xf>
    <xf numFmtId="49" fontId="22" fillId="3" borderId="0" xfId="0" applyNumberFormat="1" applyFont="1" applyFill="1" applyAlignment="1">
      <alignment horizontal="left"/>
    </xf>
    <xf numFmtId="0" fontId="0" fillId="0" borderId="0" xfId="0" applyFont="1" applyAlignment="1">
      <alignment horizontal="left"/>
    </xf>
    <xf numFmtId="0" fontId="2" fillId="0" borderId="0" xfId="0" applyFont="1"/>
    <xf numFmtId="0" fontId="1" fillId="0" borderId="0" xfId="0" applyFont="1"/>
    <xf numFmtId="49" fontId="15" fillId="0" borderId="0" xfId="0" applyNumberFormat="1" applyFont="1" applyFill="1" applyBorder="1" applyAlignment="1">
      <alignment horizontal="center" vertical="center" wrapText="1"/>
    </xf>
    <xf numFmtId="0" fontId="15" fillId="2" borderId="0" xfId="1" applyNumberFormat="1" applyFont="1" applyFill="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5" fillId="6" borderId="0" xfId="0" applyNumberFormat="1" applyFont="1" applyFill="1" applyAlignment="1">
      <alignment horizontal="center" vertical="center" wrapText="1"/>
    </xf>
    <xf numFmtId="3" fontId="28" fillId="6" borderId="0" xfId="5" applyNumberFormat="1" applyFont="1" applyFill="1" applyAlignment="1">
      <alignment horizontal="center" vertical="center" wrapText="1"/>
    </xf>
    <xf numFmtId="3" fontId="15" fillId="0" borderId="0" xfId="0" applyNumberFormat="1" applyFont="1" applyAlignment="1">
      <alignment horizontal="right"/>
    </xf>
    <xf numFmtId="3" fontId="15" fillId="0" borderId="0" xfId="0" applyNumberFormat="1" applyFont="1"/>
    <xf numFmtId="3" fontId="8" fillId="0" borderId="0" xfId="0" applyNumberFormat="1" applyFont="1"/>
    <xf numFmtId="3" fontId="0" fillId="0" borderId="0" xfId="0" applyNumberFormat="1" applyFont="1" applyAlignment="1">
      <alignment horizontal="right"/>
    </xf>
    <xf numFmtId="3" fontId="0" fillId="0" borderId="0" xfId="0" applyNumberFormat="1" applyFont="1"/>
    <xf numFmtId="3" fontId="0" fillId="2" borderId="0" xfId="0" applyNumberFormat="1" applyFont="1" applyFill="1" applyAlignment="1">
      <alignment horizontal="center" vertical="center" wrapText="1"/>
    </xf>
    <xf numFmtId="3" fontId="16" fillId="4" borderId="0" xfId="0" applyNumberFormat="1" applyFont="1" applyFill="1" applyAlignment="1">
      <alignment vertical="center"/>
    </xf>
    <xf numFmtId="3" fontId="1" fillId="0" borderId="0" xfId="1" applyNumberFormat="1" applyFont="1"/>
    <xf numFmtId="3" fontId="0" fillId="0" borderId="0" xfId="1" applyNumberFormat="1" applyFont="1"/>
    <xf numFmtId="3" fontId="2" fillId="4" borderId="0" xfId="1" applyNumberFormat="1" applyFont="1" applyFill="1" applyAlignment="1">
      <alignment vertical="center"/>
    </xf>
    <xf numFmtId="3" fontId="9" fillId="0" borderId="0" xfId="1" applyNumberFormat="1" applyFont="1"/>
    <xf numFmtId="3" fontId="15" fillId="6" borderId="0" xfId="1" applyNumberFormat="1" applyFont="1" applyFill="1" applyAlignment="1">
      <alignment horizontal="center" vertical="center" wrapText="1"/>
    </xf>
    <xf numFmtId="3" fontId="15" fillId="0" borderId="0" xfId="1" applyNumberFormat="1" applyFont="1" applyAlignment="1">
      <alignment horizontal="right"/>
    </xf>
    <xf numFmtId="3" fontId="15" fillId="0" borderId="0" xfId="1" applyNumberFormat="1" applyFont="1"/>
    <xf numFmtId="10" fontId="2" fillId="4" borderId="0" xfId="0" applyNumberFormat="1" applyFont="1" applyFill="1" applyAlignment="1">
      <alignment vertical="center"/>
    </xf>
    <xf numFmtId="3" fontId="22" fillId="0" borderId="0" xfId="1" applyNumberFormat="1" applyFont="1" applyAlignment="1">
      <alignment horizontal="right"/>
    </xf>
    <xf numFmtId="3" fontId="22" fillId="0" borderId="0" xfId="0" applyNumberFormat="1" applyFont="1"/>
    <xf numFmtId="3" fontId="5" fillId="0" borderId="0" xfId="0" applyNumberFormat="1" applyFont="1"/>
    <xf numFmtId="3" fontId="25" fillId="0" borderId="0" xfId="1" applyNumberFormat="1" applyFont="1" applyAlignment="1">
      <alignment horizontal="right"/>
    </xf>
    <xf numFmtId="3" fontId="25" fillId="0" borderId="0" xfId="0" applyNumberFormat="1" applyFont="1"/>
    <xf numFmtId="3" fontId="5" fillId="0" borderId="0" xfId="1" applyNumberFormat="1" applyFont="1"/>
    <xf numFmtId="3" fontId="27" fillId="3" borderId="0" xfId="1" applyNumberFormat="1" applyFont="1" applyFill="1"/>
    <xf numFmtId="3" fontId="25" fillId="6" borderId="0" xfId="0" applyNumberFormat="1" applyFont="1" applyFill="1" applyAlignment="1">
      <alignment horizontal="center" vertical="center" wrapText="1"/>
    </xf>
    <xf numFmtId="3" fontId="8" fillId="0" borderId="0" xfId="1" applyNumberFormat="1" applyFont="1"/>
    <xf numFmtId="3" fontId="16" fillId="4" borderId="0" xfId="1" applyNumberFormat="1" applyFont="1" applyFill="1" applyAlignment="1">
      <alignment vertical="center"/>
    </xf>
    <xf numFmtId="3" fontId="4" fillId="4" borderId="0" xfId="0" applyNumberFormat="1" applyFont="1" applyFill="1" applyBorder="1" applyAlignment="1">
      <alignment vertical="center"/>
    </xf>
    <xf numFmtId="3" fontId="0" fillId="0" borderId="0" xfId="0" applyNumberFormat="1" applyFont="1" applyBorder="1"/>
    <xf numFmtId="3" fontId="0" fillId="0" borderId="2" xfId="0" applyNumberFormat="1" applyFont="1" applyBorder="1"/>
    <xf numFmtId="3" fontId="24" fillId="3" borderId="0" xfId="0" applyNumberFormat="1" applyFont="1" applyFill="1" applyBorder="1" applyAlignment="1">
      <alignment horizontal="left"/>
    </xf>
    <xf numFmtId="3" fontId="22" fillId="6" borderId="0" xfId="0" applyNumberFormat="1" applyFont="1" applyFill="1" applyAlignment="1">
      <alignment horizontal="center" vertical="center" wrapText="1"/>
    </xf>
    <xf numFmtId="3" fontId="25" fillId="0" borderId="0" xfId="0" applyNumberFormat="1" applyFont="1" applyAlignment="1">
      <alignment horizontal="right"/>
    </xf>
    <xf numFmtId="3" fontId="6" fillId="0" borderId="0" xfId="0" applyNumberFormat="1" applyFont="1" applyBorder="1"/>
    <xf numFmtId="3" fontId="22" fillId="0" borderId="0" xfId="0" applyNumberFormat="1" applyFont="1" applyBorder="1" applyAlignment="1">
      <alignment horizontal="right"/>
    </xf>
    <xf numFmtId="3" fontId="15" fillId="0" borderId="0" xfId="0" applyNumberFormat="1" applyFont="1" applyBorder="1"/>
    <xf numFmtId="3" fontId="22" fillId="0" borderId="0" xfId="0" applyNumberFormat="1" applyFont="1" applyBorder="1"/>
    <xf numFmtId="3" fontId="27" fillId="3" borderId="0" xfId="0" applyNumberFormat="1" applyFont="1" applyFill="1" applyAlignment="1">
      <alignment horizontal="left"/>
    </xf>
    <xf numFmtId="3" fontId="2" fillId="4" borderId="2" xfId="0" applyNumberFormat="1" applyFont="1" applyFill="1" applyBorder="1" applyAlignment="1">
      <alignment vertical="center"/>
    </xf>
    <xf numFmtId="3" fontId="8" fillId="0" borderId="2" xfId="0" applyNumberFormat="1" applyFont="1" applyBorder="1"/>
    <xf numFmtId="3" fontId="0" fillId="0" borderId="2" xfId="0" applyNumberFormat="1" applyFon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5"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0" applyNumberFormat="1" applyFont="1" applyBorder="1" applyAlignment="1">
      <alignment horizontal="right"/>
    </xf>
    <xf numFmtId="3" fontId="0" fillId="0" borderId="0" xfId="1" applyNumberFormat="1" applyFont="1" applyBorder="1"/>
    <xf numFmtId="3" fontId="15" fillId="0" borderId="0" xfId="0" applyNumberFormat="1" applyFont="1" applyFill="1"/>
    <xf numFmtId="3" fontId="0" fillId="0" borderId="2" xfId="1" applyNumberFormat="1" applyFont="1" applyBorder="1" applyAlignment="1">
      <alignment horizontal="right"/>
    </xf>
    <xf numFmtId="3" fontId="29" fillId="6" borderId="0" xfId="5" applyNumberFormat="1" applyFont="1" applyFill="1" applyAlignment="1">
      <alignment horizontal="center" vertical="center" wrapText="1"/>
    </xf>
    <xf numFmtId="3" fontId="15" fillId="0" borderId="2" xfId="0" applyNumberFormat="1" applyFont="1" applyBorder="1"/>
    <xf numFmtId="3" fontId="2" fillId="4" borderId="0" xfId="4" applyNumberFormat="1" applyFont="1" applyFill="1" applyAlignment="1">
      <alignment vertical="center"/>
    </xf>
    <xf numFmtId="3" fontId="9" fillId="0" borderId="0" xfId="4" applyNumberFormat="1" applyFont="1"/>
    <xf numFmtId="3" fontId="15" fillId="6" borderId="0" xfId="4" applyNumberFormat="1" applyFont="1" applyFill="1" applyAlignment="1">
      <alignment horizontal="center" vertical="center" wrapText="1"/>
    </xf>
    <xf numFmtId="3" fontId="15" fillId="0" borderId="0" xfId="4" applyNumberFormat="1" applyFont="1"/>
    <xf numFmtId="3" fontId="9" fillId="0" borderId="0" xfId="0" applyNumberFormat="1" applyFont="1" applyAlignment="1">
      <alignment vertical="center"/>
    </xf>
    <xf numFmtId="3" fontId="22" fillId="0" borderId="0" xfId="1" applyNumberFormat="1" applyFont="1" applyAlignment="1">
      <alignment horizontal="right" vertical="center"/>
    </xf>
    <xf numFmtId="3" fontId="15" fillId="0" borderId="0" xfId="0" applyNumberFormat="1" applyFont="1" applyAlignment="1">
      <alignment vertical="center"/>
    </xf>
    <xf numFmtId="3" fontId="2" fillId="4" borderId="0" xfId="0" applyNumberFormat="1" applyFont="1" applyFill="1" applyBorder="1" applyAlignment="1">
      <alignment vertical="center"/>
    </xf>
    <xf numFmtId="3" fontId="9" fillId="0" borderId="0" xfId="0" applyNumberFormat="1" applyFont="1" applyBorder="1"/>
    <xf numFmtId="3" fontId="23" fillId="2" borderId="2" xfId="5" applyNumberFormat="1" applyFont="1" applyFill="1" applyBorder="1" applyAlignment="1">
      <alignment horizontal="center" vertical="center" wrapText="1"/>
    </xf>
    <xf numFmtId="3" fontId="25" fillId="0" borderId="2" xfId="1" applyNumberFormat="1" applyFont="1" applyBorder="1" applyAlignment="1">
      <alignment horizontal="right"/>
    </xf>
    <xf numFmtId="3" fontId="22"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ont="1" applyFill="1" applyAlignment="1">
      <alignment horizontal="center" vertical="center" wrapText="1"/>
    </xf>
    <xf numFmtId="3" fontId="15" fillId="2" borderId="0" xfId="0" applyNumberFormat="1" applyFont="1" applyFill="1" applyAlignment="1">
      <alignment horizontal="center" vertical="center" wrapText="1"/>
    </xf>
    <xf numFmtId="3" fontId="15" fillId="2" borderId="0" xfId="1" applyNumberFormat="1" applyFon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 fillId="4" borderId="0" xfId="0" applyNumberFormat="1" applyFont="1" applyFill="1" applyAlignment="1">
      <alignment horizontal="left" vertical="center"/>
    </xf>
    <xf numFmtId="3" fontId="29" fillId="0" borderId="0" xfId="1" applyNumberFormat="1" applyFont="1" applyFill="1" applyAlignment="1">
      <alignment horizontal="right"/>
    </xf>
    <xf numFmtId="3" fontId="0" fillId="6" borderId="2" xfId="0" applyNumberFormat="1" applyFon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16" fillId="4" borderId="0" xfId="1" applyNumberFormat="1" applyFont="1" applyFill="1" applyAlignment="1">
      <alignment vertical="center"/>
    </xf>
    <xf numFmtId="0" fontId="8" fillId="0" borderId="0" xfId="1" applyNumberFormat="1" applyFont="1"/>
    <xf numFmtId="0" fontId="1" fillId="6" borderId="0" xfId="1" applyNumberFormat="1" applyFont="1" applyFill="1" applyAlignment="1">
      <alignment horizontal="center" vertical="center" wrapText="1"/>
    </xf>
    <xf numFmtId="0" fontId="0" fillId="2" borderId="0" xfId="0" applyNumberFormat="1" applyFill="1" applyAlignment="1">
      <alignment vertical="top" wrapText="1"/>
    </xf>
    <xf numFmtId="0" fontId="9" fillId="0" borderId="0" xfId="1" applyNumberFormat="1" applyFont="1" applyAlignment="1">
      <alignment horizontal="left"/>
    </xf>
    <xf numFmtId="10" fontId="25" fillId="0" borderId="0" xfId="1" applyNumberFormat="1" applyFont="1" applyAlignment="1">
      <alignment horizontal="right"/>
    </xf>
    <xf numFmtId="3" fontId="8" fillId="0" borderId="0" xfId="0" applyNumberFormat="1" applyFont="1" applyBorder="1"/>
    <xf numFmtId="3" fontId="25" fillId="0" borderId="0" xfId="1" applyNumberFormat="1" applyFont="1" applyBorder="1" applyAlignment="1">
      <alignment horizontal="right"/>
    </xf>
    <xf numFmtId="3" fontId="27" fillId="3" borderId="0" xfId="0" applyNumberFormat="1" applyFont="1" applyFill="1" applyBorder="1"/>
    <xf numFmtId="3" fontId="15" fillId="6" borderId="0" xfId="0" applyNumberFormat="1" applyFont="1" applyFill="1" applyBorder="1" applyAlignment="1">
      <alignment horizontal="center" vertical="center" wrapText="1"/>
    </xf>
    <xf numFmtId="9" fontId="5" fillId="0" borderId="2" xfId="1" applyNumberFormat="1" applyFont="1" applyBorder="1"/>
    <xf numFmtId="9" fontId="0" fillId="0" borderId="2" xfId="1" applyNumberFormat="1" applyFont="1" applyBorder="1" applyAlignment="1">
      <alignment horizontal="right"/>
    </xf>
    <xf numFmtId="9" fontId="0" fillId="0" borderId="2" xfId="1" applyNumberFormat="1" applyFont="1" applyBorder="1"/>
    <xf numFmtId="9" fontId="27" fillId="3" borderId="2" xfId="1" applyNumberFormat="1" applyFont="1" applyFill="1" applyBorder="1" applyAlignment="1">
      <alignment horizontal="left"/>
    </xf>
    <xf numFmtId="9" fontId="25" fillId="0" borderId="2" xfId="1" applyNumberFormat="1" applyFont="1" applyBorder="1"/>
    <xf numFmtId="9" fontId="4" fillId="4" borderId="2" xfId="1" applyNumberFormat="1" applyFont="1" applyFill="1" applyBorder="1" applyAlignment="1">
      <alignment vertical="center"/>
    </xf>
    <xf numFmtId="9" fontId="16" fillId="4" borderId="0" xfId="0" applyNumberFormat="1" applyFont="1" applyFill="1" applyBorder="1" applyAlignment="1">
      <alignment vertical="center"/>
    </xf>
    <xf numFmtId="9" fontId="5" fillId="0" borderId="0" xfId="0" applyNumberFormat="1" applyFont="1" applyBorder="1"/>
    <xf numFmtId="9" fontId="25" fillId="2" borderId="0" xfId="0" applyNumberFormat="1" applyFont="1" applyFill="1" applyBorder="1" applyAlignment="1">
      <alignment horizontal="center" vertical="center" wrapText="1"/>
    </xf>
    <xf numFmtId="9" fontId="25" fillId="0" borderId="0" xfId="0" applyNumberFormat="1" applyFont="1" applyBorder="1" applyAlignment="1">
      <alignment horizontal="right"/>
    </xf>
    <xf numFmtId="9" fontId="0" fillId="0" borderId="0" xfId="0" applyNumberFormat="1" applyFont="1" applyBorder="1"/>
    <xf numFmtId="9" fontId="27" fillId="3" borderId="0" xfId="0" applyNumberFormat="1" applyFont="1" applyFill="1" applyBorder="1" applyAlignment="1">
      <alignment horizontal="left"/>
    </xf>
    <xf numFmtId="9" fontId="25" fillId="0" borderId="0" xfId="0" applyNumberFormat="1" applyFont="1" applyBorder="1"/>
    <xf numFmtId="3" fontId="24" fillId="3" borderId="0" xfId="1" applyNumberFormat="1" applyFont="1" applyFill="1"/>
    <xf numFmtId="3" fontId="0" fillId="0" borderId="0" xfId="0" applyNumberFormat="1" applyFont="1" applyFill="1"/>
    <xf numFmtId="3" fontId="27" fillId="3" borderId="2" xfId="1" applyNumberFormat="1" applyFont="1" applyFill="1" applyBorder="1"/>
    <xf numFmtId="3" fontId="15" fillId="0" borderId="0" xfId="0" applyNumberFormat="1" applyFont="1" applyBorder="1" applyAlignment="1">
      <alignment horizontal="right"/>
    </xf>
    <xf numFmtId="3" fontId="27" fillId="3" borderId="0" xfId="1" applyNumberFormat="1" applyFont="1" applyFill="1" applyBorder="1"/>
    <xf numFmtId="10" fontId="0" fillId="0" borderId="0" xfId="1" applyNumberFormat="1" applyFont="1"/>
    <xf numFmtId="10" fontId="27" fillId="3" borderId="0" xfId="1" applyNumberFormat="1" applyFont="1" applyFill="1"/>
    <xf numFmtId="3" fontId="27" fillId="3" borderId="0" xfId="1" applyNumberFormat="1" applyFont="1" applyFill="1" applyAlignment="1">
      <alignment horizontal="left"/>
    </xf>
    <xf numFmtId="0" fontId="27" fillId="3" borderId="0" xfId="1" applyNumberFormat="1" applyFont="1" applyFill="1"/>
    <xf numFmtId="3" fontId="0" fillId="0" borderId="0" xfId="0" applyNumberFormat="1" applyFont="1" applyAlignment="1">
      <alignment horizontal="center"/>
    </xf>
    <xf numFmtId="3" fontId="27" fillId="3" borderId="0" xfId="1" applyNumberFormat="1" applyFont="1" applyFill="1" applyAlignment="1">
      <alignment horizontal="center"/>
    </xf>
    <xf numFmtId="3" fontId="8" fillId="0" borderId="0" xfId="0" applyNumberFormat="1" applyFont="1" applyAlignment="1">
      <alignment horizontal="left"/>
    </xf>
    <xf numFmtId="49" fontId="4" fillId="0" borderId="0" xfId="0" applyNumberFormat="1" applyFont="1" applyAlignment="1">
      <alignment vertical="center"/>
    </xf>
    <xf numFmtId="0" fontId="2" fillId="4" borderId="0" xfId="1" applyNumberFormat="1" applyFont="1" applyFill="1" applyAlignment="1">
      <alignment horizontal="left" vertical="center"/>
    </xf>
    <xf numFmtId="41" fontId="8" fillId="0" borderId="0" xfId="1" applyNumberFormat="1" applyFont="1"/>
    <xf numFmtId="49" fontId="0" fillId="0" borderId="0" xfId="0" applyNumberFormat="1" applyAlignment="1">
      <alignment horizontal="center" vertical="center" wrapText="1"/>
    </xf>
    <xf numFmtId="0" fontId="0" fillId="0" borderId="0" xfId="0" applyAlignment="1">
      <alignment horizontal="center"/>
    </xf>
    <xf numFmtId="0" fontId="15" fillId="0" borderId="0" xfId="0" applyFont="1" applyAlignment="1">
      <alignment horizontal="center"/>
    </xf>
    <xf numFmtId="0" fontId="0" fillId="0" borderId="0" xfId="0" applyAlignment="1">
      <alignment horizontal="left"/>
    </xf>
    <xf numFmtId="0" fontId="15" fillId="0" borderId="0" xfId="0" applyFont="1" applyAlignment="1">
      <alignment horizontal="left"/>
    </xf>
    <xf numFmtId="0" fontId="24" fillId="3" borderId="0" xfId="1" applyNumberFormat="1" applyFont="1" applyFill="1" applyAlignment="1">
      <alignment horizontal="left"/>
    </xf>
    <xf numFmtId="10" fontId="8" fillId="0" borderId="0" xfId="1" applyNumberFormat="1" applyFont="1"/>
    <xf numFmtId="10" fontId="9" fillId="0" borderId="0" xfId="1" applyNumberFormat="1" applyFont="1"/>
    <xf numFmtId="10" fontId="15" fillId="2" borderId="0" xfId="1" applyNumberFormat="1" applyFont="1" applyFill="1" applyAlignment="1">
      <alignment horizontal="center" vertical="center" wrapText="1"/>
    </xf>
    <xf numFmtId="10" fontId="15" fillId="0" borderId="0" xfId="1" applyNumberFormat="1" applyFont="1" applyAlignment="1">
      <alignment horizontal="right"/>
    </xf>
    <xf numFmtId="10" fontId="15" fillId="0" borderId="0" xfId="0" applyNumberFormat="1" applyFont="1"/>
    <xf numFmtId="10" fontId="24" fillId="3" borderId="0" xfId="1" applyNumberFormat="1" applyFont="1" applyFill="1"/>
    <xf numFmtId="10" fontId="15" fillId="0" borderId="0" xfId="1" applyNumberFormat="1" applyFont="1"/>
    <xf numFmtId="9" fontId="25" fillId="6" borderId="0" xfId="0" applyNumberFormat="1" applyFont="1" applyFill="1" applyBorder="1" applyAlignment="1">
      <alignment horizontal="center" vertical="center" wrapText="1"/>
    </xf>
    <xf numFmtId="10" fontId="16" fillId="4" borderId="0" xfId="1" applyNumberFormat="1" applyFont="1" applyFill="1" applyAlignment="1">
      <alignment vertical="center"/>
    </xf>
    <xf numFmtId="10" fontId="1" fillId="0" borderId="0" xfId="1" applyNumberFormat="1" applyFont="1"/>
    <xf numFmtId="9" fontId="1" fillId="6" borderId="0" xfId="0" applyNumberFormat="1" applyFont="1" applyFill="1" applyAlignment="1">
      <alignment horizontal="center" vertical="center" wrapText="1"/>
    </xf>
    <xf numFmtId="9" fontId="1" fillId="2" borderId="0" xfId="1"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NumberFormat="1" applyFont="1" applyAlignment="1">
      <alignment horizontal="right"/>
    </xf>
    <xf numFmtId="9" fontId="1" fillId="0" borderId="0" xfId="0" applyNumberFormat="1" applyFont="1"/>
    <xf numFmtId="9" fontId="1" fillId="0" borderId="0" xfId="1" applyNumberFormat="1" applyFont="1"/>
    <xf numFmtId="9" fontId="27" fillId="3" borderId="0" xfId="1" applyNumberFormat="1" applyFont="1" applyFill="1"/>
    <xf numFmtId="3" fontId="0" fillId="0" borderId="0" xfId="0" applyNumberFormat="1" applyFont="1" applyAlignment="1">
      <alignment horizontal="left"/>
    </xf>
    <xf numFmtId="3" fontId="15" fillId="2" borderId="0" xfId="0" applyNumberFormat="1" applyFont="1" applyFill="1" applyBorder="1" applyAlignment="1">
      <alignment horizontal="center" vertical="center" wrapText="1"/>
    </xf>
    <xf numFmtId="3" fontId="24" fillId="3" borderId="0" xfId="1" applyNumberFormat="1" applyFont="1" applyFill="1" applyBorder="1"/>
    <xf numFmtId="3" fontId="0" fillId="0" borderId="2" xfId="0" applyNumberFormat="1" applyFont="1" applyFill="1" applyBorder="1"/>
    <xf numFmtId="3" fontId="15" fillId="0" borderId="0" xfId="1" applyNumberFormat="1" applyFont="1" applyFill="1"/>
    <xf numFmtId="3" fontId="23" fillId="0" borderId="0" xfId="0" applyNumberFormat="1" applyFont="1" applyFill="1"/>
    <xf numFmtId="3" fontId="15" fillId="0" borderId="0" xfId="1" applyNumberFormat="1" applyFont="1" applyBorder="1"/>
    <xf numFmtId="3" fontId="24" fillId="3" borderId="0" xfId="1" applyNumberFormat="1" applyFont="1" applyFill="1" applyBorder="1" applyAlignment="1">
      <alignment horizontal="left"/>
    </xf>
    <xf numFmtId="3" fontId="22"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2" fillId="4" borderId="7" xfId="0" applyNumberFormat="1" applyFont="1" applyFill="1" applyBorder="1" applyAlignment="1">
      <alignment vertical="center"/>
    </xf>
    <xf numFmtId="3" fontId="9" fillId="0" borderId="7" xfId="0" applyNumberFormat="1" applyFont="1" applyBorder="1"/>
    <xf numFmtId="3" fontId="15" fillId="0" borderId="7" xfId="0" applyNumberFormat="1" applyFont="1" applyBorder="1" applyAlignment="1">
      <alignment horizontal="right"/>
    </xf>
    <xf numFmtId="3" fontId="15"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5"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15" fillId="2" borderId="2" xfId="0" applyNumberFormat="1" applyFont="1" applyFill="1" applyBorder="1" applyAlignment="1">
      <alignment horizontal="center" vertical="center" wrapText="1"/>
    </xf>
    <xf numFmtId="3" fontId="2" fillId="4" borderId="8" xfId="0" applyNumberFormat="1" applyFont="1" applyFill="1" applyBorder="1" applyAlignment="1">
      <alignment vertical="center"/>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3" fontId="27" fillId="3" borderId="8" xfId="1" applyNumberFormat="1" applyFont="1" applyFill="1" applyBorder="1"/>
    <xf numFmtId="9" fontId="2" fillId="4" borderId="2" xfId="1" applyNumberFormat="1" applyFont="1" applyFill="1" applyBorder="1" applyAlignment="1">
      <alignment vertical="center"/>
    </xf>
    <xf numFmtId="9" fontId="8" fillId="0" borderId="2" xfId="1" applyNumberFormat="1" applyFont="1" applyBorder="1"/>
    <xf numFmtId="9" fontId="2" fillId="4" borderId="0" xfId="1" applyNumberFormat="1" applyFont="1" applyFill="1" applyBorder="1" applyAlignment="1">
      <alignment vertical="center"/>
    </xf>
    <xf numFmtId="9" fontId="8" fillId="0" borderId="0" xfId="1" applyNumberFormat="1" applyFont="1" applyBorder="1"/>
    <xf numFmtId="9" fontId="0" fillId="6" borderId="0" xfId="1" applyNumberFormat="1" applyFont="1" applyFill="1" applyBorder="1" applyAlignment="1">
      <alignment horizontal="center" vertical="center" wrapText="1"/>
    </xf>
    <xf numFmtId="9" fontId="0" fillId="0" borderId="0" xfId="1" applyNumberFormat="1" applyFont="1" applyBorder="1" applyAlignment="1">
      <alignment horizontal="right"/>
    </xf>
    <xf numFmtId="9" fontId="0" fillId="0" borderId="0" xfId="1" applyNumberFormat="1" applyFont="1" applyBorder="1"/>
    <xf numFmtId="9" fontId="27" fillId="3" borderId="0" xfId="1" applyNumberFormat="1" applyFont="1" applyFill="1" applyBorder="1"/>
    <xf numFmtId="3" fontId="24" fillId="3" borderId="2" xfId="1" applyNumberFormat="1" applyFont="1" applyFill="1" applyBorder="1"/>
    <xf numFmtId="3" fontId="32" fillId="0" borderId="0" xfId="0" applyNumberFormat="1" applyFont="1"/>
    <xf numFmtId="3" fontId="24" fillId="3" borderId="7" xfId="1" applyNumberFormat="1" applyFont="1" applyFill="1" applyBorder="1"/>
    <xf numFmtId="3" fontId="15" fillId="6" borderId="0" xfId="1" applyNumberFormat="1" applyFont="1" applyFill="1" applyBorder="1" applyAlignment="1">
      <alignment horizontal="center" vertical="center" wrapText="1"/>
    </xf>
    <xf numFmtId="0" fontId="2" fillId="0" borderId="0" xfId="0" applyFont="1" applyAlignment="1">
      <alignment vertical="center"/>
    </xf>
    <xf numFmtId="3" fontId="18" fillId="6" borderId="2" xfId="5" applyNumberFormat="1" applyFill="1" applyBorder="1" applyAlignment="1">
      <alignment horizontal="center" vertical="center" wrapText="1"/>
    </xf>
    <xf numFmtId="3" fontId="18" fillId="6" borderId="0" xfId="5" applyNumberFormat="1" applyFill="1" applyAlignment="1">
      <alignment horizontal="center" vertical="center" wrapText="1"/>
    </xf>
    <xf numFmtId="10" fontId="18" fillId="6" borderId="0" xfId="5" applyNumberFormat="1" applyFill="1" applyAlignment="1">
      <alignment horizontal="center" vertical="center" wrapText="1"/>
    </xf>
    <xf numFmtId="9" fontId="18" fillId="6" borderId="0" xfId="5" applyNumberFormat="1" applyFill="1" applyAlignment="1">
      <alignment horizontal="center" vertical="center" wrapText="1"/>
    </xf>
    <xf numFmtId="3" fontId="18" fillId="6" borderId="0" xfId="5" applyNumberFormat="1" applyFill="1" applyBorder="1" applyAlignment="1">
      <alignment horizontal="center" vertical="center" wrapText="1"/>
    </xf>
    <xf numFmtId="9" fontId="18" fillId="6" borderId="0" xfId="5" applyNumberFormat="1" applyFill="1" applyBorder="1" applyAlignment="1">
      <alignment horizontal="center" vertical="center" wrapText="1"/>
    </xf>
    <xf numFmtId="9" fontId="18" fillId="6" borderId="2" xfId="5" applyNumberFormat="1" applyFill="1" applyBorder="1" applyAlignment="1">
      <alignment horizontal="center" vertical="center" wrapText="1"/>
    </xf>
    <xf numFmtId="9" fontId="18" fillId="2" borderId="0" xfId="5" applyNumberFormat="1" applyFill="1" applyAlignment="1">
      <alignment horizontal="center" vertical="center" wrapText="1"/>
    </xf>
    <xf numFmtId="9" fontId="18" fillId="2" borderId="0" xfId="5" applyNumberFormat="1" applyFill="1" applyBorder="1" applyAlignment="1">
      <alignment horizontal="center" vertical="center" wrapText="1"/>
    </xf>
    <xf numFmtId="9" fontId="18" fillId="2" borderId="2" xfId="5" applyNumberFormat="1" applyFill="1" applyBorder="1" applyAlignment="1">
      <alignment horizontal="center" vertical="center" wrapText="1"/>
    </xf>
    <xf numFmtId="3" fontId="18"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5" fillId="6" borderId="2" xfId="0" applyNumberFormat="1" applyFont="1" applyFill="1" applyBorder="1" applyAlignment="1">
      <alignment horizontal="center" vertical="center" wrapText="1"/>
    </xf>
    <xf numFmtId="3" fontId="22"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NumberFormat="1" applyFont="1" applyBorder="1"/>
    <xf numFmtId="9" fontId="1" fillId="2" borderId="0" xfId="1" applyNumberFormat="1" applyFont="1" applyFill="1" applyBorder="1" applyAlignment="1">
      <alignment horizontal="center" vertical="center" wrapText="1"/>
    </xf>
    <xf numFmtId="9" fontId="0" fillId="0" borderId="0" xfId="0" applyNumberFormat="1"/>
    <xf numFmtId="3" fontId="0" fillId="0" borderId="0" xfId="0" applyNumberFormat="1"/>
    <xf numFmtId="3" fontId="15" fillId="6" borderId="0" xfId="5" applyNumberFormat="1" applyFont="1" applyFill="1" applyBorder="1" applyAlignment="1">
      <alignment horizontal="center" vertical="center" wrapText="1"/>
    </xf>
    <xf numFmtId="49" fontId="4" fillId="0" borderId="0" xfId="0" applyNumberFormat="1" applyFont="1" applyFill="1" applyBorder="1" applyAlignment="1">
      <alignment vertical="center"/>
    </xf>
    <xf numFmtId="49" fontId="8" fillId="0" borderId="0" xfId="0" applyNumberFormat="1" applyFont="1" applyFill="1" applyBorder="1"/>
    <xf numFmtId="49" fontId="0" fillId="0" borderId="0" xfId="0" applyNumberFormat="1" applyFont="1" applyFill="1" applyBorder="1" applyAlignment="1">
      <alignment horizontal="center" vertical="center" wrapText="1"/>
    </xf>
    <xf numFmtId="49" fontId="0" fillId="0" borderId="0" xfId="0" applyNumberFormat="1" applyFont="1" applyBorder="1" applyAlignment="1">
      <alignment horizontal="right"/>
    </xf>
    <xf numFmtId="49" fontId="0" fillId="0" borderId="0" xfId="0" applyNumberFormat="1" applyFont="1" applyBorder="1"/>
    <xf numFmtId="49" fontId="22" fillId="3" borderId="0" xfId="0" applyNumberFormat="1" applyFont="1" applyFill="1" applyBorder="1"/>
    <xf numFmtId="9" fontId="1" fillId="0" borderId="0" xfId="6" applyNumberFormat="1" applyFont="1" applyFill="1"/>
    <xf numFmtId="0" fontId="2" fillId="0" borderId="0" xfId="0" applyNumberFormat="1" applyFont="1" applyFill="1" applyAlignment="1">
      <alignment vertical="center"/>
    </xf>
    <xf numFmtId="0" fontId="8" fillId="0" borderId="0" xfId="0" applyNumberFormat="1" applyFont="1" applyFill="1"/>
    <xf numFmtId="0" fontId="0" fillId="0" borderId="0" xfId="0" applyNumberFormat="1" applyFont="1" applyFill="1" applyAlignment="1">
      <alignment horizontal="center" vertical="center" wrapText="1"/>
    </xf>
    <xf numFmtId="0" fontId="0" fillId="0" borderId="0" xfId="0" applyNumberFormat="1" applyFont="1" applyAlignment="1">
      <alignment horizontal="right"/>
    </xf>
    <xf numFmtId="0" fontId="22" fillId="3" borderId="0" xfId="0" applyNumberFormat="1" applyFont="1" applyFill="1"/>
    <xf numFmtId="3" fontId="15" fillId="9" borderId="0" xfId="0" applyNumberFormat="1" applyFont="1" applyFill="1"/>
    <xf numFmtId="3" fontId="15" fillId="9" borderId="0" xfId="0" applyNumberFormat="1" applyFont="1" applyFill="1" applyBorder="1"/>
    <xf numFmtId="3" fontId="15" fillId="9" borderId="2" xfId="0" applyNumberFormat="1" applyFont="1" applyFill="1" applyBorder="1"/>
    <xf numFmtId="3" fontId="0" fillId="9" borderId="0" xfId="0" applyNumberFormat="1" applyFont="1" applyFill="1"/>
    <xf numFmtId="3" fontId="15" fillId="9" borderId="0" xfId="1" applyNumberFormat="1" applyFont="1" applyFill="1"/>
    <xf numFmtId="3" fontId="0" fillId="9" borderId="2" xfId="0" applyNumberFormat="1" applyFont="1" applyFill="1" applyBorder="1"/>
    <xf numFmtId="3" fontId="1" fillId="9" borderId="2" xfId="1" applyNumberFormat="1" applyFont="1" applyFill="1" applyBorder="1"/>
    <xf numFmtId="3" fontId="0" fillId="9" borderId="2" xfId="1" applyNumberFormat="1" applyFont="1" applyFill="1" applyBorder="1"/>
    <xf numFmtId="3" fontId="23" fillId="9" borderId="0" xfId="0" applyNumberFormat="1" applyFont="1" applyFill="1"/>
    <xf numFmtId="3" fontId="23"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3" fillId="9" borderId="2" xfId="6" applyNumberFormat="1" applyFont="1" applyFill="1" applyBorder="1"/>
    <xf numFmtId="3" fontId="1" fillId="9" borderId="0" xfId="0" applyNumberFormat="1" applyFont="1" applyFill="1"/>
    <xf numFmtId="0" fontId="15" fillId="9" borderId="0" xfId="0" applyFont="1" applyFill="1" applyAlignment="1">
      <alignment horizontal="left"/>
    </xf>
    <xf numFmtId="3" fontId="15" fillId="9" borderId="0" xfId="0" applyNumberFormat="1" applyFont="1" applyFill="1" applyAlignment="1">
      <alignment vertical="center"/>
    </xf>
    <xf numFmtId="3" fontId="23" fillId="9" borderId="0" xfId="0" applyNumberFormat="1" applyFont="1" applyFill="1" applyAlignment="1">
      <alignment horizontal="left"/>
    </xf>
    <xf numFmtId="3" fontId="0" fillId="9" borderId="0" xfId="0" applyNumberFormat="1" applyFont="1" applyFill="1" applyAlignment="1">
      <alignment horizontal="left"/>
    </xf>
    <xf numFmtId="3" fontId="29" fillId="9" borderId="0" xfId="0" applyNumberFormat="1" applyFont="1" applyFill="1"/>
    <xf numFmtId="0" fontId="0" fillId="0" borderId="0" xfId="0" applyFont="1" applyFill="1"/>
    <xf numFmtId="49" fontId="0" fillId="0" borderId="0" xfId="0" applyNumberFormat="1" applyFont="1" applyFill="1"/>
    <xf numFmtId="0" fontId="0" fillId="0" borderId="0" xfId="0" applyNumberFormat="1" applyFont="1" applyFill="1"/>
    <xf numFmtId="9" fontId="0" fillId="0" borderId="2" xfId="1" applyNumberFormat="1" applyFont="1" applyFill="1" applyBorder="1"/>
    <xf numFmtId="9" fontId="0" fillId="0" borderId="0" xfId="1" applyNumberFormat="1" applyFont="1" applyFill="1"/>
    <xf numFmtId="3" fontId="5" fillId="0" borderId="0" xfId="0" applyNumberFormat="1" applyFont="1" applyBorder="1"/>
    <xf numFmtId="3" fontId="1" fillId="6" borderId="0" xfId="5" applyNumberFormat="1" applyFont="1" applyFill="1" applyBorder="1" applyAlignment="1">
      <alignment horizontal="center" vertical="center" wrapText="1"/>
    </xf>
    <xf numFmtId="3" fontId="25" fillId="0" borderId="0" xfId="1" applyNumberFormat="1" applyFont="1" applyBorder="1"/>
    <xf numFmtId="9" fontId="1" fillId="6" borderId="0" xfId="1" applyNumberFormat="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Font="1" applyBorder="1"/>
    <xf numFmtId="3" fontId="16" fillId="4" borderId="0" xfId="1" applyNumberFormat="1" applyFont="1" applyFill="1" applyBorder="1" applyAlignment="1">
      <alignment vertical="center"/>
    </xf>
    <xf numFmtId="3" fontId="15" fillId="0" borderId="0" xfId="1" applyNumberFormat="1" applyFont="1" applyBorder="1" applyAlignment="1">
      <alignment horizontal="right"/>
    </xf>
    <xf numFmtId="3" fontId="18" fillId="6" borderId="0" xfId="5" applyNumberFormat="1" applyFont="1" applyFill="1" applyAlignment="1">
      <alignment horizontal="center" vertical="center" wrapText="1"/>
    </xf>
    <xf numFmtId="3" fontId="24" fillId="3" borderId="0" xfId="6" applyNumberFormat="1" applyFont="1" applyFill="1"/>
    <xf numFmtId="3" fontId="29" fillId="6" borderId="0" xfId="1" applyNumberFormat="1" applyFont="1" applyFill="1" applyBorder="1" applyAlignment="1">
      <alignment horizontal="center" vertical="center" wrapText="1"/>
    </xf>
    <xf numFmtId="3" fontId="15" fillId="0" borderId="0" xfId="6" applyNumberFormat="1" applyFont="1" applyFill="1"/>
    <xf numFmtId="0" fontId="0" fillId="6" borderId="2" xfId="1" applyNumberFormat="1" applyFont="1" applyFill="1" applyBorder="1" applyAlignment="1">
      <alignment horizontal="center" vertical="center" wrapText="1"/>
    </xf>
    <xf numFmtId="0" fontId="24" fillId="3" borderId="2" xfId="1" applyNumberFormat="1" applyFont="1" applyFill="1" applyBorder="1" applyAlignment="1">
      <alignment horizontal="left"/>
    </xf>
    <xf numFmtId="9" fontId="25" fillId="6" borderId="0" xfId="1" applyNumberFormat="1" applyFont="1" applyFill="1" applyAlignment="1">
      <alignment horizontal="center" vertical="center" wrapText="1"/>
    </xf>
    <xf numFmtId="9" fontId="25" fillId="0" borderId="0" xfId="1" applyNumberFormat="1" applyFont="1" applyAlignment="1">
      <alignment horizontal="right"/>
    </xf>
    <xf numFmtId="9" fontId="24" fillId="3" borderId="0" xfId="1" applyNumberFormat="1" applyFont="1" applyFill="1"/>
    <xf numFmtId="9" fontId="25" fillId="2" borderId="0" xfId="1" applyNumberFormat="1" applyFont="1" applyFill="1" applyAlignment="1">
      <alignment horizontal="center" vertical="center" wrapText="1"/>
    </xf>
    <xf numFmtId="9" fontId="15" fillId="0" borderId="0" xfId="1" applyNumberFormat="1" applyFont="1"/>
    <xf numFmtId="9" fontId="0" fillId="6" borderId="2" xfId="1"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9" fontId="27" fillId="3" borderId="2" xfId="1" applyNumberFormat="1" applyFont="1" applyFill="1" applyBorder="1"/>
    <xf numFmtId="9" fontId="25" fillId="0" borderId="0" xfId="1" applyNumberFormat="1" applyFont="1" applyBorder="1"/>
    <xf numFmtId="9" fontId="16" fillId="4" borderId="0" xfId="1" applyNumberFormat="1" applyFont="1" applyFill="1" applyBorder="1" applyAlignment="1">
      <alignment vertical="center"/>
    </xf>
    <xf numFmtId="9" fontId="1" fillId="6" borderId="0" xfId="1" applyNumberFormat="1" applyFont="1" applyFill="1" applyBorder="1" applyAlignment="1">
      <alignment horizontal="center" vertical="center" wrapText="1"/>
    </xf>
    <xf numFmtId="9" fontId="1" fillId="0" borderId="0" xfId="1" applyNumberFormat="1" applyFont="1" applyBorder="1" applyAlignment="1">
      <alignment horizontal="right"/>
    </xf>
    <xf numFmtId="9" fontId="4" fillId="4" borderId="0" xfId="1" applyNumberFormat="1" applyFont="1" applyFill="1" applyBorder="1" applyAlignment="1">
      <alignment vertical="center"/>
    </xf>
    <xf numFmtId="9" fontId="5" fillId="0" borderId="0" xfId="1" applyNumberFormat="1" applyFont="1" applyBorder="1"/>
    <xf numFmtId="9" fontId="24" fillId="3" borderId="0" xfId="1" applyNumberFormat="1" applyFont="1" applyFill="1" applyBorder="1" applyAlignment="1">
      <alignment horizontal="left"/>
    </xf>
    <xf numFmtId="9" fontId="6" fillId="0" borderId="0" xfId="1" applyNumberFormat="1" applyFont="1" applyBorder="1"/>
    <xf numFmtId="9" fontId="15" fillId="6" borderId="0" xfId="1" applyNumberFormat="1" applyFont="1" applyFill="1" applyBorder="1" applyAlignment="1">
      <alignment horizontal="center" vertical="center" wrapText="1"/>
    </xf>
    <xf numFmtId="9" fontId="15" fillId="0" borderId="0" xfId="1" applyNumberFormat="1" applyFont="1" applyBorder="1" applyAlignment="1">
      <alignment horizontal="right"/>
    </xf>
    <xf numFmtId="9" fontId="15" fillId="0" borderId="0" xfId="1" applyNumberFormat="1" applyFont="1" applyBorder="1"/>
    <xf numFmtId="9" fontId="22" fillId="0" borderId="0" xfId="1" applyNumberFormat="1" applyFont="1" applyBorder="1"/>
    <xf numFmtId="9" fontId="1" fillId="2" borderId="2" xfId="1" applyNumberFormat="1" applyFont="1" applyFill="1" applyBorder="1" applyAlignment="1">
      <alignment horizontal="center" vertical="center" wrapText="1"/>
    </xf>
    <xf numFmtId="9" fontId="24" fillId="3" borderId="2" xfId="1" applyNumberFormat="1" applyFont="1" applyFill="1" applyBorder="1" applyAlignment="1">
      <alignment horizontal="left"/>
    </xf>
    <xf numFmtId="9" fontId="9" fillId="0" borderId="0" xfId="1" applyNumberFormat="1" applyFont="1" applyBorder="1"/>
    <xf numFmtId="9" fontId="25" fillId="6" borderId="0" xfId="1" applyNumberFormat="1" applyFont="1" applyFill="1" applyBorder="1" applyAlignment="1">
      <alignment horizontal="center" vertical="center" wrapText="1"/>
    </xf>
    <xf numFmtId="9" fontId="1" fillId="6" borderId="2" xfId="1" applyNumberFormat="1" applyFont="1" applyFill="1" applyBorder="1" applyAlignment="1">
      <alignment horizontal="center" vertical="center" wrapText="1"/>
    </xf>
    <xf numFmtId="9" fontId="0" fillId="6" borderId="0" xfId="1" applyNumberFormat="1" applyFont="1" applyFill="1" applyAlignment="1">
      <alignment horizontal="center" vertical="center" wrapText="1"/>
    </xf>
    <xf numFmtId="9" fontId="25" fillId="6" borderId="2" xfId="1" applyNumberFormat="1" applyFont="1" applyFill="1" applyBorder="1" applyAlignment="1">
      <alignment horizontal="center" vertical="center" wrapText="1"/>
    </xf>
    <xf numFmtId="9" fontId="25" fillId="6" borderId="0" xfId="0" applyNumberFormat="1" applyFont="1" applyFill="1" applyAlignment="1">
      <alignment horizontal="center" vertical="center" wrapText="1"/>
    </xf>
    <xf numFmtId="9" fontId="0" fillId="2" borderId="2" xfId="1" applyNumberFormat="1" applyFont="1" applyFill="1" applyBorder="1" applyAlignment="1">
      <alignment horizontal="center" vertical="center" wrapText="1"/>
    </xf>
    <xf numFmtId="9" fontId="25" fillId="0" borderId="2" xfId="1" applyNumberFormat="1" applyFont="1" applyBorder="1" applyAlignment="1">
      <alignment horizontal="right"/>
    </xf>
    <xf numFmtId="9" fontId="25" fillId="0" borderId="0" xfId="1" applyNumberFormat="1" applyFont="1" applyBorder="1" applyAlignment="1">
      <alignment horizontal="right"/>
    </xf>
    <xf numFmtId="9" fontId="27" fillId="3" borderId="0" xfId="1" applyNumberFormat="1" applyFont="1" applyFill="1" applyBorder="1" applyAlignment="1">
      <alignment horizontal="left"/>
    </xf>
    <xf numFmtId="3" fontId="33" fillId="4" borderId="0" xfId="0" applyNumberFormat="1" applyFont="1" applyFill="1" applyBorder="1" applyAlignment="1">
      <alignment vertical="center"/>
    </xf>
    <xf numFmtId="3" fontId="25" fillId="0" borderId="0" xfId="0" applyNumberFormat="1" applyFont="1" applyBorder="1" applyAlignment="1">
      <alignment horizontal="right"/>
    </xf>
    <xf numFmtId="3" fontId="0" fillId="0" borderId="0" xfId="4" applyNumberFormat="1" applyFont="1" applyBorder="1"/>
    <xf numFmtId="3" fontId="0" fillId="9" borderId="0" xfId="0" applyNumberFormat="1" applyFont="1" applyFill="1" applyBorder="1"/>
    <xf numFmtId="3" fontId="24" fillId="3" borderId="0" xfId="4" applyNumberFormat="1" applyFont="1" applyFill="1" applyBorder="1" applyAlignment="1">
      <alignment horizontal="left"/>
    </xf>
    <xf numFmtId="3" fontId="24" fillId="3" borderId="0" xfId="0" applyNumberFormat="1" applyFont="1" applyFill="1"/>
    <xf numFmtId="3" fontId="0" fillId="0" borderId="0" xfId="0" applyNumberFormat="1" applyFont="1" applyFill="1" applyBorder="1"/>
    <xf numFmtId="10" fontId="15" fillId="0" borderId="0" xfId="0" applyNumberFormat="1" applyFont="1" applyFill="1"/>
    <xf numFmtId="3" fontId="0" fillId="0" borderId="0" xfId="4" applyNumberFormat="1" applyFont="1" applyFill="1" applyBorder="1"/>
    <xf numFmtId="9" fontId="0" fillId="0" borderId="0" xfId="1" applyNumberFormat="1" applyFont="1" applyFill="1" applyBorder="1"/>
    <xf numFmtId="3" fontId="0" fillId="0" borderId="0" xfId="1" applyNumberFormat="1" applyFont="1" applyFill="1" applyBorder="1"/>
    <xf numFmtId="3" fontId="15" fillId="0" borderId="0" xfId="1" applyNumberFormat="1" applyFont="1" applyFill="1" applyBorder="1"/>
    <xf numFmtId="9" fontId="0" fillId="0" borderId="0" xfId="0" applyNumberFormat="1" applyFont="1" applyFill="1" applyBorder="1"/>
    <xf numFmtId="9" fontId="1" fillId="0" borderId="0" xfId="1" applyNumberFormat="1" applyFont="1" applyFill="1" applyBorder="1"/>
    <xf numFmtId="9" fontId="15" fillId="0" borderId="0" xfId="1" applyNumberFormat="1" applyFont="1" applyFill="1" applyBorder="1"/>
    <xf numFmtId="3" fontId="15" fillId="0" borderId="0" xfId="0" applyNumberFormat="1" applyFont="1" applyFill="1" applyBorder="1"/>
    <xf numFmtId="9" fontId="15" fillId="0" borderId="0" xfId="0" applyNumberFormat="1" applyFont="1" applyFill="1" applyBorder="1"/>
    <xf numFmtId="3" fontId="27" fillId="3" borderId="0" xfId="0" applyNumberFormat="1" applyFont="1" applyFill="1"/>
    <xf numFmtId="3" fontId="27" fillId="3" borderId="2" xfId="0" applyNumberFormat="1" applyFont="1" applyFill="1" applyBorder="1"/>
    <xf numFmtId="9" fontId="27" fillId="3" borderId="0" xfId="0" applyNumberFormat="1" applyFont="1" applyFill="1"/>
    <xf numFmtId="9" fontId="27" fillId="3" borderId="2" xfId="0" applyNumberFormat="1" applyFont="1" applyFill="1" applyBorder="1"/>
    <xf numFmtId="9" fontId="23" fillId="6" borderId="2" xfId="1" applyNumberFormat="1" applyFont="1" applyFill="1" applyBorder="1" applyAlignment="1">
      <alignment horizontal="center" vertical="center" wrapText="1"/>
    </xf>
    <xf numFmtId="9" fontId="15" fillId="0" borderId="2" xfId="1" applyNumberFormat="1" applyFont="1" applyBorder="1"/>
    <xf numFmtId="9" fontId="23" fillId="6" borderId="0" xfId="1" applyNumberFormat="1" applyFont="1" applyFill="1" applyBorder="1" applyAlignment="1">
      <alignment horizontal="center" vertical="center" wrapText="1"/>
    </xf>
    <xf numFmtId="9" fontId="23" fillId="2" borderId="0" xfId="1" applyNumberFormat="1" applyFont="1" applyFill="1" applyBorder="1" applyAlignment="1">
      <alignment horizontal="center" vertical="center" wrapText="1"/>
    </xf>
    <xf numFmtId="9" fontId="3" fillId="0" borderId="0" xfId="1" applyNumberFormat="1" applyFont="1" applyAlignment="1">
      <alignment horizontal="right"/>
    </xf>
    <xf numFmtId="3" fontId="0" fillId="6" borderId="0" xfId="0" applyNumberFormat="1" applyFill="1" applyAlignment="1">
      <alignment horizontal="center" vertical="center" wrapText="1"/>
    </xf>
    <xf numFmtId="3" fontId="16" fillId="4" borderId="0" xfId="0" applyNumberFormat="1" applyFont="1" applyFill="1" applyBorder="1" applyAlignment="1">
      <alignment vertical="center"/>
    </xf>
    <xf numFmtId="3" fontId="18" fillId="6" borderId="0" xfId="5" applyNumberFormat="1" applyFont="1" applyFill="1" applyBorder="1" applyAlignment="1">
      <alignment horizontal="center" vertical="center" wrapText="1"/>
    </xf>
    <xf numFmtId="3" fontId="28" fillId="6" borderId="0" xfId="5" applyNumberFormat="1" applyFont="1" applyFill="1" applyBorder="1" applyAlignment="1">
      <alignment horizontal="center" vertical="center" wrapText="1"/>
    </xf>
    <xf numFmtId="9" fontId="2" fillId="4" borderId="0" xfId="0" applyNumberFormat="1" applyFont="1" applyFill="1" applyBorder="1" applyAlignment="1">
      <alignment vertical="center"/>
    </xf>
    <xf numFmtId="3" fontId="0" fillId="0" borderId="8" xfId="1" applyNumberFormat="1" applyFont="1" applyBorder="1"/>
    <xf numFmtId="10" fontId="0" fillId="0" borderId="0" xfId="0" applyNumberFormat="1"/>
    <xf numFmtId="9" fontId="23" fillId="2" borderId="0" xfId="1" applyNumberFormat="1" applyFont="1" applyFill="1" applyAlignment="1">
      <alignment horizontal="center" vertical="center" wrapText="1"/>
    </xf>
    <xf numFmtId="9" fontId="1" fillId="0" borderId="2" xfId="1" applyNumberFormat="1" applyFont="1" applyBorder="1"/>
    <xf numFmtId="0" fontId="0" fillId="0" borderId="2" xfId="0" applyBorder="1"/>
    <xf numFmtId="3" fontId="0" fillId="0" borderId="2" xfId="0" applyNumberFormat="1" applyBorder="1"/>
    <xf numFmtId="9" fontId="25" fillId="2" borderId="2" xfId="1" applyNumberFormat="1" applyFont="1" applyFill="1" applyBorder="1" applyAlignment="1">
      <alignment horizontal="center" vertical="center" wrapText="1"/>
    </xf>
    <xf numFmtId="9" fontId="1" fillId="0" borderId="2" xfId="1" applyNumberFormat="1" applyFont="1" applyBorder="1" applyAlignment="1">
      <alignment horizontal="right"/>
    </xf>
    <xf numFmtId="9" fontId="0" fillId="0" borderId="2" xfId="0" applyNumberFormat="1" applyBorder="1"/>
    <xf numFmtId="10" fontId="2" fillId="4" borderId="0" xfId="1" applyNumberFormat="1" applyFont="1" applyFill="1" applyAlignment="1">
      <alignment vertical="center"/>
    </xf>
    <xf numFmtId="10" fontId="15" fillId="9" borderId="0" xfId="1" applyNumberFormat="1" applyFont="1" applyFill="1"/>
    <xf numFmtId="10" fontId="15" fillId="0" borderId="0" xfId="1" applyNumberFormat="1" applyFont="1" applyFill="1"/>
    <xf numFmtId="9" fontId="0" fillId="6" borderId="0" xfId="0" applyNumberFormat="1" applyFont="1" applyFill="1" applyAlignment="1">
      <alignment horizontal="center" vertical="center" wrapText="1"/>
    </xf>
    <xf numFmtId="3" fontId="7" fillId="9" borderId="0" xfId="2" applyNumberFormat="1" applyFont="1" applyFill="1"/>
    <xf numFmtId="9" fontId="2" fillId="4" borderId="0" xfId="1" applyNumberFormat="1" applyFont="1" applyFill="1" applyAlignment="1">
      <alignment horizontal="left" vertical="center"/>
    </xf>
    <xf numFmtId="3" fontId="2" fillId="4" borderId="2" xfId="0" applyNumberFormat="1" applyFont="1" applyFill="1" applyBorder="1" applyAlignment="1">
      <alignment horizontal="left" vertical="center"/>
    </xf>
    <xf numFmtId="9" fontId="23" fillId="0" borderId="0" xfId="1" applyNumberFormat="1" applyFont="1" applyFill="1"/>
    <xf numFmtId="9" fontId="1" fillId="0" borderId="0" xfId="1" applyNumberFormat="1" applyFont="1" applyFill="1"/>
    <xf numFmtId="3" fontId="18" fillId="6" borderId="2" xfId="5" applyNumberFormat="1" applyFont="1" applyFill="1" applyBorder="1" applyAlignment="1">
      <alignment horizontal="center" vertical="center" wrapText="1"/>
    </xf>
    <xf numFmtId="3" fontId="1" fillId="2" borderId="2" xfId="1" applyNumberFormat="1" applyFont="1" applyFill="1" applyBorder="1" applyAlignment="1">
      <alignment horizontal="center" vertical="center" wrapText="1"/>
    </xf>
    <xf numFmtId="0" fontId="2" fillId="4" borderId="2" xfId="1" applyNumberFormat="1" applyFont="1" applyFill="1" applyBorder="1" applyAlignment="1">
      <alignment horizontal="left" vertical="center"/>
    </xf>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8" fillId="6" borderId="7" xfId="5" applyNumberFormat="1" applyFont="1" applyFill="1" applyBorder="1" applyAlignment="1">
      <alignment horizontal="center" vertical="center" wrapText="1"/>
    </xf>
    <xf numFmtId="0" fontId="0" fillId="0" borderId="0" xfId="0" applyBorder="1"/>
    <xf numFmtId="0" fontId="0" fillId="0" borderId="0" xfId="0" applyFont="1" applyBorder="1"/>
    <xf numFmtId="3" fontId="4" fillId="4" borderId="2" xfId="0" applyNumberFormat="1" applyFont="1" applyFill="1" applyBorder="1" applyAlignment="1">
      <alignment vertical="center"/>
    </xf>
    <xf numFmtId="3" fontId="22" fillId="0" borderId="2" xfId="0" applyNumberFormat="1" applyFont="1" applyBorder="1" applyAlignment="1">
      <alignment horizontal="right"/>
    </xf>
    <xf numFmtId="3" fontId="15" fillId="0" borderId="2" xfId="0" applyNumberFormat="1" applyFont="1" applyFill="1" applyBorder="1"/>
    <xf numFmtId="3" fontId="24" fillId="3" borderId="2" xfId="0" applyNumberFormat="1" applyFont="1" applyFill="1" applyBorder="1" applyAlignment="1">
      <alignment horizontal="left"/>
    </xf>
    <xf numFmtId="3" fontId="6" fillId="0" borderId="2" xfId="0" applyNumberFormat="1" applyFont="1" applyBorder="1"/>
    <xf numFmtId="3" fontId="22" fillId="0" borderId="2" xfId="1" applyNumberFormat="1" applyFont="1" applyBorder="1"/>
    <xf numFmtId="0" fontId="15" fillId="0" borderId="2" xfId="0" applyFont="1" applyBorder="1"/>
    <xf numFmtId="3" fontId="15" fillId="6" borderId="2" xfId="5" applyNumberFormat="1" applyFont="1" applyFill="1" applyBorder="1" applyAlignment="1">
      <alignment horizontal="center" vertical="center" wrapText="1"/>
    </xf>
    <xf numFmtId="3" fontId="9" fillId="0" borderId="2" xfId="1" quotePrefix="1" applyNumberFormat="1" applyFont="1" applyBorder="1"/>
    <xf numFmtId="3" fontId="15" fillId="6" borderId="2" xfId="1" applyNumberFormat="1" applyFont="1" applyFill="1" applyBorder="1" applyAlignment="1">
      <alignment horizontal="center" vertical="center" wrapText="1"/>
    </xf>
    <xf numFmtId="3" fontId="15" fillId="0" borderId="2" xfId="1" applyNumberFormat="1" applyFont="1" applyBorder="1" applyAlignment="1">
      <alignment horizontal="right"/>
    </xf>
    <xf numFmtId="3" fontId="15" fillId="0" borderId="2" xfId="1" applyNumberFormat="1" applyFont="1" applyBorder="1"/>
    <xf numFmtId="3" fontId="15" fillId="0" borderId="2" xfId="1" applyNumberFormat="1" applyFont="1" applyFill="1" applyBorder="1"/>
    <xf numFmtId="3" fontId="22" fillId="2" borderId="0" xfId="1" applyNumberFormat="1" applyFont="1" applyFill="1" applyAlignment="1">
      <alignment horizontal="center" vertical="center" wrapText="1"/>
    </xf>
    <xf numFmtId="3" fontId="22" fillId="0" borderId="0" xfId="1" applyNumberFormat="1" applyFont="1"/>
    <xf numFmtId="0" fontId="15" fillId="0" borderId="0" xfId="0" applyFont="1"/>
    <xf numFmtId="10" fontId="22" fillId="2" borderId="0" xfId="1" applyNumberFormat="1" applyFont="1" applyFill="1" applyAlignment="1">
      <alignment horizontal="center" vertical="center" wrapText="1"/>
    </xf>
    <xf numFmtId="10" fontId="22" fillId="0" borderId="0" xfId="1" applyNumberFormat="1" applyFont="1"/>
    <xf numFmtId="3" fontId="9" fillId="0" borderId="2" xfId="1" applyNumberFormat="1" applyFont="1" applyBorder="1"/>
    <xf numFmtId="3" fontId="22" fillId="2" borderId="2" xfId="0" applyNumberFormat="1" applyFont="1" applyFill="1" applyBorder="1" applyAlignment="1">
      <alignment horizontal="center" vertical="center" wrapText="1"/>
    </xf>
    <xf numFmtId="3" fontId="22" fillId="0" borderId="2" xfId="0" applyNumberFormat="1" applyFont="1" applyBorder="1"/>
    <xf numFmtId="3" fontId="27" fillId="3" borderId="0" xfId="0" applyNumberFormat="1" applyFont="1" applyFill="1" applyBorder="1" applyAlignment="1">
      <alignment horizontal="left"/>
    </xf>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0" xfId="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0" xfId="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3" fontId="8" fillId="0" borderId="0" xfId="0" applyNumberFormat="1" applyFont="1" applyAlignment="1">
      <alignment horizontal="right"/>
    </xf>
    <xf numFmtId="0" fontId="38" fillId="10" borderId="1" xfId="1" applyNumberFormat="1" applyFont="1" applyFill="1" applyBorder="1" applyAlignment="1">
      <alignment horizontal="center" vertical="center" wrapText="1"/>
    </xf>
    <xf numFmtId="9" fontId="38"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0" xfId="1" applyFont="1" applyBorder="1"/>
    <xf numFmtId="9" fontId="0" fillId="0" borderId="9" xfId="1" applyFont="1" applyBorder="1"/>
    <xf numFmtId="0" fontId="1" fillId="0" borderId="0" xfId="1" applyNumberFormat="1" applyFont="1" applyBorder="1" applyAlignment="1">
      <alignment horizontal="center"/>
    </xf>
    <xf numFmtId="9" fontId="1" fillId="0" borderId="0" xfId="1" applyFont="1" applyBorder="1"/>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3" fontId="0" fillId="0" borderId="0" xfId="0" applyNumberFormat="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9" fillId="6" borderId="0" xfId="0" applyNumberFormat="1" applyFont="1" applyFill="1" applyAlignment="1">
      <alignment horizontal="center" vertical="center"/>
    </xf>
    <xf numFmtId="0" fontId="39"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5" fillId="2" borderId="0" xfId="1" applyFont="1" applyFill="1" applyBorder="1" applyAlignment="1">
      <alignment horizontal="center" vertical="center" textRotation="90"/>
    </xf>
    <xf numFmtId="9" fontId="15"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9" fontId="1" fillId="2" borderId="0" xfId="1" applyFont="1" applyFill="1" applyBorder="1" applyAlignment="1">
      <alignment horizontal="center" vertical="center" wrapText="1"/>
    </xf>
    <xf numFmtId="3" fontId="15" fillId="6" borderId="9" xfId="1" applyNumberFormat="1" applyFont="1" applyFill="1" applyBorder="1" applyAlignment="1">
      <alignment horizontal="center" vertical="center" wrapText="1"/>
    </xf>
    <xf numFmtId="3" fontId="15" fillId="6" borderId="0" xfId="0" applyNumberFormat="1" applyFont="1" applyFill="1" applyAlignment="1">
      <alignment horizontal="center" vertical="center" textRotation="90"/>
    </xf>
    <xf numFmtId="3" fontId="0" fillId="0" borderId="0" xfId="0" applyNumberFormat="1" applyAlignment="1">
      <alignment horizontal="right"/>
    </xf>
    <xf numFmtId="9" fontId="0" fillId="0" borderId="0" xfId="1" applyFont="1"/>
    <xf numFmtId="3" fontId="1" fillId="0" borderId="0" xfId="1" applyNumberFormat="1" applyFont="1" applyBorder="1" applyAlignment="1">
      <alignment horizontal="center"/>
    </xf>
    <xf numFmtId="3" fontId="1" fillId="0" borderId="0" xfId="1" applyNumberFormat="1" applyFont="1" applyAlignment="1">
      <alignment horizontal="center"/>
    </xf>
    <xf numFmtId="9" fontId="1" fillId="0" borderId="0" xfId="1" applyFont="1"/>
    <xf numFmtId="9" fontId="0" fillId="0" borderId="9" xfId="0" applyNumberFormat="1" applyBorder="1"/>
    <xf numFmtId="0" fontId="0" fillId="0" borderId="9" xfId="0" applyBorder="1"/>
    <xf numFmtId="9" fontId="0" fillId="0" borderId="0" xfId="0" applyNumberFormat="1" applyBorder="1"/>
    <xf numFmtId="0" fontId="0" fillId="2" borderId="0" xfId="0" applyNumberFormat="1" applyFill="1" applyAlignment="1">
      <alignment horizontal="left" vertical="top" wrapText="1"/>
    </xf>
    <xf numFmtId="49" fontId="37" fillId="5" borderId="3" xfId="0" applyNumberFormat="1" applyFont="1" applyFill="1" applyBorder="1" applyAlignment="1">
      <alignment horizontal="left" vertical="center" wrapText="1"/>
    </xf>
    <xf numFmtId="49" fontId="0" fillId="5" borderId="4" xfId="0" applyNumberFormat="1" applyFont="1" applyFill="1" applyBorder="1" applyAlignment="1">
      <alignment horizontal="left" vertical="center" wrapText="1"/>
    </xf>
    <xf numFmtId="49" fontId="0" fillId="5" borderId="5" xfId="0" applyNumberFormat="1" applyFont="1" applyFill="1" applyBorder="1" applyAlignment="1">
      <alignment horizontal="left" vertical="center" wrapText="1"/>
    </xf>
    <xf numFmtId="49" fontId="0" fillId="5" borderId="6" xfId="0" applyNumberFormat="1" applyFont="1" applyFill="1" applyBorder="1" applyAlignment="1">
      <alignment horizontal="left" vertical="center" wrapText="1"/>
    </xf>
    <xf numFmtId="49" fontId="0" fillId="5" borderId="3" xfId="0" applyNumberFormat="1" applyFont="1" applyFill="1" applyBorder="1" applyAlignment="1">
      <alignment horizontal="left" vertical="center" wrapText="1"/>
    </xf>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218">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63BE7B"/>
      <color rgb="FFC2D8D8"/>
      <color rgb="FFD9D9D9"/>
      <color rgb="FF9C0006"/>
      <color rgb="FFFFC7CE"/>
      <color rgb="FFFFEB84"/>
      <color rgb="FFC6E0B4"/>
      <color rgb="FFF8696B"/>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heetViews>
  <sheetFormatPr baseColWidth="10" defaultRowHeight="16" x14ac:dyDescent="0.2"/>
  <cols>
    <col min="1" max="1" width="4.83203125" customWidth="1"/>
  </cols>
  <sheetData>
    <row r="2" spans="2:2" ht="47" x14ac:dyDescent="0.2">
      <c r="B2" s="9" t="s">
        <v>26</v>
      </c>
    </row>
    <row r="10" spans="2:2" ht="97" x14ac:dyDescent="0.2">
      <c r="B10" s="8" t="s">
        <v>776</v>
      </c>
    </row>
    <row r="20" spans="2:2" ht="82" x14ac:dyDescent="0.9">
      <c r="B20" s="4" t="s">
        <v>498</v>
      </c>
    </row>
    <row r="25" spans="2:2" x14ac:dyDescent="0.2">
      <c r="B25" t="s">
        <v>564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s>
  <sheetFormatPr baseColWidth="10" defaultColWidth="10.83203125" defaultRowHeight="16" x14ac:dyDescent="0.2"/>
  <cols>
    <col min="1" max="1" width="1.83203125" style="13" customWidth="1"/>
    <col min="2" max="2" width="49" style="13" customWidth="1"/>
    <col min="3" max="3" width="3.1640625" style="13" customWidth="1"/>
    <col min="4" max="4" width="32" style="11" bestFit="1" customWidth="1"/>
    <col min="5" max="5" width="14.33203125" style="11" bestFit="1" customWidth="1"/>
    <col min="6" max="6" width="14.33203125" style="11" customWidth="1"/>
    <col min="7" max="7" width="35.33203125" style="11" bestFit="1" customWidth="1"/>
    <col min="8" max="8" width="35.33203125" style="11" customWidth="1"/>
    <col min="9" max="9" width="5.83203125" style="6" bestFit="1" customWidth="1"/>
    <col min="10" max="10" width="13.83203125" style="11" bestFit="1" customWidth="1"/>
    <col min="11" max="11" width="7.33203125" style="11" bestFit="1" customWidth="1"/>
    <col min="12" max="12" width="12.83203125" style="11" bestFit="1" customWidth="1"/>
    <col min="13" max="13" width="10.33203125" style="11" customWidth="1"/>
    <col min="14" max="14" width="10.1640625" style="11" bestFit="1" customWidth="1"/>
    <col min="15" max="15" width="11.33203125" style="11" bestFit="1" customWidth="1"/>
    <col min="16" max="16" width="10.33203125" style="11" bestFit="1" customWidth="1"/>
    <col min="17" max="16384" width="10.83203125" style="11"/>
  </cols>
  <sheetData>
    <row r="1" spans="2:17" ht="17" thickBot="1" x14ac:dyDescent="0.25">
      <c r="D1" s="10" t="s">
        <v>274</v>
      </c>
      <c r="E1" s="10" t="s">
        <v>499</v>
      </c>
      <c r="F1" s="10" t="s">
        <v>718</v>
      </c>
      <c r="G1" s="10" t="s">
        <v>292</v>
      </c>
      <c r="H1" s="10" t="s">
        <v>753</v>
      </c>
      <c r="I1" s="12" t="s">
        <v>293</v>
      </c>
      <c r="J1" s="10" t="s">
        <v>294</v>
      </c>
      <c r="K1" s="10" t="s">
        <v>295</v>
      </c>
      <c r="L1" s="10" t="s">
        <v>296</v>
      </c>
      <c r="M1" s="10" t="s">
        <v>717</v>
      </c>
      <c r="N1" s="10" t="s">
        <v>77</v>
      </c>
      <c r="O1" s="10" t="s">
        <v>290</v>
      </c>
      <c r="P1" s="10" t="s">
        <v>289</v>
      </c>
      <c r="Q1" s="10" t="s">
        <v>75</v>
      </c>
    </row>
    <row r="2" spans="2:17" ht="17" thickBot="1" x14ac:dyDescent="0.25">
      <c r="B2" s="15" t="s">
        <v>284</v>
      </c>
      <c r="C2" s="14" t="s">
        <v>78</v>
      </c>
      <c r="D2" s="6"/>
      <c r="E2" s="6"/>
      <c r="F2" s="6"/>
      <c r="G2" s="6"/>
      <c r="H2" s="6"/>
      <c r="J2" s="6"/>
      <c r="K2" s="6"/>
      <c r="L2" s="6"/>
      <c r="Q2" s="11" t="str">
        <f>IF($D2&lt;&gt;"","["&amp;$E2&amp;"]"&amp;"|"&amp;SUBSTITUTE(SUBSTITUTE($I2,CHAR(61),""),CHAR(34),"")&amp;"|"&amp;$K2&amp;"|"&amp;$G2&amp;"|"&amp;IF($G2="TX_CURR_SUBNAT.R","CY2021Q4",$M2),"")</f>
        <v/>
      </c>
    </row>
    <row r="3" spans="2:17" x14ac:dyDescent="0.2">
      <c r="D3" s="6"/>
      <c r="E3" s="6"/>
      <c r="F3" s="6"/>
      <c r="G3" s="6"/>
      <c r="H3" s="6"/>
      <c r="J3" s="6"/>
      <c r="K3" s="6"/>
      <c r="L3" s="6"/>
    </row>
    <row r="4" spans="2:17" x14ac:dyDescent="0.2">
      <c r="B4" s="16" t="s">
        <v>79</v>
      </c>
      <c r="D4" s="6"/>
      <c r="E4" s="6"/>
      <c r="F4" s="6"/>
      <c r="G4" s="6"/>
      <c r="H4" s="6"/>
      <c r="J4" s="6"/>
      <c r="K4" s="6"/>
      <c r="L4" s="6"/>
    </row>
    <row r="5" spans="2:17" x14ac:dyDescent="0.2">
      <c r="D5" s="6"/>
      <c r="E5" s="6"/>
      <c r="F5" s="6"/>
      <c r="G5" s="6"/>
      <c r="H5" s="6"/>
      <c r="J5" s="6"/>
      <c r="K5" s="6"/>
      <c r="L5" s="6"/>
    </row>
    <row r="6" spans="2:17" x14ac:dyDescent="0.2">
      <c r="B6" s="485" t="s">
        <v>277</v>
      </c>
      <c r="D6" s="6"/>
      <c r="E6" s="6"/>
      <c r="F6" s="6"/>
      <c r="G6" s="6"/>
      <c r="H6" s="6"/>
      <c r="J6" s="6"/>
      <c r="K6" s="6"/>
      <c r="L6" s="6"/>
    </row>
    <row r="7" spans="2:17" x14ac:dyDescent="0.2">
      <c r="B7" s="485"/>
      <c r="D7" s="6"/>
      <c r="E7" s="6"/>
      <c r="F7" s="6"/>
      <c r="G7" s="6"/>
      <c r="H7" s="6"/>
      <c r="J7" s="6"/>
      <c r="K7" s="6"/>
      <c r="L7" s="6"/>
    </row>
    <row r="8" spans="2:17" x14ac:dyDescent="0.2">
      <c r="B8" s="135"/>
      <c r="D8" s="6"/>
      <c r="E8" s="6"/>
      <c r="F8" s="6"/>
      <c r="G8" s="6"/>
      <c r="H8" s="6"/>
      <c r="J8" s="6"/>
      <c r="K8" s="6"/>
      <c r="L8" s="6"/>
    </row>
    <row r="9" spans="2:17" ht="17" x14ac:dyDescent="0.2">
      <c r="B9" s="135" t="s">
        <v>278</v>
      </c>
      <c r="D9" s="6"/>
      <c r="E9" s="6"/>
      <c r="F9" s="6"/>
      <c r="G9" s="6"/>
      <c r="H9" s="6"/>
      <c r="J9" s="6"/>
      <c r="K9" s="6"/>
      <c r="L9" s="6"/>
    </row>
    <row r="10" spans="2:17" x14ac:dyDescent="0.2">
      <c r="B10" s="135"/>
      <c r="D10" s="6"/>
      <c r="E10" s="6"/>
      <c r="F10" s="6"/>
      <c r="G10" s="6"/>
      <c r="H10" s="6"/>
      <c r="J10" s="6"/>
      <c r="K10" s="6"/>
      <c r="L10" s="6"/>
    </row>
    <row r="11" spans="2:17" x14ac:dyDescent="0.2">
      <c r="B11" s="485" t="s">
        <v>279</v>
      </c>
      <c r="D11" s="6"/>
      <c r="E11" s="6"/>
      <c r="F11" s="6"/>
      <c r="G11" s="6"/>
      <c r="H11" s="6"/>
      <c r="J11" s="6"/>
      <c r="K11" s="6"/>
      <c r="L11" s="6"/>
    </row>
    <row r="12" spans="2:17" x14ac:dyDescent="0.2">
      <c r="B12" s="485"/>
      <c r="D12" s="6"/>
      <c r="E12" s="6"/>
      <c r="F12" s="6"/>
      <c r="G12" s="6"/>
      <c r="H12" s="6"/>
      <c r="J12" s="6"/>
      <c r="K12" s="6"/>
      <c r="L12" s="6"/>
    </row>
    <row r="13" spans="2:17" x14ac:dyDescent="0.2">
      <c r="B13" s="135"/>
      <c r="D13" s="6"/>
      <c r="E13" s="6"/>
      <c r="F13" s="6"/>
      <c r="G13" s="6"/>
      <c r="H13" s="6"/>
      <c r="J13" s="6"/>
      <c r="K13" s="6"/>
      <c r="L13" s="6"/>
    </row>
    <row r="14" spans="2:17" ht="17" x14ac:dyDescent="0.2">
      <c r="B14" s="135" t="s">
        <v>280</v>
      </c>
      <c r="D14" s="6"/>
      <c r="E14" s="6"/>
      <c r="F14" s="6"/>
      <c r="G14" s="6"/>
      <c r="H14" s="6"/>
      <c r="J14" s="6"/>
      <c r="K14" s="6"/>
      <c r="L14" s="6"/>
    </row>
    <row r="15" spans="2:17" x14ac:dyDescent="0.2">
      <c r="B15" s="135"/>
      <c r="D15" s="6"/>
      <c r="E15" s="6"/>
      <c r="F15" s="6"/>
      <c r="G15" s="6"/>
      <c r="H15" s="6"/>
      <c r="J15" s="6"/>
      <c r="K15" s="6"/>
      <c r="L15" s="6"/>
    </row>
    <row r="16" spans="2:17" x14ac:dyDescent="0.2">
      <c r="B16" s="485" t="s">
        <v>281</v>
      </c>
      <c r="D16" s="6"/>
      <c r="E16" s="6"/>
      <c r="F16" s="6"/>
      <c r="G16" s="6"/>
      <c r="H16" s="6"/>
      <c r="J16" s="6"/>
      <c r="K16" s="6"/>
      <c r="L16" s="6"/>
    </row>
    <row r="17" spans="2:12" x14ac:dyDescent="0.2">
      <c r="B17" s="485"/>
      <c r="D17" s="6"/>
      <c r="E17" s="6"/>
      <c r="F17" s="6"/>
      <c r="G17" s="6"/>
      <c r="H17" s="6"/>
      <c r="J17" s="6"/>
      <c r="K17" s="6"/>
      <c r="L17" s="6"/>
    </row>
    <row r="18" spans="2:12" x14ac:dyDescent="0.2">
      <c r="B18" s="135"/>
      <c r="D18" s="6"/>
      <c r="E18" s="6"/>
      <c r="F18" s="6"/>
      <c r="G18" s="6"/>
      <c r="H18" s="6"/>
      <c r="J18" s="6"/>
      <c r="K18" s="6"/>
      <c r="L18" s="6"/>
    </row>
    <row r="19" spans="2:12" x14ac:dyDescent="0.2">
      <c r="B19" s="485" t="s">
        <v>282</v>
      </c>
      <c r="D19" s="6"/>
      <c r="E19" s="6"/>
      <c r="F19" s="6"/>
      <c r="G19" s="6"/>
      <c r="H19" s="6"/>
      <c r="J19" s="6"/>
      <c r="K19" s="6"/>
      <c r="L19" s="6"/>
    </row>
    <row r="20" spans="2:12" x14ac:dyDescent="0.2">
      <c r="B20" s="485"/>
      <c r="D20" s="6"/>
      <c r="E20" s="6"/>
      <c r="F20" s="6"/>
      <c r="G20" s="6"/>
      <c r="H20" s="6"/>
      <c r="J20" s="6"/>
      <c r="K20" s="6"/>
      <c r="L20" s="6"/>
    </row>
    <row r="21" spans="2:12" x14ac:dyDescent="0.2">
      <c r="D21" s="6"/>
      <c r="E21" s="6"/>
      <c r="F21" s="6"/>
      <c r="G21" s="6"/>
      <c r="H21" s="6"/>
      <c r="J21" s="6"/>
      <c r="K21" s="6"/>
      <c r="L21" s="6"/>
    </row>
    <row r="22" spans="2:12" ht="16" customHeight="1" x14ac:dyDescent="0.2">
      <c r="B22" s="135" t="s">
        <v>758</v>
      </c>
      <c r="D22" s="6"/>
      <c r="E22" s="6"/>
      <c r="F22" s="6"/>
      <c r="G22" s="6"/>
      <c r="H22" s="6"/>
      <c r="J22" s="6"/>
      <c r="K22" s="6"/>
      <c r="L22" s="6"/>
    </row>
    <row r="23" spans="2:12" x14ac:dyDescent="0.2">
      <c r="B23" s="135"/>
      <c r="D23" s="6"/>
      <c r="E23" s="6"/>
      <c r="F23" s="6"/>
      <c r="G23" s="6"/>
      <c r="H23" s="6"/>
      <c r="J23" s="6"/>
      <c r="K23" s="6"/>
      <c r="L23" s="6"/>
    </row>
    <row r="24" spans="2:12" x14ac:dyDescent="0.2">
      <c r="B24" s="13" t="s">
        <v>283</v>
      </c>
      <c r="D24" s="6"/>
      <c r="E24" s="6"/>
      <c r="F24" s="6"/>
      <c r="G24" s="6"/>
      <c r="H24" s="6"/>
      <c r="J24" s="6"/>
      <c r="K24" s="6"/>
      <c r="L24" s="6"/>
    </row>
    <row r="25" spans="2:12" x14ac:dyDescent="0.2">
      <c r="D25" s="6"/>
      <c r="E25" s="6"/>
      <c r="F25" s="6"/>
      <c r="G25" s="6"/>
      <c r="H25" s="6"/>
      <c r="J25" s="6"/>
      <c r="K25" s="6"/>
      <c r="L25" s="6"/>
    </row>
    <row r="26" spans="2:12" x14ac:dyDescent="0.2">
      <c r="B26" s="485" t="s">
        <v>757</v>
      </c>
      <c r="D26" s="6"/>
      <c r="E26" s="6"/>
      <c r="F26" s="6"/>
      <c r="G26" s="6"/>
      <c r="H26" s="6"/>
      <c r="J26" s="6"/>
      <c r="K26" s="6"/>
      <c r="L26" s="6"/>
    </row>
    <row r="27" spans="2:12" x14ac:dyDescent="0.2">
      <c r="B27" s="485"/>
      <c r="D27" s="6"/>
      <c r="E27" s="6"/>
      <c r="F27" s="6"/>
      <c r="G27" s="6"/>
      <c r="H27" s="6"/>
      <c r="J27" s="6"/>
      <c r="K27" s="6"/>
      <c r="L27" s="6"/>
    </row>
    <row r="28" spans="2:12" x14ac:dyDescent="0.2">
      <c r="D28" s="6"/>
      <c r="E28" s="6"/>
      <c r="F28" s="6"/>
      <c r="G28" s="6"/>
      <c r="H28" s="6"/>
      <c r="J28" s="6"/>
      <c r="K28" s="6"/>
      <c r="L28" s="6"/>
    </row>
    <row r="29" spans="2:12" x14ac:dyDescent="0.2">
      <c r="B29" s="135"/>
      <c r="D29" s="6"/>
      <c r="E29" s="6"/>
      <c r="F29" s="6"/>
      <c r="G29" s="6"/>
      <c r="H29" s="6"/>
      <c r="J29" s="6"/>
      <c r="K29" s="6"/>
      <c r="L29" s="6"/>
    </row>
    <row r="30" spans="2:12" x14ac:dyDescent="0.2">
      <c r="B30" s="135"/>
      <c r="D30" s="6"/>
      <c r="E30" s="6"/>
      <c r="F30" s="6"/>
      <c r="G30" s="6"/>
      <c r="H30" s="6"/>
      <c r="J30" s="6"/>
      <c r="K30" s="6"/>
      <c r="L30" s="6"/>
    </row>
    <row r="31" spans="2:12" x14ac:dyDescent="0.2">
      <c r="B31" s="135"/>
      <c r="D31" s="6"/>
      <c r="E31" s="6"/>
      <c r="F31" s="6"/>
      <c r="G31" s="6"/>
      <c r="H31" s="6"/>
      <c r="J31" s="6"/>
      <c r="K31" s="6"/>
      <c r="L31" s="6"/>
    </row>
    <row r="32" spans="2:12" x14ac:dyDescent="0.2">
      <c r="D32" s="6"/>
      <c r="E32" s="6"/>
      <c r="F32" s="6"/>
      <c r="G32" s="6"/>
      <c r="H32" s="6"/>
      <c r="J32" s="6"/>
      <c r="K32" s="6"/>
      <c r="L32" s="6"/>
    </row>
    <row r="33" spans="4:12" x14ac:dyDescent="0.2">
      <c r="D33" s="6"/>
      <c r="E33" s="6"/>
      <c r="F33" s="6"/>
      <c r="G33" s="6"/>
      <c r="H33" s="6"/>
      <c r="J33" s="6"/>
      <c r="K33" s="6"/>
      <c r="L33" s="6"/>
    </row>
    <row r="34" spans="4:12" x14ac:dyDescent="0.2">
      <c r="D34" s="6"/>
      <c r="E34" s="6"/>
      <c r="F34" s="6"/>
      <c r="G34" s="6"/>
      <c r="H34" s="6"/>
      <c r="J34" s="6"/>
      <c r="K34" s="6"/>
      <c r="L34" s="6"/>
    </row>
    <row r="35" spans="4:12" x14ac:dyDescent="0.2">
      <c r="D35" s="6"/>
      <c r="E35" s="6"/>
      <c r="F35" s="6"/>
      <c r="G35" s="6"/>
      <c r="H35" s="6"/>
      <c r="J35" s="6"/>
      <c r="K35" s="6"/>
      <c r="L35" s="6"/>
    </row>
    <row r="36" spans="4:12" x14ac:dyDescent="0.2">
      <c r="D36" s="6"/>
      <c r="E36" s="6"/>
      <c r="F36" s="6"/>
      <c r="G36" s="6"/>
      <c r="H36" s="6"/>
      <c r="J36" s="6"/>
      <c r="K36" s="6"/>
      <c r="L36" s="6"/>
    </row>
    <row r="37" spans="4:12" x14ac:dyDescent="0.2">
      <c r="D37" s="6"/>
      <c r="E37" s="6"/>
      <c r="F37" s="6"/>
      <c r="G37" s="6"/>
      <c r="H37" s="6"/>
      <c r="J37" s="6"/>
      <c r="K37" s="6"/>
      <c r="L37" s="6"/>
    </row>
    <row r="38" spans="4:12" x14ac:dyDescent="0.2">
      <c r="D38" s="6"/>
      <c r="E38" s="6"/>
      <c r="F38" s="6"/>
      <c r="G38" s="6"/>
      <c r="H38" s="6"/>
      <c r="J38" s="6"/>
      <c r="K38" s="6"/>
      <c r="L38" s="6"/>
    </row>
    <row r="39" spans="4:12" x14ac:dyDescent="0.2">
      <c r="D39" s="6"/>
      <c r="E39" s="6"/>
      <c r="F39" s="6"/>
      <c r="G39" s="6"/>
      <c r="H39" s="6"/>
      <c r="J39" s="6"/>
      <c r="K39" s="6"/>
      <c r="L39" s="6"/>
    </row>
    <row r="40" spans="4:12" x14ac:dyDescent="0.2">
      <c r="D40" s="6"/>
      <c r="E40" s="6"/>
      <c r="F40" s="6"/>
      <c r="G40" s="6"/>
      <c r="H40" s="6"/>
      <c r="J40" s="6"/>
      <c r="K40" s="6"/>
      <c r="L40" s="6"/>
    </row>
    <row r="41" spans="4:12" x14ac:dyDescent="0.2">
      <c r="D41" s="6"/>
      <c r="E41" s="6"/>
      <c r="F41" s="6"/>
      <c r="G41" s="6"/>
      <c r="H41" s="6"/>
      <c r="J41" s="6"/>
      <c r="K41" s="6"/>
      <c r="L41" s="6"/>
    </row>
    <row r="42" spans="4:12" x14ac:dyDescent="0.2">
      <c r="D42" s="6"/>
      <c r="E42" s="6"/>
      <c r="F42" s="6"/>
      <c r="G42" s="6"/>
      <c r="H42" s="6"/>
      <c r="J42" s="6"/>
      <c r="K42" s="6"/>
      <c r="L42" s="6"/>
    </row>
    <row r="43" spans="4:12" x14ac:dyDescent="0.2">
      <c r="D43" s="6"/>
      <c r="E43" s="6"/>
      <c r="F43" s="6"/>
      <c r="G43" s="6"/>
      <c r="H43" s="6"/>
      <c r="J43" s="6"/>
      <c r="K43" s="6"/>
      <c r="L43" s="6"/>
    </row>
    <row r="44" spans="4:12" x14ac:dyDescent="0.2">
      <c r="D44" s="6"/>
      <c r="E44" s="6"/>
      <c r="F44" s="6"/>
      <c r="G44" s="6"/>
      <c r="H44" s="6"/>
      <c r="J44" s="6"/>
      <c r="K44" s="6"/>
      <c r="L44" s="6"/>
    </row>
    <row r="45" spans="4:12" x14ac:dyDescent="0.2">
      <c r="D45" s="6"/>
      <c r="E45" s="6"/>
      <c r="F45" s="6"/>
      <c r="G45" s="6"/>
      <c r="H45" s="6"/>
      <c r="J45" s="6"/>
      <c r="K45" s="6"/>
      <c r="L45" s="6"/>
    </row>
    <row r="46" spans="4:12" x14ac:dyDescent="0.2">
      <c r="D46" s="6"/>
      <c r="E46" s="6"/>
      <c r="F46" s="6"/>
      <c r="G46" s="6"/>
      <c r="H46" s="6"/>
      <c r="J46" s="6"/>
      <c r="K46" s="6"/>
      <c r="L46" s="6"/>
    </row>
    <row r="47" spans="4:12" x14ac:dyDescent="0.2">
      <c r="D47" s="6"/>
      <c r="E47" s="6"/>
      <c r="F47" s="6"/>
      <c r="G47" s="6"/>
      <c r="H47" s="6"/>
      <c r="J47" s="6"/>
      <c r="K47" s="6"/>
      <c r="L47" s="6"/>
    </row>
    <row r="48" spans="4:12" x14ac:dyDescent="0.2">
      <c r="D48" s="6"/>
      <c r="E48" s="6"/>
      <c r="F48" s="6"/>
      <c r="G48" s="6"/>
      <c r="H48" s="6"/>
      <c r="J48" s="6"/>
      <c r="K48" s="6"/>
      <c r="L48" s="6"/>
    </row>
    <row r="49" spans="4:12" x14ac:dyDescent="0.2">
      <c r="D49" s="6"/>
      <c r="E49" s="6"/>
      <c r="F49" s="6"/>
      <c r="G49" s="6"/>
      <c r="H49" s="6"/>
      <c r="J49" s="6"/>
      <c r="K49" s="6"/>
      <c r="L49" s="6"/>
    </row>
    <row r="50" spans="4:12" x14ac:dyDescent="0.2">
      <c r="D50" s="6"/>
      <c r="E50" s="6"/>
      <c r="F50" s="6"/>
      <c r="G50" s="6"/>
      <c r="H50" s="6"/>
      <c r="J50" s="6"/>
      <c r="K50" s="6"/>
      <c r="L50" s="6"/>
    </row>
    <row r="51" spans="4:12" x14ac:dyDescent="0.2">
      <c r="D51" s="6"/>
      <c r="E51" s="6"/>
      <c r="F51" s="6"/>
      <c r="G51" s="6"/>
      <c r="H51" s="6"/>
      <c r="J51" s="6"/>
      <c r="K51" s="6"/>
      <c r="L51" s="6"/>
    </row>
    <row r="52" spans="4:12" x14ac:dyDescent="0.2">
      <c r="D52" s="6"/>
      <c r="E52" s="6"/>
      <c r="F52" s="6"/>
      <c r="G52" s="6"/>
      <c r="H52" s="6"/>
      <c r="J52" s="6"/>
      <c r="K52" s="6"/>
      <c r="L52" s="6"/>
    </row>
    <row r="53" spans="4:12" x14ac:dyDescent="0.2">
      <c r="D53" s="6"/>
      <c r="E53" s="6"/>
      <c r="F53" s="6"/>
      <c r="G53" s="6"/>
      <c r="H53" s="6"/>
      <c r="J53" s="6"/>
      <c r="K53" s="6"/>
      <c r="L53" s="6"/>
    </row>
    <row r="54" spans="4:12" x14ac:dyDescent="0.2">
      <c r="D54" s="6"/>
      <c r="E54" s="6"/>
      <c r="F54" s="6"/>
      <c r="G54" s="6"/>
      <c r="H54" s="6"/>
      <c r="J54" s="6"/>
      <c r="K54" s="6"/>
      <c r="L54" s="6"/>
    </row>
    <row r="55" spans="4:12" x14ac:dyDescent="0.2">
      <c r="D55" s="6"/>
      <c r="E55" s="6"/>
      <c r="F55" s="6"/>
      <c r="G55" s="6"/>
      <c r="H55" s="6"/>
      <c r="J55" s="6"/>
      <c r="K55" s="6"/>
      <c r="L55" s="6"/>
    </row>
    <row r="56" spans="4:12" x14ac:dyDescent="0.2">
      <c r="D56" s="6"/>
      <c r="E56" s="6"/>
      <c r="F56" s="6"/>
      <c r="G56" s="6"/>
      <c r="H56" s="6"/>
      <c r="J56" s="6"/>
      <c r="K56" s="6"/>
      <c r="L56" s="6"/>
    </row>
    <row r="57" spans="4:12" x14ac:dyDescent="0.2">
      <c r="D57" s="6"/>
      <c r="E57" s="6"/>
      <c r="F57" s="6"/>
      <c r="G57" s="6"/>
      <c r="H57" s="6"/>
      <c r="J57" s="6"/>
      <c r="K57" s="6"/>
      <c r="L57" s="6"/>
    </row>
    <row r="58" spans="4:12" x14ac:dyDescent="0.2">
      <c r="D58" s="6"/>
      <c r="E58" s="6"/>
      <c r="F58" s="6"/>
      <c r="G58" s="6"/>
      <c r="H58" s="6"/>
      <c r="J58" s="6"/>
      <c r="K58" s="6"/>
      <c r="L58" s="6"/>
    </row>
    <row r="59" spans="4:12" x14ac:dyDescent="0.2">
      <c r="D59" s="6"/>
      <c r="E59" s="6"/>
      <c r="F59" s="6"/>
      <c r="G59" s="6"/>
      <c r="H59" s="6"/>
      <c r="J59" s="6"/>
      <c r="K59" s="6"/>
      <c r="L59" s="6"/>
    </row>
    <row r="60" spans="4:12" x14ac:dyDescent="0.2">
      <c r="D60" s="6"/>
      <c r="E60" s="6"/>
      <c r="F60" s="6"/>
      <c r="G60" s="6"/>
      <c r="H60" s="6"/>
      <c r="J60" s="6"/>
      <c r="K60" s="6"/>
      <c r="L60" s="6"/>
    </row>
    <row r="61" spans="4:12" x14ac:dyDescent="0.2">
      <c r="D61" s="6"/>
      <c r="E61" s="6"/>
      <c r="F61" s="6"/>
      <c r="G61" s="6"/>
      <c r="H61" s="6"/>
      <c r="J61" s="6"/>
      <c r="K61" s="6"/>
      <c r="L61" s="6"/>
    </row>
    <row r="62" spans="4:12" x14ac:dyDescent="0.2">
      <c r="D62" s="6"/>
      <c r="E62" s="6"/>
      <c r="F62" s="6"/>
      <c r="G62" s="6"/>
      <c r="H62" s="6"/>
      <c r="J62" s="6"/>
      <c r="K62" s="6"/>
      <c r="L62" s="6"/>
    </row>
    <row r="63" spans="4:12" x14ac:dyDescent="0.2">
      <c r="D63" s="6"/>
      <c r="E63" s="6"/>
      <c r="F63" s="6"/>
      <c r="G63" s="6"/>
      <c r="H63" s="6"/>
      <c r="J63" s="6"/>
      <c r="K63" s="6"/>
      <c r="L63" s="6"/>
    </row>
    <row r="64" spans="4:12" x14ac:dyDescent="0.2">
      <c r="D64" s="6"/>
      <c r="E64" s="6"/>
      <c r="F64" s="6"/>
      <c r="G64" s="6"/>
      <c r="H64" s="6"/>
      <c r="J64" s="6"/>
      <c r="K64" s="6"/>
      <c r="L64" s="6"/>
    </row>
    <row r="65" spans="4:12" x14ac:dyDescent="0.2">
      <c r="D65" s="6"/>
      <c r="E65" s="6"/>
      <c r="F65" s="6"/>
      <c r="G65" s="6"/>
      <c r="H65" s="6"/>
      <c r="J65" s="6"/>
      <c r="K65" s="6"/>
      <c r="L65" s="6"/>
    </row>
    <row r="66" spans="4:12" x14ac:dyDescent="0.2">
      <c r="D66" s="6"/>
      <c r="E66" s="6"/>
      <c r="F66" s="6"/>
      <c r="G66" s="6"/>
      <c r="H66" s="6"/>
      <c r="J66" s="6"/>
      <c r="K66" s="6"/>
      <c r="L66" s="6"/>
    </row>
    <row r="67" spans="4:12" x14ac:dyDescent="0.2">
      <c r="D67" s="6"/>
      <c r="E67" s="6"/>
      <c r="F67" s="6"/>
      <c r="G67" s="6"/>
      <c r="H67" s="6"/>
      <c r="J67" s="6"/>
      <c r="K67" s="6"/>
      <c r="L67" s="6"/>
    </row>
    <row r="68" spans="4:12" x14ac:dyDescent="0.2">
      <c r="D68" s="6"/>
      <c r="E68" s="6"/>
      <c r="F68" s="6"/>
      <c r="G68" s="6"/>
      <c r="H68" s="6"/>
      <c r="J68" s="6"/>
      <c r="K68" s="6"/>
      <c r="L68" s="6"/>
    </row>
    <row r="69" spans="4:12" x14ac:dyDescent="0.2">
      <c r="D69" s="6"/>
      <c r="E69" s="6"/>
      <c r="F69" s="6"/>
      <c r="G69" s="6"/>
      <c r="H69" s="6"/>
      <c r="J69" s="6"/>
      <c r="K69" s="6"/>
      <c r="L69" s="6"/>
    </row>
    <row r="70" spans="4:12" x14ac:dyDescent="0.2">
      <c r="D70" s="6"/>
      <c r="E70" s="6"/>
      <c r="F70" s="6"/>
      <c r="G70" s="6"/>
      <c r="H70" s="6"/>
      <c r="J70" s="6"/>
      <c r="K70" s="6"/>
      <c r="L70" s="6"/>
    </row>
    <row r="71" spans="4:12" x14ac:dyDescent="0.2">
      <c r="D71" s="6"/>
      <c r="E71" s="6"/>
      <c r="F71" s="6"/>
      <c r="G71" s="6"/>
      <c r="H71" s="6"/>
      <c r="J71" s="6"/>
      <c r="K71" s="6"/>
      <c r="L71" s="6"/>
    </row>
    <row r="72" spans="4:12" x14ac:dyDescent="0.2">
      <c r="D72" s="6"/>
      <c r="E72" s="6"/>
      <c r="F72" s="6"/>
      <c r="G72" s="6"/>
      <c r="H72" s="6"/>
      <c r="J72" s="6"/>
      <c r="K72" s="6"/>
      <c r="L72" s="6"/>
    </row>
    <row r="73" spans="4:12" x14ac:dyDescent="0.2">
      <c r="D73" s="6"/>
      <c r="E73" s="6"/>
      <c r="F73" s="6"/>
      <c r="G73" s="6"/>
      <c r="H73" s="6"/>
      <c r="J73" s="6"/>
      <c r="K73" s="6"/>
      <c r="L73" s="6"/>
    </row>
    <row r="74" spans="4:12" x14ac:dyDescent="0.2">
      <c r="D74" s="6"/>
      <c r="E74" s="6"/>
      <c r="F74" s="6"/>
      <c r="G74" s="6"/>
      <c r="H74" s="6"/>
      <c r="J74" s="6"/>
      <c r="K74" s="6"/>
      <c r="L74" s="6"/>
    </row>
    <row r="75" spans="4:12" x14ac:dyDescent="0.2">
      <c r="D75" s="6"/>
      <c r="E75" s="6"/>
      <c r="F75" s="6"/>
      <c r="G75" s="6"/>
      <c r="H75" s="6"/>
      <c r="J75" s="6"/>
      <c r="K75" s="6"/>
      <c r="L75" s="6"/>
    </row>
    <row r="76" spans="4:12" x14ac:dyDescent="0.2">
      <c r="D76" s="6"/>
      <c r="E76" s="6"/>
      <c r="F76" s="6"/>
      <c r="G76" s="6"/>
      <c r="H76" s="6"/>
      <c r="J76" s="6"/>
      <c r="K76" s="6"/>
      <c r="L76" s="6"/>
    </row>
    <row r="77" spans="4:12" x14ac:dyDescent="0.2">
      <c r="D77" s="6"/>
      <c r="E77" s="6"/>
      <c r="F77" s="6"/>
      <c r="G77" s="6"/>
      <c r="H77" s="6"/>
      <c r="J77" s="6"/>
      <c r="K77" s="6"/>
      <c r="L77" s="6"/>
    </row>
    <row r="78" spans="4:12" x14ac:dyDescent="0.2">
      <c r="D78" s="6"/>
      <c r="E78" s="6"/>
      <c r="F78" s="6"/>
      <c r="G78" s="6"/>
      <c r="H78" s="6"/>
      <c r="J78" s="6"/>
      <c r="K78" s="6"/>
      <c r="L78" s="6"/>
    </row>
    <row r="79" spans="4:12" x14ac:dyDescent="0.2">
      <c r="D79" s="6"/>
      <c r="E79" s="6"/>
      <c r="F79" s="6"/>
      <c r="G79" s="6"/>
      <c r="H79" s="6"/>
      <c r="J79" s="6"/>
      <c r="K79" s="6"/>
      <c r="L79" s="6"/>
    </row>
    <row r="80" spans="4:12" x14ac:dyDescent="0.2">
      <c r="D80" s="6"/>
      <c r="E80" s="6"/>
      <c r="F80" s="6"/>
      <c r="G80" s="6"/>
      <c r="H80" s="6"/>
      <c r="J80" s="6"/>
      <c r="K80" s="6"/>
      <c r="L80" s="6"/>
    </row>
    <row r="81" spans="4:12" x14ac:dyDescent="0.2">
      <c r="D81" s="6"/>
      <c r="E81" s="6"/>
      <c r="F81" s="6"/>
      <c r="G81" s="6"/>
      <c r="H81" s="6"/>
      <c r="J81" s="6"/>
      <c r="K81" s="6"/>
      <c r="L81" s="6"/>
    </row>
    <row r="82" spans="4:12" x14ac:dyDescent="0.2">
      <c r="D82" s="6"/>
      <c r="E82" s="6"/>
      <c r="F82" s="6"/>
      <c r="G82" s="6"/>
      <c r="H82" s="6"/>
      <c r="J82" s="6"/>
      <c r="K82" s="6"/>
      <c r="L82" s="6"/>
    </row>
    <row r="83" spans="4:12" x14ac:dyDescent="0.2">
      <c r="D83" s="6"/>
      <c r="E83" s="6"/>
      <c r="F83" s="6"/>
      <c r="G83" s="6"/>
      <c r="H83" s="6"/>
      <c r="J83" s="6"/>
      <c r="K83" s="6"/>
      <c r="L83" s="6"/>
    </row>
    <row r="84" spans="4:12" x14ac:dyDescent="0.2">
      <c r="D84" s="6"/>
      <c r="E84" s="6"/>
      <c r="F84" s="6"/>
      <c r="G84" s="6"/>
      <c r="H84" s="6"/>
      <c r="J84" s="6"/>
      <c r="K84" s="6"/>
      <c r="L84" s="6"/>
    </row>
    <row r="85" spans="4:12" x14ac:dyDescent="0.2">
      <c r="D85" s="6"/>
      <c r="E85" s="6"/>
      <c r="F85" s="6"/>
      <c r="G85" s="6"/>
      <c r="H85" s="6"/>
      <c r="J85" s="6"/>
      <c r="K85" s="6"/>
      <c r="L85" s="6"/>
    </row>
    <row r="86" spans="4:12" x14ac:dyDescent="0.2">
      <c r="D86" s="6"/>
      <c r="E86" s="6"/>
      <c r="F86" s="6"/>
      <c r="G86" s="6"/>
      <c r="H86" s="6"/>
      <c r="J86" s="6"/>
      <c r="K86" s="6"/>
      <c r="L86" s="6"/>
    </row>
    <row r="87" spans="4:12" x14ac:dyDescent="0.2">
      <c r="D87" s="6"/>
      <c r="E87" s="6"/>
      <c r="F87" s="6"/>
      <c r="G87" s="6"/>
      <c r="H87" s="6"/>
      <c r="J87" s="6"/>
      <c r="K87" s="6"/>
      <c r="L87" s="6"/>
    </row>
    <row r="88" spans="4:12" x14ac:dyDescent="0.2">
      <c r="D88" s="6"/>
      <c r="E88" s="6"/>
      <c r="F88" s="6"/>
      <c r="G88" s="6"/>
      <c r="H88" s="6"/>
      <c r="J88" s="6"/>
      <c r="K88" s="6"/>
      <c r="L88" s="6"/>
    </row>
    <row r="89" spans="4:12" x14ac:dyDescent="0.2">
      <c r="D89" s="6"/>
      <c r="E89" s="6"/>
      <c r="F89" s="6"/>
      <c r="G89" s="6"/>
      <c r="H89" s="6"/>
      <c r="J89" s="6"/>
      <c r="K89" s="6"/>
      <c r="L89" s="6"/>
    </row>
    <row r="90" spans="4:12" x14ac:dyDescent="0.2">
      <c r="D90" s="6"/>
      <c r="E90" s="6"/>
      <c r="F90" s="6"/>
      <c r="G90" s="6"/>
      <c r="H90" s="6"/>
      <c r="J90" s="6"/>
      <c r="K90" s="6"/>
      <c r="L90" s="6"/>
    </row>
    <row r="91" spans="4:12" x14ac:dyDescent="0.2">
      <c r="D91" s="6"/>
      <c r="E91" s="6"/>
      <c r="F91" s="6"/>
      <c r="G91" s="6"/>
      <c r="H91" s="6"/>
      <c r="J91" s="6"/>
      <c r="K91" s="6"/>
      <c r="L91" s="6"/>
    </row>
    <row r="92" spans="4:12" x14ac:dyDescent="0.2">
      <c r="D92" s="6"/>
      <c r="E92" s="6"/>
      <c r="F92" s="6"/>
      <c r="G92" s="6"/>
      <c r="H92" s="6"/>
      <c r="J92" s="6"/>
      <c r="K92" s="6"/>
      <c r="L92" s="6"/>
    </row>
    <row r="93" spans="4:12" x14ac:dyDescent="0.2">
      <c r="D93" s="6"/>
      <c r="E93" s="6"/>
      <c r="F93" s="6"/>
      <c r="G93" s="6"/>
      <c r="H93" s="6"/>
      <c r="J93" s="6"/>
      <c r="K93" s="6"/>
      <c r="L93" s="6"/>
    </row>
    <row r="94" spans="4:12" x14ac:dyDescent="0.2">
      <c r="D94" s="6"/>
      <c r="E94" s="6"/>
      <c r="F94" s="6"/>
      <c r="G94" s="6"/>
      <c r="H94" s="6"/>
      <c r="J94" s="6"/>
      <c r="K94" s="6"/>
      <c r="L94" s="6"/>
    </row>
    <row r="95" spans="4:12" x14ac:dyDescent="0.2">
      <c r="D95" s="6"/>
      <c r="E95" s="6"/>
      <c r="F95" s="6"/>
      <c r="G95" s="6"/>
      <c r="H95" s="6"/>
      <c r="J95" s="6"/>
      <c r="K95" s="6"/>
      <c r="L95" s="6"/>
    </row>
    <row r="96" spans="4:12" x14ac:dyDescent="0.2">
      <c r="D96" s="6"/>
      <c r="E96" s="6"/>
      <c r="F96" s="6"/>
      <c r="G96" s="6"/>
      <c r="H96" s="6"/>
      <c r="J96" s="6"/>
      <c r="K96" s="6"/>
      <c r="L96" s="6"/>
    </row>
    <row r="97" spans="4:12" x14ac:dyDescent="0.2">
      <c r="D97" s="6"/>
      <c r="E97" s="6"/>
      <c r="F97" s="6"/>
      <c r="G97" s="6"/>
      <c r="H97" s="6"/>
      <c r="J97" s="6"/>
      <c r="K97" s="6"/>
      <c r="L97" s="6"/>
    </row>
    <row r="98" spans="4:12" x14ac:dyDescent="0.2">
      <c r="D98" s="6"/>
      <c r="E98" s="6"/>
      <c r="F98" s="6"/>
      <c r="G98" s="6"/>
      <c r="H98" s="6"/>
      <c r="J98" s="6"/>
      <c r="K98" s="6"/>
      <c r="L98" s="6"/>
    </row>
    <row r="99" spans="4:12" x14ac:dyDescent="0.2">
      <c r="D99" s="6"/>
      <c r="E99" s="6"/>
      <c r="F99" s="6"/>
      <c r="G99" s="6"/>
      <c r="H99" s="6"/>
      <c r="J99" s="6"/>
      <c r="K99" s="6"/>
      <c r="L99" s="6"/>
    </row>
    <row r="100" spans="4:12" x14ac:dyDescent="0.2">
      <c r="D100" s="6"/>
      <c r="E100" s="6"/>
      <c r="F100" s="6"/>
      <c r="G100" s="6"/>
      <c r="H100" s="6"/>
      <c r="J100" s="6"/>
      <c r="K100" s="6"/>
      <c r="L100" s="6"/>
    </row>
    <row r="101" spans="4:12" x14ac:dyDescent="0.2">
      <c r="D101" s="6"/>
      <c r="E101" s="6"/>
      <c r="F101" s="6"/>
      <c r="G101" s="6"/>
      <c r="H101" s="6"/>
      <c r="J101" s="6"/>
      <c r="K101" s="6"/>
      <c r="L101" s="6"/>
    </row>
    <row r="102" spans="4:12" x14ac:dyDescent="0.2">
      <c r="D102" s="6"/>
      <c r="E102" s="6"/>
      <c r="F102" s="6"/>
      <c r="G102" s="6"/>
      <c r="H102" s="6"/>
      <c r="J102" s="6"/>
      <c r="K102" s="6"/>
      <c r="L102" s="6"/>
    </row>
    <row r="103" spans="4:12" x14ac:dyDescent="0.2">
      <c r="D103" s="6"/>
      <c r="E103" s="6"/>
      <c r="F103" s="6"/>
      <c r="G103" s="6"/>
      <c r="H103" s="6"/>
      <c r="J103" s="6"/>
      <c r="K103" s="6"/>
      <c r="L103" s="6"/>
    </row>
    <row r="104" spans="4:12" x14ac:dyDescent="0.2">
      <c r="D104" s="6"/>
      <c r="E104" s="6"/>
      <c r="F104" s="6"/>
      <c r="G104" s="6"/>
      <c r="H104" s="6"/>
      <c r="J104" s="6"/>
      <c r="K104" s="6"/>
      <c r="L104" s="6"/>
    </row>
    <row r="105" spans="4:12" x14ac:dyDescent="0.2">
      <c r="D105" s="6"/>
      <c r="E105" s="6"/>
      <c r="F105" s="6"/>
      <c r="G105" s="6"/>
      <c r="H105" s="6"/>
      <c r="J105" s="6"/>
      <c r="K105" s="6"/>
      <c r="L105" s="6"/>
    </row>
    <row r="106" spans="4:12" x14ac:dyDescent="0.2">
      <c r="D106" s="6"/>
      <c r="E106" s="6"/>
      <c r="F106" s="6"/>
      <c r="G106" s="6"/>
      <c r="H106" s="6"/>
      <c r="J106" s="6"/>
      <c r="K106" s="6"/>
      <c r="L106" s="6"/>
    </row>
    <row r="107" spans="4:12" x14ac:dyDescent="0.2">
      <c r="D107" s="6"/>
      <c r="E107" s="6"/>
      <c r="F107" s="6"/>
      <c r="G107" s="6"/>
      <c r="H107" s="6"/>
      <c r="J107" s="6"/>
      <c r="K107" s="6"/>
      <c r="L107" s="6"/>
    </row>
    <row r="108" spans="4:12" x14ac:dyDescent="0.2">
      <c r="D108" s="6"/>
      <c r="E108" s="6"/>
      <c r="F108" s="6"/>
      <c r="G108" s="6"/>
      <c r="H108" s="6"/>
      <c r="J108" s="6"/>
      <c r="K108" s="6"/>
      <c r="L108" s="6"/>
    </row>
    <row r="109" spans="4:12" x14ac:dyDescent="0.2">
      <c r="D109" s="6"/>
      <c r="E109" s="6"/>
      <c r="F109" s="6"/>
      <c r="G109" s="6"/>
      <c r="H109" s="6"/>
      <c r="J109" s="6"/>
      <c r="K109" s="6"/>
      <c r="L109" s="6"/>
    </row>
    <row r="110" spans="4:12" x14ac:dyDescent="0.2">
      <c r="D110" s="6"/>
      <c r="E110" s="6"/>
      <c r="F110" s="6"/>
      <c r="G110" s="6"/>
      <c r="H110" s="6"/>
      <c r="J110" s="6"/>
      <c r="K110" s="6"/>
      <c r="L110" s="6"/>
    </row>
    <row r="111" spans="4:12" x14ac:dyDescent="0.2">
      <c r="D111" s="6"/>
      <c r="E111" s="6"/>
      <c r="F111" s="6"/>
      <c r="G111" s="6"/>
      <c r="H111" s="6"/>
      <c r="J111" s="6"/>
      <c r="K111" s="6"/>
      <c r="L111" s="6"/>
    </row>
    <row r="112" spans="4:12" x14ac:dyDescent="0.2">
      <c r="D112" s="6"/>
      <c r="E112" s="6"/>
      <c r="F112" s="6"/>
      <c r="G112" s="6"/>
      <c r="H112" s="6"/>
      <c r="J112" s="6"/>
      <c r="K112" s="6"/>
      <c r="L112" s="6"/>
    </row>
    <row r="113" spans="4:12" x14ac:dyDescent="0.2">
      <c r="D113" s="6"/>
      <c r="E113" s="6"/>
      <c r="F113" s="6"/>
      <c r="G113" s="6"/>
      <c r="H113" s="6"/>
      <c r="J113" s="6"/>
      <c r="K113" s="6"/>
      <c r="L113" s="6"/>
    </row>
    <row r="114" spans="4:12" x14ac:dyDescent="0.2">
      <c r="D114" s="6"/>
      <c r="E114" s="6"/>
      <c r="F114" s="6"/>
      <c r="G114" s="6"/>
      <c r="H114" s="6"/>
      <c r="J114" s="6"/>
      <c r="K114" s="6"/>
      <c r="L114" s="6"/>
    </row>
    <row r="115" spans="4:12" x14ac:dyDescent="0.2">
      <c r="D115" s="6"/>
      <c r="E115" s="6"/>
      <c r="F115" s="6"/>
      <c r="G115" s="6"/>
      <c r="H115" s="6"/>
      <c r="J115" s="6"/>
      <c r="K115" s="6"/>
      <c r="L115" s="6"/>
    </row>
    <row r="116" spans="4:12" x14ac:dyDescent="0.2">
      <c r="D116" s="6"/>
      <c r="E116" s="6"/>
      <c r="F116" s="6"/>
      <c r="G116" s="6"/>
      <c r="H116" s="6"/>
      <c r="J116" s="6"/>
      <c r="K116" s="6"/>
      <c r="L116" s="6"/>
    </row>
    <row r="117" spans="4:12" x14ac:dyDescent="0.2">
      <c r="D117" s="6"/>
      <c r="E117" s="6"/>
      <c r="F117" s="6"/>
      <c r="G117" s="6"/>
      <c r="H117" s="6"/>
      <c r="J117" s="6"/>
      <c r="K117" s="6"/>
      <c r="L117" s="6"/>
    </row>
    <row r="118" spans="4:12" x14ac:dyDescent="0.2">
      <c r="D118" s="6"/>
      <c r="E118" s="6"/>
      <c r="F118" s="6"/>
      <c r="G118" s="6"/>
      <c r="H118" s="6"/>
      <c r="J118" s="6"/>
      <c r="K118" s="6"/>
      <c r="L118" s="6"/>
    </row>
    <row r="119" spans="4:12" x14ac:dyDescent="0.2">
      <c r="D119" s="6"/>
      <c r="E119" s="6"/>
      <c r="F119" s="6"/>
      <c r="G119" s="6"/>
      <c r="H119" s="6"/>
      <c r="J119" s="6"/>
      <c r="K119" s="6"/>
      <c r="L119" s="6"/>
    </row>
    <row r="120" spans="4:12" x14ac:dyDescent="0.2">
      <c r="D120" s="6"/>
      <c r="E120" s="6"/>
      <c r="F120" s="6"/>
      <c r="G120" s="6"/>
      <c r="H120" s="6"/>
      <c r="J120" s="6"/>
      <c r="K120" s="6"/>
      <c r="L120" s="6"/>
    </row>
    <row r="121" spans="4:12" x14ac:dyDescent="0.2">
      <c r="D121" s="6"/>
      <c r="E121" s="6"/>
      <c r="F121" s="6"/>
      <c r="G121" s="6"/>
      <c r="H121" s="6"/>
      <c r="J121" s="6"/>
      <c r="K121" s="6"/>
      <c r="L121" s="6"/>
    </row>
    <row r="122" spans="4:12" x14ac:dyDescent="0.2">
      <c r="D122" s="6"/>
      <c r="E122" s="6"/>
      <c r="F122" s="6"/>
      <c r="G122" s="6"/>
      <c r="H122" s="6"/>
      <c r="J122" s="6"/>
      <c r="K122" s="6"/>
      <c r="L122" s="6"/>
    </row>
    <row r="123" spans="4:12" x14ac:dyDescent="0.2">
      <c r="D123" s="6"/>
      <c r="E123" s="6"/>
      <c r="F123" s="6"/>
      <c r="G123" s="6"/>
      <c r="H123" s="6"/>
      <c r="J123" s="6"/>
      <c r="K123" s="6"/>
      <c r="L123" s="6"/>
    </row>
    <row r="124" spans="4:12" x14ac:dyDescent="0.2">
      <c r="D124" s="6"/>
      <c r="E124" s="6"/>
      <c r="F124" s="6"/>
      <c r="G124" s="6"/>
      <c r="H124" s="6"/>
      <c r="J124" s="6"/>
      <c r="K124" s="6"/>
      <c r="L124" s="6"/>
    </row>
    <row r="125" spans="4:12" x14ac:dyDescent="0.2">
      <c r="D125" s="6"/>
      <c r="E125" s="6"/>
      <c r="F125" s="6"/>
      <c r="G125" s="6"/>
      <c r="H125" s="6"/>
      <c r="J125" s="6"/>
      <c r="K125" s="6"/>
      <c r="L125" s="6"/>
    </row>
    <row r="126" spans="4:12" x14ac:dyDescent="0.2">
      <c r="D126" s="6"/>
      <c r="E126" s="6"/>
      <c r="F126" s="6"/>
      <c r="G126" s="6"/>
      <c r="H126" s="6"/>
      <c r="J126" s="6"/>
      <c r="K126" s="6"/>
      <c r="L126" s="6"/>
    </row>
    <row r="127" spans="4:12" x14ac:dyDescent="0.2">
      <c r="D127" s="6"/>
      <c r="E127" s="6"/>
      <c r="F127" s="6"/>
      <c r="G127" s="6"/>
      <c r="H127" s="6"/>
      <c r="J127" s="6"/>
      <c r="K127" s="6"/>
      <c r="L127" s="6"/>
    </row>
    <row r="128" spans="4:12" x14ac:dyDescent="0.2">
      <c r="D128" s="6"/>
      <c r="E128" s="6"/>
      <c r="F128" s="6"/>
      <c r="G128" s="6"/>
      <c r="H128" s="6"/>
      <c r="J128" s="6"/>
      <c r="K128" s="6"/>
      <c r="L128" s="6"/>
    </row>
    <row r="129" spans="4:12" x14ac:dyDescent="0.2">
      <c r="D129" s="6"/>
      <c r="E129" s="6"/>
      <c r="F129" s="6"/>
      <c r="G129" s="6"/>
      <c r="H129" s="6"/>
      <c r="J129" s="6"/>
      <c r="K129" s="6"/>
      <c r="L129" s="6"/>
    </row>
    <row r="130" spans="4:12" x14ac:dyDescent="0.2">
      <c r="D130" s="6"/>
      <c r="E130" s="6"/>
      <c r="F130" s="6"/>
      <c r="G130" s="6"/>
      <c r="H130" s="6"/>
      <c r="J130" s="6"/>
      <c r="K130" s="6"/>
      <c r="L130" s="6"/>
    </row>
    <row r="131" spans="4:12" x14ac:dyDescent="0.2">
      <c r="D131" s="6"/>
      <c r="E131" s="6"/>
      <c r="F131" s="6"/>
      <c r="G131" s="6"/>
      <c r="H131" s="6"/>
      <c r="J131" s="6"/>
      <c r="K131" s="6"/>
      <c r="L131" s="6"/>
    </row>
    <row r="132" spans="4:12" x14ac:dyDescent="0.2">
      <c r="D132" s="6"/>
      <c r="E132" s="6"/>
      <c r="F132" s="6"/>
      <c r="G132" s="6"/>
      <c r="H132" s="6"/>
      <c r="J132" s="6"/>
      <c r="K132" s="6"/>
      <c r="L132" s="6"/>
    </row>
    <row r="133" spans="4:12" x14ac:dyDescent="0.2">
      <c r="D133" s="6"/>
      <c r="E133" s="6"/>
      <c r="F133" s="6"/>
      <c r="G133" s="6"/>
      <c r="H133" s="6"/>
      <c r="J133" s="6"/>
      <c r="K133" s="6"/>
      <c r="L133" s="6"/>
    </row>
    <row r="134" spans="4:12" x14ac:dyDescent="0.2">
      <c r="D134" s="6"/>
      <c r="E134" s="6"/>
      <c r="F134" s="6"/>
      <c r="G134" s="6"/>
      <c r="H134" s="6"/>
      <c r="J134" s="6"/>
      <c r="K134" s="6"/>
      <c r="L134" s="6"/>
    </row>
    <row r="135" spans="4:12" x14ac:dyDescent="0.2">
      <c r="D135" s="6"/>
      <c r="E135" s="6"/>
      <c r="F135" s="6"/>
      <c r="G135" s="6"/>
      <c r="H135" s="6"/>
      <c r="J135" s="6"/>
      <c r="K135" s="6"/>
      <c r="L135" s="6"/>
    </row>
    <row r="136" spans="4:12" x14ac:dyDescent="0.2">
      <c r="D136" s="6"/>
      <c r="E136" s="6"/>
      <c r="F136" s="6"/>
      <c r="G136" s="6"/>
      <c r="H136" s="6"/>
      <c r="J136" s="6"/>
      <c r="K136" s="6"/>
      <c r="L136" s="6"/>
    </row>
    <row r="137" spans="4:12" x14ac:dyDescent="0.2">
      <c r="D137" s="6"/>
      <c r="E137" s="6"/>
      <c r="F137" s="6"/>
      <c r="G137" s="6"/>
      <c r="H137" s="6"/>
      <c r="J137" s="6"/>
      <c r="K137" s="6"/>
      <c r="L137" s="6"/>
    </row>
    <row r="138" spans="4:12" x14ac:dyDescent="0.2">
      <c r="D138" s="6"/>
      <c r="E138" s="6"/>
      <c r="F138" s="6"/>
      <c r="G138" s="6"/>
      <c r="H138" s="6"/>
      <c r="J138" s="6"/>
      <c r="K138" s="6"/>
      <c r="L138" s="6"/>
    </row>
    <row r="139" spans="4:12" x14ac:dyDescent="0.2">
      <c r="D139" s="6"/>
      <c r="E139" s="6"/>
      <c r="F139" s="6"/>
      <c r="G139" s="6"/>
      <c r="H139" s="6"/>
      <c r="J139" s="6"/>
      <c r="K139" s="6"/>
      <c r="L139" s="6"/>
    </row>
    <row r="140" spans="4:12" x14ac:dyDescent="0.2">
      <c r="D140" s="6"/>
      <c r="E140" s="6"/>
      <c r="F140" s="6"/>
      <c r="G140" s="6"/>
      <c r="H140" s="6"/>
      <c r="J140" s="6"/>
      <c r="K140" s="6"/>
      <c r="L140" s="6"/>
    </row>
    <row r="141" spans="4:12" x14ac:dyDescent="0.2">
      <c r="D141" s="6"/>
      <c r="E141" s="6"/>
      <c r="F141" s="6"/>
      <c r="G141" s="6"/>
      <c r="H141" s="6"/>
      <c r="J141" s="6"/>
      <c r="K141" s="6"/>
      <c r="L141" s="6"/>
    </row>
    <row r="142" spans="4:12" x14ac:dyDescent="0.2">
      <c r="D142" s="6"/>
      <c r="E142" s="6"/>
      <c r="F142" s="6"/>
      <c r="G142" s="6"/>
      <c r="H142" s="6"/>
      <c r="J142" s="6"/>
      <c r="K142" s="6"/>
      <c r="L142" s="6"/>
    </row>
    <row r="143" spans="4:12" x14ac:dyDescent="0.2">
      <c r="D143" s="6"/>
      <c r="E143" s="6"/>
      <c r="F143" s="6"/>
      <c r="G143" s="6"/>
      <c r="H143" s="6"/>
      <c r="J143" s="6"/>
      <c r="K143" s="6"/>
      <c r="L143" s="6"/>
    </row>
    <row r="144" spans="4:12" x14ac:dyDescent="0.2">
      <c r="D144" s="6"/>
      <c r="E144" s="6"/>
      <c r="F144" s="6"/>
      <c r="G144" s="6"/>
      <c r="H144" s="6"/>
      <c r="J144" s="6"/>
      <c r="K144" s="6"/>
      <c r="L144" s="6"/>
    </row>
    <row r="145" spans="4:12" x14ac:dyDescent="0.2">
      <c r="D145" s="6"/>
      <c r="E145" s="6"/>
      <c r="F145" s="6"/>
      <c r="G145" s="6"/>
      <c r="H145" s="6"/>
      <c r="J145" s="6"/>
      <c r="K145" s="6"/>
      <c r="L145" s="6"/>
    </row>
    <row r="146" spans="4:12" x14ac:dyDescent="0.2">
      <c r="D146" s="6"/>
      <c r="E146" s="6"/>
      <c r="F146" s="6"/>
      <c r="G146" s="6"/>
      <c r="H146" s="6"/>
      <c r="J146" s="6"/>
      <c r="K146" s="6"/>
      <c r="L146" s="6"/>
    </row>
    <row r="147" spans="4:12" x14ac:dyDescent="0.2">
      <c r="D147" s="6"/>
      <c r="E147" s="6"/>
      <c r="F147" s="6"/>
      <c r="G147" s="6"/>
      <c r="H147" s="6"/>
      <c r="J147" s="6"/>
      <c r="K147" s="6"/>
      <c r="L147" s="6"/>
    </row>
    <row r="148" spans="4:12" x14ac:dyDescent="0.2">
      <c r="D148" s="6"/>
      <c r="E148" s="6"/>
      <c r="F148" s="6"/>
      <c r="G148" s="6"/>
      <c r="H148" s="6"/>
      <c r="J148" s="6"/>
      <c r="K148" s="6"/>
      <c r="L148" s="6"/>
    </row>
    <row r="149" spans="4:12" x14ac:dyDescent="0.2">
      <c r="D149" s="6"/>
      <c r="E149" s="6"/>
      <c r="F149" s="6"/>
      <c r="G149" s="6"/>
      <c r="H149" s="6"/>
      <c r="J149" s="6"/>
      <c r="K149" s="6"/>
      <c r="L149" s="6"/>
    </row>
    <row r="150" spans="4:12" x14ac:dyDescent="0.2">
      <c r="D150" s="6"/>
      <c r="E150" s="6"/>
      <c r="F150" s="6"/>
      <c r="G150" s="6"/>
      <c r="H150" s="6"/>
      <c r="J150" s="6"/>
      <c r="K150" s="6"/>
      <c r="L150" s="6"/>
    </row>
    <row r="151" spans="4:12" x14ac:dyDescent="0.2">
      <c r="D151" s="6"/>
      <c r="E151" s="6"/>
      <c r="F151" s="6"/>
      <c r="G151" s="6"/>
      <c r="H151" s="6"/>
      <c r="J151" s="6"/>
      <c r="K151" s="6"/>
      <c r="L151" s="6"/>
    </row>
    <row r="152" spans="4:12" x14ac:dyDescent="0.2">
      <c r="D152" s="6"/>
      <c r="E152" s="6"/>
      <c r="F152" s="6"/>
      <c r="G152" s="6"/>
      <c r="H152" s="6"/>
      <c r="J152" s="6"/>
      <c r="K152" s="6"/>
      <c r="L152" s="6"/>
    </row>
    <row r="153" spans="4:12" x14ac:dyDescent="0.2">
      <c r="D153" s="6"/>
      <c r="E153" s="6"/>
      <c r="F153" s="6"/>
      <c r="G153" s="6"/>
      <c r="H153" s="6"/>
      <c r="J153" s="6"/>
      <c r="K153" s="6"/>
      <c r="L153" s="6"/>
    </row>
    <row r="154" spans="4:12" x14ac:dyDescent="0.2">
      <c r="D154" s="6"/>
      <c r="E154" s="6"/>
      <c r="F154" s="6"/>
      <c r="G154" s="6"/>
      <c r="H154" s="6"/>
      <c r="J154" s="6"/>
      <c r="K154" s="6"/>
      <c r="L154" s="6"/>
    </row>
    <row r="155" spans="4:12" x14ac:dyDescent="0.2">
      <c r="D155" s="6"/>
      <c r="E155" s="6"/>
      <c r="F155" s="6"/>
      <c r="G155" s="6"/>
      <c r="H155" s="6"/>
      <c r="J155" s="6"/>
      <c r="K155" s="6"/>
      <c r="L155" s="6"/>
    </row>
    <row r="156" spans="4:12" x14ac:dyDescent="0.2">
      <c r="D156" s="6"/>
      <c r="E156" s="6"/>
      <c r="F156" s="6"/>
      <c r="G156" s="6"/>
      <c r="H156" s="6"/>
      <c r="J156" s="6"/>
      <c r="K156" s="6"/>
      <c r="L156" s="6"/>
    </row>
    <row r="157" spans="4:12" x14ac:dyDescent="0.2">
      <c r="D157" s="6"/>
      <c r="E157" s="6"/>
      <c r="F157" s="6"/>
      <c r="G157" s="6"/>
      <c r="H157" s="6"/>
      <c r="J157" s="6"/>
      <c r="K157" s="6"/>
      <c r="L157" s="6"/>
    </row>
    <row r="158" spans="4:12" x14ac:dyDescent="0.2">
      <c r="D158" s="6"/>
      <c r="E158" s="6"/>
      <c r="F158" s="6"/>
      <c r="G158" s="6"/>
      <c r="H158" s="6"/>
      <c r="J158" s="6"/>
      <c r="K158" s="6"/>
      <c r="L158" s="6"/>
    </row>
    <row r="159" spans="4:12" x14ac:dyDescent="0.2">
      <c r="D159" s="6"/>
      <c r="E159" s="6"/>
      <c r="F159" s="6"/>
      <c r="G159" s="6"/>
      <c r="H159" s="6"/>
      <c r="J159" s="6"/>
      <c r="K159" s="6"/>
      <c r="L159" s="6"/>
    </row>
    <row r="160" spans="4:12" x14ac:dyDescent="0.2">
      <c r="D160" s="6"/>
      <c r="E160" s="6"/>
      <c r="F160" s="6"/>
      <c r="G160" s="6"/>
      <c r="H160" s="6"/>
      <c r="J160" s="6"/>
      <c r="K160" s="6"/>
      <c r="L160" s="6"/>
    </row>
    <row r="161" spans="4:12" x14ac:dyDescent="0.2">
      <c r="D161" s="6"/>
      <c r="E161" s="6"/>
      <c r="F161" s="6"/>
      <c r="G161" s="6"/>
      <c r="H161" s="6"/>
      <c r="J161" s="6"/>
      <c r="K161" s="6"/>
      <c r="L161" s="6"/>
    </row>
    <row r="162" spans="4:12" x14ac:dyDescent="0.2">
      <c r="D162" s="6"/>
      <c r="E162" s="6"/>
      <c r="F162" s="6"/>
      <c r="G162" s="6"/>
      <c r="H162" s="6"/>
      <c r="J162" s="6"/>
      <c r="K162" s="6"/>
      <c r="L162" s="6"/>
    </row>
    <row r="163" spans="4:12" x14ac:dyDescent="0.2">
      <c r="D163" s="6"/>
      <c r="E163" s="6"/>
      <c r="F163" s="6"/>
      <c r="G163" s="6"/>
      <c r="H163" s="6"/>
      <c r="J163" s="6"/>
      <c r="K163" s="6"/>
      <c r="L163" s="6"/>
    </row>
    <row r="164" spans="4:12" x14ac:dyDescent="0.2">
      <c r="D164" s="6"/>
      <c r="E164" s="6"/>
      <c r="F164" s="6"/>
      <c r="G164" s="6"/>
      <c r="H164" s="6"/>
      <c r="J164" s="6"/>
      <c r="K164" s="6"/>
      <c r="L164" s="6"/>
    </row>
    <row r="165" spans="4:12" x14ac:dyDescent="0.2">
      <c r="D165" s="6"/>
      <c r="E165" s="6"/>
      <c r="F165" s="6"/>
      <c r="G165" s="6"/>
      <c r="H165" s="6"/>
      <c r="J165" s="6"/>
      <c r="K165" s="6"/>
      <c r="L165" s="6"/>
    </row>
    <row r="166" spans="4:12" x14ac:dyDescent="0.2">
      <c r="D166" s="6"/>
      <c r="E166" s="6"/>
      <c r="F166" s="6"/>
      <c r="G166" s="6"/>
      <c r="H166" s="6"/>
      <c r="J166" s="6"/>
      <c r="K166" s="6"/>
      <c r="L166" s="6"/>
    </row>
    <row r="167" spans="4:12" x14ac:dyDescent="0.2">
      <c r="D167" s="6"/>
      <c r="E167" s="6"/>
      <c r="F167" s="6"/>
      <c r="G167" s="6"/>
      <c r="H167" s="6"/>
      <c r="J167" s="6"/>
      <c r="K167" s="6"/>
      <c r="L167" s="6"/>
    </row>
    <row r="168" spans="4:12" x14ac:dyDescent="0.2">
      <c r="D168" s="6"/>
      <c r="E168" s="6"/>
      <c r="F168" s="6"/>
      <c r="G168" s="6"/>
      <c r="H168" s="6"/>
      <c r="J168" s="6"/>
      <c r="K168" s="6"/>
      <c r="L168" s="6"/>
    </row>
    <row r="169" spans="4:12" x14ac:dyDescent="0.2">
      <c r="D169" s="6"/>
      <c r="E169" s="6"/>
      <c r="F169" s="6"/>
      <c r="G169" s="6"/>
      <c r="H169" s="6"/>
      <c r="J169" s="6"/>
      <c r="K169" s="6"/>
      <c r="L169" s="6"/>
    </row>
    <row r="170" spans="4:12" x14ac:dyDescent="0.2">
      <c r="D170" s="6"/>
      <c r="E170" s="6"/>
      <c r="F170" s="6"/>
      <c r="G170" s="6"/>
      <c r="H170" s="6"/>
      <c r="J170" s="6"/>
      <c r="K170" s="6"/>
      <c r="L170" s="6"/>
    </row>
    <row r="171" spans="4:12" x14ac:dyDescent="0.2">
      <c r="D171" s="6"/>
      <c r="E171" s="6"/>
      <c r="F171" s="6"/>
      <c r="G171" s="6"/>
      <c r="H171" s="6"/>
      <c r="J171" s="6"/>
      <c r="K171" s="6"/>
      <c r="L171" s="6"/>
    </row>
    <row r="172" spans="4:12" x14ac:dyDescent="0.2">
      <c r="D172" s="6"/>
      <c r="E172" s="6"/>
      <c r="F172" s="6"/>
      <c r="G172" s="6"/>
      <c r="H172" s="6"/>
      <c r="J172" s="6"/>
      <c r="K172" s="6"/>
      <c r="L172" s="6"/>
    </row>
    <row r="173" spans="4:12" x14ac:dyDescent="0.2">
      <c r="D173" s="6"/>
      <c r="E173" s="6"/>
      <c r="F173" s="6"/>
      <c r="G173" s="6"/>
      <c r="H173" s="6"/>
      <c r="J173" s="6"/>
      <c r="K173" s="6"/>
      <c r="L173" s="6"/>
    </row>
    <row r="174" spans="4:12" x14ac:dyDescent="0.2">
      <c r="D174" s="6"/>
      <c r="E174" s="6"/>
      <c r="F174" s="6"/>
      <c r="G174" s="6"/>
      <c r="H174" s="6"/>
      <c r="J174" s="6"/>
      <c r="K174" s="6"/>
      <c r="L174" s="6"/>
    </row>
    <row r="175" spans="4:12" x14ac:dyDescent="0.2">
      <c r="D175" s="6"/>
      <c r="E175" s="6"/>
      <c r="F175" s="6"/>
      <c r="G175" s="6"/>
      <c r="H175" s="6"/>
      <c r="J175" s="6"/>
      <c r="K175" s="6"/>
      <c r="L175" s="6"/>
    </row>
    <row r="176" spans="4:12" x14ac:dyDescent="0.2">
      <c r="D176" s="6"/>
      <c r="E176" s="6"/>
      <c r="F176" s="6"/>
      <c r="G176" s="6"/>
      <c r="H176" s="6"/>
      <c r="J176" s="6"/>
      <c r="K176" s="6"/>
      <c r="L176" s="6"/>
    </row>
    <row r="177" spans="4:12" x14ac:dyDescent="0.2">
      <c r="D177" s="6"/>
      <c r="E177" s="6"/>
      <c r="F177" s="6"/>
      <c r="G177" s="6"/>
      <c r="H177" s="6"/>
      <c r="J177" s="6"/>
      <c r="K177" s="6"/>
      <c r="L177" s="6"/>
    </row>
    <row r="178" spans="4:12" x14ac:dyDescent="0.2">
      <c r="D178" s="6"/>
      <c r="E178" s="6"/>
      <c r="F178" s="6"/>
      <c r="G178" s="6"/>
      <c r="H178" s="6"/>
      <c r="J178" s="6"/>
      <c r="K178" s="6"/>
      <c r="L178" s="6"/>
    </row>
    <row r="179" spans="4:12" x14ac:dyDescent="0.2">
      <c r="D179" s="6"/>
      <c r="E179" s="6"/>
      <c r="F179" s="6"/>
      <c r="G179" s="6"/>
      <c r="H179" s="6"/>
      <c r="J179" s="6"/>
      <c r="K179" s="6"/>
      <c r="L179" s="6"/>
    </row>
    <row r="180" spans="4:12" x14ac:dyDescent="0.2">
      <c r="D180" s="6"/>
      <c r="E180" s="6"/>
      <c r="F180" s="6"/>
      <c r="G180" s="6"/>
      <c r="H180" s="6"/>
      <c r="J180" s="6"/>
      <c r="K180" s="6"/>
      <c r="L180" s="6"/>
    </row>
    <row r="181" spans="4:12" x14ac:dyDescent="0.2">
      <c r="D181" s="6"/>
      <c r="E181" s="6"/>
      <c r="F181" s="6"/>
      <c r="G181" s="6"/>
      <c r="H181" s="6"/>
      <c r="J181" s="6"/>
      <c r="K181" s="6"/>
      <c r="L181" s="6"/>
    </row>
    <row r="182" spans="4:12" x14ac:dyDescent="0.2">
      <c r="D182" s="6"/>
      <c r="E182" s="6"/>
      <c r="F182" s="6"/>
      <c r="G182" s="6"/>
      <c r="H182" s="6"/>
      <c r="J182" s="6"/>
      <c r="K182" s="6"/>
      <c r="L182" s="6"/>
    </row>
    <row r="183" spans="4:12" x14ac:dyDescent="0.2">
      <c r="D183" s="6"/>
      <c r="E183" s="6"/>
      <c r="F183" s="6"/>
      <c r="G183" s="6"/>
      <c r="H183" s="6"/>
      <c r="J183" s="6"/>
      <c r="K183" s="6"/>
      <c r="L183" s="6"/>
    </row>
    <row r="184" spans="4:12" x14ac:dyDescent="0.2">
      <c r="D184" s="6"/>
      <c r="E184" s="6"/>
      <c r="F184" s="6"/>
      <c r="G184" s="6"/>
      <c r="H184" s="6"/>
      <c r="J184" s="6"/>
      <c r="K184" s="6"/>
      <c r="L184" s="6"/>
    </row>
    <row r="185" spans="4:12" x14ac:dyDescent="0.2">
      <c r="D185" s="6"/>
      <c r="E185" s="6"/>
      <c r="F185" s="6"/>
      <c r="G185" s="6"/>
      <c r="H185" s="6"/>
      <c r="J185" s="6"/>
      <c r="K185" s="6"/>
      <c r="L185" s="6"/>
    </row>
    <row r="186" spans="4:12" x14ac:dyDescent="0.2">
      <c r="D186" s="6"/>
      <c r="E186" s="6"/>
      <c r="F186" s="6"/>
      <c r="G186" s="6"/>
      <c r="H186" s="6"/>
      <c r="J186" s="6"/>
      <c r="K186" s="6"/>
      <c r="L186" s="6"/>
    </row>
    <row r="187" spans="4:12" x14ac:dyDescent="0.2">
      <c r="D187" s="6"/>
      <c r="E187" s="6"/>
      <c r="F187" s="6"/>
      <c r="G187" s="6"/>
      <c r="H187" s="6"/>
      <c r="J187" s="6"/>
      <c r="K187" s="6"/>
      <c r="L187" s="6"/>
    </row>
    <row r="188" spans="4:12" x14ac:dyDescent="0.2">
      <c r="D188" s="6"/>
      <c r="E188" s="6"/>
      <c r="F188" s="6"/>
      <c r="G188" s="6"/>
      <c r="H188" s="6"/>
      <c r="J188" s="6"/>
      <c r="K188" s="6"/>
      <c r="L188" s="6"/>
    </row>
    <row r="189" spans="4:12" x14ac:dyDescent="0.2">
      <c r="D189" s="6"/>
      <c r="E189" s="6"/>
      <c r="F189" s="6"/>
      <c r="G189" s="6"/>
      <c r="H189" s="6"/>
      <c r="J189" s="6"/>
      <c r="K189" s="6"/>
      <c r="L189" s="6"/>
    </row>
    <row r="190" spans="4:12" x14ac:dyDescent="0.2">
      <c r="D190" s="6"/>
      <c r="E190" s="6"/>
      <c r="F190" s="6"/>
      <c r="G190" s="6"/>
      <c r="H190" s="6"/>
      <c r="J190" s="6"/>
      <c r="K190" s="6"/>
      <c r="L190" s="6"/>
    </row>
    <row r="191" spans="4:12" x14ac:dyDescent="0.2">
      <c r="D191" s="6"/>
      <c r="E191" s="6"/>
      <c r="F191" s="6"/>
      <c r="G191" s="6"/>
      <c r="H191" s="6"/>
      <c r="J191" s="6"/>
      <c r="K191" s="6"/>
      <c r="L191" s="6"/>
    </row>
    <row r="192" spans="4:12" x14ac:dyDescent="0.2">
      <c r="D192" s="6"/>
      <c r="E192" s="6"/>
      <c r="F192" s="6"/>
      <c r="G192" s="6"/>
      <c r="H192" s="6"/>
      <c r="J192" s="6"/>
      <c r="K192" s="6"/>
      <c r="L192" s="6"/>
    </row>
    <row r="193" spans="4:12" x14ac:dyDescent="0.2">
      <c r="D193" s="6"/>
      <c r="E193" s="6"/>
      <c r="F193" s="6"/>
      <c r="G193" s="6"/>
      <c r="H193" s="6"/>
      <c r="J193" s="6"/>
      <c r="K193" s="6"/>
      <c r="L193" s="6"/>
    </row>
    <row r="194" spans="4:12" x14ac:dyDescent="0.2">
      <c r="D194" s="6"/>
      <c r="E194" s="6"/>
      <c r="F194" s="6"/>
      <c r="G194" s="6"/>
      <c r="H194" s="6"/>
      <c r="J194" s="6"/>
      <c r="K194" s="6"/>
      <c r="L194" s="6"/>
    </row>
    <row r="195" spans="4:12" x14ac:dyDescent="0.2">
      <c r="D195" s="6"/>
      <c r="E195" s="6"/>
      <c r="F195" s="6"/>
      <c r="G195" s="6"/>
      <c r="H195" s="6"/>
      <c r="J195" s="6"/>
      <c r="K195" s="6"/>
      <c r="L195" s="6"/>
    </row>
    <row r="196" spans="4:12" x14ac:dyDescent="0.2">
      <c r="D196" s="6"/>
      <c r="E196" s="6"/>
      <c r="F196" s="6"/>
      <c r="G196" s="6"/>
      <c r="H196" s="6"/>
      <c r="J196" s="6"/>
      <c r="K196" s="6"/>
      <c r="L196" s="6"/>
    </row>
    <row r="197" spans="4:12" x14ac:dyDescent="0.2">
      <c r="D197" s="6"/>
      <c r="E197" s="6"/>
      <c r="F197" s="6"/>
      <c r="G197" s="6"/>
      <c r="H197" s="6"/>
      <c r="J197" s="6"/>
      <c r="K197" s="6"/>
      <c r="L197" s="6"/>
    </row>
    <row r="198" spans="4:12" x14ac:dyDescent="0.2">
      <c r="D198" s="6"/>
      <c r="E198" s="6"/>
      <c r="F198" s="6"/>
      <c r="G198" s="6"/>
      <c r="H198" s="6"/>
      <c r="J198" s="6"/>
      <c r="K198" s="6"/>
      <c r="L198" s="6"/>
    </row>
    <row r="199" spans="4:12" x14ac:dyDescent="0.2">
      <c r="D199" s="6"/>
      <c r="E199" s="6"/>
      <c r="F199" s="6"/>
      <c r="G199" s="6"/>
      <c r="H199" s="6"/>
      <c r="J199" s="6"/>
      <c r="K199" s="6"/>
      <c r="L199" s="6"/>
    </row>
    <row r="200" spans="4:12" x14ac:dyDescent="0.2">
      <c r="D200" s="6"/>
      <c r="E200" s="6"/>
      <c r="F200" s="6"/>
      <c r="G200" s="6"/>
      <c r="H200" s="6"/>
      <c r="J200" s="6"/>
      <c r="K200" s="6"/>
      <c r="L200" s="6"/>
    </row>
    <row r="201" spans="4:12" x14ac:dyDescent="0.2">
      <c r="D201" s="6"/>
      <c r="E201" s="6"/>
      <c r="F201" s="6"/>
      <c r="G201" s="6"/>
      <c r="H201" s="6"/>
      <c r="J201" s="6"/>
      <c r="K201" s="6"/>
      <c r="L201" s="6"/>
    </row>
    <row r="202" spans="4:12" x14ac:dyDescent="0.2">
      <c r="D202" s="6"/>
      <c r="E202" s="6"/>
      <c r="F202" s="6"/>
      <c r="G202" s="6"/>
      <c r="H202" s="6"/>
      <c r="J202" s="6"/>
      <c r="K202" s="6"/>
      <c r="L202" s="6"/>
    </row>
    <row r="203" spans="4:12" x14ac:dyDescent="0.2">
      <c r="D203" s="6"/>
      <c r="E203" s="6"/>
      <c r="F203" s="6"/>
      <c r="G203" s="6"/>
      <c r="H203" s="6"/>
      <c r="J203" s="6"/>
      <c r="K203" s="6"/>
      <c r="L203" s="6"/>
    </row>
    <row r="204" spans="4:12" x14ac:dyDescent="0.2">
      <c r="D204" s="6"/>
      <c r="E204" s="6"/>
      <c r="F204" s="6"/>
      <c r="G204" s="6"/>
      <c r="H204" s="6"/>
      <c r="J204" s="6"/>
      <c r="K204" s="6"/>
      <c r="L204" s="6"/>
    </row>
    <row r="205" spans="4:12" x14ac:dyDescent="0.2">
      <c r="D205" s="6"/>
      <c r="E205" s="6"/>
      <c r="F205" s="6"/>
      <c r="G205" s="6"/>
      <c r="H205" s="6"/>
      <c r="J205" s="6"/>
      <c r="K205" s="6"/>
      <c r="L205" s="6"/>
    </row>
    <row r="206" spans="4:12" x14ac:dyDescent="0.2">
      <c r="D206" s="6"/>
      <c r="E206" s="6"/>
      <c r="F206" s="6"/>
      <c r="G206" s="6"/>
      <c r="H206" s="6"/>
      <c r="J206" s="6"/>
      <c r="K206" s="6"/>
      <c r="L206" s="6"/>
    </row>
    <row r="207" spans="4:12" x14ac:dyDescent="0.2">
      <c r="D207" s="6"/>
      <c r="E207" s="6"/>
      <c r="F207" s="6"/>
      <c r="G207" s="6"/>
      <c r="H207" s="6"/>
      <c r="J207" s="6"/>
      <c r="K207" s="6"/>
      <c r="L207" s="6"/>
    </row>
    <row r="208" spans="4:12" x14ac:dyDescent="0.2">
      <c r="D208" s="6"/>
      <c r="E208" s="6"/>
      <c r="F208" s="6"/>
      <c r="G208" s="6"/>
      <c r="H208" s="6"/>
      <c r="J208" s="6"/>
      <c r="K208" s="6"/>
      <c r="L208" s="6"/>
    </row>
    <row r="209" spans="4:12" x14ac:dyDescent="0.2">
      <c r="D209" s="6"/>
      <c r="E209" s="6"/>
      <c r="F209" s="6"/>
      <c r="G209" s="6"/>
      <c r="H209" s="6"/>
      <c r="J209" s="6"/>
      <c r="K209" s="6"/>
      <c r="L209" s="6"/>
    </row>
    <row r="210" spans="4:12" x14ac:dyDescent="0.2">
      <c r="D210" s="6"/>
      <c r="E210" s="6"/>
      <c r="F210" s="6"/>
      <c r="G210" s="6"/>
      <c r="H210" s="6"/>
      <c r="J210" s="6"/>
      <c r="K210" s="6"/>
      <c r="L210" s="6"/>
    </row>
    <row r="211" spans="4:12" x14ac:dyDescent="0.2">
      <c r="D211" s="6"/>
      <c r="E211" s="6"/>
      <c r="F211" s="6"/>
      <c r="G211" s="6"/>
      <c r="H211" s="6"/>
      <c r="J211" s="6"/>
      <c r="K211" s="6"/>
      <c r="L211" s="6"/>
    </row>
    <row r="212" spans="4:12" x14ac:dyDescent="0.2">
      <c r="D212" s="6"/>
      <c r="E212" s="6"/>
      <c r="F212" s="6"/>
      <c r="G212" s="6"/>
      <c r="H212" s="6"/>
      <c r="J212" s="6"/>
      <c r="K212" s="6"/>
      <c r="L212" s="6"/>
    </row>
    <row r="213" spans="4:12" x14ac:dyDescent="0.2">
      <c r="D213" s="6"/>
      <c r="E213" s="6"/>
      <c r="F213" s="6"/>
      <c r="G213" s="6"/>
      <c r="H213" s="6"/>
      <c r="J213" s="6"/>
      <c r="K213" s="6"/>
      <c r="L213" s="6"/>
    </row>
    <row r="214" spans="4:12" x14ac:dyDescent="0.2">
      <c r="D214" s="6"/>
      <c r="E214" s="6"/>
      <c r="F214" s="6"/>
      <c r="G214" s="6"/>
      <c r="H214" s="6"/>
      <c r="J214" s="6"/>
      <c r="K214" s="6"/>
      <c r="L214" s="6"/>
    </row>
    <row r="215" spans="4:12" x14ac:dyDescent="0.2">
      <c r="D215" s="6"/>
      <c r="E215" s="6"/>
      <c r="F215" s="6"/>
      <c r="G215" s="6"/>
      <c r="H215" s="6"/>
      <c r="J215" s="6"/>
      <c r="K215" s="6"/>
      <c r="L215" s="6"/>
    </row>
    <row r="216" spans="4:12" x14ac:dyDescent="0.2">
      <c r="D216" s="6"/>
      <c r="E216" s="6"/>
      <c r="F216" s="6"/>
      <c r="G216" s="6"/>
      <c r="H216" s="6"/>
      <c r="J216" s="6"/>
      <c r="K216" s="6"/>
      <c r="L216" s="6"/>
    </row>
    <row r="217" spans="4:12" x14ac:dyDescent="0.2">
      <c r="D217" s="6"/>
      <c r="E217" s="6"/>
      <c r="F217" s="6"/>
      <c r="G217" s="6"/>
      <c r="H217" s="6"/>
      <c r="J217" s="6"/>
      <c r="K217" s="6"/>
      <c r="L217" s="6"/>
    </row>
    <row r="218" spans="4:12" x14ac:dyDescent="0.2">
      <c r="D218" s="6"/>
      <c r="E218" s="6"/>
      <c r="F218" s="6"/>
      <c r="G218" s="6"/>
      <c r="H218" s="6"/>
      <c r="J218" s="6"/>
      <c r="K218" s="6"/>
      <c r="L218" s="6"/>
    </row>
    <row r="219" spans="4:12" x14ac:dyDescent="0.2">
      <c r="D219" s="6"/>
      <c r="E219" s="6"/>
      <c r="F219" s="6"/>
      <c r="G219" s="6"/>
      <c r="H219" s="6"/>
      <c r="J219" s="6"/>
      <c r="K219" s="6"/>
      <c r="L219" s="6"/>
    </row>
    <row r="220" spans="4:12" x14ac:dyDescent="0.2">
      <c r="D220" s="6"/>
      <c r="E220" s="6"/>
      <c r="F220" s="6"/>
      <c r="G220" s="6"/>
      <c r="H220" s="6"/>
      <c r="J220" s="6"/>
      <c r="K220" s="6"/>
      <c r="L220" s="6"/>
    </row>
    <row r="221" spans="4:12" x14ac:dyDescent="0.2">
      <c r="D221" s="6"/>
      <c r="E221" s="6"/>
      <c r="F221" s="6"/>
      <c r="G221" s="6"/>
      <c r="H221" s="6"/>
      <c r="J221" s="6"/>
      <c r="K221" s="6"/>
      <c r="L221" s="6"/>
    </row>
    <row r="222" spans="4:12" x14ac:dyDescent="0.2">
      <c r="D222" s="6"/>
      <c r="E222" s="6"/>
      <c r="F222" s="6"/>
      <c r="G222" s="6"/>
      <c r="H222" s="6"/>
      <c r="J222" s="6"/>
      <c r="K222" s="6"/>
      <c r="L222" s="6"/>
    </row>
    <row r="223" spans="4:12" x14ac:dyDescent="0.2">
      <c r="D223" s="6"/>
      <c r="E223" s="6"/>
      <c r="F223" s="6"/>
      <c r="G223" s="6"/>
      <c r="H223" s="6"/>
      <c r="J223" s="6"/>
      <c r="K223" s="6"/>
      <c r="L223" s="6"/>
    </row>
    <row r="224" spans="4:12" x14ac:dyDescent="0.2">
      <c r="D224" s="6"/>
      <c r="E224" s="6"/>
      <c r="F224" s="6"/>
      <c r="G224" s="6"/>
      <c r="H224" s="6"/>
      <c r="J224" s="6"/>
      <c r="K224" s="6"/>
      <c r="L224" s="6"/>
    </row>
    <row r="225" spans="4:12" x14ac:dyDescent="0.2">
      <c r="D225" s="6"/>
      <c r="E225" s="6"/>
      <c r="F225" s="6"/>
      <c r="G225" s="6"/>
      <c r="H225" s="6"/>
      <c r="J225" s="6"/>
      <c r="K225" s="6"/>
      <c r="L225" s="6"/>
    </row>
    <row r="226" spans="4:12" x14ac:dyDescent="0.2">
      <c r="D226" s="6"/>
      <c r="E226" s="6"/>
      <c r="F226" s="6"/>
      <c r="G226" s="6"/>
      <c r="H226" s="6"/>
      <c r="J226" s="6"/>
      <c r="K226" s="6"/>
      <c r="L226" s="6"/>
    </row>
    <row r="227" spans="4:12" x14ac:dyDescent="0.2">
      <c r="D227" s="6"/>
      <c r="E227" s="6"/>
      <c r="F227" s="6"/>
      <c r="G227" s="6"/>
      <c r="H227" s="6"/>
      <c r="J227" s="6"/>
      <c r="K227" s="6"/>
      <c r="L227" s="6"/>
    </row>
    <row r="228" spans="4:12" x14ac:dyDescent="0.2">
      <c r="D228" s="6"/>
      <c r="E228" s="6"/>
      <c r="F228" s="6"/>
      <c r="G228" s="6"/>
      <c r="H228" s="6"/>
      <c r="J228" s="6"/>
      <c r="K228" s="6"/>
      <c r="L228" s="6"/>
    </row>
    <row r="229" spans="4:12" x14ac:dyDescent="0.2">
      <c r="D229" s="6"/>
      <c r="E229" s="6"/>
      <c r="F229" s="6"/>
      <c r="G229" s="6"/>
      <c r="H229" s="6"/>
      <c r="J229" s="6"/>
      <c r="K229" s="6"/>
      <c r="L229" s="6"/>
    </row>
    <row r="230" spans="4:12" x14ac:dyDescent="0.2">
      <c r="D230" s="6"/>
      <c r="E230" s="6"/>
      <c r="F230" s="6"/>
      <c r="G230" s="6"/>
      <c r="H230" s="6"/>
      <c r="J230" s="6"/>
      <c r="K230" s="6"/>
      <c r="L230" s="6"/>
    </row>
    <row r="231" spans="4:12" x14ac:dyDescent="0.2">
      <c r="D231" s="6"/>
      <c r="E231" s="6"/>
      <c r="F231" s="6"/>
      <c r="G231" s="6"/>
      <c r="H231" s="6"/>
      <c r="J231" s="6"/>
      <c r="K231" s="6"/>
      <c r="L231" s="6"/>
    </row>
    <row r="232" spans="4:12" x14ac:dyDescent="0.2">
      <c r="D232" s="6"/>
      <c r="E232" s="6"/>
      <c r="F232" s="6"/>
      <c r="G232" s="6"/>
      <c r="H232" s="6"/>
      <c r="J232" s="6"/>
      <c r="K232" s="6"/>
      <c r="L232" s="6"/>
    </row>
    <row r="233" spans="4:12" x14ac:dyDescent="0.2">
      <c r="D233" s="6"/>
      <c r="E233" s="6"/>
      <c r="F233" s="6"/>
      <c r="G233" s="6"/>
      <c r="H233" s="6"/>
      <c r="J233" s="6"/>
      <c r="K233" s="6"/>
      <c r="L233" s="6"/>
    </row>
    <row r="234" spans="4:12" x14ac:dyDescent="0.2">
      <c r="D234" s="6"/>
      <c r="E234" s="6"/>
      <c r="F234" s="6"/>
      <c r="G234" s="6"/>
      <c r="H234" s="6"/>
      <c r="J234" s="6"/>
      <c r="K234" s="6"/>
      <c r="L234" s="6"/>
    </row>
    <row r="235" spans="4:12" x14ac:dyDescent="0.2">
      <c r="D235" s="6"/>
      <c r="E235" s="6"/>
      <c r="F235" s="6"/>
      <c r="G235" s="6"/>
      <c r="H235" s="6"/>
      <c r="J235" s="6"/>
      <c r="K235" s="6"/>
      <c r="L235" s="6"/>
    </row>
    <row r="236" spans="4:12" x14ac:dyDescent="0.2">
      <c r="D236" s="6"/>
      <c r="E236" s="6"/>
      <c r="F236" s="6"/>
      <c r="G236" s="6"/>
      <c r="H236" s="6"/>
      <c r="J236" s="6"/>
      <c r="K236" s="6"/>
      <c r="L236" s="6"/>
    </row>
    <row r="237" spans="4:12" x14ac:dyDescent="0.2">
      <c r="D237" s="6"/>
      <c r="E237" s="6"/>
      <c r="F237" s="6"/>
      <c r="G237" s="6"/>
      <c r="H237" s="6"/>
      <c r="J237" s="6"/>
      <c r="K237" s="6"/>
      <c r="L237" s="6"/>
    </row>
    <row r="238" spans="4:12" x14ac:dyDescent="0.2">
      <c r="D238" s="6"/>
      <c r="E238" s="6"/>
      <c r="F238" s="6"/>
      <c r="G238" s="6"/>
      <c r="H238" s="6"/>
      <c r="J238" s="6"/>
      <c r="K238" s="6"/>
      <c r="L238" s="6"/>
    </row>
    <row r="239" spans="4:12" x14ac:dyDescent="0.2">
      <c r="D239" s="6"/>
      <c r="E239" s="6"/>
      <c r="F239" s="6"/>
      <c r="G239" s="6"/>
      <c r="H239" s="6"/>
      <c r="J239" s="6"/>
      <c r="K239" s="6"/>
      <c r="L239" s="6"/>
    </row>
    <row r="240" spans="4:12" x14ac:dyDescent="0.2">
      <c r="D240" s="6"/>
      <c r="E240" s="6"/>
      <c r="F240" s="6"/>
      <c r="G240" s="6"/>
      <c r="H240" s="6"/>
      <c r="J240" s="6"/>
      <c r="K240" s="6"/>
      <c r="L240" s="6"/>
    </row>
    <row r="241" spans="4:12" x14ac:dyDescent="0.2">
      <c r="D241" s="6"/>
      <c r="E241" s="6"/>
      <c r="F241" s="6"/>
      <c r="G241" s="6"/>
      <c r="H241" s="6"/>
      <c r="J241" s="6"/>
      <c r="K241" s="6"/>
      <c r="L241" s="6"/>
    </row>
    <row r="242" spans="4:12" x14ac:dyDescent="0.2">
      <c r="D242" s="6"/>
      <c r="E242" s="6"/>
      <c r="F242" s="6"/>
      <c r="G242" s="6"/>
      <c r="H242" s="6"/>
      <c r="J242" s="6"/>
      <c r="K242" s="6"/>
      <c r="L242" s="6"/>
    </row>
    <row r="243" spans="4:12" x14ac:dyDescent="0.2">
      <c r="D243" s="6"/>
      <c r="E243" s="6"/>
      <c r="F243" s="6"/>
      <c r="G243" s="6"/>
      <c r="H243" s="6"/>
      <c r="J243" s="6"/>
      <c r="K243" s="6"/>
      <c r="L243" s="6"/>
    </row>
    <row r="244" spans="4:12" x14ac:dyDescent="0.2">
      <c r="D244" s="6"/>
      <c r="E244" s="6"/>
      <c r="F244" s="6"/>
      <c r="G244" s="6"/>
      <c r="H244" s="6"/>
      <c r="J244" s="6"/>
      <c r="K244" s="6"/>
      <c r="L244" s="6"/>
    </row>
    <row r="245" spans="4:12" x14ac:dyDescent="0.2">
      <c r="D245" s="6"/>
      <c r="E245" s="6"/>
      <c r="F245" s="6"/>
      <c r="G245" s="6"/>
      <c r="H245" s="6"/>
      <c r="J245" s="6"/>
      <c r="K245" s="6"/>
      <c r="L245" s="6"/>
    </row>
    <row r="246" spans="4:12" x14ac:dyDescent="0.2">
      <c r="D246" s="6"/>
      <c r="E246" s="6"/>
      <c r="F246" s="6"/>
      <c r="G246" s="6"/>
      <c r="H246" s="6"/>
      <c r="J246" s="6"/>
      <c r="K246" s="6"/>
      <c r="L246" s="6"/>
    </row>
    <row r="247" spans="4:12" x14ac:dyDescent="0.2">
      <c r="D247" s="6"/>
      <c r="E247" s="6"/>
      <c r="F247" s="6"/>
      <c r="G247" s="6"/>
      <c r="H247" s="6"/>
      <c r="J247" s="6"/>
      <c r="K247" s="6"/>
      <c r="L247" s="6"/>
    </row>
    <row r="248" spans="4:12" x14ac:dyDescent="0.2">
      <c r="D248" s="6"/>
      <c r="E248" s="6"/>
      <c r="F248" s="6"/>
      <c r="G248" s="6"/>
      <c r="H248" s="6"/>
      <c r="J248" s="6"/>
      <c r="K248" s="6"/>
      <c r="L248" s="6"/>
    </row>
    <row r="249" spans="4:12" x14ac:dyDescent="0.2">
      <c r="D249" s="6"/>
      <c r="E249" s="6"/>
      <c r="F249" s="6"/>
      <c r="G249" s="6"/>
      <c r="H249" s="6"/>
      <c r="J249" s="6"/>
      <c r="K249" s="6"/>
      <c r="L249" s="6"/>
    </row>
    <row r="250" spans="4:12" x14ac:dyDescent="0.2">
      <c r="D250" s="6"/>
      <c r="E250" s="6"/>
      <c r="F250" s="6"/>
      <c r="G250" s="6"/>
      <c r="H250" s="6"/>
      <c r="J250" s="6"/>
      <c r="K250" s="6"/>
      <c r="L250" s="6"/>
    </row>
    <row r="251" spans="4:12" x14ac:dyDescent="0.2">
      <c r="D251" s="6"/>
      <c r="E251" s="6"/>
      <c r="F251" s="6"/>
      <c r="G251" s="6"/>
      <c r="H251" s="6"/>
      <c r="J251" s="6"/>
      <c r="K251" s="6"/>
      <c r="L251" s="6"/>
    </row>
    <row r="252" spans="4:12" x14ac:dyDescent="0.2">
      <c r="D252" s="6"/>
      <c r="E252" s="6"/>
      <c r="F252" s="6"/>
      <c r="G252" s="6"/>
      <c r="H252" s="6"/>
      <c r="J252" s="6"/>
      <c r="K252" s="6"/>
      <c r="L252" s="6"/>
    </row>
    <row r="253" spans="4:12" x14ac:dyDescent="0.2">
      <c r="D253" s="6"/>
      <c r="E253" s="6"/>
      <c r="F253" s="6"/>
      <c r="G253" s="6"/>
      <c r="H253" s="6"/>
      <c r="J253" s="6"/>
      <c r="K253" s="6"/>
      <c r="L253" s="6"/>
    </row>
    <row r="254" spans="4:12" x14ac:dyDescent="0.2">
      <c r="D254" s="6"/>
      <c r="E254" s="6"/>
      <c r="F254" s="6"/>
      <c r="G254" s="6"/>
      <c r="H254" s="6"/>
      <c r="J254" s="6"/>
      <c r="K254" s="6"/>
      <c r="L254" s="6"/>
    </row>
    <row r="255" spans="4:12" x14ac:dyDescent="0.2">
      <c r="D255" s="6"/>
      <c r="E255" s="6"/>
      <c r="F255" s="6"/>
      <c r="G255" s="6"/>
      <c r="H255" s="6"/>
      <c r="J255" s="6"/>
      <c r="K255" s="6"/>
      <c r="L255" s="6"/>
    </row>
    <row r="256" spans="4:12" x14ac:dyDescent="0.2">
      <c r="D256" s="6"/>
      <c r="E256" s="6"/>
      <c r="F256" s="6"/>
      <c r="G256" s="6"/>
      <c r="H256" s="6"/>
      <c r="J256" s="6"/>
      <c r="K256" s="6"/>
      <c r="L256" s="6"/>
    </row>
    <row r="257" spans="4:12" x14ac:dyDescent="0.2">
      <c r="D257" s="6"/>
      <c r="E257" s="6"/>
      <c r="F257" s="6"/>
      <c r="G257" s="6"/>
      <c r="H257" s="6"/>
      <c r="J257" s="6"/>
      <c r="K257" s="6"/>
      <c r="L257" s="6"/>
    </row>
    <row r="258" spans="4:12" x14ac:dyDescent="0.2">
      <c r="D258" s="6"/>
      <c r="E258" s="6"/>
      <c r="F258" s="6"/>
      <c r="G258" s="6"/>
      <c r="H258" s="6"/>
      <c r="J258" s="6"/>
      <c r="K258" s="6"/>
      <c r="L258" s="6"/>
    </row>
    <row r="259" spans="4:12" x14ac:dyDescent="0.2">
      <c r="D259" s="6"/>
      <c r="E259" s="6"/>
      <c r="F259" s="6"/>
      <c r="G259" s="6"/>
      <c r="H259" s="6"/>
      <c r="J259" s="6"/>
      <c r="K259" s="6"/>
      <c r="L259" s="6"/>
    </row>
    <row r="260" spans="4:12" x14ac:dyDescent="0.2">
      <c r="D260" s="6"/>
      <c r="E260" s="6"/>
      <c r="F260" s="6"/>
      <c r="G260" s="6"/>
      <c r="H260" s="6"/>
      <c r="J260" s="6"/>
      <c r="K260" s="6"/>
      <c r="L260" s="6"/>
    </row>
    <row r="261" spans="4:12" x14ac:dyDescent="0.2">
      <c r="D261" s="6"/>
      <c r="E261" s="6"/>
      <c r="F261" s="6"/>
      <c r="G261" s="6"/>
      <c r="H261" s="6"/>
      <c r="J261" s="6"/>
      <c r="K261" s="6"/>
      <c r="L261" s="6"/>
    </row>
    <row r="262" spans="4:12" x14ac:dyDescent="0.2">
      <c r="D262" s="6"/>
      <c r="E262" s="6"/>
      <c r="F262" s="6"/>
      <c r="G262" s="6"/>
      <c r="H262" s="6"/>
      <c r="J262" s="6"/>
      <c r="K262" s="6"/>
      <c r="L262" s="6"/>
    </row>
    <row r="263" spans="4:12" x14ac:dyDescent="0.2">
      <c r="D263" s="6"/>
      <c r="E263" s="6"/>
      <c r="F263" s="6"/>
      <c r="G263" s="6"/>
      <c r="H263" s="6"/>
      <c r="J263" s="6"/>
      <c r="K263" s="6"/>
      <c r="L263" s="6"/>
    </row>
    <row r="264" spans="4:12" x14ac:dyDescent="0.2">
      <c r="D264" s="6"/>
      <c r="E264" s="6"/>
      <c r="F264" s="6"/>
      <c r="G264" s="6"/>
      <c r="H264" s="6"/>
      <c r="J264" s="6"/>
      <c r="K264" s="6"/>
      <c r="L264" s="6"/>
    </row>
    <row r="265" spans="4:12" x14ac:dyDescent="0.2">
      <c r="D265" s="6"/>
      <c r="E265" s="6"/>
      <c r="F265" s="6"/>
      <c r="G265" s="6"/>
      <c r="H265" s="6"/>
      <c r="J265" s="6"/>
      <c r="K265" s="6"/>
      <c r="L265" s="6"/>
    </row>
    <row r="266" spans="4:12" x14ac:dyDescent="0.2">
      <c r="D266" s="6"/>
      <c r="E266" s="6"/>
      <c r="F266" s="6"/>
      <c r="G266" s="6"/>
      <c r="H266" s="6"/>
      <c r="J266" s="6"/>
      <c r="K266" s="6"/>
      <c r="L266" s="6"/>
    </row>
    <row r="267" spans="4:12" x14ac:dyDescent="0.2">
      <c r="D267" s="6"/>
      <c r="E267" s="6"/>
      <c r="F267" s="6"/>
      <c r="G267" s="6"/>
      <c r="H267" s="6"/>
      <c r="J267" s="6"/>
      <c r="K267" s="6"/>
      <c r="L267" s="6"/>
    </row>
    <row r="268" spans="4:12" x14ac:dyDescent="0.2">
      <c r="D268" s="6"/>
      <c r="E268" s="6"/>
      <c r="F268" s="6"/>
      <c r="G268" s="6"/>
      <c r="H268" s="6"/>
      <c r="J268" s="6"/>
      <c r="K268" s="6"/>
      <c r="L268" s="6"/>
    </row>
    <row r="269" spans="4:12" x14ac:dyDescent="0.2">
      <c r="D269" s="6"/>
      <c r="E269" s="6"/>
      <c r="F269" s="6"/>
      <c r="G269" s="6"/>
      <c r="H269" s="6"/>
      <c r="J269" s="6"/>
      <c r="K269" s="6"/>
      <c r="L269" s="6"/>
    </row>
    <row r="270" spans="4:12" x14ac:dyDescent="0.2">
      <c r="D270" s="6"/>
      <c r="E270" s="6"/>
      <c r="F270" s="6"/>
      <c r="G270" s="6"/>
      <c r="H270" s="6"/>
      <c r="J270" s="6"/>
      <c r="K270" s="6"/>
      <c r="L270" s="6"/>
    </row>
    <row r="271" spans="4:12" x14ac:dyDescent="0.2">
      <c r="D271" s="6"/>
      <c r="E271" s="6"/>
      <c r="F271" s="6"/>
      <c r="G271" s="6"/>
      <c r="H271" s="6"/>
      <c r="J271" s="6"/>
      <c r="K271" s="6"/>
      <c r="L271" s="6"/>
    </row>
    <row r="272" spans="4:12" x14ac:dyDescent="0.2">
      <c r="D272" s="6"/>
      <c r="E272" s="6"/>
      <c r="F272" s="6"/>
      <c r="G272" s="6"/>
      <c r="H272" s="6"/>
      <c r="J272" s="6"/>
      <c r="K272" s="6"/>
      <c r="L272" s="6"/>
    </row>
    <row r="273" spans="4:12" x14ac:dyDescent="0.2">
      <c r="D273" s="6"/>
      <c r="E273" s="6"/>
      <c r="F273" s="6"/>
      <c r="G273" s="6"/>
      <c r="H273" s="6"/>
      <c r="J273" s="6"/>
      <c r="K273" s="6"/>
      <c r="L273" s="6"/>
    </row>
    <row r="274" spans="4:12" x14ac:dyDescent="0.2">
      <c r="D274" s="6"/>
      <c r="E274" s="6"/>
      <c r="F274" s="6"/>
      <c r="G274" s="6"/>
      <c r="H274" s="6"/>
      <c r="J274" s="6"/>
      <c r="K274" s="6"/>
      <c r="L274" s="6"/>
    </row>
    <row r="275" spans="4:12" x14ac:dyDescent="0.2">
      <c r="D275" s="6"/>
      <c r="E275" s="6"/>
      <c r="F275" s="6"/>
      <c r="G275" s="6"/>
      <c r="H275" s="6"/>
      <c r="J275" s="6"/>
      <c r="K275" s="6"/>
      <c r="L275" s="6"/>
    </row>
    <row r="276" spans="4:12" x14ac:dyDescent="0.2">
      <c r="D276" s="6"/>
      <c r="E276" s="6"/>
      <c r="F276" s="6"/>
      <c r="G276" s="6"/>
      <c r="H276" s="6"/>
      <c r="J276" s="6"/>
      <c r="K276" s="6"/>
      <c r="L276" s="6"/>
    </row>
    <row r="277" spans="4:12" x14ac:dyDescent="0.2">
      <c r="D277" s="6"/>
      <c r="E277" s="6"/>
      <c r="F277" s="6"/>
      <c r="G277" s="6"/>
      <c r="H277" s="6"/>
      <c r="J277" s="6"/>
      <c r="K277" s="6"/>
      <c r="L277" s="6"/>
    </row>
    <row r="278" spans="4:12" x14ac:dyDescent="0.2">
      <c r="D278" s="6"/>
      <c r="E278" s="6"/>
      <c r="F278" s="6"/>
      <c r="G278" s="6"/>
      <c r="H278" s="6"/>
      <c r="J278" s="6"/>
      <c r="K278" s="6"/>
      <c r="L278" s="6"/>
    </row>
    <row r="279" spans="4:12" x14ac:dyDescent="0.2">
      <c r="D279" s="6"/>
      <c r="E279" s="6"/>
      <c r="F279" s="6"/>
      <c r="G279" s="6"/>
      <c r="H279" s="6"/>
      <c r="J279" s="6"/>
      <c r="K279" s="6"/>
      <c r="L279" s="6"/>
    </row>
    <row r="280" spans="4:12" x14ac:dyDescent="0.2">
      <c r="D280" s="6"/>
      <c r="E280" s="6"/>
      <c r="F280" s="6"/>
      <c r="G280" s="6"/>
      <c r="H280" s="6"/>
      <c r="J280" s="6"/>
      <c r="K280" s="6"/>
      <c r="L280" s="6"/>
    </row>
    <row r="281" spans="4:12" x14ac:dyDescent="0.2">
      <c r="D281" s="6"/>
      <c r="E281" s="6"/>
      <c r="F281" s="6"/>
      <c r="G281" s="6"/>
      <c r="H281" s="6"/>
      <c r="J281" s="6"/>
      <c r="K281" s="6"/>
      <c r="L281" s="6"/>
    </row>
    <row r="282" spans="4:12" x14ac:dyDescent="0.2">
      <c r="D282" s="6"/>
      <c r="E282" s="6"/>
      <c r="F282" s="6"/>
      <c r="G282" s="6"/>
      <c r="H282" s="6"/>
      <c r="J282" s="6"/>
      <c r="K282" s="6"/>
      <c r="L282" s="6"/>
    </row>
    <row r="283" spans="4:12" x14ac:dyDescent="0.2">
      <c r="D283" s="6"/>
      <c r="E283" s="6"/>
      <c r="F283" s="6"/>
      <c r="G283" s="6"/>
      <c r="H283" s="6"/>
      <c r="J283" s="6"/>
      <c r="K283" s="6"/>
      <c r="L283" s="6"/>
    </row>
    <row r="284" spans="4:12" x14ac:dyDescent="0.2">
      <c r="D284" s="6"/>
      <c r="E284" s="6"/>
      <c r="F284" s="6"/>
      <c r="G284" s="6"/>
      <c r="H284" s="6"/>
      <c r="J284" s="6"/>
      <c r="K284" s="6"/>
      <c r="L284" s="6"/>
    </row>
    <row r="285" spans="4:12" x14ac:dyDescent="0.2">
      <c r="D285" s="6"/>
      <c r="E285" s="6"/>
      <c r="F285" s="6"/>
      <c r="G285" s="6"/>
      <c r="H285" s="6"/>
      <c r="J285" s="6"/>
      <c r="K285" s="6"/>
      <c r="L285" s="6"/>
    </row>
    <row r="286" spans="4:12" x14ac:dyDescent="0.2">
      <c r="D286" s="6"/>
      <c r="E286" s="6"/>
      <c r="F286" s="6"/>
      <c r="G286" s="6"/>
      <c r="H286" s="6"/>
      <c r="J286" s="6"/>
      <c r="K286" s="6"/>
      <c r="L286" s="6"/>
    </row>
    <row r="287" spans="4:12" x14ac:dyDescent="0.2">
      <c r="D287" s="6"/>
      <c r="E287" s="6"/>
      <c r="F287" s="6"/>
      <c r="G287" s="6"/>
      <c r="H287" s="6"/>
      <c r="J287" s="6"/>
      <c r="K287" s="6"/>
      <c r="L287" s="6"/>
    </row>
    <row r="288" spans="4:12" x14ac:dyDescent="0.2">
      <c r="D288" s="6"/>
      <c r="E288" s="6"/>
      <c r="F288" s="6"/>
      <c r="G288" s="6"/>
      <c r="H288" s="6"/>
      <c r="J288" s="6"/>
      <c r="K288" s="6"/>
      <c r="L288" s="6"/>
    </row>
    <row r="289" spans="4:12" x14ac:dyDescent="0.2">
      <c r="D289" s="6"/>
      <c r="E289" s="6"/>
      <c r="F289" s="6"/>
      <c r="G289" s="6"/>
      <c r="H289" s="6"/>
      <c r="J289" s="6"/>
      <c r="K289" s="6"/>
      <c r="L289" s="6"/>
    </row>
    <row r="290" spans="4:12" x14ac:dyDescent="0.2">
      <c r="D290" s="6"/>
      <c r="E290" s="6"/>
      <c r="F290" s="6"/>
      <c r="G290" s="6"/>
      <c r="H290" s="6"/>
      <c r="J290" s="6"/>
      <c r="K290" s="6"/>
      <c r="L290" s="6"/>
    </row>
    <row r="291" spans="4:12" x14ac:dyDescent="0.2">
      <c r="D291" s="6"/>
      <c r="E291" s="6"/>
      <c r="F291" s="6"/>
      <c r="G291" s="6"/>
      <c r="H291" s="6"/>
      <c r="J291" s="6"/>
      <c r="K291" s="6"/>
      <c r="L291" s="6"/>
    </row>
    <row r="292" spans="4:12" x14ac:dyDescent="0.2">
      <c r="D292" s="6"/>
      <c r="E292" s="6"/>
      <c r="F292" s="6"/>
      <c r="G292" s="6"/>
      <c r="H292" s="6"/>
      <c r="J292" s="6"/>
      <c r="K292" s="6"/>
      <c r="L292" s="6"/>
    </row>
    <row r="293" spans="4:12" x14ac:dyDescent="0.2">
      <c r="D293" s="6"/>
      <c r="E293" s="6"/>
      <c r="F293" s="6"/>
      <c r="G293" s="6"/>
      <c r="H293" s="6"/>
      <c r="J293" s="6"/>
      <c r="K293" s="6"/>
      <c r="L293" s="6"/>
    </row>
    <row r="294" spans="4:12" x14ac:dyDescent="0.2">
      <c r="D294" s="6"/>
      <c r="E294" s="6"/>
      <c r="F294" s="6"/>
      <c r="G294" s="6"/>
      <c r="H294" s="6"/>
      <c r="J294" s="6"/>
      <c r="K294" s="6"/>
      <c r="L294" s="6"/>
    </row>
    <row r="295" spans="4:12" x14ac:dyDescent="0.2">
      <c r="D295" s="6"/>
      <c r="E295" s="6"/>
      <c r="F295" s="6"/>
      <c r="G295" s="6"/>
      <c r="H295" s="6"/>
      <c r="J295" s="6"/>
      <c r="K295" s="6"/>
      <c r="L295" s="6"/>
    </row>
    <row r="296" spans="4:12" x14ac:dyDescent="0.2">
      <c r="D296" s="6"/>
      <c r="E296" s="6"/>
      <c r="F296" s="6"/>
      <c r="G296" s="6"/>
      <c r="H296" s="6"/>
      <c r="J296" s="6"/>
      <c r="K296" s="6"/>
      <c r="L296" s="6"/>
    </row>
    <row r="297" spans="4:12" x14ac:dyDescent="0.2">
      <c r="D297" s="6"/>
      <c r="E297" s="6"/>
      <c r="F297" s="6"/>
      <c r="G297" s="6"/>
      <c r="H297" s="6"/>
      <c r="J297" s="6"/>
      <c r="K297" s="6"/>
      <c r="L297" s="6"/>
    </row>
    <row r="298" spans="4:12" x14ac:dyDescent="0.2">
      <c r="D298" s="6"/>
      <c r="E298" s="6"/>
      <c r="F298" s="6"/>
      <c r="G298" s="6"/>
      <c r="H298" s="6"/>
      <c r="J298" s="6"/>
      <c r="K298" s="6"/>
      <c r="L298" s="6"/>
    </row>
    <row r="299" spans="4:12" x14ac:dyDescent="0.2">
      <c r="D299" s="6"/>
      <c r="E299" s="6"/>
      <c r="F299" s="6"/>
      <c r="G299" s="6"/>
      <c r="H299" s="6"/>
      <c r="J299" s="6"/>
      <c r="K299" s="6"/>
      <c r="L299" s="6"/>
    </row>
    <row r="300" spans="4:12" x14ac:dyDescent="0.2">
      <c r="D300" s="6"/>
      <c r="E300" s="6"/>
      <c r="F300" s="6"/>
      <c r="G300" s="6"/>
      <c r="H300" s="6"/>
      <c r="J300" s="6"/>
      <c r="K300" s="6"/>
      <c r="L300" s="6"/>
    </row>
    <row r="301" spans="4:12" x14ac:dyDescent="0.2">
      <c r="D301" s="6"/>
      <c r="E301" s="6"/>
      <c r="F301" s="6"/>
      <c r="G301" s="6"/>
      <c r="H301" s="6"/>
      <c r="J301" s="6"/>
      <c r="K301" s="6"/>
      <c r="L301" s="6"/>
    </row>
    <row r="302" spans="4:12" x14ac:dyDescent="0.2">
      <c r="D302" s="6"/>
      <c r="E302" s="6"/>
      <c r="F302" s="6"/>
      <c r="G302" s="6"/>
      <c r="H302" s="6"/>
      <c r="J302" s="6"/>
      <c r="K302" s="6"/>
      <c r="L302" s="6"/>
    </row>
    <row r="303" spans="4:12" x14ac:dyDescent="0.2">
      <c r="D303" s="6"/>
      <c r="E303" s="6"/>
      <c r="F303" s="6"/>
      <c r="G303" s="6"/>
      <c r="H303" s="6"/>
      <c r="J303" s="6"/>
      <c r="K303" s="6"/>
      <c r="L303" s="6"/>
    </row>
    <row r="304" spans="4:12" x14ac:dyDescent="0.2">
      <c r="D304" s="6"/>
      <c r="E304" s="6"/>
      <c r="F304" s="6"/>
      <c r="G304" s="6"/>
      <c r="H304" s="6"/>
      <c r="J304" s="6"/>
      <c r="K304" s="6"/>
      <c r="L304" s="6"/>
    </row>
    <row r="305" spans="4:12" x14ac:dyDescent="0.2">
      <c r="D305" s="6"/>
      <c r="E305" s="6"/>
      <c r="F305" s="6"/>
      <c r="G305" s="6"/>
      <c r="H305" s="6"/>
      <c r="J305" s="6"/>
      <c r="K305" s="6"/>
      <c r="L305" s="6"/>
    </row>
    <row r="306" spans="4:12" x14ac:dyDescent="0.2">
      <c r="D306" s="6"/>
      <c r="E306" s="6"/>
      <c r="F306" s="6"/>
      <c r="G306" s="6"/>
      <c r="H306" s="6"/>
      <c r="J306" s="6"/>
      <c r="K306" s="6"/>
      <c r="L306" s="6"/>
    </row>
    <row r="307" spans="4:12" x14ac:dyDescent="0.2">
      <c r="D307" s="6"/>
      <c r="E307" s="6"/>
      <c r="F307" s="6"/>
      <c r="G307" s="6"/>
      <c r="H307" s="6"/>
      <c r="J307" s="6"/>
      <c r="K307" s="6"/>
      <c r="L307" s="6"/>
    </row>
    <row r="308" spans="4:12" x14ac:dyDescent="0.2">
      <c r="D308" s="6"/>
      <c r="E308" s="6"/>
      <c r="F308" s="6"/>
      <c r="G308" s="6"/>
      <c r="H308" s="6"/>
      <c r="J308" s="6"/>
      <c r="K308" s="6"/>
      <c r="L308" s="6"/>
    </row>
    <row r="309" spans="4:12" x14ac:dyDescent="0.2">
      <c r="D309" s="6"/>
      <c r="E309" s="6"/>
      <c r="F309" s="6"/>
      <c r="G309" s="6"/>
      <c r="H309" s="6"/>
      <c r="J309" s="6"/>
      <c r="K309" s="6"/>
      <c r="L309" s="6"/>
    </row>
    <row r="310" spans="4:12" x14ac:dyDescent="0.2">
      <c r="D310" s="6"/>
      <c r="E310" s="6"/>
      <c r="F310" s="6"/>
      <c r="G310" s="6"/>
      <c r="H310" s="6"/>
      <c r="J310" s="6"/>
      <c r="K310" s="6"/>
      <c r="L310" s="6"/>
    </row>
    <row r="311" spans="4:12" x14ac:dyDescent="0.2">
      <c r="D311" s="6"/>
      <c r="E311" s="6"/>
      <c r="F311" s="6"/>
      <c r="G311" s="6"/>
      <c r="H311" s="6"/>
      <c r="J311" s="6"/>
      <c r="K311" s="6"/>
      <c r="L311" s="6"/>
    </row>
    <row r="312" spans="4:12" x14ac:dyDescent="0.2">
      <c r="D312" s="6"/>
      <c r="E312" s="6"/>
      <c r="F312" s="6"/>
      <c r="G312" s="6"/>
      <c r="H312" s="6"/>
      <c r="J312" s="6"/>
      <c r="K312" s="6"/>
      <c r="L312" s="6"/>
    </row>
    <row r="313" spans="4:12" x14ac:dyDescent="0.2">
      <c r="D313" s="6"/>
      <c r="E313" s="6"/>
      <c r="F313" s="6"/>
      <c r="G313" s="6"/>
      <c r="H313" s="6"/>
      <c r="J313" s="6"/>
      <c r="K313" s="6"/>
      <c r="L313" s="6"/>
    </row>
    <row r="314" spans="4:12" x14ac:dyDescent="0.2">
      <c r="D314" s="6"/>
      <c r="E314" s="6"/>
      <c r="F314" s="6"/>
      <c r="G314" s="6"/>
      <c r="H314" s="6"/>
      <c r="J314" s="6"/>
      <c r="K314" s="6"/>
      <c r="L314" s="6"/>
    </row>
    <row r="315" spans="4:12" x14ac:dyDescent="0.2">
      <c r="D315" s="6"/>
      <c r="E315" s="6"/>
      <c r="F315" s="6"/>
      <c r="G315" s="6"/>
      <c r="H315" s="6"/>
      <c r="J315" s="6"/>
      <c r="K315" s="6"/>
      <c r="L315" s="6"/>
    </row>
    <row r="316" spans="4:12" x14ac:dyDescent="0.2">
      <c r="D316" s="6"/>
      <c r="E316" s="6"/>
      <c r="F316" s="6"/>
      <c r="G316" s="6"/>
      <c r="H316" s="6"/>
      <c r="J316" s="6"/>
      <c r="K316" s="6"/>
      <c r="L316" s="6"/>
    </row>
    <row r="317" spans="4:12" x14ac:dyDescent="0.2">
      <c r="D317" s="6"/>
      <c r="E317" s="6"/>
      <c r="F317" s="6"/>
      <c r="G317" s="6"/>
      <c r="H317" s="6"/>
      <c r="J317" s="6"/>
      <c r="K317" s="6"/>
      <c r="L317" s="6"/>
    </row>
    <row r="318" spans="4:12" x14ac:dyDescent="0.2">
      <c r="D318" s="6"/>
      <c r="E318" s="6"/>
      <c r="F318" s="6"/>
      <c r="G318" s="6"/>
      <c r="H318" s="6"/>
      <c r="J318" s="6"/>
      <c r="K318" s="6"/>
      <c r="L318" s="6"/>
    </row>
    <row r="319" spans="4:12" x14ac:dyDescent="0.2">
      <c r="D319" s="6"/>
      <c r="E319" s="6"/>
      <c r="F319" s="6"/>
      <c r="G319" s="6"/>
      <c r="H319" s="6"/>
      <c r="J319" s="6"/>
      <c r="K319" s="6"/>
      <c r="L319" s="6"/>
    </row>
    <row r="320" spans="4:12" x14ac:dyDescent="0.2">
      <c r="D320" s="6"/>
      <c r="E320" s="6"/>
      <c r="F320" s="6"/>
      <c r="G320" s="6"/>
      <c r="H320" s="6"/>
      <c r="J320" s="6"/>
      <c r="K320" s="6"/>
      <c r="L320" s="6"/>
    </row>
    <row r="321" spans="4:12" x14ac:dyDescent="0.2">
      <c r="D321" s="6"/>
      <c r="E321" s="6"/>
      <c r="F321" s="6"/>
      <c r="G321" s="6"/>
      <c r="H321" s="6"/>
      <c r="J321" s="6"/>
      <c r="K321" s="6"/>
      <c r="L321" s="6"/>
    </row>
    <row r="322" spans="4:12" x14ac:dyDescent="0.2">
      <c r="D322" s="6"/>
      <c r="E322" s="6"/>
      <c r="F322" s="6"/>
      <c r="G322" s="6"/>
      <c r="H322" s="6"/>
      <c r="J322" s="6"/>
      <c r="K322" s="6"/>
      <c r="L322" s="6"/>
    </row>
    <row r="323" spans="4:12" x14ac:dyDescent="0.2">
      <c r="D323" s="6"/>
      <c r="E323" s="6"/>
      <c r="F323" s="6"/>
      <c r="G323" s="6"/>
      <c r="H323" s="6"/>
      <c r="J323" s="6"/>
      <c r="K323" s="6"/>
      <c r="L323" s="6"/>
    </row>
    <row r="324" spans="4:12" x14ac:dyDescent="0.2">
      <c r="D324" s="6"/>
      <c r="E324" s="6"/>
      <c r="F324" s="6"/>
      <c r="G324" s="6"/>
      <c r="H324" s="6"/>
      <c r="J324" s="6"/>
      <c r="K324" s="6"/>
      <c r="L324" s="6"/>
    </row>
    <row r="325" spans="4:12" x14ac:dyDescent="0.2">
      <c r="D325" s="6"/>
      <c r="E325" s="6"/>
      <c r="F325" s="6"/>
      <c r="G325" s="6"/>
      <c r="H325" s="6"/>
      <c r="J325" s="6"/>
      <c r="K325" s="6"/>
      <c r="L325" s="6"/>
    </row>
    <row r="326" spans="4:12" x14ac:dyDescent="0.2">
      <c r="D326" s="6"/>
      <c r="E326" s="6"/>
      <c r="F326" s="6"/>
      <c r="G326" s="6"/>
      <c r="H326" s="6"/>
      <c r="J326" s="6"/>
      <c r="K326" s="6"/>
      <c r="L326" s="6"/>
    </row>
    <row r="327" spans="4:12" x14ac:dyDescent="0.2">
      <c r="D327" s="6"/>
      <c r="E327" s="6"/>
      <c r="F327" s="6"/>
      <c r="G327" s="6"/>
      <c r="H327" s="6"/>
      <c r="J327" s="6"/>
      <c r="K327" s="6"/>
      <c r="L327" s="6"/>
    </row>
    <row r="328" spans="4:12" x14ac:dyDescent="0.2">
      <c r="D328" s="6"/>
      <c r="E328" s="6"/>
      <c r="F328" s="6"/>
      <c r="G328" s="6"/>
      <c r="H328" s="6"/>
      <c r="J328" s="6"/>
      <c r="K328" s="6"/>
      <c r="L328" s="6"/>
    </row>
    <row r="329" spans="4:12" x14ac:dyDescent="0.2">
      <c r="D329" s="6"/>
      <c r="E329" s="6"/>
      <c r="F329" s="6"/>
      <c r="G329" s="6"/>
      <c r="H329" s="6"/>
      <c r="J329" s="6"/>
      <c r="K329" s="6"/>
      <c r="L329" s="6"/>
    </row>
    <row r="330" spans="4:12" x14ac:dyDescent="0.2">
      <c r="D330" s="6"/>
      <c r="E330" s="6"/>
      <c r="F330" s="6"/>
      <c r="G330" s="6"/>
      <c r="H330" s="6"/>
      <c r="J330" s="6"/>
      <c r="K330" s="6"/>
      <c r="L330" s="6"/>
    </row>
    <row r="331" spans="4:12" x14ac:dyDescent="0.2">
      <c r="D331" s="6"/>
      <c r="E331" s="6"/>
      <c r="F331" s="6"/>
      <c r="G331" s="6"/>
      <c r="H331" s="6"/>
      <c r="J331" s="6"/>
      <c r="K331" s="6"/>
      <c r="L331" s="6"/>
    </row>
    <row r="332" spans="4:12" x14ac:dyDescent="0.2">
      <c r="D332" s="6"/>
      <c r="E332" s="6"/>
      <c r="F332" s="6"/>
      <c r="G332" s="6"/>
      <c r="H332" s="6"/>
      <c r="J332" s="6"/>
      <c r="K332" s="6"/>
      <c r="L332" s="6"/>
    </row>
    <row r="333" spans="4:12" x14ac:dyDescent="0.2">
      <c r="D333" s="6"/>
      <c r="E333" s="6"/>
      <c r="F333" s="6"/>
      <c r="G333" s="6"/>
      <c r="H333" s="6"/>
      <c r="J333" s="6"/>
      <c r="K333" s="6"/>
      <c r="L333" s="6"/>
    </row>
    <row r="334" spans="4:12" x14ac:dyDescent="0.2">
      <c r="D334" s="6"/>
      <c r="E334" s="6"/>
      <c r="F334" s="6"/>
      <c r="G334" s="6"/>
      <c r="H334" s="6"/>
      <c r="J334" s="6"/>
      <c r="K334" s="6"/>
      <c r="L334" s="6"/>
    </row>
    <row r="335" spans="4:12" x14ac:dyDescent="0.2">
      <c r="D335" s="6"/>
      <c r="E335" s="6"/>
      <c r="F335" s="6"/>
      <c r="G335" s="6"/>
      <c r="H335" s="6"/>
      <c r="J335" s="6"/>
      <c r="K335" s="6"/>
      <c r="L335" s="6"/>
    </row>
    <row r="336" spans="4:12" x14ac:dyDescent="0.2">
      <c r="D336" s="6"/>
      <c r="E336" s="6"/>
      <c r="F336" s="6"/>
      <c r="G336" s="6"/>
      <c r="H336" s="6"/>
      <c r="J336" s="6"/>
      <c r="K336" s="6"/>
      <c r="L336" s="6"/>
    </row>
    <row r="337" spans="4:12" x14ac:dyDescent="0.2">
      <c r="D337" s="6"/>
      <c r="E337" s="6"/>
      <c r="F337" s="6"/>
      <c r="G337" s="6"/>
      <c r="H337" s="6"/>
      <c r="J337" s="6"/>
      <c r="K337" s="6"/>
      <c r="L337" s="6"/>
    </row>
    <row r="338" spans="4:12" x14ac:dyDescent="0.2">
      <c r="D338" s="6"/>
      <c r="E338" s="6"/>
      <c r="F338" s="6"/>
      <c r="G338" s="6"/>
      <c r="H338" s="6"/>
      <c r="J338" s="6"/>
      <c r="K338" s="6"/>
      <c r="L338" s="6"/>
    </row>
    <row r="339" spans="4:12" x14ac:dyDescent="0.2">
      <c r="D339" s="6"/>
      <c r="E339" s="6"/>
      <c r="F339" s="6"/>
      <c r="G339" s="6"/>
      <c r="H339" s="6"/>
      <c r="J339" s="6"/>
      <c r="K339" s="6"/>
      <c r="L339" s="6"/>
    </row>
    <row r="340" spans="4:12" x14ac:dyDescent="0.2">
      <c r="D340" s="6"/>
      <c r="E340" s="6"/>
      <c r="F340" s="6"/>
      <c r="G340" s="6"/>
      <c r="H340" s="6"/>
      <c r="J340" s="6"/>
      <c r="K340" s="6"/>
      <c r="L340" s="6"/>
    </row>
    <row r="341" spans="4:12" x14ac:dyDescent="0.2">
      <c r="D341" s="6"/>
      <c r="E341" s="6"/>
      <c r="F341" s="6"/>
      <c r="G341" s="6"/>
      <c r="H341" s="6"/>
      <c r="J341" s="6"/>
      <c r="K341" s="6"/>
      <c r="L341" s="6"/>
    </row>
    <row r="342" spans="4:12" x14ac:dyDescent="0.2">
      <c r="D342" s="6"/>
      <c r="E342" s="6"/>
      <c r="F342" s="6"/>
      <c r="G342" s="6"/>
      <c r="H342" s="6"/>
      <c r="J342" s="6"/>
      <c r="K342" s="6"/>
      <c r="L342" s="6"/>
    </row>
    <row r="343" spans="4:12" x14ac:dyDescent="0.2">
      <c r="D343" s="6"/>
      <c r="E343" s="6"/>
      <c r="F343" s="6"/>
      <c r="G343" s="6"/>
      <c r="H343" s="6"/>
      <c r="J343" s="6"/>
      <c r="K343" s="6"/>
      <c r="L343" s="6"/>
    </row>
    <row r="344" spans="4:12" x14ac:dyDescent="0.2">
      <c r="D344" s="6"/>
      <c r="E344" s="6"/>
      <c r="F344" s="6"/>
      <c r="G344" s="6"/>
      <c r="H344" s="6"/>
      <c r="J344" s="6"/>
      <c r="K344" s="6"/>
      <c r="L344" s="6"/>
    </row>
    <row r="345" spans="4:12" x14ac:dyDescent="0.2">
      <c r="D345" s="6"/>
      <c r="E345" s="6"/>
      <c r="F345" s="6"/>
      <c r="G345" s="6"/>
      <c r="H345" s="6"/>
      <c r="J345" s="6"/>
      <c r="K345" s="6"/>
      <c r="L345" s="6"/>
    </row>
    <row r="346" spans="4:12" x14ac:dyDescent="0.2">
      <c r="D346" s="6"/>
      <c r="E346" s="6"/>
      <c r="F346" s="6"/>
      <c r="G346" s="6"/>
      <c r="H346" s="6"/>
      <c r="J346" s="6"/>
      <c r="K346" s="6"/>
      <c r="L346" s="6"/>
    </row>
    <row r="347" spans="4:12" x14ac:dyDescent="0.2">
      <c r="D347" s="6"/>
      <c r="E347" s="6"/>
      <c r="F347" s="6"/>
      <c r="G347" s="6"/>
      <c r="H347" s="6"/>
      <c r="J347" s="6"/>
      <c r="K347" s="6"/>
      <c r="L347" s="6"/>
    </row>
    <row r="348" spans="4:12" x14ac:dyDescent="0.2">
      <c r="D348" s="6"/>
      <c r="E348" s="6"/>
      <c r="F348" s="6"/>
      <c r="G348" s="6"/>
      <c r="H348" s="6"/>
      <c r="J348" s="6"/>
      <c r="K348" s="6"/>
      <c r="L348" s="6"/>
    </row>
    <row r="349" spans="4:12" x14ac:dyDescent="0.2">
      <c r="D349" s="6"/>
      <c r="E349" s="6"/>
      <c r="F349" s="6"/>
      <c r="G349" s="6"/>
      <c r="H349" s="6"/>
      <c r="J349" s="6"/>
      <c r="K349" s="6"/>
      <c r="L349" s="6"/>
    </row>
    <row r="350" spans="4:12" x14ac:dyDescent="0.2">
      <c r="D350" s="6"/>
      <c r="E350" s="6"/>
      <c r="F350" s="6"/>
      <c r="G350" s="6"/>
      <c r="H350" s="6"/>
      <c r="J350" s="6"/>
      <c r="K350" s="6"/>
      <c r="L350" s="6"/>
    </row>
    <row r="351" spans="4:12" x14ac:dyDescent="0.2">
      <c r="D351" s="6"/>
      <c r="E351" s="6"/>
      <c r="F351" s="6"/>
      <c r="G351" s="6"/>
      <c r="H351" s="6"/>
      <c r="J351" s="6"/>
      <c r="K351" s="6"/>
      <c r="L351" s="6"/>
    </row>
    <row r="352" spans="4:12" x14ac:dyDescent="0.2">
      <c r="D352" s="6"/>
      <c r="E352" s="6"/>
      <c r="F352" s="6"/>
      <c r="G352" s="6"/>
      <c r="H352" s="6"/>
      <c r="J352" s="6"/>
      <c r="K352" s="6"/>
      <c r="L352" s="6"/>
    </row>
    <row r="353" spans="4:12" x14ac:dyDescent="0.2">
      <c r="D353" s="6"/>
      <c r="E353" s="6"/>
      <c r="F353" s="6"/>
      <c r="G353" s="6"/>
      <c r="H353" s="6"/>
      <c r="J353" s="6"/>
      <c r="K353" s="6"/>
      <c r="L353" s="6"/>
    </row>
    <row r="354" spans="4:12" x14ac:dyDescent="0.2">
      <c r="D354" s="6"/>
      <c r="E354" s="6"/>
      <c r="F354" s="6"/>
      <c r="G354" s="6"/>
      <c r="H354" s="6"/>
      <c r="J354" s="6"/>
      <c r="K354" s="6"/>
      <c r="L354" s="6"/>
    </row>
    <row r="355" spans="4:12" x14ac:dyDescent="0.2">
      <c r="D355" s="6"/>
      <c r="E355" s="6"/>
      <c r="F355" s="6"/>
      <c r="G355" s="6"/>
      <c r="H355" s="6"/>
      <c r="J355" s="6"/>
      <c r="K355" s="6"/>
      <c r="L355" s="6"/>
    </row>
    <row r="356" spans="4:12" x14ac:dyDescent="0.2">
      <c r="D356" s="6"/>
      <c r="E356" s="6"/>
      <c r="F356" s="6"/>
      <c r="G356" s="6"/>
      <c r="H356" s="6"/>
      <c r="J356" s="6"/>
      <c r="K356" s="6"/>
      <c r="L356" s="6"/>
    </row>
    <row r="357" spans="4:12" x14ac:dyDescent="0.2">
      <c r="D357" s="6"/>
      <c r="E357" s="6"/>
      <c r="F357" s="6"/>
      <c r="G357" s="6"/>
      <c r="H357" s="6"/>
      <c r="J357" s="6"/>
      <c r="K357" s="6"/>
      <c r="L357" s="6"/>
    </row>
    <row r="358" spans="4:12" x14ac:dyDescent="0.2">
      <c r="D358" s="6"/>
      <c r="E358" s="6"/>
      <c r="F358" s="6"/>
      <c r="G358" s="6"/>
      <c r="H358" s="6"/>
      <c r="J358" s="6"/>
      <c r="K358" s="6"/>
      <c r="L358" s="6"/>
    </row>
    <row r="359" spans="4:12" x14ac:dyDescent="0.2">
      <c r="D359" s="6"/>
      <c r="E359" s="6"/>
      <c r="F359" s="6"/>
      <c r="G359" s="6"/>
      <c r="H359" s="6"/>
      <c r="J359" s="6"/>
      <c r="K359" s="6"/>
      <c r="L359" s="6"/>
    </row>
    <row r="360" spans="4:12" x14ac:dyDescent="0.2">
      <c r="D360" s="6"/>
      <c r="E360" s="6"/>
      <c r="F360" s="6"/>
      <c r="G360" s="6"/>
      <c r="H360" s="6"/>
      <c r="J360" s="6"/>
      <c r="K360" s="6"/>
      <c r="L360" s="6"/>
    </row>
    <row r="361" spans="4:12" x14ac:dyDescent="0.2">
      <c r="D361" s="6"/>
      <c r="E361" s="6"/>
      <c r="F361" s="6"/>
      <c r="G361" s="6"/>
      <c r="H361" s="6"/>
      <c r="J361" s="6"/>
      <c r="K361" s="6"/>
      <c r="L361" s="6"/>
    </row>
    <row r="362" spans="4:12" x14ac:dyDescent="0.2">
      <c r="D362" s="6"/>
      <c r="E362" s="6"/>
      <c r="F362" s="6"/>
      <c r="G362" s="6"/>
      <c r="H362" s="6"/>
      <c r="J362" s="6"/>
      <c r="K362" s="6"/>
      <c r="L362" s="6"/>
    </row>
    <row r="363" spans="4:12" x14ac:dyDescent="0.2">
      <c r="D363" s="6"/>
      <c r="E363" s="6"/>
      <c r="F363" s="6"/>
      <c r="G363" s="6"/>
      <c r="H363" s="6"/>
      <c r="J363" s="6"/>
      <c r="K363" s="6"/>
      <c r="L363" s="6"/>
    </row>
    <row r="364" spans="4:12" x14ac:dyDescent="0.2">
      <c r="D364" s="6"/>
      <c r="E364" s="6"/>
      <c r="F364" s="6"/>
      <c r="G364" s="6"/>
      <c r="H364" s="6"/>
      <c r="J364" s="6"/>
      <c r="K364" s="6"/>
      <c r="L364" s="6"/>
    </row>
    <row r="365" spans="4:12" x14ac:dyDescent="0.2">
      <c r="D365" s="6"/>
      <c r="E365" s="6"/>
      <c r="F365" s="6"/>
      <c r="G365" s="6"/>
      <c r="H365" s="6"/>
      <c r="J365" s="6"/>
      <c r="K365" s="6"/>
      <c r="L365" s="6"/>
    </row>
    <row r="366" spans="4:12" x14ac:dyDescent="0.2">
      <c r="D366" s="6"/>
      <c r="E366" s="6"/>
      <c r="F366" s="6"/>
      <c r="G366" s="6"/>
      <c r="H366" s="6"/>
      <c r="J366" s="6"/>
      <c r="K366" s="6"/>
      <c r="L366" s="6"/>
    </row>
    <row r="367" spans="4:12" x14ac:dyDescent="0.2">
      <c r="D367" s="6"/>
      <c r="E367" s="6"/>
      <c r="F367" s="6"/>
      <c r="G367" s="6"/>
      <c r="H367" s="6"/>
      <c r="J367" s="6"/>
      <c r="K367" s="6"/>
      <c r="L367" s="6"/>
    </row>
    <row r="368" spans="4:12" x14ac:dyDescent="0.2">
      <c r="D368" s="6"/>
      <c r="E368" s="6"/>
      <c r="F368" s="6"/>
      <c r="G368" s="6"/>
      <c r="H368" s="6"/>
      <c r="J368" s="6"/>
      <c r="K368" s="6"/>
      <c r="L368" s="6"/>
    </row>
    <row r="369" spans="4:12" x14ac:dyDescent="0.2">
      <c r="D369" s="6"/>
      <c r="E369" s="6"/>
      <c r="F369" s="6"/>
      <c r="G369" s="6"/>
      <c r="H369" s="6"/>
      <c r="J369" s="6"/>
      <c r="K369" s="6"/>
      <c r="L369" s="6"/>
    </row>
    <row r="370" spans="4:12" x14ac:dyDescent="0.2">
      <c r="D370" s="6"/>
      <c r="E370" s="6"/>
      <c r="F370" s="6"/>
      <c r="G370" s="6"/>
      <c r="H370" s="6"/>
      <c r="J370" s="6"/>
      <c r="K370" s="6"/>
      <c r="L370" s="6"/>
    </row>
    <row r="371" spans="4:12" x14ac:dyDescent="0.2">
      <c r="D371" s="6"/>
      <c r="E371" s="6"/>
      <c r="F371" s="6"/>
      <c r="G371" s="6"/>
      <c r="H371" s="6"/>
      <c r="J371" s="6"/>
      <c r="K371" s="6"/>
      <c r="L371" s="6"/>
    </row>
    <row r="372" spans="4:12" x14ac:dyDescent="0.2">
      <c r="D372" s="6"/>
      <c r="E372" s="6"/>
      <c r="F372" s="6"/>
      <c r="G372" s="6"/>
      <c r="H372" s="6"/>
      <c r="J372" s="6"/>
      <c r="K372" s="6"/>
      <c r="L372" s="6"/>
    </row>
    <row r="373" spans="4:12" x14ac:dyDescent="0.2">
      <c r="D373" s="6"/>
      <c r="E373" s="6"/>
      <c r="F373" s="6"/>
      <c r="G373" s="6"/>
      <c r="H373" s="6"/>
      <c r="J373" s="6"/>
      <c r="K373" s="6"/>
      <c r="L373" s="6"/>
    </row>
    <row r="374" spans="4:12" x14ac:dyDescent="0.2">
      <c r="D374" s="6"/>
      <c r="E374" s="6"/>
      <c r="F374" s="6"/>
      <c r="G374" s="6"/>
      <c r="H374" s="6"/>
      <c r="J374" s="6"/>
      <c r="K374" s="6"/>
      <c r="L374" s="6"/>
    </row>
    <row r="375" spans="4:12" x14ac:dyDescent="0.2">
      <c r="D375" s="6"/>
      <c r="E375" s="6"/>
      <c r="F375" s="6"/>
      <c r="G375" s="6"/>
      <c r="H375" s="6"/>
      <c r="J375" s="6"/>
      <c r="K375" s="6"/>
      <c r="L375" s="6"/>
    </row>
    <row r="376" spans="4:12" x14ac:dyDescent="0.2">
      <c r="D376" s="6"/>
      <c r="E376" s="6"/>
      <c r="F376" s="6"/>
      <c r="G376" s="6"/>
      <c r="H376" s="6"/>
      <c r="J376" s="6"/>
      <c r="K376" s="6"/>
      <c r="L376" s="6"/>
    </row>
    <row r="377" spans="4:12" x14ac:dyDescent="0.2">
      <c r="D377" s="6"/>
      <c r="E377" s="6"/>
      <c r="F377" s="6"/>
      <c r="G377" s="6"/>
      <c r="H377" s="6"/>
      <c r="J377" s="6"/>
      <c r="K377" s="6"/>
      <c r="L377" s="6"/>
    </row>
    <row r="378" spans="4:12" x14ac:dyDescent="0.2">
      <c r="D378" s="6"/>
      <c r="E378" s="6"/>
      <c r="F378" s="6"/>
      <c r="G378" s="6"/>
      <c r="H378" s="6"/>
      <c r="J378" s="6"/>
      <c r="K378" s="6"/>
      <c r="L378" s="6"/>
    </row>
    <row r="379" spans="4:12" x14ac:dyDescent="0.2">
      <c r="D379" s="6"/>
      <c r="E379" s="6"/>
      <c r="F379" s="6"/>
      <c r="G379" s="6"/>
      <c r="H379" s="6"/>
      <c r="J379" s="6"/>
      <c r="K379" s="6"/>
      <c r="L379" s="6"/>
    </row>
    <row r="380" spans="4:12" x14ac:dyDescent="0.2">
      <c r="D380" s="6"/>
      <c r="E380" s="6"/>
      <c r="F380" s="6"/>
      <c r="G380" s="6"/>
      <c r="H380" s="6"/>
      <c r="J380" s="6"/>
      <c r="K380" s="6"/>
      <c r="L380" s="6"/>
    </row>
    <row r="381" spans="4:12" x14ac:dyDescent="0.2">
      <c r="D381" s="6"/>
      <c r="E381" s="6"/>
      <c r="F381" s="6"/>
      <c r="G381" s="6"/>
      <c r="H381" s="6"/>
      <c r="J381" s="6"/>
      <c r="K381" s="6"/>
      <c r="L381" s="6"/>
    </row>
    <row r="382" spans="4:12" x14ac:dyDescent="0.2">
      <c r="D382" s="6"/>
      <c r="E382" s="6"/>
      <c r="F382" s="6"/>
      <c r="G382" s="6"/>
      <c r="H382" s="6"/>
      <c r="J382" s="6"/>
      <c r="K382" s="6"/>
      <c r="L382" s="6"/>
    </row>
    <row r="383" spans="4:12" x14ac:dyDescent="0.2">
      <c r="D383" s="6"/>
      <c r="E383" s="6"/>
      <c r="F383" s="6"/>
      <c r="G383" s="6"/>
      <c r="H383" s="6"/>
      <c r="J383" s="6"/>
      <c r="K383" s="6"/>
      <c r="L383" s="6"/>
    </row>
    <row r="384" spans="4:12" x14ac:dyDescent="0.2">
      <c r="D384" s="6"/>
      <c r="E384" s="6"/>
      <c r="F384" s="6"/>
      <c r="G384" s="6"/>
      <c r="H384" s="6"/>
      <c r="J384" s="6"/>
      <c r="K384" s="6"/>
      <c r="L384" s="6"/>
    </row>
    <row r="385" spans="4:12" x14ac:dyDescent="0.2">
      <c r="D385" s="6"/>
      <c r="E385" s="6"/>
      <c r="F385" s="6"/>
      <c r="G385" s="6"/>
      <c r="H385" s="6"/>
      <c r="J385" s="6"/>
      <c r="K385" s="6"/>
      <c r="L385" s="6"/>
    </row>
    <row r="386" spans="4:12" x14ac:dyDescent="0.2">
      <c r="D386" s="6"/>
      <c r="E386" s="6"/>
      <c r="F386" s="6"/>
      <c r="G386" s="6"/>
      <c r="H386" s="6"/>
      <c r="J386" s="6"/>
      <c r="K386" s="6"/>
      <c r="L386" s="6"/>
    </row>
    <row r="387" spans="4:12" x14ac:dyDescent="0.2">
      <c r="D387" s="6"/>
      <c r="E387" s="6"/>
      <c r="F387" s="6"/>
      <c r="G387" s="6"/>
      <c r="H387" s="6"/>
      <c r="J387" s="6"/>
      <c r="K387" s="6"/>
      <c r="L387" s="6"/>
    </row>
    <row r="388" spans="4:12" x14ac:dyDescent="0.2">
      <c r="D388" s="6"/>
      <c r="E388" s="6"/>
      <c r="F388" s="6"/>
      <c r="G388" s="6"/>
      <c r="H388" s="6"/>
      <c r="J388" s="6"/>
      <c r="K388" s="6"/>
      <c r="L388" s="6"/>
    </row>
    <row r="389" spans="4:12" x14ac:dyDescent="0.2">
      <c r="D389" s="6"/>
      <c r="E389" s="6"/>
      <c r="F389" s="6"/>
      <c r="G389" s="6"/>
      <c r="H389" s="6"/>
      <c r="J389" s="6"/>
      <c r="K389" s="6"/>
      <c r="L389" s="6"/>
    </row>
    <row r="390" spans="4:12" x14ac:dyDescent="0.2">
      <c r="D390" s="6"/>
      <c r="E390" s="6"/>
      <c r="F390" s="6"/>
      <c r="G390" s="6"/>
      <c r="H390" s="6"/>
      <c r="J390" s="6"/>
      <c r="K390" s="6"/>
      <c r="L390" s="6"/>
    </row>
    <row r="391" spans="4:12" x14ac:dyDescent="0.2">
      <c r="D391" s="6"/>
      <c r="E391" s="6"/>
      <c r="F391" s="6"/>
      <c r="G391" s="6"/>
      <c r="H391" s="6"/>
      <c r="J391" s="6"/>
      <c r="K391" s="6"/>
      <c r="L391" s="6"/>
    </row>
    <row r="392" spans="4:12" x14ac:dyDescent="0.2">
      <c r="D392" s="6"/>
      <c r="E392" s="6"/>
      <c r="F392" s="6"/>
      <c r="G392" s="6"/>
      <c r="H392" s="6"/>
      <c r="J392" s="6"/>
      <c r="K392" s="6"/>
      <c r="L392" s="6"/>
    </row>
    <row r="393" spans="4:12" x14ac:dyDescent="0.2">
      <c r="D393" s="6"/>
      <c r="E393" s="6"/>
      <c r="F393" s="6"/>
      <c r="G393" s="6"/>
      <c r="H393" s="6"/>
      <c r="J393" s="6"/>
      <c r="K393" s="6"/>
      <c r="L393" s="6"/>
    </row>
    <row r="394" spans="4:12" x14ac:dyDescent="0.2">
      <c r="D394" s="6"/>
      <c r="E394" s="6"/>
      <c r="F394" s="6"/>
      <c r="G394" s="6"/>
      <c r="H394" s="6"/>
      <c r="J394" s="6"/>
      <c r="K394" s="6"/>
      <c r="L394" s="6"/>
    </row>
    <row r="395" spans="4:12" x14ac:dyDescent="0.2">
      <c r="D395" s="6"/>
      <c r="E395" s="6"/>
      <c r="F395" s="6"/>
      <c r="G395" s="6"/>
      <c r="H395" s="6"/>
      <c r="J395" s="6"/>
      <c r="K395" s="6"/>
      <c r="L395" s="6"/>
    </row>
    <row r="396" spans="4:12" x14ac:dyDescent="0.2">
      <c r="D396" s="6"/>
      <c r="E396" s="6"/>
      <c r="F396" s="6"/>
      <c r="G396" s="6"/>
      <c r="H396" s="6"/>
      <c r="J396" s="6"/>
      <c r="K396" s="6"/>
      <c r="L396" s="6"/>
    </row>
    <row r="397" spans="4:12" x14ac:dyDescent="0.2">
      <c r="D397" s="6"/>
      <c r="E397" s="6"/>
      <c r="F397" s="6"/>
      <c r="G397" s="6"/>
      <c r="H397" s="6"/>
      <c r="J397" s="6"/>
      <c r="K397" s="6"/>
      <c r="L397" s="6"/>
    </row>
    <row r="398" spans="4:12" x14ac:dyDescent="0.2">
      <c r="D398" s="6"/>
      <c r="E398" s="6"/>
      <c r="F398" s="6"/>
      <c r="G398" s="6"/>
      <c r="H398" s="6"/>
      <c r="J398" s="6"/>
      <c r="K398" s="6"/>
      <c r="L398" s="6"/>
    </row>
    <row r="399" spans="4:12" x14ac:dyDescent="0.2">
      <c r="D399" s="6"/>
      <c r="E399" s="6"/>
      <c r="F399" s="6"/>
      <c r="G399" s="6"/>
      <c r="H399" s="6"/>
      <c r="J399" s="6"/>
      <c r="K399" s="6"/>
      <c r="L399" s="6"/>
    </row>
    <row r="400" spans="4:12" x14ac:dyDescent="0.2">
      <c r="D400" s="6"/>
      <c r="E400" s="6"/>
      <c r="F400" s="6"/>
      <c r="G400" s="6"/>
      <c r="H400" s="6"/>
      <c r="J400" s="6"/>
      <c r="K400" s="6"/>
      <c r="L400" s="6"/>
    </row>
    <row r="401" spans="4:12" x14ac:dyDescent="0.2">
      <c r="D401" s="6"/>
      <c r="E401" s="6"/>
      <c r="F401" s="6"/>
      <c r="G401" s="6"/>
      <c r="H401" s="6"/>
      <c r="J401" s="6"/>
      <c r="K401" s="6"/>
      <c r="L401" s="6"/>
    </row>
    <row r="402" spans="4:12" x14ac:dyDescent="0.2">
      <c r="D402" s="6"/>
      <c r="E402" s="6"/>
      <c r="F402" s="6"/>
      <c r="G402" s="6"/>
      <c r="H402" s="6"/>
      <c r="J402" s="6"/>
      <c r="K402" s="6"/>
      <c r="L402" s="6"/>
    </row>
    <row r="403" spans="4:12" x14ac:dyDescent="0.2">
      <c r="D403" s="6"/>
      <c r="E403" s="6"/>
      <c r="F403" s="6"/>
      <c r="G403" s="6"/>
      <c r="H403" s="6"/>
      <c r="J403" s="6"/>
      <c r="K403" s="6"/>
      <c r="L403" s="6"/>
    </row>
    <row r="404" spans="4:12" x14ac:dyDescent="0.2">
      <c r="D404" s="6"/>
      <c r="E404" s="6"/>
      <c r="F404" s="6"/>
      <c r="G404" s="6"/>
      <c r="H404" s="6"/>
      <c r="J404" s="6"/>
      <c r="K404" s="6"/>
      <c r="L404" s="6"/>
    </row>
    <row r="405" spans="4:12" x14ac:dyDescent="0.2">
      <c r="D405" s="6"/>
      <c r="E405" s="6"/>
      <c r="F405" s="6"/>
      <c r="G405" s="6"/>
      <c r="H405" s="6"/>
      <c r="J405" s="6"/>
      <c r="K405" s="6"/>
      <c r="L405" s="6"/>
    </row>
    <row r="406" spans="4:12" x14ac:dyDescent="0.2">
      <c r="D406" s="6"/>
      <c r="E406" s="6"/>
      <c r="F406" s="6"/>
      <c r="G406" s="6"/>
      <c r="H406" s="6"/>
      <c r="J406" s="6"/>
      <c r="K406" s="6"/>
      <c r="L406" s="6"/>
    </row>
    <row r="407" spans="4:12" x14ac:dyDescent="0.2">
      <c r="D407" s="6"/>
      <c r="E407" s="6"/>
      <c r="F407" s="6"/>
      <c r="G407" s="6"/>
      <c r="H407" s="6"/>
      <c r="J407" s="6"/>
      <c r="K407" s="6"/>
      <c r="L407" s="6"/>
    </row>
    <row r="408" spans="4:12" x14ac:dyDescent="0.2">
      <c r="D408" s="6"/>
      <c r="E408" s="6"/>
      <c r="F408" s="6"/>
      <c r="G408" s="6"/>
      <c r="H408" s="6"/>
      <c r="J408" s="6"/>
      <c r="K408" s="6"/>
      <c r="L408" s="6"/>
    </row>
    <row r="409" spans="4:12" x14ac:dyDescent="0.2">
      <c r="D409" s="6"/>
      <c r="E409" s="6"/>
      <c r="F409" s="6"/>
      <c r="G409" s="6"/>
      <c r="H409" s="6"/>
      <c r="J409" s="6"/>
      <c r="K409" s="6"/>
      <c r="L409" s="6"/>
    </row>
    <row r="410" spans="4:12" x14ac:dyDescent="0.2">
      <c r="D410" s="6"/>
      <c r="E410" s="6"/>
      <c r="F410" s="6"/>
      <c r="G410" s="6"/>
      <c r="H410" s="6"/>
      <c r="J410" s="6"/>
      <c r="K410" s="6"/>
      <c r="L410" s="6"/>
    </row>
    <row r="411" spans="4:12" x14ac:dyDescent="0.2">
      <c r="D411" s="6"/>
      <c r="E411" s="6"/>
      <c r="F411" s="6"/>
      <c r="G411" s="6"/>
      <c r="H411" s="6"/>
      <c r="J411" s="6"/>
      <c r="K411" s="6"/>
      <c r="L411" s="6"/>
    </row>
    <row r="412" spans="4:12" x14ac:dyDescent="0.2">
      <c r="D412" s="6"/>
      <c r="E412" s="6"/>
      <c r="F412" s="6"/>
      <c r="G412" s="6"/>
      <c r="H412" s="6"/>
      <c r="J412" s="6"/>
      <c r="K412" s="6"/>
      <c r="L412" s="6"/>
    </row>
    <row r="413" spans="4:12" x14ac:dyDescent="0.2">
      <c r="D413" s="6"/>
      <c r="E413" s="6"/>
      <c r="F413" s="6"/>
      <c r="G413" s="6"/>
      <c r="H413" s="6"/>
      <c r="J413" s="6"/>
      <c r="K413" s="6"/>
      <c r="L413" s="6"/>
    </row>
    <row r="414" spans="4:12" x14ac:dyDescent="0.2">
      <c r="D414" s="6"/>
      <c r="E414" s="6"/>
      <c r="F414" s="6"/>
      <c r="G414" s="6"/>
      <c r="H414" s="6"/>
      <c r="J414" s="6"/>
      <c r="K414" s="6"/>
      <c r="L414" s="6"/>
    </row>
    <row r="415" spans="4:12" x14ac:dyDescent="0.2">
      <c r="D415" s="6"/>
      <c r="E415" s="6"/>
      <c r="F415" s="6"/>
      <c r="G415" s="6"/>
      <c r="H415" s="6"/>
      <c r="J415" s="6"/>
      <c r="K415" s="6"/>
      <c r="L415" s="6"/>
    </row>
    <row r="416" spans="4:12" x14ac:dyDescent="0.2">
      <c r="D416" s="6"/>
      <c r="E416" s="6"/>
      <c r="F416" s="6"/>
      <c r="G416" s="6"/>
      <c r="H416" s="6"/>
      <c r="J416" s="6"/>
      <c r="K416" s="6"/>
      <c r="L416" s="6"/>
    </row>
    <row r="417" spans="4:12" x14ac:dyDescent="0.2">
      <c r="D417" s="6"/>
      <c r="E417" s="6"/>
      <c r="F417" s="6"/>
      <c r="G417" s="6"/>
      <c r="H417" s="6"/>
      <c r="J417" s="6"/>
      <c r="K417" s="6"/>
      <c r="L417" s="6"/>
    </row>
    <row r="418" spans="4:12" x14ac:dyDescent="0.2">
      <c r="D418" s="6"/>
      <c r="E418" s="6"/>
      <c r="F418" s="6"/>
      <c r="G418" s="6"/>
      <c r="H418" s="6"/>
      <c r="J418" s="6"/>
      <c r="K418" s="6"/>
      <c r="L418" s="6"/>
    </row>
    <row r="419" spans="4:12" x14ac:dyDescent="0.2">
      <c r="D419" s="6"/>
      <c r="E419" s="6"/>
      <c r="F419" s="6"/>
      <c r="G419" s="6"/>
      <c r="H419" s="6"/>
      <c r="J419" s="6"/>
      <c r="K419" s="6"/>
      <c r="L419" s="6"/>
    </row>
    <row r="420" spans="4:12" x14ac:dyDescent="0.2">
      <c r="D420" s="6"/>
      <c r="E420" s="6"/>
      <c r="F420" s="6"/>
      <c r="G420" s="6"/>
      <c r="H420" s="6"/>
      <c r="J420" s="6"/>
      <c r="K420" s="6"/>
      <c r="L420" s="6"/>
    </row>
    <row r="421" spans="4:12" x14ac:dyDescent="0.2">
      <c r="D421" s="6"/>
      <c r="E421" s="6"/>
      <c r="F421" s="6"/>
      <c r="G421" s="6"/>
      <c r="H421" s="6"/>
      <c r="J421" s="6"/>
      <c r="K421" s="6"/>
      <c r="L421" s="6"/>
    </row>
    <row r="422" spans="4:12" x14ac:dyDescent="0.2">
      <c r="D422" s="6"/>
      <c r="E422" s="6"/>
      <c r="F422" s="6"/>
      <c r="G422" s="6"/>
      <c r="H422" s="6"/>
      <c r="J422" s="6"/>
      <c r="K422" s="6"/>
      <c r="L422" s="6"/>
    </row>
    <row r="423" spans="4:12" x14ac:dyDescent="0.2">
      <c r="D423" s="6"/>
      <c r="E423" s="6"/>
      <c r="F423" s="6"/>
      <c r="G423" s="6"/>
      <c r="H423" s="6"/>
      <c r="J423" s="6"/>
      <c r="K423" s="6"/>
      <c r="L423" s="6"/>
    </row>
    <row r="424" spans="4:12" x14ac:dyDescent="0.2">
      <c r="D424" s="6"/>
      <c r="E424" s="6"/>
      <c r="F424" s="6"/>
      <c r="G424" s="6"/>
      <c r="H424" s="6"/>
      <c r="J424" s="6"/>
      <c r="K424" s="6"/>
      <c r="L424" s="6"/>
    </row>
    <row r="425" spans="4:12" x14ac:dyDescent="0.2">
      <c r="D425" s="6"/>
      <c r="E425" s="6"/>
      <c r="F425" s="6"/>
      <c r="G425" s="6"/>
      <c r="H425" s="6"/>
      <c r="J425" s="6"/>
      <c r="K425" s="6"/>
      <c r="L425" s="6"/>
    </row>
    <row r="426" spans="4:12" x14ac:dyDescent="0.2">
      <c r="D426" s="6"/>
      <c r="E426" s="6"/>
      <c r="F426" s="6"/>
      <c r="G426" s="6"/>
      <c r="H426" s="6"/>
      <c r="J426" s="6"/>
      <c r="K426" s="6"/>
      <c r="L426" s="6"/>
    </row>
    <row r="427" spans="4:12" x14ac:dyDescent="0.2">
      <c r="D427" s="6"/>
      <c r="E427" s="6"/>
      <c r="F427" s="6"/>
      <c r="G427" s="6"/>
      <c r="H427" s="6"/>
      <c r="J427" s="6"/>
      <c r="K427" s="6"/>
      <c r="L427" s="6"/>
    </row>
    <row r="428" spans="4:12" x14ac:dyDescent="0.2">
      <c r="D428" s="6"/>
      <c r="E428" s="6"/>
      <c r="F428" s="6"/>
      <c r="G428" s="6"/>
      <c r="H428" s="6"/>
      <c r="J428" s="6"/>
      <c r="K428" s="6"/>
      <c r="L428" s="6"/>
    </row>
    <row r="429" spans="4:12" x14ac:dyDescent="0.2">
      <c r="D429" s="6"/>
      <c r="E429" s="6"/>
      <c r="F429" s="6"/>
      <c r="G429" s="6"/>
      <c r="H429" s="6"/>
      <c r="J429" s="6"/>
      <c r="K429" s="6"/>
      <c r="L429" s="6"/>
    </row>
    <row r="430" spans="4:12" x14ac:dyDescent="0.2">
      <c r="D430" s="6"/>
      <c r="E430" s="6"/>
      <c r="F430" s="6"/>
      <c r="G430" s="6"/>
      <c r="H430" s="6"/>
      <c r="J430" s="6"/>
      <c r="K430" s="6"/>
      <c r="L430" s="6"/>
    </row>
    <row r="431" spans="4:12" x14ac:dyDescent="0.2">
      <c r="D431" s="6"/>
      <c r="E431" s="6"/>
      <c r="F431" s="6"/>
      <c r="G431" s="6"/>
      <c r="H431" s="6"/>
      <c r="J431" s="6"/>
      <c r="K431" s="6"/>
      <c r="L431" s="6"/>
    </row>
    <row r="432" spans="4:12" x14ac:dyDescent="0.2">
      <c r="D432" s="6"/>
      <c r="E432" s="6"/>
      <c r="F432" s="6"/>
      <c r="G432" s="6"/>
      <c r="H432" s="6"/>
      <c r="J432" s="6"/>
      <c r="K432" s="6"/>
      <c r="L432" s="6"/>
    </row>
    <row r="433" spans="4:12" x14ac:dyDescent="0.2">
      <c r="D433" s="6"/>
      <c r="E433" s="6"/>
      <c r="F433" s="6"/>
      <c r="G433" s="6"/>
      <c r="H433" s="6"/>
      <c r="J433" s="6"/>
      <c r="K433" s="6"/>
      <c r="L433" s="6"/>
    </row>
    <row r="434" spans="4:12" x14ac:dyDescent="0.2">
      <c r="D434" s="6"/>
      <c r="E434" s="6"/>
      <c r="F434" s="6"/>
      <c r="G434" s="6"/>
      <c r="H434" s="6"/>
      <c r="J434" s="6"/>
      <c r="K434" s="6"/>
      <c r="L434" s="6"/>
    </row>
    <row r="435" spans="4:12" x14ac:dyDescent="0.2">
      <c r="D435" s="6"/>
      <c r="E435" s="6"/>
      <c r="F435" s="6"/>
      <c r="G435" s="6"/>
      <c r="H435" s="6"/>
      <c r="J435" s="6"/>
      <c r="K435" s="6"/>
      <c r="L435" s="6"/>
    </row>
    <row r="436" spans="4:12" x14ac:dyDescent="0.2">
      <c r="D436" s="6"/>
      <c r="E436" s="6"/>
      <c r="F436" s="6"/>
      <c r="G436" s="6"/>
      <c r="H436" s="6"/>
      <c r="J436" s="6"/>
      <c r="K436" s="6"/>
      <c r="L436" s="6"/>
    </row>
    <row r="437" spans="4:12" x14ac:dyDescent="0.2">
      <c r="D437" s="6"/>
      <c r="E437" s="6"/>
      <c r="F437" s="6"/>
      <c r="G437" s="6"/>
      <c r="H437" s="6"/>
      <c r="J437" s="6"/>
      <c r="K437" s="6"/>
      <c r="L437" s="6"/>
    </row>
    <row r="438" spans="4:12" x14ac:dyDescent="0.2">
      <c r="D438" s="6"/>
      <c r="E438" s="6"/>
      <c r="F438" s="6"/>
      <c r="G438" s="6"/>
      <c r="H438" s="6"/>
      <c r="J438" s="6"/>
      <c r="K438" s="6"/>
      <c r="L438" s="6"/>
    </row>
    <row r="439" spans="4:12" x14ac:dyDescent="0.2">
      <c r="D439" s="6"/>
      <c r="E439" s="6"/>
      <c r="F439" s="6"/>
      <c r="G439" s="6"/>
      <c r="H439" s="6"/>
      <c r="J439" s="6"/>
      <c r="K439" s="6"/>
      <c r="L439" s="6"/>
    </row>
    <row r="440" spans="4:12" x14ac:dyDescent="0.2">
      <c r="D440" s="6"/>
      <c r="E440" s="6"/>
      <c r="F440" s="6"/>
      <c r="G440" s="6"/>
      <c r="H440" s="6"/>
      <c r="J440" s="6"/>
      <c r="K440" s="6"/>
      <c r="L440" s="6"/>
    </row>
    <row r="441" spans="4:12" x14ac:dyDescent="0.2">
      <c r="D441" s="6"/>
      <c r="E441" s="6"/>
      <c r="F441" s="6"/>
      <c r="G441" s="6"/>
      <c r="H441" s="6"/>
      <c r="J441" s="6"/>
      <c r="K441" s="6"/>
      <c r="L441" s="6"/>
    </row>
    <row r="442" spans="4:12" x14ac:dyDescent="0.2">
      <c r="D442" s="6"/>
      <c r="E442" s="6"/>
      <c r="F442" s="6"/>
      <c r="G442" s="6"/>
      <c r="H442" s="6"/>
      <c r="J442" s="6"/>
      <c r="K442" s="6"/>
      <c r="L442" s="6"/>
    </row>
    <row r="443" spans="4:12" x14ac:dyDescent="0.2">
      <c r="D443" s="6"/>
      <c r="E443" s="6"/>
      <c r="F443" s="6"/>
      <c r="G443" s="6"/>
      <c r="H443" s="6"/>
      <c r="J443" s="6"/>
      <c r="K443" s="6"/>
      <c r="L443" s="6"/>
    </row>
    <row r="444" spans="4:12" x14ac:dyDescent="0.2">
      <c r="D444" s="6"/>
      <c r="E444" s="6"/>
      <c r="F444" s="6"/>
      <c r="G444" s="6"/>
      <c r="H444" s="6"/>
      <c r="J444" s="6"/>
      <c r="K444" s="6"/>
      <c r="L444" s="6"/>
    </row>
    <row r="445" spans="4:12" x14ac:dyDescent="0.2">
      <c r="D445" s="6"/>
      <c r="E445" s="6"/>
      <c r="F445" s="6"/>
      <c r="G445" s="6"/>
      <c r="H445" s="6"/>
      <c r="J445" s="6"/>
      <c r="K445" s="6"/>
      <c r="L445" s="6"/>
    </row>
    <row r="446" spans="4:12" x14ac:dyDescent="0.2">
      <c r="D446" s="6"/>
      <c r="E446" s="6"/>
      <c r="F446" s="6"/>
      <c r="G446" s="6"/>
      <c r="H446" s="6"/>
      <c r="J446" s="6"/>
      <c r="K446" s="6"/>
      <c r="L446" s="6"/>
    </row>
    <row r="447" spans="4:12" x14ac:dyDescent="0.2">
      <c r="D447" s="6"/>
      <c r="E447" s="6"/>
      <c r="F447" s="6"/>
      <c r="G447" s="6"/>
      <c r="H447" s="6"/>
      <c r="J447" s="6"/>
      <c r="K447" s="6"/>
      <c r="L447" s="6"/>
    </row>
    <row r="448" spans="4:12" x14ac:dyDescent="0.2">
      <c r="D448" s="6"/>
      <c r="E448" s="6"/>
      <c r="F448" s="6"/>
      <c r="G448" s="6"/>
      <c r="H448" s="6"/>
      <c r="J448" s="6"/>
      <c r="K448" s="6"/>
      <c r="L448" s="6"/>
    </row>
    <row r="449" spans="4:12" x14ac:dyDescent="0.2">
      <c r="D449" s="6"/>
      <c r="E449" s="6"/>
      <c r="F449" s="6"/>
      <c r="G449" s="6"/>
      <c r="H449" s="6"/>
      <c r="J449" s="6"/>
      <c r="K449" s="6"/>
      <c r="L449" s="6"/>
    </row>
    <row r="450" spans="4:12" x14ac:dyDescent="0.2">
      <c r="D450" s="6"/>
      <c r="E450" s="6"/>
      <c r="F450" s="6"/>
      <c r="G450" s="6"/>
      <c r="H450" s="6"/>
      <c r="J450" s="6"/>
      <c r="K450" s="6"/>
      <c r="L450" s="6"/>
    </row>
    <row r="451" spans="4:12" x14ac:dyDescent="0.2">
      <c r="D451" s="6"/>
      <c r="E451" s="6"/>
      <c r="F451" s="6"/>
      <c r="G451" s="6"/>
      <c r="H451" s="6"/>
      <c r="J451" s="6"/>
      <c r="K451" s="6"/>
      <c r="L451" s="6"/>
    </row>
    <row r="452" spans="4:12" x14ac:dyDescent="0.2">
      <c r="D452" s="6"/>
      <c r="E452" s="6"/>
      <c r="F452" s="6"/>
      <c r="G452" s="6"/>
      <c r="H452" s="6"/>
      <c r="J452" s="6"/>
      <c r="K452" s="6"/>
      <c r="L452" s="6"/>
    </row>
    <row r="453" spans="4:12" x14ac:dyDescent="0.2">
      <c r="D453" s="6"/>
      <c r="E453" s="6"/>
      <c r="F453" s="6"/>
      <c r="G453" s="6"/>
      <c r="H453" s="6"/>
      <c r="J453" s="6"/>
      <c r="K453" s="6"/>
      <c r="L453" s="6"/>
    </row>
    <row r="454" spans="4:12" x14ac:dyDescent="0.2">
      <c r="D454" s="6"/>
      <c r="E454" s="6"/>
      <c r="F454" s="6"/>
      <c r="G454" s="6"/>
      <c r="H454" s="6"/>
      <c r="J454" s="6"/>
      <c r="K454" s="6"/>
      <c r="L454" s="6"/>
    </row>
    <row r="455" spans="4:12" x14ac:dyDescent="0.2">
      <c r="D455" s="6"/>
      <c r="E455" s="6"/>
      <c r="F455" s="6"/>
      <c r="G455" s="6"/>
      <c r="H455" s="6"/>
      <c r="J455" s="6"/>
      <c r="K455" s="6"/>
      <c r="L455" s="6"/>
    </row>
    <row r="456" spans="4:12" x14ac:dyDescent="0.2">
      <c r="D456" s="6"/>
      <c r="E456" s="6"/>
      <c r="F456" s="6"/>
      <c r="G456" s="6"/>
      <c r="H456" s="6"/>
      <c r="J456" s="6"/>
      <c r="K456" s="6"/>
      <c r="L456" s="6"/>
    </row>
    <row r="457" spans="4:12" x14ac:dyDescent="0.2">
      <c r="D457" s="6"/>
      <c r="E457" s="6"/>
      <c r="F457" s="6"/>
      <c r="G457" s="6"/>
      <c r="H457" s="6"/>
      <c r="J457" s="6"/>
      <c r="K457" s="6"/>
      <c r="L457" s="6"/>
    </row>
    <row r="458" spans="4:12" x14ac:dyDescent="0.2">
      <c r="D458" s="6"/>
      <c r="E458" s="6"/>
      <c r="F458" s="6"/>
      <c r="G458" s="6"/>
      <c r="H458" s="6"/>
      <c r="J458" s="6"/>
      <c r="K458" s="6"/>
      <c r="L458" s="6"/>
    </row>
    <row r="459" spans="4:12" x14ac:dyDescent="0.2">
      <c r="D459" s="6"/>
      <c r="E459" s="6"/>
      <c r="F459" s="6"/>
      <c r="G459" s="6"/>
      <c r="H459" s="6"/>
      <c r="J459" s="6"/>
      <c r="K459" s="6"/>
      <c r="L459" s="6"/>
    </row>
    <row r="460" spans="4:12" x14ac:dyDescent="0.2">
      <c r="D460" s="6"/>
      <c r="E460" s="6"/>
      <c r="F460" s="6"/>
      <c r="G460" s="6"/>
      <c r="H460" s="6"/>
      <c r="J460" s="6"/>
      <c r="K460" s="6"/>
      <c r="L460" s="6"/>
    </row>
    <row r="461" spans="4:12" x14ac:dyDescent="0.2">
      <c r="D461" s="6"/>
      <c r="E461" s="6"/>
      <c r="F461" s="6"/>
      <c r="G461" s="6"/>
      <c r="H461" s="6"/>
      <c r="J461" s="6"/>
      <c r="K461" s="6"/>
      <c r="L461" s="6"/>
    </row>
    <row r="462" spans="4:12" x14ac:dyDescent="0.2">
      <c r="D462" s="6"/>
      <c r="E462" s="6"/>
      <c r="F462" s="6"/>
      <c r="G462" s="6"/>
      <c r="H462" s="6"/>
      <c r="J462" s="6"/>
      <c r="K462" s="6"/>
      <c r="L462" s="6"/>
    </row>
    <row r="463" spans="4:12" x14ac:dyDescent="0.2">
      <c r="D463" s="6"/>
      <c r="E463" s="6"/>
      <c r="F463" s="6"/>
      <c r="G463" s="6"/>
      <c r="H463" s="6"/>
      <c r="J463" s="6"/>
      <c r="K463" s="6"/>
      <c r="L463" s="6"/>
    </row>
    <row r="464" spans="4:12" x14ac:dyDescent="0.2">
      <c r="D464" s="6"/>
      <c r="E464" s="6"/>
      <c r="F464" s="6"/>
      <c r="G464" s="6"/>
      <c r="H464" s="6"/>
      <c r="J464" s="6"/>
      <c r="K464" s="6"/>
      <c r="L464" s="6"/>
    </row>
    <row r="465" spans="4:12" x14ac:dyDescent="0.2">
      <c r="D465" s="6"/>
      <c r="E465" s="6"/>
      <c r="F465" s="6"/>
      <c r="G465" s="6"/>
      <c r="H465" s="6"/>
      <c r="J465" s="6"/>
      <c r="K465" s="6"/>
      <c r="L465" s="6"/>
    </row>
    <row r="466" spans="4:12" x14ac:dyDescent="0.2">
      <c r="D466" s="6"/>
      <c r="E466" s="6"/>
      <c r="F466" s="6"/>
      <c r="G466" s="6"/>
      <c r="H466" s="6"/>
      <c r="J466" s="6"/>
      <c r="K466" s="6"/>
      <c r="L466" s="6"/>
    </row>
    <row r="467" spans="4:12" x14ac:dyDescent="0.2">
      <c r="D467" s="6"/>
      <c r="E467" s="6"/>
      <c r="F467" s="6"/>
      <c r="G467" s="6"/>
      <c r="H467" s="6"/>
      <c r="J467" s="6"/>
      <c r="K467" s="6"/>
      <c r="L467" s="6"/>
    </row>
    <row r="468" spans="4:12" x14ac:dyDescent="0.2">
      <c r="D468" s="6"/>
      <c r="E468" s="6"/>
      <c r="F468" s="6"/>
      <c r="G468" s="6"/>
      <c r="H468" s="6"/>
      <c r="J468" s="6"/>
      <c r="K468" s="6"/>
      <c r="L468" s="6"/>
    </row>
    <row r="469" spans="4:12" x14ac:dyDescent="0.2">
      <c r="D469" s="6"/>
      <c r="E469" s="6"/>
      <c r="F469" s="6"/>
      <c r="G469" s="6"/>
      <c r="H469" s="6"/>
      <c r="J469" s="6"/>
      <c r="K469" s="6"/>
      <c r="L469" s="6"/>
    </row>
    <row r="470" spans="4:12" x14ac:dyDescent="0.2">
      <c r="D470" s="6"/>
      <c r="E470" s="6"/>
      <c r="F470" s="6"/>
      <c r="G470" s="6"/>
      <c r="H470" s="6"/>
      <c r="J470" s="6"/>
      <c r="K470" s="6"/>
      <c r="L470" s="6"/>
    </row>
    <row r="471" spans="4:12" x14ac:dyDescent="0.2">
      <c r="D471" s="6"/>
      <c r="E471" s="6"/>
      <c r="F471" s="6"/>
      <c r="G471" s="6"/>
      <c r="H471" s="6"/>
      <c r="J471" s="6"/>
      <c r="K471" s="6"/>
      <c r="L471" s="6"/>
    </row>
    <row r="472" spans="4:12" x14ac:dyDescent="0.2">
      <c r="D472" s="6"/>
      <c r="E472" s="6"/>
      <c r="F472" s="6"/>
      <c r="G472" s="6"/>
      <c r="H472" s="6"/>
      <c r="J472" s="6"/>
      <c r="K472" s="6"/>
      <c r="L472" s="6"/>
    </row>
    <row r="473" spans="4:12" x14ac:dyDescent="0.2">
      <c r="D473" s="6"/>
      <c r="E473" s="6"/>
      <c r="F473" s="6"/>
      <c r="G473" s="6"/>
      <c r="H473" s="6"/>
      <c r="J473" s="6"/>
      <c r="K473" s="6"/>
      <c r="L473" s="6"/>
    </row>
    <row r="474" spans="4:12" x14ac:dyDescent="0.2">
      <c r="D474" s="6"/>
      <c r="E474" s="6"/>
      <c r="F474" s="6"/>
      <c r="G474" s="6"/>
      <c r="H474" s="6"/>
      <c r="J474" s="6"/>
      <c r="K474" s="6"/>
      <c r="L474" s="6"/>
    </row>
    <row r="475" spans="4:12" x14ac:dyDescent="0.2">
      <c r="D475" s="6"/>
      <c r="E475" s="6"/>
      <c r="F475" s="6"/>
      <c r="G475" s="6"/>
      <c r="H475" s="6"/>
      <c r="J475" s="6"/>
      <c r="K475" s="6"/>
      <c r="L475" s="6"/>
    </row>
    <row r="476" spans="4:12" x14ac:dyDescent="0.2">
      <c r="D476" s="6"/>
      <c r="E476" s="6"/>
      <c r="F476" s="6"/>
      <c r="G476" s="6"/>
      <c r="H476" s="6"/>
      <c r="J476" s="6"/>
      <c r="K476" s="6"/>
      <c r="L476" s="6"/>
    </row>
    <row r="477" spans="4:12" x14ac:dyDescent="0.2">
      <c r="D477" s="6"/>
      <c r="E477" s="6"/>
      <c r="F477" s="6"/>
      <c r="G477" s="6"/>
      <c r="H477" s="6"/>
      <c r="J477" s="6"/>
      <c r="K477" s="6"/>
      <c r="L477" s="6"/>
    </row>
    <row r="478" spans="4:12" x14ac:dyDescent="0.2">
      <c r="D478" s="6"/>
      <c r="E478" s="6"/>
      <c r="F478" s="6"/>
      <c r="G478" s="6"/>
      <c r="H478" s="6"/>
      <c r="J478" s="6"/>
      <c r="K478" s="6"/>
      <c r="L478" s="6"/>
    </row>
    <row r="479" spans="4:12" x14ac:dyDescent="0.2">
      <c r="D479" s="6"/>
      <c r="E479" s="6"/>
      <c r="F479" s="6"/>
      <c r="G479" s="6"/>
      <c r="H479" s="6"/>
      <c r="J479" s="6"/>
      <c r="K479" s="6"/>
      <c r="L479" s="6"/>
    </row>
    <row r="480" spans="4:12" x14ac:dyDescent="0.2">
      <c r="D480" s="6"/>
      <c r="E480" s="6"/>
      <c r="F480" s="6"/>
      <c r="G480" s="6"/>
      <c r="H480" s="6"/>
      <c r="J480" s="6"/>
      <c r="K480" s="6"/>
      <c r="L480" s="6"/>
    </row>
    <row r="481" spans="4:12" x14ac:dyDescent="0.2">
      <c r="D481" s="6"/>
      <c r="E481" s="6"/>
      <c r="F481" s="6"/>
      <c r="G481" s="6"/>
      <c r="H481" s="6"/>
      <c r="J481" s="6"/>
      <c r="K481" s="6"/>
      <c r="L481" s="6"/>
    </row>
    <row r="482" spans="4:12" x14ac:dyDescent="0.2">
      <c r="D482" s="6"/>
      <c r="E482" s="6"/>
      <c r="F482" s="6"/>
      <c r="G482" s="6"/>
      <c r="H482" s="6"/>
      <c r="J482" s="6"/>
      <c r="K482" s="6"/>
      <c r="L482" s="6"/>
    </row>
    <row r="483" spans="4:12" x14ac:dyDescent="0.2">
      <c r="D483" s="6"/>
      <c r="E483" s="6"/>
      <c r="F483" s="6"/>
      <c r="G483" s="6"/>
      <c r="H483" s="6"/>
      <c r="J483" s="6"/>
      <c r="K483" s="6"/>
      <c r="L483" s="6"/>
    </row>
    <row r="484" spans="4:12" x14ac:dyDescent="0.2">
      <c r="D484" s="6"/>
      <c r="E484" s="6"/>
      <c r="F484" s="6"/>
      <c r="G484" s="6"/>
      <c r="H484" s="6"/>
      <c r="J484" s="6"/>
      <c r="K484" s="6"/>
      <c r="L484" s="6"/>
    </row>
    <row r="485" spans="4:12" x14ac:dyDescent="0.2">
      <c r="D485" s="6"/>
      <c r="E485" s="6"/>
      <c r="F485" s="6"/>
      <c r="G485" s="6"/>
      <c r="H485" s="6"/>
      <c r="J485" s="6"/>
      <c r="K485" s="6"/>
      <c r="L485" s="6"/>
    </row>
    <row r="486" spans="4:12" x14ac:dyDescent="0.2">
      <c r="D486" s="6"/>
      <c r="E486" s="6"/>
      <c r="F486" s="6"/>
      <c r="G486" s="6"/>
      <c r="H486" s="6"/>
      <c r="J486" s="6"/>
      <c r="K486" s="6"/>
      <c r="L486" s="6"/>
    </row>
    <row r="487" spans="4:12" x14ac:dyDescent="0.2">
      <c r="D487" s="6"/>
      <c r="E487" s="6"/>
      <c r="F487" s="6"/>
      <c r="G487" s="6"/>
      <c r="H487" s="6"/>
      <c r="J487" s="6"/>
      <c r="K487" s="6"/>
      <c r="L487" s="6"/>
    </row>
    <row r="488" spans="4:12" x14ac:dyDescent="0.2">
      <c r="D488" s="6"/>
      <c r="E488" s="6"/>
      <c r="F488" s="6"/>
      <c r="G488" s="6"/>
      <c r="H488" s="6"/>
      <c r="J488" s="6"/>
      <c r="K488" s="6"/>
      <c r="L488" s="6"/>
    </row>
    <row r="489" spans="4:12" x14ac:dyDescent="0.2">
      <c r="D489" s="6"/>
      <c r="E489" s="6"/>
      <c r="F489" s="6"/>
      <c r="G489" s="6"/>
      <c r="H489" s="6"/>
      <c r="J489" s="6"/>
      <c r="K489" s="6"/>
      <c r="L489" s="6"/>
    </row>
    <row r="490" spans="4:12" x14ac:dyDescent="0.2">
      <c r="D490" s="6"/>
      <c r="E490" s="6"/>
      <c r="F490" s="6"/>
      <c r="G490" s="6"/>
      <c r="H490" s="6"/>
      <c r="J490" s="6"/>
      <c r="K490" s="6"/>
      <c r="L490" s="6"/>
    </row>
    <row r="491" spans="4:12" x14ac:dyDescent="0.2">
      <c r="D491" s="6"/>
      <c r="E491" s="6"/>
      <c r="F491" s="6"/>
      <c r="G491" s="6"/>
      <c r="H491" s="6"/>
      <c r="J491" s="6"/>
      <c r="K491" s="6"/>
      <c r="L491" s="6"/>
    </row>
    <row r="492" spans="4:12" x14ac:dyDescent="0.2">
      <c r="D492" s="6"/>
      <c r="E492" s="6"/>
      <c r="F492" s="6"/>
      <c r="G492" s="6"/>
      <c r="H492" s="6"/>
      <c r="J492" s="6"/>
      <c r="K492" s="6"/>
      <c r="L492" s="6"/>
    </row>
    <row r="493" spans="4:12" x14ac:dyDescent="0.2">
      <c r="D493" s="6"/>
      <c r="E493" s="6"/>
      <c r="F493" s="6"/>
      <c r="G493" s="6"/>
      <c r="H493" s="6"/>
      <c r="J493" s="6"/>
      <c r="K493" s="6"/>
      <c r="L493" s="6"/>
    </row>
    <row r="494" spans="4:12" x14ac:dyDescent="0.2">
      <c r="D494" s="6"/>
      <c r="E494" s="6"/>
      <c r="F494" s="6"/>
      <c r="G494" s="6"/>
      <c r="H494" s="6"/>
      <c r="J494" s="6"/>
      <c r="K494" s="6"/>
      <c r="L494" s="6"/>
    </row>
    <row r="495" spans="4:12" x14ac:dyDescent="0.2">
      <c r="D495" s="6"/>
      <c r="E495" s="6"/>
      <c r="F495" s="6"/>
      <c r="G495" s="6"/>
      <c r="H495" s="6"/>
      <c r="J495" s="6"/>
      <c r="K495" s="6"/>
      <c r="L495" s="6"/>
    </row>
    <row r="496" spans="4:12" x14ac:dyDescent="0.2">
      <c r="D496" s="6"/>
      <c r="E496" s="6"/>
      <c r="F496" s="6"/>
      <c r="G496" s="6"/>
      <c r="H496" s="6"/>
      <c r="J496" s="6"/>
      <c r="K496" s="6"/>
      <c r="L496" s="6"/>
    </row>
    <row r="497" spans="4:12" x14ac:dyDescent="0.2">
      <c r="D497" s="6"/>
      <c r="E497" s="6"/>
      <c r="F497" s="6"/>
      <c r="G497" s="6"/>
      <c r="H497" s="6"/>
      <c r="J497" s="6"/>
      <c r="K497" s="6"/>
      <c r="L497" s="6"/>
    </row>
    <row r="498" spans="4:12" x14ac:dyDescent="0.2">
      <c r="D498" s="6"/>
      <c r="E498" s="6"/>
      <c r="F498" s="6"/>
      <c r="G498" s="6"/>
      <c r="H498" s="6"/>
      <c r="J498" s="6"/>
      <c r="K498" s="6"/>
      <c r="L498" s="6"/>
    </row>
    <row r="499" spans="4:12" x14ac:dyDescent="0.2">
      <c r="D499" s="6"/>
      <c r="E499" s="6"/>
      <c r="F499" s="6"/>
      <c r="G499" s="6"/>
      <c r="H499" s="6"/>
      <c r="J499" s="6"/>
      <c r="K499" s="6"/>
      <c r="L499" s="6"/>
    </row>
    <row r="500" spans="4:12" x14ac:dyDescent="0.2">
      <c r="D500" s="6"/>
      <c r="E500" s="6"/>
      <c r="F500" s="6"/>
      <c r="G500" s="6"/>
      <c r="H500" s="6"/>
      <c r="J500" s="6"/>
      <c r="K500" s="6"/>
      <c r="L500" s="6"/>
    </row>
    <row r="501" spans="4:12" x14ac:dyDescent="0.2">
      <c r="D501" s="6"/>
      <c r="E501" s="6"/>
      <c r="F501" s="6"/>
      <c r="G501" s="6"/>
      <c r="H501" s="6"/>
      <c r="J501" s="6"/>
      <c r="K501" s="6"/>
      <c r="L501" s="6"/>
    </row>
    <row r="502" spans="4:12" x14ac:dyDescent="0.2">
      <c r="D502" s="6"/>
      <c r="E502" s="6"/>
      <c r="F502" s="6"/>
      <c r="G502" s="6"/>
      <c r="H502" s="6"/>
      <c r="J502" s="6"/>
      <c r="K502" s="6"/>
      <c r="L502" s="6"/>
    </row>
    <row r="503" spans="4:12" x14ac:dyDescent="0.2">
      <c r="D503" s="6"/>
      <c r="E503" s="6"/>
      <c r="F503" s="6"/>
      <c r="G503" s="6"/>
      <c r="H503" s="6"/>
      <c r="J503" s="6"/>
      <c r="K503" s="6"/>
      <c r="L503" s="6"/>
    </row>
    <row r="504" spans="4:12" x14ac:dyDescent="0.2">
      <c r="D504" s="6"/>
      <c r="E504" s="6"/>
      <c r="F504" s="6"/>
      <c r="G504" s="6"/>
      <c r="H504" s="6"/>
      <c r="J504" s="6"/>
      <c r="K504" s="6"/>
      <c r="L504" s="6"/>
    </row>
    <row r="505" spans="4:12" x14ac:dyDescent="0.2">
      <c r="D505" s="6"/>
      <c r="E505" s="6"/>
      <c r="F505" s="6"/>
      <c r="G505" s="6"/>
      <c r="H505" s="6"/>
      <c r="J505" s="6"/>
      <c r="K505" s="6"/>
      <c r="L505" s="6"/>
    </row>
    <row r="506" spans="4:12" x14ac:dyDescent="0.2">
      <c r="D506" s="6"/>
      <c r="E506" s="6"/>
      <c r="F506" s="6"/>
      <c r="G506" s="6"/>
      <c r="H506" s="6"/>
      <c r="J506" s="6"/>
      <c r="K506" s="6"/>
      <c r="L506" s="6"/>
    </row>
    <row r="507" spans="4:12" x14ac:dyDescent="0.2">
      <c r="D507" s="6"/>
      <c r="E507" s="6"/>
      <c r="F507" s="6"/>
      <c r="G507" s="6"/>
      <c r="H507" s="6"/>
      <c r="J507" s="6"/>
      <c r="K507" s="6"/>
      <c r="L507" s="6"/>
    </row>
    <row r="508" spans="4:12" x14ac:dyDescent="0.2">
      <c r="D508" s="6"/>
      <c r="E508" s="6"/>
      <c r="F508" s="6"/>
      <c r="G508" s="6"/>
      <c r="H508" s="6"/>
      <c r="J508" s="6"/>
      <c r="K508" s="6"/>
      <c r="L508" s="6"/>
    </row>
    <row r="509" spans="4:12" x14ac:dyDescent="0.2">
      <c r="D509" s="6"/>
      <c r="E509" s="6"/>
      <c r="F509" s="6"/>
      <c r="G509" s="6"/>
      <c r="H509" s="6"/>
      <c r="J509" s="6"/>
      <c r="K509" s="6"/>
      <c r="L509" s="6"/>
    </row>
    <row r="510" spans="4:12" x14ac:dyDescent="0.2">
      <c r="D510" s="6"/>
      <c r="E510" s="6"/>
      <c r="F510" s="6"/>
      <c r="G510" s="6"/>
      <c r="H510" s="6"/>
      <c r="J510" s="6"/>
      <c r="K510" s="6"/>
      <c r="L510" s="6"/>
    </row>
    <row r="511" spans="4:12" x14ac:dyDescent="0.2">
      <c r="D511" s="6"/>
      <c r="E511" s="6"/>
      <c r="F511" s="6"/>
      <c r="G511" s="6"/>
      <c r="H511" s="6"/>
      <c r="J511" s="6"/>
      <c r="K511" s="6"/>
      <c r="L511" s="6"/>
    </row>
    <row r="512" spans="4:12" x14ac:dyDescent="0.2">
      <c r="D512" s="6"/>
      <c r="E512" s="6"/>
      <c r="F512" s="6"/>
      <c r="G512" s="6"/>
      <c r="H512" s="6"/>
      <c r="J512" s="6"/>
      <c r="K512" s="6"/>
      <c r="L512" s="6"/>
    </row>
    <row r="513" spans="4:12" x14ac:dyDescent="0.2">
      <c r="D513" s="6"/>
      <c r="E513" s="6"/>
      <c r="F513" s="6"/>
      <c r="G513" s="6"/>
      <c r="H513" s="6"/>
      <c r="J513" s="6"/>
      <c r="K513" s="6"/>
      <c r="L513" s="6"/>
    </row>
    <row r="514" spans="4:12" x14ac:dyDescent="0.2">
      <c r="D514" s="6"/>
      <c r="E514" s="6"/>
      <c r="F514" s="6"/>
      <c r="G514" s="6"/>
      <c r="H514" s="6"/>
      <c r="J514" s="6"/>
      <c r="K514" s="6"/>
      <c r="L514" s="6"/>
    </row>
    <row r="515" spans="4:12" x14ac:dyDescent="0.2">
      <c r="D515" s="6"/>
      <c r="E515" s="6"/>
      <c r="F515" s="6"/>
      <c r="G515" s="6"/>
      <c r="H515" s="6"/>
      <c r="J515" s="6"/>
      <c r="K515" s="6"/>
      <c r="L515" s="6"/>
    </row>
    <row r="516" spans="4:12" x14ac:dyDescent="0.2">
      <c r="D516" s="6"/>
      <c r="E516" s="6"/>
      <c r="F516" s="6"/>
      <c r="G516" s="6"/>
      <c r="H516" s="6"/>
      <c r="J516" s="6"/>
      <c r="K516" s="6"/>
      <c r="L516" s="6"/>
    </row>
    <row r="517" spans="4:12" x14ac:dyDescent="0.2">
      <c r="D517" s="6"/>
      <c r="E517" s="6"/>
      <c r="F517" s="6"/>
      <c r="G517" s="6"/>
      <c r="H517" s="6"/>
      <c r="J517" s="6"/>
      <c r="K517" s="6"/>
      <c r="L517" s="6"/>
    </row>
    <row r="518" spans="4:12" x14ac:dyDescent="0.2">
      <c r="D518" s="6"/>
      <c r="E518" s="6"/>
      <c r="F518" s="6"/>
      <c r="G518" s="6"/>
      <c r="H518" s="6"/>
      <c r="J518" s="6"/>
      <c r="K518" s="6"/>
      <c r="L518" s="6"/>
    </row>
    <row r="519" spans="4:12" x14ac:dyDescent="0.2">
      <c r="D519" s="6"/>
      <c r="E519" s="6"/>
      <c r="F519" s="6"/>
      <c r="G519" s="6"/>
      <c r="H519" s="6"/>
      <c r="J519" s="6"/>
      <c r="K519" s="6"/>
      <c r="L519" s="6"/>
    </row>
    <row r="520" spans="4:12" x14ac:dyDescent="0.2">
      <c r="D520" s="6"/>
      <c r="E520" s="6"/>
      <c r="F520" s="6"/>
      <c r="G520" s="6"/>
      <c r="H520" s="6"/>
      <c r="J520" s="6"/>
      <c r="K520" s="6"/>
      <c r="L520" s="6"/>
    </row>
    <row r="521" spans="4:12" x14ac:dyDescent="0.2">
      <c r="D521" s="6"/>
      <c r="E521" s="6"/>
      <c r="F521" s="6"/>
      <c r="G521" s="6"/>
      <c r="H521" s="6"/>
      <c r="J521" s="6"/>
      <c r="K521" s="6"/>
      <c r="L521" s="6"/>
    </row>
    <row r="522" spans="4:12" x14ac:dyDescent="0.2">
      <c r="D522" s="6"/>
      <c r="E522" s="6"/>
      <c r="F522" s="6"/>
      <c r="G522" s="6"/>
      <c r="H522" s="6"/>
      <c r="J522" s="6"/>
      <c r="K522" s="6"/>
      <c r="L522" s="6"/>
    </row>
    <row r="523" spans="4:12" x14ac:dyDescent="0.2">
      <c r="D523" s="6"/>
      <c r="E523" s="6"/>
      <c r="F523" s="6"/>
      <c r="G523" s="6"/>
      <c r="H523" s="6"/>
      <c r="J523" s="6"/>
      <c r="K523" s="6"/>
      <c r="L523" s="6"/>
    </row>
    <row r="524" spans="4:12" x14ac:dyDescent="0.2">
      <c r="D524" s="6"/>
      <c r="E524" s="6"/>
      <c r="F524" s="6"/>
      <c r="G524" s="6"/>
      <c r="H524" s="6"/>
      <c r="J524" s="6"/>
      <c r="K524" s="6"/>
      <c r="L524" s="6"/>
    </row>
    <row r="525" spans="4:12" x14ac:dyDescent="0.2">
      <c r="D525" s="6"/>
      <c r="E525" s="6"/>
      <c r="F525" s="6"/>
      <c r="G525" s="6"/>
      <c r="H525" s="6"/>
      <c r="J525" s="6"/>
      <c r="K525" s="6"/>
      <c r="L525" s="6"/>
    </row>
    <row r="526" spans="4:12" x14ac:dyDescent="0.2">
      <c r="D526" s="6"/>
      <c r="E526" s="6"/>
      <c r="F526" s="6"/>
      <c r="G526" s="6"/>
      <c r="H526" s="6"/>
      <c r="J526" s="6"/>
      <c r="K526" s="6"/>
      <c r="L526" s="6"/>
    </row>
    <row r="527" spans="4:12" x14ac:dyDescent="0.2">
      <c r="D527" s="6"/>
      <c r="E527" s="6"/>
      <c r="F527" s="6"/>
      <c r="G527" s="6"/>
      <c r="H527" s="6"/>
      <c r="J527" s="6"/>
      <c r="K527" s="6"/>
      <c r="L527" s="6"/>
    </row>
    <row r="528" spans="4:12" x14ac:dyDescent="0.2">
      <c r="D528" s="6"/>
      <c r="E528" s="6"/>
      <c r="F528" s="6"/>
      <c r="G528" s="6"/>
      <c r="H528" s="6"/>
      <c r="J528" s="6"/>
      <c r="K528" s="6"/>
      <c r="L528" s="6"/>
    </row>
    <row r="529" spans="4:12" x14ac:dyDescent="0.2">
      <c r="D529" s="6"/>
      <c r="E529" s="6"/>
      <c r="F529" s="6"/>
      <c r="G529" s="6"/>
      <c r="H529" s="6"/>
      <c r="J529" s="6"/>
      <c r="K529" s="6"/>
      <c r="L529" s="6"/>
    </row>
    <row r="530" spans="4:12" x14ac:dyDescent="0.2">
      <c r="D530" s="6"/>
      <c r="E530" s="6"/>
      <c r="F530" s="6"/>
      <c r="G530" s="6"/>
      <c r="H530" s="6"/>
      <c r="J530" s="6"/>
      <c r="K530" s="6"/>
      <c r="L530" s="6"/>
    </row>
    <row r="531" spans="4:12" x14ac:dyDescent="0.2">
      <c r="D531" s="6"/>
      <c r="E531" s="6"/>
      <c r="F531" s="6"/>
      <c r="G531" s="6"/>
      <c r="H531" s="6"/>
      <c r="J531" s="6"/>
      <c r="K531" s="6"/>
      <c r="L531" s="6"/>
    </row>
    <row r="532" spans="4:12" x14ac:dyDescent="0.2">
      <c r="D532" s="6"/>
      <c r="E532" s="6"/>
      <c r="F532" s="6"/>
      <c r="G532" s="6"/>
      <c r="H532" s="6"/>
      <c r="J532" s="6"/>
      <c r="K532" s="6"/>
      <c r="L532" s="6"/>
    </row>
    <row r="533" spans="4:12" x14ac:dyDescent="0.2">
      <c r="D533" s="6"/>
      <c r="E533" s="6"/>
      <c r="F533" s="6"/>
      <c r="G533" s="6"/>
      <c r="H533" s="6"/>
      <c r="J533" s="6"/>
      <c r="K533" s="6"/>
      <c r="L533" s="6"/>
    </row>
    <row r="534" spans="4:12" x14ac:dyDescent="0.2">
      <c r="D534" s="6"/>
      <c r="E534" s="6"/>
      <c r="F534" s="6"/>
      <c r="G534" s="6"/>
      <c r="H534" s="6"/>
      <c r="J534" s="6"/>
      <c r="K534" s="6"/>
      <c r="L534" s="6"/>
    </row>
    <row r="535" spans="4:12" x14ac:dyDescent="0.2">
      <c r="D535" s="6"/>
      <c r="E535" s="6"/>
      <c r="F535" s="6"/>
      <c r="G535" s="6"/>
      <c r="H535" s="6"/>
      <c r="J535" s="6"/>
      <c r="K535" s="6"/>
      <c r="L535" s="6"/>
    </row>
    <row r="536" spans="4:12" x14ac:dyDescent="0.2">
      <c r="D536" s="6"/>
      <c r="E536" s="6"/>
      <c r="F536" s="6"/>
      <c r="G536" s="6"/>
      <c r="H536" s="6"/>
      <c r="J536" s="6"/>
      <c r="K536" s="6"/>
      <c r="L536" s="6"/>
    </row>
    <row r="537" spans="4:12" x14ac:dyDescent="0.2">
      <c r="D537" s="6"/>
      <c r="E537" s="6"/>
      <c r="F537" s="6"/>
      <c r="G537" s="6"/>
      <c r="H537" s="6"/>
      <c r="J537" s="6"/>
      <c r="K537" s="6"/>
      <c r="L537" s="6"/>
    </row>
    <row r="538" spans="4:12" x14ac:dyDescent="0.2">
      <c r="D538" s="6"/>
      <c r="E538" s="6"/>
      <c r="F538" s="6"/>
      <c r="G538" s="6"/>
      <c r="H538" s="6"/>
      <c r="J538" s="6"/>
      <c r="K538" s="6"/>
      <c r="L538" s="6"/>
    </row>
    <row r="539" spans="4:12" x14ac:dyDescent="0.2">
      <c r="D539" s="6"/>
      <c r="E539" s="6"/>
      <c r="F539" s="6"/>
      <c r="G539" s="6"/>
      <c r="H539" s="6"/>
      <c r="J539" s="6"/>
      <c r="K539" s="6"/>
      <c r="L539" s="6"/>
    </row>
    <row r="540" spans="4:12" x14ac:dyDescent="0.2">
      <c r="D540" s="6"/>
      <c r="E540" s="6"/>
      <c r="F540" s="6"/>
      <c r="G540" s="6"/>
      <c r="H540" s="6"/>
      <c r="J540" s="6"/>
      <c r="K540" s="6"/>
      <c r="L540" s="6"/>
    </row>
    <row r="541" spans="4:12" x14ac:dyDescent="0.2">
      <c r="D541" s="6"/>
      <c r="E541" s="6"/>
      <c r="F541" s="6"/>
      <c r="G541" s="6"/>
      <c r="H541" s="6"/>
      <c r="J541" s="6"/>
      <c r="K541" s="6"/>
      <c r="L541" s="6"/>
    </row>
    <row r="542" spans="4:12" x14ac:dyDescent="0.2">
      <c r="D542" s="6"/>
      <c r="E542" s="6"/>
      <c r="F542" s="6"/>
      <c r="G542" s="6"/>
      <c r="H542" s="6"/>
      <c r="J542" s="6"/>
      <c r="K542" s="6"/>
      <c r="L542" s="6"/>
    </row>
    <row r="543" spans="4:12" x14ac:dyDescent="0.2">
      <c r="D543" s="6"/>
      <c r="E543" s="6"/>
      <c r="F543" s="6"/>
      <c r="G543" s="6"/>
      <c r="H543" s="6"/>
      <c r="J543" s="6"/>
      <c r="K543" s="6"/>
      <c r="L543" s="6"/>
    </row>
    <row r="544" spans="4:12" x14ac:dyDescent="0.2">
      <c r="D544" s="6"/>
      <c r="E544" s="6"/>
      <c r="F544" s="6"/>
      <c r="G544" s="6"/>
      <c r="H544" s="6"/>
      <c r="J544" s="6"/>
      <c r="K544" s="6"/>
      <c r="L544" s="6"/>
    </row>
    <row r="545" spans="4:12" x14ac:dyDescent="0.2">
      <c r="D545" s="6"/>
      <c r="E545" s="6"/>
      <c r="F545" s="6"/>
      <c r="G545" s="6"/>
      <c r="H545" s="6"/>
      <c r="J545" s="6"/>
      <c r="K545" s="6"/>
      <c r="L545" s="6"/>
    </row>
    <row r="546" spans="4:12" x14ac:dyDescent="0.2">
      <c r="D546" s="6"/>
      <c r="E546" s="6"/>
      <c r="F546" s="6"/>
      <c r="G546" s="6"/>
      <c r="H546" s="6"/>
      <c r="J546" s="6"/>
      <c r="K546" s="6"/>
      <c r="L546" s="6"/>
    </row>
    <row r="547" spans="4:12" x14ac:dyDescent="0.2">
      <c r="D547" s="6"/>
      <c r="E547" s="6"/>
      <c r="F547" s="6"/>
      <c r="G547" s="6"/>
      <c r="H547" s="6"/>
      <c r="J547" s="6"/>
      <c r="K547" s="6"/>
      <c r="L547" s="6"/>
    </row>
    <row r="548" spans="4:12" x14ac:dyDescent="0.2">
      <c r="D548" s="6"/>
      <c r="E548" s="6"/>
      <c r="F548" s="6"/>
      <c r="G548" s="6"/>
      <c r="H548" s="6"/>
      <c r="J548" s="6"/>
      <c r="K548" s="6"/>
      <c r="L548" s="6"/>
    </row>
    <row r="549" spans="4:12" x14ac:dyDescent="0.2">
      <c r="D549" s="6"/>
      <c r="E549" s="6"/>
      <c r="F549" s="6"/>
      <c r="G549" s="6"/>
      <c r="H549" s="6"/>
      <c r="J549" s="6"/>
      <c r="K549" s="6"/>
      <c r="L549" s="6"/>
    </row>
    <row r="550" spans="4:12" x14ac:dyDescent="0.2">
      <c r="D550" s="6"/>
      <c r="E550" s="6"/>
      <c r="F550" s="6"/>
      <c r="G550" s="6"/>
      <c r="H550" s="6"/>
      <c r="J550" s="6"/>
      <c r="K550" s="6"/>
      <c r="L550" s="6"/>
    </row>
    <row r="551" spans="4:12" x14ac:dyDescent="0.2">
      <c r="D551" s="6"/>
      <c r="E551" s="6"/>
      <c r="F551" s="6"/>
      <c r="G551" s="6"/>
      <c r="H551" s="6"/>
      <c r="J551" s="6"/>
      <c r="K551" s="6"/>
      <c r="L551" s="6"/>
    </row>
    <row r="552" spans="4:12" x14ac:dyDescent="0.2">
      <c r="D552" s="6"/>
      <c r="E552" s="6"/>
      <c r="F552" s="6"/>
      <c r="G552" s="6"/>
      <c r="H552" s="6"/>
      <c r="J552" s="6"/>
      <c r="K552" s="6"/>
      <c r="L552" s="6"/>
    </row>
    <row r="553" spans="4:12" x14ac:dyDescent="0.2">
      <c r="D553" s="6"/>
      <c r="E553" s="6"/>
      <c r="F553" s="6"/>
      <c r="G553" s="6"/>
      <c r="H553" s="6"/>
      <c r="J553" s="6"/>
      <c r="K553" s="6"/>
      <c r="L553" s="6"/>
    </row>
    <row r="554" spans="4:12" x14ac:dyDescent="0.2">
      <c r="D554" s="6"/>
      <c r="E554" s="6"/>
      <c r="F554" s="6"/>
      <c r="G554" s="6"/>
      <c r="H554" s="6"/>
      <c r="J554" s="6"/>
      <c r="K554" s="6"/>
      <c r="L554" s="6"/>
    </row>
    <row r="555" spans="4:12" x14ac:dyDescent="0.2">
      <c r="D555" s="6"/>
      <c r="E555" s="6"/>
      <c r="F555" s="6"/>
      <c r="G555" s="6"/>
      <c r="H555" s="6"/>
      <c r="J555" s="6"/>
      <c r="K555" s="6"/>
      <c r="L555" s="6"/>
    </row>
    <row r="556" spans="4:12" x14ac:dyDescent="0.2">
      <c r="D556" s="6"/>
      <c r="E556" s="6"/>
      <c r="F556" s="6"/>
      <c r="G556" s="6"/>
      <c r="H556" s="6"/>
      <c r="J556" s="6"/>
      <c r="K556" s="6"/>
      <c r="L556" s="6"/>
    </row>
    <row r="557" spans="4:12" x14ac:dyDescent="0.2">
      <c r="D557" s="6"/>
      <c r="E557" s="6"/>
      <c r="F557" s="6"/>
      <c r="G557" s="6"/>
      <c r="H557" s="6"/>
      <c r="J557" s="6"/>
      <c r="K557" s="6"/>
      <c r="L557" s="6"/>
    </row>
    <row r="558" spans="4:12" x14ac:dyDescent="0.2">
      <c r="D558" s="6"/>
      <c r="E558" s="6"/>
      <c r="F558" s="6"/>
      <c r="G558" s="6"/>
      <c r="H558" s="6"/>
      <c r="J558" s="6"/>
      <c r="K558" s="6"/>
      <c r="L558" s="6"/>
    </row>
    <row r="559" spans="4:12" x14ac:dyDescent="0.2">
      <c r="D559" s="6"/>
      <c r="E559" s="6"/>
      <c r="F559" s="6"/>
      <c r="G559" s="6"/>
      <c r="H559" s="6"/>
      <c r="J559" s="6"/>
      <c r="K559" s="6"/>
      <c r="L559" s="6"/>
    </row>
    <row r="560" spans="4:12" x14ac:dyDescent="0.2">
      <c r="D560" s="6"/>
      <c r="E560" s="6"/>
      <c r="F560" s="6"/>
      <c r="G560" s="6"/>
      <c r="H560" s="6"/>
      <c r="J560" s="6"/>
      <c r="K560" s="6"/>
      <c r="L560" s="6"/>
    </row>
    <row r="561" spans="4:12" x14ac:dyDescent="0.2">
      <c r="D561" s="6"/>
      <c r="E561" s="6"/>
      <c r="F561" s="6"/>
      <c r="G561" s="6"/>
      <c r="H561" s="6"/>
      <c r="J561" s="6"/>
      <c r="K561" s="6"/>
      <c r="L561" s="6"/>
    </row>
    <row r="562" spans="4:12" x14ac:dyDescent="0.2">
      <c r="D562" s="6"/>
      <c r="E562" s="6"/>
      <c r="F562" s="6"/>
      <c r="G562" s="6"/>
      <c r="H562" s="6"/>
      <c r="J562" s="6"/>
      <c r="K562" s="6"/>
      <c r="L562" s="6"/>
    </row>
    <row r="563" spans="4:12" x14ac:dyDescent="0.2">
      <c r="D563" s="6"/>
      <c r="E563" s="6"/>
      <c r="F563" s="6"/>
      <c r="G563" s="6"/>
      <c r="H563" s="6"/>
      <c r="J563" s="6"/>
      <c r="K563" s="6"/>
      <c r="L563" s="6"/>
    </row>
    <row r="564" spans="4:12" x14ac:dyDescent="0.2">
      <c r="D564" s="6"/>
      <c r="E564" s="6"/>
      <c r="F564" s="6"/>
      <c r="G564" s="6"/>
      <c r="H564" s="6"/>
      <c r="J564" s="6"/>
      <c r="K564" s="6"/>
      <c r="L564" s="6"/>
    </row>
    <row r="565" spans="4:12" x14ac:dyDescent="0.2">
      <c r="D565" s="6"/>
      <c r="E565" s="6"/>
      <c r="F565" s="6"/>
      <c r="G565" s="6"/>
      <c r="H565" s="6"/>
      <c r="J565" s="6"/>
      <c r="K565" s="6"/>
      <c r="L565" s="6"/>
    </row>
    <row r="566" spans="4:12" x14ac:dyDescent="0.2">
      <c r="D566" s="6"/>
      <c r="E566" s="6"/>
      <c r="F566" s="6"/>
      <c r="G566" s="6"/>
      <c r="H566" s="6"/>
      <c r="J566" s="6"/>
      <c r="K566" s="6"/>
      <c r="L566" s="6"/>
    </row>
    <row r="567" spans="4:12" x14ac:dyDescent="0.2">
      <c r="D567" s="6"/>
      <c r="E567" s="6"/>
      <c r="F567" s="6"/>
      <c r="G567" s="6"/>
      <c r="H567" s="6"/>
      <c r="J567" s="6"/>
      <c r="K567" s="6"/>
      <c r="L567" s="6"/>
    </row>
    <row r="568" spans="4:12" x14ac:dyDescent="0.2">
      <c r="D568" s="6"/>
      <c r="E568" s="6"/>
      <c r="F568" s="6"/>
      <c r="G568" s="6"/>
      <c r="H568" s="6"/>
      <c r="J568" s="6"/>
      <c r="K568" s="6"/>
      <c r="L568" s="6"/>
    </row>
    <row r="569" spans="4:12" x14ac:dyDescent="0.2">
      <c r="D569" s="6"/>
      <c r="E569" s="6"/>
      <c r="F569" s="6"/>
      <c r="G569" s="6"/>
      <c r="H569" s="6"/>
      <c r="J569" s="6"/>
      <c r="K569" s="6"/>
      <c r="L569" s="6"/>
    </row>
    <row r="570" spans="4:12" x14ac:dyDescent="0.2">
      <c r="D570" s="6"/>
      <c r="E570" s="6"/>
      <c r="F570" s="6"/>
      <c r="G570" s="6"/>
      <c r="H570" s="6"/>
      <c r="J570" s="6"/>
      <c r="K570" s="6"/>
      <c r="L570" s="6"/>
    </row>
    <row r="571" spans="4:12" x14ac:dyDescent="0.2">
      <c r="D571" s="6"/>
      <c r="E571" s="6"/>
      <c r="F571" s="6"/>
      <c r="G571" s="6"/>
      <c r="H571" s="6"/>
      <c r="J571" s="6"/>
      <c r="K571" s="6"/>
      <c r="L571" s="6"/>
    </row>
    <row r="572" spans="4:12" x14ac:dyDescent="0.2">
      <c r="D572" s="6"/>
      <c r="E572" s="6"/>
      <c r="F572" s="6"/>
      <c r="G572" s="6"/>
      <c r="H572" s="6"/>
      <c r="J572" s="6"/>
      <c r="K572" s="6"/>
      <c r="L572" s="6"/>
    </row>
    <row r="573" spans="4:12" x14ac:dyDescent="0.2">
      <c r="D573" s="6"/>
      <c r="E573" s="6"/>
      <c r="F573" s="6"/>
      <c r="G573" s="6"/>
      <c r="H573" s="6"/>
      <c r="J573" s="6"/>
      <c r="K573" s="6"/>
      <c r="L573" s="6"/>
    </row>
    <row r="574" spans="4:12" x14ac:dyDescent="0.2">
      <c r="D574" s="6"/>
      <c r="E574" s="6"/>
      <c r="F574" s="6"/>
      <c r="G574" s="6"/>
      <c r="H574" s="6"/>
      <c r="J574" s="6"/>
      <c r="K574" s="6"/>
      <c r="L574" s="6"/>
    </row>
    <row r="575" spans="4:12" x14ac:dyDescent="0.2">
      <c r="D575" s="6"/>
      <c r="E575" s="6"/>
      <c r="F575" s="6"/>
      <c r="G575" s="6"/>
      <c r="H575" s="6"/>
      <c r="J575" s="6"/>
      <c r="K575" s="6"/>
      <c r="L575" s="6"/>
    </row>
    <row r="576" spans="4:12" x14ac:dyDescent="0.2">
      <c r="D576" s="6"/>
      <c r="E576" s="6"/>
      <c r="F576" s="6"/>
      <c r="G576" s="6"/>
      <c r="H576" s="6"/>
      <c r="J576" s="6"/>
      <c r="K576" s="6"/>
      <c r="L576" s="6"/>
    </row>
    <row r="577" spans="4:12" x14ac:dyDescent="0.2">
      <c r="D577" s="6"/>
      <c r="E577" s="6"/>
      <c r="F577" s="6"/>
      <c r="G577" s="6"/>
      <c r="H577" s="6"/>
      <c r="J577" s="6"/>
      <c r="K577" s="6"/>
      <c r="L577" s="6"/>
    </row>
    <row r="578" spans="4:12" x14ac:dyDescent="0.2">
      <c r="D578" s="6"/>
      <c r="E578" s="6"/>
      <c r="F578" s="6"/>
      <c r="G578" s="6"/>
      <c r="H578" s="6"/>
      <c r="J578" s="6"/>
      <c r="K578" s="6"/>
      <c r="L578" s="6"/>
    </row>
    <row r="579" spans="4:12" x14ac:dyDescent="0.2">
      <c r="D579" s="6"/>
      <c r="E579" s="6"/>
      <c r="F579" s="6"/>
      <c r="G579" s="6"/>
      <c r="H579" s="6"/>
      <c r="J579" s="6"/>
      <c r="K579" s="6"/>
      <c r="L579" s="6"/>
    </row>
    <row r="580" spans="4:12" x14ac:dyDescent="0.2">
      <c r="D580" s="6"/>
      <c r="E580" s="6"/>
      <c r="F580" s="6"/>
      <c r="G580" s="6"/>
      <c r="H580" s="6"/>
      <c r="J580" s="6"/>
      <c r="K580" s="6"/>
      <c r="L580" s="6"/>
    </row>
    <row r="581" spans="4:12" x14ac:dyDescent="0.2">
      <c r="D581" s="6"/>
      <c r="E581" s="6"/>
      <c r="F581" s="6"/>
      <c r="G581" s="6"/>
      <c r="H581" s="6"/>
      <c r="J581" s="6"/>
      <c r="K581" s="6"/>
      <c r="L581" s="6"/>
    </row>
    <row r="582" spans="4:12" x14ac:dyDescent="0.2">
      <c r="D582" s="6"/>
      <c r="E582" s="6"/>
      <c r="F582" s="6"/>
      <c r="G582" s="6"/>
      <c r="H582" s="6"/>
      <c r="J582" s="6"/>
      <c r="K582" s="6"/>
      <c r="L582" s="6"/>
    </row>
    <row r="583" spans="4:12" x14ac:dyDescent="0.2">
      <c r="D583" s="6"/>
      <c r="E583" s="6"/>
      <c r="F583" s="6"/>
      <c r="G583" s="6"/>
      <c r="H583" s="6"/>
      <c r="J583" s="6"/>
      <c r="K583" s="6"/>
      <c r="L583" s="6"/>
    </row>
    <row r="584" spans="4:12" x14ac:dyDescent="0.2">
      <c r="D584" s="6"/>
      <c r="E584" s="6"/>
      <c r="F584" s="6"/>
      <c r="G584" s="6"/>
      <c r="H584" s="6"/>
      <c r="J584" s="6"/>
      <c r="K584" s="6"/>
      <c r="L584" s="6"/>
    </row>
    <row r="585" spans="4:12" x14ac:dyDescent="0.2">
      <c r="D585" s="6"/>
      <c r="E585" s="6"/>
      <c r="F585" s="6"/>
      <c r="G585" s="6"/>
      <c r="H585" s="6"/>
      <c r="J585" s="6"/>
      <c r="K585" s="6"/>
      <c r="L585" s="6"/>
    </row>
    <row r="586" spans="4:12" x14ac:dyDescent="0.2">
      <c r="D586" s="6"/>
      <c r="E586" s="6"/>
      <c r="F586" s="6"/>
      <c r="G586" s="6"/>
      <c r="H586" s="6"/>
      <c r="J586" s="6"/>
      <c r="K586" s="6"/>
      <c r="L586" s="6"/>
    </row>
    <row r="587" spans="4:12" x14ac:dyDescent="0.2">
      <c r="D587" s="6"/>
      <c r="E587" s="6"/>
      <c r="F587" s="6"/>
      <c r="G587" s="6"/>
      <c r="H587" s="6"/>
      <c r="J587" s="6"/>
      <c r="K587" s="6"/>
      <c r="L587" s="6"/>
    </row>
    <row r="588" spans="4:12" x14ac:dyDescent="0.2">
      <c r="D588" s="6"/>
      <c r="E588" s="6"/>
      <c r="F588" s="6"/>
      <c r="G588" s="6"/>
      <c r="H588" s="6"/>
      <c r="J588" s="6"/>
      <c r="K588" s="6"/>
      <c r="L588" s="6"/>
    </row>
    <row r="589" spans="4:12" x14ac:dyDescent="0.2">
      <c r="D589" s="6"/>
      <c r="E589" s="6"/>
      <c r="F589" s="6"/>
      <c r="G589" s="6"/>
      <c r="H589" s="6"/>
      <c r="J589" s="6"/>
      <c r="K589" s="6"/>
      <c r="L589" s="6"/>
    </row>
    <row r="590" spans="4:12" x14ac:dyDescent="0.2">
      <c r="D590" s="6"/>
      <c r="E590" s="6"/>
      <c r="F590" s="6"/>
      <c r="G590" s="6"/>
      <c r="H590" s="6"/>
      <c r="J590" s="6"/>
      <c r="K590" s="6"/>
      <c r="L590" s="6"/>
    </row>
    <row r="591" spans="4:12" x14ac:dyDescent="0.2">
      <c r="D591" s="6"/>
      <c r="E591" s="6"/>
      <c r="F591" s="6"/>
      <c r="G591" s="6"/>
      <c r="H591" s="6"/>
      <c r="J591" s="6"/>
      <c r="K591" s="6"/>
      <c r="L591" s="6"/>
    </row>
    <row r="592" spans="4:12" x14ac:dyDescent="0.2">
      <c r="D592" s="6"/>
      <c r="E592" s="6"/>
      <c r="F592" s="6"/>
      <c r="G592" s="6"/>
      <c r="H592" s="6"/>
      <c r="J592" s="6"/>
      <c r="K592" s="6"/>
      <c r="L592" s="6"/>
    </row>
    <row r="593" spans="4:12" x14ac:dyDescent="0.2">
      <c r="D593" s="6"/>
      <c r="E593" s="6"/>
      <c r="F593" s="6"/>
      <c r="G593" s="6"/>
      <c r="H593" s="6"/>
      <c r="J593" s="6"/>
      <c r="K593" s="6"/>
      <c r="L593" s="6"/>
    </row>
    <row r="594" spans="4:12" x14ac:dyDescent="0.2">
      <c r="D594" s="6"/>
      <c r="E594" s="6"/>
      <c r="F594" s="6"/>
      <c r="G594" s="6"/>
      <c r="H594" s="6"/>
      <c r="J594" s="6"/>
      <c r="K594" s="6"/>
      <c r="L594" s="6"/>
    </row>
    <row r="595" spans="4:12" x14ac:dyDescent="0.2">
      <c r="D595" s="6"/>
      <c r="E595" s="6"/>
      <c r="F595" s="6"/>
      <c r="G595" s="6"/>
      <c r="H595" s="6"/>
      <c r="J595" s="6"/>
      <c r="K595" s="6"/>
      <c r="L595" s="6"/>
    </row>
    <row r="596" spans="4:12" x14ac:dyDescent="0.2">
      <c r="D596" s="6"/>
      <c r="E596" s="6"/>
      <c r="F596" s="6"/>
      <c r="G596" s="6"/>
      <c r="H596" s="6"/>
      <c r="J596" s="6"/>
      <c r="K596" s="6"/>
      <c r="L596" s="6"/>
    </row>
    <row r="597" spans="4:12" x14ac:dyDescent="0.2">
      <c r="D597" s="6"/>
      <c r="E597" s="6"/>
      <c r="F597" s="6"/>
      <c r="G597" s="6"/>
      <c r="H597" s="6"/>
      <c r="J597" s="6"/>
      <c r="K597" s="6"/>
      <c r="L597" s="6"/>
    </row>
    <row r="598" spans="4:12" x14ac:dyDescent="0.2">
      <c r="D598" s="6"/>
      <c r="E598" s="6"/>
      <c r="F598" s="6"/>
      <c r="G598" s="6"/>
      <c r="H598" s="6"/>
      <c r="J598" s="6"/>
      <c r="K598" s="6"/>
      <c r="L598" s="6"/>
    </row>
    <row r="599" spans="4:12" x14ac:dyDescent="0.2">
      <c r="D599" s="6"/>
      <c r="E599" s="6"/>
      <c r="F599" s="6"/>
      <c r="G599" s="6"/>
      <c r="H599" s="6"/>
      <c r="J599" s="6"/>
      <c r="K599" s="6"/>
      <c r="L599" s="6"/>
    </row>
    <row r="600" spans="4:12" x14ac:dyDescent="0.2">
      <c r="D600" s="6"/>
      <c r="E600" s="6"/>
      <c r="F600" s="6"/>
      <c r="G600" s="6"/>
      <c r="H600" s="6"/>
      <c r="J600" s="6"/>
      <c r="K600" s="6"/>
      <c r="L600" s="6"/>
    </row>
    <row r="601" spans="4:12" x14ac:dyDescent="0.2">
      <c r="D601" s="6"/>
      <c r="E601" s="6"/>
      <c r="F601" s="6"/>
      <c r="G601" s="6"/>
      <c r="H601" s="6"/>
      <c r="J601" s="6"/>
      <c r="K601" s="6"/>
      <c r="L601" s="6"/>
    </row>
    <row r="602" spans="4:12" x14ac:dyDescent="0.2">
      <c r="D602" s="6"/>
      <c r="E602" s="6"/>
      <c r="F602" s="6"/>
      <c r="G602" s="6"/>
      <c r="H602" s="6"/>
      <c r="J602" s="6"/>
      <c r="K602" s="6"/>
      <c r="L602" s="6"/>
    </row>
    <row r="603" spans="4:12" x14ac:dyDescent="0.2">
      <c r="D603" s="6"/>
      <c r="E603" s="6"/>
      <c r="F603" s="6"/>
      <c r="G603" s="6"/>
      <c r="H603" s="6"/>
      <c r="J603" s="6"/>
      <c r="K603" s="6"/>
      <c r="L603" s="6"/>
    </row>
    <row r="604" spans="4:12" x14ac:dyDescent="0.2">
      <c r="D604" s="6"/>
      <c r="E604" s="6"/>
      <c r="F604" s="6"/>
      <c r="G604" s="6"/>
      <c r="H604" s="6"/>
      <c r="J604" s="6"/>
      <c r="K604" s="6"/>
      <c r="L604" s="6"/>
    </row>
    <row r="605" spans="4:12" x14ac:dyDescent="0.2">
      <c r="D605" s="6"/>
      <c r="E605" s="6"/>
      <c r="F605" s="6"/>
      <c r="G605" s="6"/>
      <c r="H605" s="6"/>
      <c r="J605" s="6"/>
      <c r="K605" s="6"/>
      <c r="L605" s="6"/>
    </row>
    <row r="606" spans="4:12" x14ac:dyDescent="0.2">
      <c r="D606" s="6"/>
      <c r="E606" s="6"/>
      <c r="F606" s="6"/>
      <c r="G606" s="6"/>
      <c r="H606" s="6"/>
      <c r="J606" s="6"/>
      <c r="K606" s="6"/>
      <c r="L606" s="6"/>
    </row>
    <row r="607" spans="4:12" x14ac:dyDescent="0.2">
      <c r="D607" s="6"/>
      <c r="E607" s="6"/>
      <c r="F607" s="6"/>
      <c r="G607" s="6"/>
      <c r="H607" s="6"/>
      <c r="J607" s="6"/>
      <c r="K607" s="6"/>
      <c r="L607" s="6"/>
    </row>
    <row r="608" spans="4:12" x14ac:dyDescent="0.2">
      <c r="D608" s="6"/>
      <c r="E608" s="6"/>
      <c r="F608" s="6"/>
      <c r="G608" s="6"/>
      <c r="H608" s="6"/>
      <c r="J608" s="6"/>
      <c r="K608" s="6"/>
      <c r="L608" s="6"/>
    </row>
    <row r="609" spans="4:12" x14ac:dyDescent="0.2">
      <c r="D609" s="6"/>
      <c r="E609" s="6"/>
      <c r="F609" s="6"/>
      <c r="G609" s="6"/>
      <c r="H609" s="6"/>
      <c r="J609" s="6"/>
      <c r="K609" s="6"/>
      <c r="L609" s="6"/>
    </row>
    <row r="610" spans="4:12" x14ac:dyDescent="0.2">
      <c r="D610" s="6"/>
      <c r="E610" s="6"/>
      <c r="F610" s="6"/>
      <c r="G610" s="6"/>
      <c r="H610" s="6"/>
      <c r="J610" s="6"/>
      <c r="K610" s="6"/>
      <c r="L610" s="6"/>
    </row>
    <row r="611" spans="4:12" x14ac:dyDescent="0.2">
      <c r="D611" s="6"/>
      <c r="E611" s="6"/>
      <c r="F611" s="6"/>
      <c r="G611" s="6"/>
      <c r="H611" s="6"/>
      <c r="J611" s="6"/>
      <c r="K611" s="6"/>
      <c r="L611" s="6"/>
    </row>
    <row r="612" spans="4:12" x14ac:dyDescent="0.2">
      <c r="D612" s="6"/>
      <c r="E612" s="6"/>
      <c r="F612" s="6"/>
      <c r="G612" s="6"/>
      <c r="H612" s="6"/>
      <c r="J612" s="6"/>
      <c r="K612" s="6"/>
      <c r="L612" s="6"/>
    </row>
    <row r="613" spans="4:12" x14ac:dyDescent="0.2">
      <c r="D613" s="6"/>
      <c r="E613" s="6"/>
      <c r="F613" s="6"/>
      <c r="G613" s="6"/>
      <c r="H613" s="6"/>
      <c r="J613" s="6"/>
      <c r="K613" s="6"/>
      <c r="L613" s="6"/>
    </row>
    <row r="614" spans="4:12" x14ac:dyDescent="0.2">
      <c r="D614" s="6"/>
      <c r="E614" s="6"/>
      <c r="F614" s="6"/>
      <c r="G614" s="6"/>
      <c r="H614" s="6"/>
      <c r="J614" s="6"/>
      <c r="K614" s="6"/>
      <c r="L614" s="6"/>
    </row>
    <row r="615" spans="4:12" x14ac:dyDescent="0.2">
      <c r="D615" s="6"/>
      <c r="E615" s="6"/>
      <c r="F615" s="6"/>
      <c r="G615" s="6"/>
      <c r="H615" s="6"/>
      <c r="J615" s="6"/>
      <c r="K615" s="6"/>
      <c r="L615" s="6"/>
    </row>
    <row r="616" spans="4:12" x14ac:dyDescent="0.2">
      <c r="D616" s="6"/>
      <c r="E616" s="6"/>
      <c r="F616" s="6"/>
      <c r="G616" s="6"/>
      <c r="H616" s="6"/>
      <c r="J616" s="6"/>
      <c r="K616" s="6"/>
      <c r="L616" s="6"/>
    </row>
    <row r="617" spans="4:12" x14ac:dyDescent="0.2">
      <c r="D617" s="6"/>
      <c r="E617" s="6"/>
      <c r="F617" s="6"/>
      <c r="G617" s="6"/>
      <c r="H617" s="6"/>
      <c r="J617" s="6"/>
      <c r="K617" s="6"/>
      <c r="L617" s="6"/>
    </row>
    <row r="618" spans="4:12" x14ac:dyDescent="0.2">
      <c r="D618" s="6"/>
      <c r="E618" s="6"/>
      <c r="F618" s="6"/>
      <c r="G618" s="6"/>
      <c r="H618" s="6"/>
      <c r="J618" s="6"/>
      <c r="K618" s="6"/>
      <c r="L618" s="6"/>
    </row>
    <row r="619" spans="4:12" x14ac:dyDescent="0.2">
      <c r="D619" s="6"/>
      <c r="E619" s="6"/>
      <c r="F619" s="6"/>
      <c r="G619" s="6"/>
      <c r="H619" s="6"/>
      <c r="J619" s="6"/>
      <c r="K619" s="6"/>
      <c r="L619" s="6"/>
    </row>
    <row r="620" spans="4:12" x14ac:dyDescent="0.2">
      <c r="D620" s="6"/>
      <c r="E620" s="6"/>
      <c r="F620" s="6"/>
      <c r="G620" s="6"/>
      <c r="H620" s="6"/>
      <c r="J620" s="6"/>
      <c r="K620" s="6"/>
      <c r="L620" s="6"/>
    </row>
    <row r="621" spans="4:12" x14ac:dyDescent="0.2">
      <c r="D621" s="6"/>
      <c r="E621" s="6"/>
      <c r="F621" s="6"/>
      <c r="G621" s="6"/>
      <c r="H621" s="6"/>
      <c r="J621" s="6"/>
      <c r="K621" s="6"/>
      <c r="L621" s="6"/>
    </row>
    <row r="622" spans="4:12" x14ac:dyDescent="0.2">
      <c r="D622" s="6"/>
      <c r="E622" s="6"/>
      <c r="F622" s="6"/>
      <c r="G622" s="6"/>
      <c r="H622" s="6"/>
      <c r="J622" s="6"/>
      <c r="K622" s="6"/>
      <c r="L622" s="6"/>
    </row>
    <row r="623" spans="4:12" x14ac:dyDescent="0.2">
      <c r="D623" s="6"/>
      <c r="E623" s="6"/>
      <c r="F623" s="6"/>
      <c r="G623" s="6"/>
      <c r="H623" s="6"/>
      <c r="J623" s="6"/>
      <c r="K623" s="6"/>
      <c r="L623" s="6"/>
    </row>
    <row r="624" spans="4:12" x14ac:dyDescent="0.2">
      <c r="D624" s="6"/>
      <c r="E624" s="6"/>
      <c r="F624" s="6"/>
      <c r="G624" s="6"/>
      <c r="H624" s="6"/>
      <c r="J624" s="6"/>
      <c r="K624" s="6"/>
      <c r="L624" s="6"/>
    </row>
    <row r="625" spans="4:12" x14ac:dyDescent="0.2">
      <c r="D625" s="6"/>
      <c r="E625" s="6"/>
      <c r="F625" s="6"/>
      <c r="G625" s="6"/>
      <c r="H625" s="6"/>
      <c r="J625" s="6"/>
      <c r="K625" s="6"/>
      <c r="L625" s="6"/>
    </row>
    <row r="626" spans="4:12" x14ac:dyDescent="0.2">
      <c r="D626" s="6"/>
      <c r="E626" s="6"/>
      <c r="F626" s="6"/>
      <c r="G626" s="6"/>
      <c r="H626" s="6"/>
      <c r="J626" s="6"/>
      <c r="K626" s="6"/>
      <c r="L626" s="6"/>
    </row>
    <row r="627" spans="4:12" x14ac:dyDescent="0.2">
      <c r="D627" s="6"/>
      <c r="E627" s="6"/>
      <c r="F627" s="6"/>
      <c r="G627" s="6"/>
      <c r="H627" s="6"/>
      <c r="J627" s="6"/>
      <c r="K627" s="6"/>
      <c r="L627" s="6"/>
    </row>
    <row r="628" spans="4:12" x14ac:dyDescent="0.2">
      <c r="D628" s="6"/>
      <c r="E628" s="6"/>
      <c r="F628" s="6"/>
      <c r="G628" s="6"/>
      <c r="H628" s="6"/>
      <c r="J628" s="6"/>
      <c r="K628" s="6"/>
      <c r="L628" s="6"/>
    </row>
    <row r="629" spans="4:12" x14ac:dyDescent="0.2">
      <c r="D629" s="6"/>
      <c r="E629" s="6"/>
      <c r="F629" s="6"/>
      <c r="G629" s="6"/>
      <c r="H629" s="6"/>
      <c r="J629" s="6"/>
      <c r="K629" s="6"/>
      <c r="L629" s="6"/>
    </row>
    <row r="630" spans="4:12" x14ac:dyDescent="0.2">
      <c r="D630" s="6"/>
      <c r="E630" s="6"/>
      <c r="F630" s="6"/>
      <c r="G630" s="6"/>
      <c r="H630" s="6"/>
      <c r="J630" s="6"/>
      <c r="K630" s="6"/>
      <c r="L630" s="6"/>
    </row>
    <row r="631" spans="4:12" x14ac:dyDescent="0.2">
      <c r="D631" s="6"/>
      <c r="E631" s="6"/>
      <c r="F631" s="6"/>
      <c r="G631" s="6"/>
      <c r="H631" s="6"/>
      <c r="J631" s="6"/>
      <c r="K631" s="6"/>
      <c r="L631" s="6"/>
    </row>
    <row r="632" spans="4:12" x14ac:dyDescent="0.2">
      <c r="D632" s="6"/>
      <c r="E632" s="6"/>
      <c r="F632" s="6"/>
      <c r="G632" s="6"/>
      <c r="H632" s="6"/>
      <c r="J632" s="6"/>
      <c r="K632" s="6"/>
      <c r="L632" s="6"/>
    </row>
    <row r="633" spans="4:12" x14ac:dyDescent="0.2">
      <c r="D633" s="6"/>
      <c r="E633" s="6"/>
      <c r="F633" s="6"/>
      <c r="G633" s="6"/>
      <c r="H633" s="6"/>
      <c r="J633" s="6"/>
      <c r="K633" s="6"/>
      <c r="L633" s="6"/>
    </row>
    <row r="634" spans="4:12" x14ac:dyDescent="0.2">
      <c r="D634" s="6"/>
      <c r="E634" s="6"/>
      <c r="F634" s="6"/>
      <c r="G634" s="6"/>
      <c r="H634" s="6"/>
      <c r="J634" s="6"/>
      <c r="K634" s="6"/>
      <c r="L634" s="6"/>
    </row>
    <row r="635" spans="4:12" x14ac:dyDescent="0.2">
      <c r="D635" s="6"/>
      <c r="E635" s="6"/>
      <c r="F635" s="6"/>
      <c r="G635" s="6"/>
      <c r="H635" s="6"/>
      <c r="J635" s="6"/>
      <c r="K635" s="6"/>
      <c r="L635" s="6"/>
    </row>
    <row r="636" spans="4:12" x14ac:dyDescent="0.2">
      <c r="D636" s="6"/>
      <c r="E636" s="6"/>
      <c r="F636" s="6"/>
      <c r="G636" s="6"/>
      <c r="H636" s="6"/>
      <c r="J636" s="6"/>
      <c r="K636" s="6"/>
      <c r="L636" s="6"/>
    </row>
    <row r="637" spans="4:12" x14ac:dyDescent="0.2">
      <c r="D637" s="6"/>
      <c r="E637" s="6"/>
      <c r="F637" s="6"/>
      <c r="G637" s="6"/>
      <c r="H637" s="6"/>
      <c r="J637" s="6"/>
      <c r="K637" s="6"/>
      <c r="L637" s="6"/>
    </row>
    <row r="638" spans="4:12" x14ac:dyDescent="0.2">
      <c r="D638" s="6"/>
      <c r="E638" s="6"/>
      <c r="F638" s="6"/>
      <c r="G638" s="6"/>
      <c r="H638" s="6"/>
      <c r="J638" s="6"/>
      <c r="K638" s="6"/>
      <c r="L638" s="6"/>
    </row>
    <row r="639" spans="4:12" x14ac:dyDescent="0.2">
      <c r="D639" s="6"/>
      <c r="E639" s="6"/>
      <c r="F639" s="6"/>
      <c r="G639" s="6"/>
      <c r="H639" s="6"/>
      <c r="J639" s="6"/>
      <c r="K639" s="6"/>
      <c r="L639" s="6"/>
    </row>
    <row r="640" spans="4:12" x14ac:dyDescent="0.2">
      <c r="D640" s="6"/>
      <c r="E640" s="6"/>
      <c r="F640" s="6"/>
      <c r="G640" s="6"/>
      <c r="H640" s="6"/>
      <c r="J640" s="6"/>
      <c r="K640" s="6"/>
      <c r="L640" s="6"/>
    </row>
    <row r="641" spans="4:12" x14ac:dyDescent="0.2">
      <c r="D641" s="6"/>
      <c r="E641" s="6"/>
      <c r="F641" s="6"/>
      <c r="G641" s="6"/>
      <c r="H641" s="6"/>
      <c r="J641" s="6"/>
      <c r="K641" s="6"/>
      <c r="L641" s="6"/>
    </row>
    <row r="642" spans="4:12" x14ac:dyDescent="0.2">
      <c r="D642" s="6"/>
      <c r="E642" s="6"/>
      <c r="F642" s="6"/>
      <c r="G642" s="6"/>
      <c r="H642" s="6"/>
      <c r="J642" s="6"/>
      <c r="K642" s="6"/>
      <c r="L642" s="6"/>
    </row>
    <row r="643" spans="4:12" x14ac:dyDescent="0.2">
      <c r="D643" s="6"/>
      <c r="E643" s="6"/>
      <c r="F643" s="6"/>
      <c r="G643" s="6"/>
      <c r="H643" s="6"/>
      <c r="J643" s="6"/>
      <c r="K643" s="6"/>
      <c r="L643" s="6"/>
    </row>
    <row r="644" spans="4:12" x14ac:dyDescent="0.2">
      <c r="D644" s="6"/>
      <c r="E644" s="6"/>
      <c r="F644" s="6"/>
      <c r="G644" s="6"/>
      <c r="H644" s="6"/>
      <c r="J644" s="6"/>
      <c r="K644" s="6"/>
      <c r="L644" s="6"/>
    </row>
    <row r="645" spans="4:12" x14ac:dyDescent="0.2">
      <c r="D645" s="6"/>
      <c r="E645" s="6"/>
      <c r="F645" s="6"/>
      <c r="G645" s="6"/>
      <c r="H645" s="6"/>
      <c r="J645" s="6"/>
      <c r="K645" s="6"/>
      <c r="L645" s="6"/>
    </row>
    <row r="646" spans="4:12" x14ac:dyDescent="0.2">
      <c r="D646" s="6"/>
      <c r="E646" s="6"/>
      <c r="F646" s="6"/>
      <c r="G646" s="6"/>
      <c r="H646" s="6"/>
      <c r="J646" s="6"/>
      <c r="K646" s="6"/>
      <c r="L646" s="6"/>
    </row>
    <row r="647" spans="4:12" x14ac:dyDescent="0.2">
      <c r="D647" s="6"/>
      <c r="E647" s="6"/>
      <c r="F647" s="6"/>
      <c r="G647" s="6"/>
      <c r="H647" s="6"/>
      <c r="J647" s="6"/>
      <c r="K647" s="6"/>
      <c r="L647" s="6"/>
    </row>
    <row r="648" spans="4:12" x14ac:dyDescent="0.2">
      <c r="D648" s="6"/>
      <c r="E648" s="6"/>
      <c r="F648" s="6"/>
      <c r="G648" s="6"/>
      <c r="H648" s="6"/>
      <c r="J648" s="6"/>
      <c r="K648" s="6"/>
      <c r="L648" s="6"/>
    </row>
    <row r="649" spans="4:12" x14ac:dyDescent="0.2">
      <c r="D649" s="6"/>
      <c r="E649" s="6"/>
      <c r="F649" s="6"/>
      <c r="G649" s="6"/>
      <c r="H649" s="6"/>
      <c r="J649" s="6"/>
      <c r="K649" s="6"/>
      <c r="L649" s="6"/>
    </row>
    <row r="650" spans="4:12" x14ac:dyDescent="0.2">
      <c r="D650" s="6"/>
      <c r="E650" s="6"/>
      <c r="F650" s="6"/>
      <c r="G650" s="6"/>
      <c r="H650" s="6"/>
      <c r="J650" s="6"/>
      <c r="K650" s="6"/>
      <c r="L650" s="6"/>
    </row>
    <row r="651" spans="4:12" x14ac:dyDescent="0.2">
      <c r="D651" s="6"/>
      <c r="E651" s="6"/>
      <c r="F651" s="6"/>
      <c r="G651" s="6"/>
      <c r="H651" s="6"/>
      <c r="J651" s="6"/>
      <c r="K651" s="6"/>
      <c r="L651" s="6"/>
    </row>
    <row r="652" spans="4:12" x14ac:dyDescent="0.2">
      <c r="D652" s="6"/>
      <c r="E652" s="6"/>
      <c r="F652" s="6"/>
      <c r="G652" s="6"/>
      <c r="H652" s="6"/>
      <c r="J652" s="6"/>
      <c r="K652" s="6"/>
      <c r="L652" s="6"/>
    </row>
    <row r="653" spans="4:12" x14ac:dyDescent="0.2">
      <c r="D653" s="6"/>
      <c r="E653" s="6"/>
      <c r="F653" s="6"/>
      <c r="G653" s="6"/>
      <c r="H653" s="6"/>
      <c r="J653" s="6"/>
      <c r="K653" s="6"/>
      <c r="L653" s="6"/>
    </row>
    <row r="654" spans="4:12" x14ac:dyDescent="0.2">
      <c r="D654" s="6"/>
      <c r="E654" s="6"/>
      <c r="F654" s="6"/>
      <c r="G654" s="6"/>
      <c r="H654" s="6"/>
      <c r="J654" s="6"/>
      <c r="K654" s="6"/>
      <c r="L654" s="6"/>
    </row>
    <row r="655" spans="4:12" x14ac:dyDescent="0.2">
      <c r="D655" s="6"/>
      <c r="E655" s="6"/>
      <c r="F655" s="6"/>
      <c r="G655" s="6"/>
      <c r="H655" s="6"/>
      <c r="J655" s="6"/>
      <c r="K655" s="6"/>
      <c r="L655" s="6"/>
    </row>
    <row r="656" spans="4:12" x14ac:dyDescent="0.2">
      <c r="D656" s="6"/>
      <c r="E656" s="6"/>
      <c r="F656" s="6"/>
      <c r="G656" s="6"/>
      <c r="H656" s="6"/>
      <c r="J656" s="6"/>
      <c r="K656" s="6"/>
      <c r="L656" s="6"/>
    </row>
    <row r="657" spans="4:12" x14ac:dyDescent="0.2">
      <c r="D657" s="6"/>
      <c r="E657" s="6"/>
      <c r="F657" s="6"/>
      <c r="G657" s="6"/>
      <c r="H657" s="6"/>
      <c r="J657" s="6"/>
      <c r="K657" s="6"/>
      <c r="L657" s="6"/>
    </row>
    <row r="658" spans="4:12" x14ac:dyDescent="0.2">
      <c r="D658" s="6"/>
      <c r="E658" s="6"/>
      <c r="F658" s="6"/>
      <c r="G658" s="6"/>
      <c r="H658" s="6"/>
      <c r="J658" s="6"/>
      <c r="K658" s="6"/>
      <c r="L658" s="6"/>
    </row>
    <row r="659" spans="4:12" x14ac:dyDescent="0.2">
      <c r="D659" s="6"/>
      <c r="E659" s="6"/>
      <c r="F659" s="6"/>
      <c r="G659" s="6"/>
      <c r="H659" s="6"/>
      <c r="J659" s="6"/>
      <c r="K659" s="6"/>
      <c r="L659" s="6"/>
    </row>
    <row r="660" spans="4:12" x14ac:dyDescent="0.2">
      <c r="D660" s="6"/>
      <c r="E660" s="6"/>
      <c r="F660" s="6"/>
      <c r="G660" s="6"/>
      <c r="H660" s="6"/>
      <c r="J660" s="6"/>
      <c r="K660" s="6"/>
      <c r="L660" s="6"/>
    </row>
    <row r="661" spans="4:12" x14ac:dyDescent="0.2">
      <c r="D661" s="6"/>
      <c r="E661" s="6"/>
      <c r="F661" s="6"/>
      <c r="G661" s="6"/>
      <c r="H661" s="6"/>
      <c r="J661" s="6"/>
      <c r="K661" s="6"/>
      <c r="L661" s="6"/>
    </row>
    <row r="662" spans="4:12" x14ac:dyDescent="0.2">
      <c r="D662" s="6"/>
      <c r="E662" s="6"/>
      <c r="F662" s="6"/>
      <c r="G662" s="6"/>
      <c r="H662" s="6"/>
      <c r="J662" s="6"/>
      <c r="K662" s="6"/>
      <c r="L662" s="6"/>
    </row>
    <row r="663" spans="4:12" x14ac:dyDescent="0.2">
      <c r="D663" s="6"/>
      <c r="E663" s="6"/>
      <c r="F663" s="6"/>
      <c r="G663" s="6"/>
      <c r="H663" s="6"/>
      <c r="J663" s="6"/>
      <c r="K663" s="6"/>
      <c r="L663" s="6"/>
    </row>
    <row r="664" spans="4:12" x14ac:dyDescent="0.2">
      <c r="D664" s="6"/>
      <c r="E664" s="6"/>
      <c r="F664" s="6"/>
      <c r="G664" s="6"/>
      <c r="H664" s="6"/>
      <c r="J664" s="6"/>
      <c r="K664" s="6"/>
      <c r="L664" s="6"/>
    </row>
    <row r="665" spans="4:12" x14ac:dyDescent="0.2">
      <c r="D665" s="6"/>
      <c r="E665" s="6"/>
      <c r="F665" s="6"/>
      <c r="G665" s="6"/>
      <c r="H665" s="6"/>
      <c r="J665" s="6"/>
      <c r="K665" s="6"/>
      <c r="L665" s="6"/>
    </row>
    <row r="666" spans="4:12" x14ac:dyDescent="0.2">
      <c r="D666" s="6"/>
      <c r="E666" s="6"/>
      <c r="F666" s="6"/>
      <c r="G666" s="6"/>
      <c r="H666" s="6"/>
      <c r="J666" s="6"/>
      <c r="K666" s="6"/>
      <c r="L666" s="6"/>
    </row>
    <row r="667" spans="4:12" x14ac:dyDescent="0.2">
      <c r="D667" s="6"/>
      <c r="E667" s="6"/>
      <c r="F667" s="6"/>
      <c r="G667" s="6"/>
      <c r="H667" s="6"/>
      <c r="J667" s="6"/>
      <c r="K667" s="6"/>
      <c r="L667" s="6"/>
    </row>
    <row r="668" spans="4:12" x14ac:dyDescent="0.2">
      <c r="D668" s="6"/>
      <c r="E668" s="6"/>
      <c r="F668" s="6"/>
      <c r="G668" s="6"/>
      <c r="H668" s="6"/>
      <c r="J668" s="6"/>
      <c r="K668" s="6"/>
      <c r="L668" s="6"/>
    </row>
    <row r="669" spans="4:12" x14ac:dyDescent="0.2">
      <c r="D669" s="6"/>
      <c r="E669" s="6"/>
      <c r="F669" s="6"/>
      <c r="G669" s="6"/>
      <c r="H669" s="6"/>
      <c r="J669" s="6"/>
      <c r="K669" s="6"/>
      <c r="L669" s="6"/>
    </row>
    <row r="670" spans="4:12" x14ac:dyDescent="0.2">
      <c r="D670" s="6"/>
      <c r="E670" s="6"/>
      <c r="F670" s="6"/>
      <c r="G670" s="6"/>
      <c r="H670" s="6"/>
      <c r="J670" s="6"/>
      <c r="K670" s="6"/>
      <c r="L670" s="6"/>
    </row>
    <row r="671" spans="4:12" x14ac:dyDescent="0.2">
      <c r="D671" s="6"/>
      <c r="E671" s="6"/>
      <c r="F671" s="6"/>
      <c r="G671" s="6"/>
      <c r="H671" s="6"/>
      <c r="J671" s="6"/>
      <c r="K671" s="6"/>
      <c r="L671" s="6"/>
    </row>
    <row r="672" spans="4:12" x14ac:dyDescent="0.2">
      <c r="D672" s="6"/>
      <c r="E672" s="6"/>
      <c r="F672" s="6"/>
      <c r="G672" s="6"/>
      <c r="H672" s="6"/>
      <c r="J672" s="6"/>
      <c r="K672" s="6"/>
      <c r="L672" s="6"/>
    </row>
    <row r="673" spans="4:12" x14ac:dyDescent="0.2">
      <c r="D673" s="6"/>
      <c r="E673" s="6"/>
      <c r="F673" s="6"/>
      <c r="G673" s="6"/>
      <c r="H673" s="6"/>
      <c r="J673" s="6"/>
      <c r="K673" s="6"/>
      <c r="L673" s="6"/>
    </row>
    <row r="674" spans="4:12" x14ac:dyDescent="0.2">
      <c r="D674" s="6"/>
      <c r="E674" s="6"/>
      <c r="F674" s="6"/>
      <c r="G674" s="6"/>
      <c r="H674" s="6"/>
      <c r="J674" s="6"/>
      <c r="K674" s="6"/>
      <c r="L674" s="6"/>
    </row>
    <row r="675" spans="4:12" x14ac:dyDescent="0.2">
      <c r="D675" s="6"/>
      <c r="E675" s="6"/>
      <c r="F675" s="6"/>
      <c r="G675" s="6"/>
      <c r="H675" s="6"/>
      <c r="J675" s="6"/>
      <c r="K675" s="6"/>
      <c r="L675" s="6"/>
    </row>
    <row r="676" spans="4:12" x14ac:dyDescent="0.2">
      <c r="D676" s="6"/>
      <c r="E676" s="6"/>
      <c r="F676" s="6"/>
      <c r="G676" s="6"/>
      <c r="H676" s="6"/>
      <c r="J676" s="6"/>
      <c r="K676" s="6"/>
      <c r="L676" s="6"/>
    </row>
    <row r="677" spans="4:12" x14ac:dyDescent="0.2">
      <c r="D677" s="6"/>
      <c r="E677" s="6"/>
      <c r="F677" s="6"/>
      <c r="G677" s="6"/>
      <c r="H677" s="6"/>
      <c r="J677" s="6"/>
      <c r="K677" s="6"/>
      <c r="L677" s="6"/>
    </row>
    <row r="678" spans="4:12" x14ac:dyDescent="0.2">
      <c r="D678" s="6"/>
      <c r="E678" s="6"/>
      <c r="F678" s="6"/>
      <c r="G678" s="6"/>
      <c r="H678" s="6"/>
      <c r="J678" s="6"/>
      <c r="K678" s="6"/>
      <c r="L678" s="6"/>
    </row>
    <row r="679" spans="4:12" x14ac:dyDescent="0.2">
      <c r="D679" s="6"/>
      <c r="E679" s="6"/>
      <c r="F679" s="6"/>
      <c r="G679" s="6"/>
      <c r="H679" s="6"/>
      <c r="J679" s="6"/>
      <c r="K679" s="6"/>
      <c r="L679" s="6"/>
    </row>
    <row r="680" spans="4:12" x14ac:dyDescent="0.2">
      <c r="D680" s="6"/>
      <c r="E680" s="6"/>
      <c r="F680" s="6"/>
      <c r="G680" s="6"/>
      <c r="H680" s="6"/>
      <c r="J680" s="6"/>
      <c r="K680" s="6"/>
      <c r="L680" s="6"/>
    </row>
    <row r="681" spans="4:12" x14ac:dyDescent="0.2">
      <c r="D681" s="6"/>
      <c r="E681" s="6"/>
      <c r="F681" s="6"/>
      <c r="G681" s="6"/>
      <c r="H681" s="6"/>
      <c r="J681" s="6"/>
      <c r="K681" s="6"/>
      <c r="L681" s="6"/>
    </row>
    <row r="682" spans="4:12" x14ac:dyDescent="0.2">
      <c r="D682" s="6"/>
      <c r="E682" s="6"/>
      <c r="F682" s="6"/>
      <c r="G682" s="6"/>
      <c r="H682" s="6"/>
      <c r="J682" s="6"/>
      <c r="K682" s="6"/>
      <c r="L682" s="6"/>
    </row>
    <row r="683" spans="4:12" x14ac:dyDescent="0.2">
      <c r="D683" s="6"/>
      <c r="E683" s="6"/>
      <c r="F683" s="6"/>
      <c r="G683" s="6"/>
      <c r="H683" s="6"/>
      <c r="J683" s="6"/>
      <c r="K683" s="6"/>
      <c r="L683" s="6"/>
    </row>
    <row r="684" spans="4:12" x14ac:dyDescent="0.2">
      <c r="D684" s="6"/>
      <c r="E684" s="6"/>
      <c r="F684" s="6"/>
      <c r="G684" s="6"/>
      <c r="H684" s="6"/>
      <c r="J684" s="6"/>
      <c r="K684" s="6"/>
      <c r="L684" s="6"/>
    </row>
    <row r="685" spans="4:12" x14ac:dyDescent="0.2">
      <c r="D685" s="6"/>
      <c r="E685" s="6"/>
      <c r="F685" s="6"/>
      <c r="G685" s="6"/>
      <c r="H685" s="6"/>
      <c r="J685" s="6"/>
      <c r="K685" s="6"/>
      <c r="L685" s="6"/>
    </row>
    <row r="686" spans="4:12" x14ac:dyDescent="0.2">
      <c r="D686" s="6"/>
      <c r="E686" s="6"/>
      <c r="F686" s="6"/>
      <c r="G686" s="6"/>
      <c r="H686" s="6"/>
      <c r="J686" s="6"/>
      <c r="K686" s="6"/>
      <c r="L686" s="6"/>
    </row>
    <row r="687" spans="4:12" x14ac:dyDescent="0.2">
      <c r="D687" s="6"/>
      <c r="E687" s="6"/>
      <c r="F687" s="6"/>
      <c r="G687" s="6"/>
      <c r="H687" s="6"/>
      <c r="J687" s="6"/>
      <c r="K687" s="6"/>
      <c r="L687" s="6"/>
    </row>
    <row r="688" spans="4:12" x14ac:dyDescent="0.2">
      <c r="D688" s="6"/>
      <c r="E688" s="6"/>
      <c r="F688" s="6"/>
      <c r="G688" s="6"/>
      <c r="H688" s="6"/>
      <c r="J688" s="6"/>
      <c r="K688" s="6"/>
      <c r="L688" s="6"/>
    </row>
    <row r="689" spans="4:12" x14ac:dyDescent="0.2">
      <c r="D689" s="6"/>
      <c r="E689" s="6"/>
      <c r="F689" s="6"/>
      <c r="G689" s="6"/>
      <c r="H689" s="6"/>
      <c r="J689" s="6"/>
      <c r="K689" s="6"/>
      <c r="L689" s="6"/>
    </row>
    <row r="690" spans="4:12" x14ac:dyDescent="0.2">
      <c r="D690" s="6"/>
      <c r="E690" s="6"/>
      <c r="F690" s="6"/>
      <c r="G690" s="6"/>
      <c r="H690" s="6"/>
      <c r="J690" s="6"/>
      <c r="K690" s="6"/>
      <c r="L690" s="6"/>
    </row>
    <row r="691" spans="4:12" x14ac:dyDescent="0.2">
      <c r="D691" s="6"/>
      <c r="E691" s="6"/>
      <c r="F691" s="6"/>
      <c r="G691" s="6"/>
      <c r="H691" s="6"/>
      <c r="J691" s="6"/>
      <c r="K691" s="6"/>
      <c r="L691" s="6"/>
    </row>
    <row r="692" spans="4:12" x14ac:dyDescent="0.2">
      <c r="D692" s="6"/>
      <c r="E692" s="6"/>
      <c r="F692" s="6"/>
      <c r="G692" s="6"/>
      <c r="H692" s="6"/>
      <c r="J692" s="6"/>
      <c r="K692" s="6"/>
      <c r="L692" s="6"/>
    </row>
    <row r="693" spans="4:12" x14ac:dyDescent="0.2">
      <c r="D693" s="6"/>
      <c r="E693" s="6"/>
      <c r="F693" s="6"/>
      <c r="G693" s="6"/>
      <c r="H693" s="6"/>
      <c r="J693" s="6"/>
      <c r="K693" s="6"/>
      <c r="L693" s="6"/>
    </row>
    <row r="694" spans="4:12" x14ac:dyDescent="0.2">
      <c r="D694" s="6"/>
      <c r="E694" s="6"/>
      <c r="F694" s="6"/>
      <c r="G694" s="6"/>
      <c r="H694" s="6"/>
      <c r="J694" s="6"/>
      <c r="K694" s="6"/>
      <c r="L694" s="6"/>
    </row>
    <row r="695" spans="4:12" x14ac:dyDescent="0.2">
      <c r="D695" s="6"/>
      <c r="E695" s="6"/>
      <c r="F695" s="6"/>
      <c r="G695" s="6"/>
      <c r="H695" s="6"/>
      <c r="J695" s="6"/>
      <c r="K695" s="6"/>
      <c r="L695" s="6"/>
    </row>
    <row r="696" spans="4:12" x14ac:dyDescent="0.2">
      <c r="D696" s="6"/>
      <c r="E696" s="6"/>
      <c r="F696" s="6"/>
      <c r="G696" s="6"/>
      <c r="H696" s="6"/>
      <c r="J696" s="6"/>
      <c r="K696" s="6"/>
      <c r="L696" s="6"/>
    </row>
    <row r="697" spans="4:12" x14ac:dyDescent="0.2">
      <c r="D697" s="6"/>
      <c r="E697" s="6"/>
      <c r="F697" s="6"/>
      <c r="G697" s="6"/>
      <c r="H697" s="6"/>
      <c r="J697" s="6"/>
      <c r="K697" s="6"/>
      <c r="L697" s="6"/>
    </row>
    <row r="698" spans="4:12" x14ac:dyDescent="0.2">
      <c r="D698" s="6"/>
      <c r="E698" s="6"/>
      <c r="F698" s="6"/>
      <c r="G698" s="6"/>
      <c r="H698" s="6"/>
      <c r="J698" s="6"/>
      <c r="K698" s="6"/>
      <c r="L698" s="6"/>
    </row>
    <row r="699" spans="4:12" x14ac:dyDescent="0.2">
      <c r="D699" s="6"/>
      <c r="E699" s="6"/>
      <c r="F699" s="6"/>
      <c r="G699" s="6"/>
      <c r="H699" s="6"/>
      <c r="J699" s="6"/>
      <c r="K699" s="6"/>
      <c r="L699" s="6"/>
    </row>
    <row r="700" spans="4:12" x14ac:dyDescent="0.2">
      <c r="D700" s="6"/>
      <c r="E700" s="6"/>
      <c r="F700" s="6"/>
      <c r="G700" s="6"/>
      <c r="H700" s="6"/>
      <c r="J700" s="6"/>
      <c r="K700" s="6"/>
      <c r="L700" s="6"/>
    </row>
    <row r="701" spans="4:12" x14ac:dyDescent="0.2">
      <c r="D701" s="6"/>
      <c r="E701" s="6"/>
      <c r="F701" s="6"/>
      <c r="G701" s="6"/>
      <c r="H701" s="6"/>
      <c r="J701" s="6"/>
      <c r="K701" s="6"/>
      <c r="L701" s="6"/>
    </row>
    <row r="702" spans="4:12" x14ac:dyDescent="0.2">
      <c r="D702" s="6"/>
      <c r="E702" s="6"/>
      <c r="F702" s="6"/>
      <c r="G702" s="6"/>
      <c r="H702" s="6"/>
      <c r="J702" s="6"/>
      <c r="K702" s="6"/>
      <c r="L702" s="6"/>
    </row>
    <row r="703" spans="4:12" x14ac:dyDescent="0.2">
      <c r="D703" s="6"/>
      <c r="E703" s="6"/>
      <c r="F703" s="6"/>
      <c r="G703" s="6"/>
      <c r="H703" s="6"/>
      <c r="J703" s="6"/>
      <c r="K703" s="6"/>
      <c r="L703" s="6"/>
    </row>
    <row r="704" spans="4:12" x14ac:dyDescent="0.2">
      <c r="D704" s="6"/>
      <c r="E704" s="6"/>
      <c r="F704" s="6"/>
      <c r="G704" s="6"/>
      <c r="H704" s="6"/>
      <c r="J704" s="6"/>
      <c r="K704" s="6"/>
      <c r="L704" s="6"/>
    </row>
    <row r="705" spans="4:12" x14ac:dyDescent="0.2">
      <c r="D705" s="6"/>
      <c r="E705" s="6"/>
      <c r="F705" s="6"/>
      <c r="G705" s="6"/>
      <c r="H705" s="6"/>
      <c r="J705" s="6"/>
      <c r="K705" s="6"/>
      <c r="L705" s="6"/>
    </row>
    <row r="706" spans="4:12" x14ac:dyDescent="0.2">
      <c r="D706" s="6"/>
      <c r="E706" s="6"/>
      <c r="F706" s="6"/>
      <c r="G706" s="6"/>
      <c r="H706" s="6"/>
      <c r="J706" s="6"/>
      <c r="K706" s="6"/>
      <c r="L706" s="6"/>
    </row>
    <row r="707" spans="4:12" x14ac:dyDescent="0.2">
      <c r="D707" s="6"/>
      <c r="E707" s="6"/>
      <c r="F707" s="6"/>
      <c r="G707" s="6"/>
      <c r="H707" s="6"/>
      <c r="J707" s="6"/>
      <c r="K707" s="6"/>
      <c r="L707" s="6"/>
    </row>
    <row r="708" spans="4:12" x14ac:dyDescent="0.2">
      <c r="D708" s="6"/>
      <c r="E708" s="6"/>
      <c r="F708" s="6"/>
      <c r="G708" s="6"/>
      <c r="H708" s="6"/>
      <c r="J708" s="6"/>
      <c r="K708" s="6"/>
      <c r="L708" s="6"/>
    </row>
    <row r="709" spans="4:12" x14ac:dyDescent="0.2">
      <c r="D709" s="6"/>
      <c r="E709" s="6"/>
      <c r="F709" s="6"/>
      <c r="G709" s="6"/>
      <c r="H709" s="6"/>
      <c r="J709" s="6"/>
      <c r="K709" s="6"/>
      <c r="L709" s="6"/>
    </row>
    <row r="710" spans="4:12" x14ac:dyDescent="0.2">
      <c r="D710" s="6"/>
      <c r="E710" s="6"/>
      <c r="F710" s="6"/>
      <c r="G710" s="6"/>
      <c r="H710" s="6"/>
      <c r="J710" s="6"/>
      <c r="K710" s="6"/>
      <c r="L710" s="6"/>
    </row>
    <row r="711" spans="4:12" x14ac:dyDescent="0.2">
      <c r="D711" s="6"/>
      <c r="E711" s="6"/>
      <c r="F711" s="6"/>
      <c r="G711" s="6"/>
      <c r="H711" s="6"/>
      <c r="J711" s="6"/>
      <c r="K711" s="6"/>
      <c r="L711" s="6"/>
    </row>
    <row r="712" spans="4:12" x14ac:dyDescent="0.2">
      <c r="D712" s="6"/>
      <c r="E712" s="6"/>
      <c r="F712" s="6"/>
      <c r="G712" s="6"/>
      <c r="H712" s="6"/>
      <c r="J712" s="6"/>
      <c r="K712" s="6"/>
      <c r="L712" s="6"/>
    </row>
    <row r="713" spans="4:12" x14ac:dyDescent="0.2">
      <c r="D713" s="6"/>
      <c r="E713" s="6"/>
      <c r="F713" s="6"/>
      <c r="G713" s="6"/>
      <c r="H713" s="6"/>
      <c r="J713" s="6"/>
      <c r="K713" s="6"/>
      <c r="L713" s="6"/>
    </row>
    <row r="714" spans="4:12" x14ac:dyDescent="0.2">
      <c r="D714" s="6"/>
      <c r="E714" s="6"/>
      <c r="F714" s="6"/>
      <c r="G714" s="6"/>
      <c r="H714" s="6"/>
      <c r="J714" s="6"/>
      <c r="K714" s="6"/>
      <c r="L714" s="6"/>
    </row>
    <row r="715" spans="4:12" x14ac:dyDescent="0.2">
      <c r="D715" s="6"/>
      <c r="E715" s="6"/>
      <c r="F715" s="6"/>
      <c r="G715" s="6"/>
      <c r="H715" s="6"/>
      <c r="J715" s="6"/>
      <c r="K715" s="6"/>
      <c r="L715" s="6"/>
    </row>
    <row r="716" spans="4:12" x14ac:dyDescent="0.2">
      <c r="D716" s="6"/>
      <c r="E716" s="6"/>
      <c r="F716" s="6"/>
      <c r="G716" s="6"/>
      <c r="H716" s="6"/>
      <c r="J716" s="6"/>
      <c r="K716" s="6"/>
      <c r="L716" s="6"/>
    </row>
    <row r="717" spans="4:12" x14ac:dyDescent="0.2">
      <c r="D717" s="6"/>
      <c r="E717" s="6"/>
      <c r="F717" s="6"/>
      <c r="G717" s="6"/>
      <c r="H717" s="6"/>
      <c r="J717" s="6"/>
      <c r="K717" s="6"/>
      <c r="L717" s="6"/>
    </row>
    <row r="718" spans="4:12" x14ac:dyDescent="0.2">
      <c r="D718" s="6"/>
      <c r="E718" s="6"/>
      <c r="F718" s="6"/>
      <c r="G718" s="6"/>
      <c r="H718" s="6"/>
      <c r="J718" s="6"/>
      <c r="K718" s="6"/>
      <c r="L718" s="6"/>
    </row>
    <row r="719" spans="4:12" x14ac:dyDescent="0.2">
      <c r="D719" s="6"/>
      <c r="E719" s="6"/>
      <c r="F719" s="6"/>
      <c r="G719" s="6"/>
      <c r="H719" s="6"/>
      <c r="J719" s="6"/>
      <c r="K719" s="6"/>
      <c r="L719" s="6"/>
    </row>
    <row r="720" spans="4:12" x14ac:dyDescent="0.2">
      <c r="D720" s="6"/>
      <c r="E720" s="6"/>
      <c r="F720" s="6"/>
      <c r="G720" s="6"/>
      <c r="H720" s="6"/>
      <c r="J720" s="6"/>
      <c r="K720" s="6"/>
      <c r="L720" s="6"/>
    </row>
    <row r="721" spans="4:12" x14ac:dyDescent="0.2">
      <c r="D721" s="6"/>
      <c r="E721" s="6"/>
      <c r="F721" s="6"/>
      <c r="G721" s="6"/>
      <c r="H721" s="6"/>
      <c r="J721" s="6"/>
      <c r="K721" s="6"/>
      <c r="L721" s="6"/>
    </row>
    <row r="722" spans="4:12" x14ac:dyDescent="0.2">
      <c r="D722" s="6"/>
      <c r="E722" s="6"/>
      <c r="F722" s="6"/>
      <c r="G722" s="6"/>
      <c r="H722" s="6"/>
      <c r="J722" s="6"/>
      <c r="K722" s="6"/>
      <c r="L722" s="6"/>
    </row>
    <row r="723" spans="4:12" x14ac:dyDescent="0.2">
      <c r="D723" s="6"/>
      <c r="E723" s="6"/>
      <c r="F723" s="6"/>
      <c r="G723" s="6"/>
      <c r="H723" s="6"/>
      <c r="J723" s="6"/>
      <c r="K723" s="6"/>
      <c r="L723" s="6"/>
    </row>
    <row r="724" spans="4:12" x14ac:dyDescent="0.2">
      <c r="D724" s="6"/>
      <c r="E724" s="6"/>
      <c r="F724" s="6"/>
      <c r="G724" s="6"/>
      <c r="H724" s="6"/>
      <c r="J724" s="6"/>
      <c r="K724" s="6"/>
      <c r="L724" s="6"/>
    </row>
    <row r="725" spans="4:12" x14ac:dyDescent="0.2">
      <c r="D725" s="6"/>
      <c r="E725" s="6"/>
      <c r="F725" s="6"/>
      <c r="G725" s="6"/>
      <c r="H725" s="6"/>
      <c r="J725" s="6"/>
      <c r="K725" s="6"/>
      <c r="L725" s="6"/>
    </row>
    <row r="726" spans="4:12" x14ac:dyDescent="0.2">
      <c r="D726" s="6"/>
      <c r="E726" s="6"/>
      <c r="F726" s="6"/>
      <c r="G726" s="6"/>
      <c r="H726" s="6"/>
      <c r="J726" s="6"/>
      <c r="K726" s="6"/>
      <c r="L726" s="6"/>
    </row>
    <row r="727" spans="4:12" x14ac:dyDescent="0.2">
      <c r="D727" s="6"/>
      <c r="E727" s="6"/>
      <c r="F727" s="6"/>
      <c r="G727" s="6"/>
      <c r="H727" s="6"/>
      <c r="J727" s="6"/>
      <c r="K727" s="6"/>
      <c r="L727" s="6"/>
    </row>
    <row r="728" spans="4:12" x14ac:dyDescent="0.2">
      <c r="D728" s="6"/>
      <c r="E728" s="6"/>
      <c r="F728" s="6"/>
      <c r="G728" s="6"/>
      <c r="H728" s="6"/>
      <c r="J728" s="6"/>
      <c r="K728" s="6"/>
      <c r="L728" s="6"/>
    </row>
    <row r="729" spans="4:12" x14ac:dyDescent="0.2">
      <c r="D729" s="6"/>
      <c r="E729" s="6"/>
      <c r="F729" s="6"/>
      <c r="G729" s="6"/>
      <c r="H729" s="6"/>
      <c r="J729" s="6"/>
      <c r="K729" s="6"/>
      <c r="L729" s="6"/>
    </row>
    <row r="730" spans="4:12" x14ac:dyDescent="0.2">
      <c r="D730" s="6"/>
      <c r="E730" s="6"/>
      <c r="F730" s="6"/>
      <c r="G730" s="6"/>
      <c r="H730" s="6"/>
      <c r="J730" s="6"/>
      <c r="K730" s="6"/>
      <c r="L730" s="6"/>
    </row>
    <row r="731" spans="4:12" x14ac:dyDescent="0.2">
      <c r="D731" s="6"/>
      <c r="E731" s="6"/>
      <c r="F731" s="6"/>
      <c r="G731" s="6"/>
      <c r="H731" s="6"/>
      <c r="J731" s="6"/>
      <c r="K731" s="6"/>
      <c r="L731" s="6"/>
    </row>
    <row r="732" spans="4:12" x14ac:dyDescent="0.2">
      <c r="D732" s="6"/>
      <c r="E732" s="6"/>
      <c r="F732" s="6"/>
      <c r="G732" s="6"/>
      <c r="H732" s="6"/>
      <c r="J732" s="6"/>
      <c r="K732" s="6"/>
      <c r="L732" s="6"/>
    </row>
    <row r="733" spans="4:12" x14ac:dyDescent="0.2">
      <c r="D733" s="6"/>
      <c r="E733" s="6"/>
      <c r="F733" s="6"/>
      <c r="G733" s="6"/>
      <c r="H733" s="6"/>
      <c r="J733" s="6"/>
      <c r="K733" s="6"/>
      <c r="L733" s="6"/>
    </row>
    <row r="734" spans="4:12" x14ac:dyDescent="0.2">
      <c r="D734" s="6"/>
      <c r="E734" s="6"/>
      <c r="F734" s="6"/>
      <c r="G734" s="6"/>
      <c r="H734" s="6"/>
      <c r="J734" s="6"/>
      <c r="K734" s="6"/>
      <c r="L734" s="6"/>
    </row>
    <row r="735" spans="4:12" x14ac:dyDescent="0.2">
      <c r="D735" s="6"/>
      <c r="E735" s="6"/>
      <c r="F735" s="6"/>
      <c r="G735" s="6"/>
      <c r="H735" s="6"/>
      <c r="J735" s="6"/>
      <c r="K735" s="6"/>
      <c r="L735" s="6"/>
    </row>
    <row r="736" spans="4:12" x14ac:dyDescent="0.2">
      <c r="D736" s="6"/>
      <c r="E736" s="6"/>
      <c r="F736" s="6"/>
      <c r="G736" s="6"/>
      <c r="H736" s="6"/>
      <c r="J736" s="6"/>
      <c r="K736" s="6"/>
      <c r="L736" s="6"/>
    </row>
    <row r="737" spans="4:12" x14ac:dyDescent="0.2">
      <c r="D737" s="6"/>
      <c r="E737" s="6"/>
      <c r="F737" s="6"/>
      <c r="G737" s="6"/>
      <c r="H737" s="6"/>
      <c r="J737" s="6"/>
      <c r="K737" s="6"/>
      <c r="L737" s="6"/>
    </row>
    <row r="738" spans="4:12" x14ac:dyDescent="0.2">
      <c r="D738" s="6"/>
      <c r="E738" s="6"/>
      <c r="F738" s="6"/>
      <c r="G738" s="6"/>
      <c r="H738" s="6"/>
      <c r="J738" s="6"/>
      <c r="K738" s="6"/>
      <c r="L738" s="6"/>
    </row>
    <row r="739" spans="4:12" x14ac:dyDescent="0.2">
      <c r="D739" s="6"/>
      <c r="E739" s="6"/>
      <c r="F739" s="6"/>
      <c r="G739" s="6"/>
      <c r="H739" s="6"/>
      <c r="J739" s="6"/>
      <c r="K739" s="6"/>
      <c r="L739" s="6"/>
    </row>
    <row r="740" spans="4:12" x14ac:dyDescent="0.2">
      <c r="D740" s="6"/>
      <c r="E740" s="6"/>
      <c r="F740" s="6"/>
      <c r="G740" s="6"/>
      <c r="H740" s="6"/>
      <c r="J740" s="6"/>
      <c r="K740" s="6"/>
      <c r="L740" s="6"/>
    </row>
    <row r="741" spans="4:12" x14ac:dyDescent="0.2">
      <c r="D741" s="6"/>
      <c r="E741" s="6"/>
      <c r="F741" s="6"/>
      <c r="G741" s="6"/>
      <c r="H741" s="6"/>
      <c r="J741" s="6"/>
      <c r="K741" s="6"/>
      <c r="L741" s="6"/>
    </row>
    <row r="742" spans="4:12" x14ac:dyDescent="0.2">
      <c r="D742" s="6"/>
      <c r="E742" s="6"/>
      <c r="F742" s="6"/>
      <c r="G742" s="6"/>
      <c r="H742" s="6"/>
      <c r="J742" s="6"/>
      <c r="K742" s="6"/>
      <c r="L742" s="6"/>
    </row>
    <row r="743" spans="4:12" x14ac:dyDescent="0.2">
      <c r="D743" s="6"/>
      <c r="E743" s="6"/>
      <c r="F743" s="6"/>
      <c r="G743" s="6"/>
      <c r="H743" s="6"/>
      <c r="J743" s="6"/>
      <c r="K743" s="6"/>
      <c r="L743" s="6"/>
    </row>
    <row r="744" spans="4:12" x14ac:dyDescent="0.2">
      <c r="D744" s="6"/>
      <c r="E744" s="6"/>
      <c r="F744" s="6"/>
      <c r="G744" s="6"/>
      <c r="H744" s="6"/>
      <c r="J744" s="6"/>
      <c r="K744" s="6"/>
      <c r="L744" s="6"/>
    </row>
    <row r="745" spans="4:12" x14ac:dyDescent="0.2">
      <c r="D745" s="6"/>
      <c r="E745" s="6"/>
      <c r="F745" s="6"/>
      <c r="G745" s="6"/>
      <c r="H745" s="6"/>
      <c r="J745" s="6"/>
      <c r="K745" s="6"/>
      <c r="L745" s="6"/>
    </row>
    <row r="746" spans="4:12" x14ac:dyDescent="0.2">
      <c r="D746" s="6"/>
      <c r="E746" s="6"/>
      <c r="F746" s="6"/>
      <c r="G746" s="6"/>
      <c r="H746" s="6"/>
      <c r="J746" s="6"/>
      <c r="K746" s="6"/>
      <c r="L746" s="6"/>
    </row>
    <row r="747" spans="4:12" x14ac:dyDescent="0.2">
      <c r="D747" s="6"/>
      <c r="E747" s="6"/>
      <c r="F747" s="6"/>
      <c r="G747" s="6"/>
      <c r="H747" s="6"/>
      <c r="J747" s="6"/>
      <c r="K747" s="6"/>
      <c r="L747" s="6"/>
    </row>
    <row r="748" spans="4:12" x14ac:dyDescent="0.2">
      <c r="D748" s="6"/>
      <c r="E748" s="6"/>
      <c r="F748" s="6"/>
      <c r="G748" s="6"/>
      <c r="H748" s="6"/>
      <c r="J748" s="6"/>
      <c r="K748" s="6"/>
      <c r="L748" s="6"/>
    </row>
    <row r="749" spans="4:12" x14ac:dyDescent="0.2">
      <c r="D749" s="6"/>
      <c r="E749" s="6"/>
      <c r="F749" s="6"/>
      <c r="G749" s="6"/>
      <c r="H749" s="6"/>
      <c r="J749" s="6"/>
      <c r="K749" s="6"/>
      <c r="L749" s="6"/>
    </row>
    <row r="750" spans="4:12" x14ac:dyDescent="0.2">
      <c r="D750" s="6"/>
      <c r="E750" s="6"/>
      <c r="F750" s="6"/>
      <c r="G750" s="6"/>
      <c r="H750" s="6"/>
      <c r="J750" s="6"/>
      <c r="K750" s="6"/>
      <c r="L750" s="6"/>
    </row>
    <row r="751" spans="4:12" x14ac:dyDescent="0.2">
      <c r="D751" s="6"/>
      <c r="E751" s="6"/>
      <c r="F751" s="6"/>
      <c r="G751" s="6"/>
      <c r="H751" s="6"/>
      <c r="J751" s="6"/>
      <c r="K751" s="6"/>
      <c r="L751" s="6"/>
    </row>
    <row r="752" spans="4:12" x14ac:dyDescent="0.2">
      <c r="D752" s="6"/>
      <c r="E752" s="6"/>
      <c r="F752" s="6"/>
      <c r="G752" s="6"/>
      <c r="H752" s="6"/>
      <c r="J752" s="6"/>
      <c r="K752" s="6"/>
      <c r="L752" s="6"/>
    </row>
    <row r="753" spans="4:12" x14ac:dyDescent="0.2">
      <c r="D753" s="6"/>
      <c r="E753" s="6"/>
      <c r="F753" s="6"/>
      <c r="G753" s="6"/>
      <c r="H753" s="6"/>
      <c r="J753" s="6"/>
      <c r="K753" s="6"/>
      <c r="L753" s="6"/>
    </row>
    <row r="754" spans="4:12" x14ac:dyDescent="0.2">
      <c r="D754" s="6"/>
      <c r="E754" s="6"/>
      <c r="F754" s="6"/>
      <c r="G754" s="6"/>
      <c r="H754" s="6"/>
      <c r="J754" s="6"/>
      <c r="K754" s="6"/>
      <c r="L754" s="6"/>
    </row>
    <row r="755" spans="4:12" x14ac:dyDescent="0.2">
      <c r="D755" s="6"/>
      <c r="E755" s="6"/>
      <c r="F755" s="6"/>
      <c r="G755" s="6"/>
      <c r="H755" s="6"/>
      <c r="J755" s="6"/>
      <c r="K755" s="6"/>
      <c r="L755" s="6"/>
    </row>
    <row r="756" spans="4:12" x14ac:dyDescent="0.2">
      <c r="D756" s="6"/>
      <c r="E756" s="6"/>
      <c r="F756" s="6"/>
      <c r="G756" s="6"/>
      <c r="H756" s="6"/>
      <c r="J756" s="6"/>
      <c r="K756" s="6"/>
      <c r="L756" s="6"/>
    </row>
    <row r="757" spans="4:12" x14ac:dyDescent="0.2">
      <c r="D757" s="6"/>
      <c r="E757" s="6"/>
      <c r="F757" s="6"/>
      <c r="G757" s="6"/>
      <c r="H757" s="6"/>
      <c r="J757" s="6"/>
      <c r="K757" s="6"/>
      <c r="L757" s="6"/>
    </row>
    <row r="758" spans="4:12" x14ac:dyDescent="0.2">
      <c r="D758" s="6"/>
      <c r="E758" s="6"/>
      <c r="F758" s="6"/>
      <c r="G758" s="6"/>
      <c r="H758" s="6"/>
      <c r="J758" s="6"/>
      <c r="K758" s="6"/>
      <c r="L758" s="6"/>
    </row>
    <row r="759" spans="4:12" x14ac:dyDescent="0.2">
      <c r="D759" s="6"/>
      <c r="E759" s="6"/>
      <c r="F759" s="6"/>
      <c r="G759" s="6"/>
      <c r="H759" s="6"/>
      <c r="J759" s="6"/>
      <c r="K759" s="6"/>
      <c r="L759" s="6"/>
    </row>
    <row r="760" spans="4:12" x14ac:dyDescent="0.2">
      <c r="D760" s="6"/>
      <c r="E760" s="6"/>
      <c r="F760" s="6"/>
      <c r="G760" s="6"/>
      <c r="H760" s="6"/>
      <c r="J760" s="6"/>
      <c r="K760" s="6"/>
      <c r="L760" s="6"/>
    </row>
    <row r="761" spans="4:12" x14ac:dyDescent="0.2">
      <c r="D761" s="6"/>
      <c r="E761" s="6"/>
      <c r="F761" s="6"/>
      <c r="G761" s="6"/>
      <c r="H761" s="6"/>
      <c r="J761" s="6"/>
      <c r="K761" s="6"/>
      <c r="L761" s="6"/>
    </row>
    <row r="762" spans="4:12" x14ac:dyDescent="0.2">
      <c r="D762" s="6"/>
      <c r="E762" s="6"/>
      <c r="F762" s="6"/>
      <c r="G762" s="6"/>
      <c r="H762" s="6"/>
      <c r="J762" s="6"/>
      <c r="K762" s="6"/>
      <c r="L762" s="6"/>
    </row>
    <row r="763" spans="4:12" x14ac:dyDescent="0.2">
      <c r="D763" s="6"/>
      <c r="E763" s="6"/>
      <c r="F763" s="6"/>
      <c r="G763" s="6"/>
      <c r="H763" s="6"/>
      <c r="J763" s="6"/>
      <c r="K763" s="6"/>
      <c r="L763" s="6"/>
    </row>
    <row r="764" spans="4:12" x14ac:dyDescent="0.2">
      <c r="D764" s="6"/>
      <c r="E764" s="6"/>
      <c r="F764" s="6"/>
      <c r="G764" s="6"/>
      <c r="H764" s="6"/>
      <c r="J764" s="6"/>
      <c r="K764" s="6"/>
      <c r="L764" s="6"/>
    </row>
    <row r="765" spans="4:12" x14ac:dyDescent="0.2">
      <c r="D765" s="6"/>
      <c r="E765" s="6"/>
      <c r="F765" s="6"/>
      <c r="G765" s="6"/>
      <c r="H765" s="6"/>
      <c r="J765" s="6"/>
      <c r="K765" s="6"/>
      <c r="L765" s="6"/>
    </row>
    <row r="766" spans="4:12" x14ac:dyDescent="0.2">
      <c r="D766" s="6"/>
      <c r="E766" s="6"/>
      <c r="F766" s="6"/>
      <c r="G766" s="6"/>
      <c r="H766" s="6"/>
      <c r="J766" s="6"/>
      <c r="K766" s="6"/>
      <c r="L766" s="6"/>
    </row>
    <row r="767" spans="4:12" x14ac:dyDescent="0.2">
      <c r="D767" s="6"/>
      <c r="E767" s="6"/>
      <c r="F767" s="6"/>
      <c r="G767" s="6"/>
      <c r="H767" s="6"/>
      <c r="J767" s="6"/>
      <c r="K767" s="6"/>
      <c r="L767" s="6"/>
    </row>
    <row r="768" spans="4:12" x14ac:dyDescent="0.2">
      <c r="D768" s="6"/>
      <c r="E768" s="6"/>
      <c r="F768" s="6"/>
      <c r="G768" s="6"/>
      <c r="H768" s="6"/>
      <c r="J768" s="6"/>
      <c r="K768" s="6"/>
      <c r="L768" s="6"/>
    </row>
    <row r="769" spans="4:12" x14ac:dyDescent="0.2">
      <c r="D769" s="6"/>
      <c r="E769" s="6"/>
      <c r="F769" s="6"/>
      <c r="G769" s="6"/>
      <c r="H769" s="6"/>
      <c r="J769" s="6"/>
      <c r="K769" s="6"/>
      <c r="L769" s="6"/>
    </row>
    <row r="770" spans="4:12" x14ac:dyDescent="0.2">
      <c r="D770" s="6"/>
      <c r="E770" s="6"/>
      <c r="F770" s="6"/>
      <c r="G770" s="6"/>
      <c r="H770" s="6"/>
      <c r="J770" s="6"/>
      <c r="K770" s="6"/>
      <c r="L770" s="6"/>
    </row>
    <row r="771" spans="4:12" x14ac:dyDescent="0.2">
      <c r="D771" s="6"/>
      <c r="E771" s="6"/>
      <c r="F771" s="6"/>
      <c r="G771" s="6"/>
      <c r="H771" s="6"/>
      <c r="J771" s="6"/>
      <c r="K771" s="6"/>
      <c r="L771" s="6"/>
    </row>
    <row r="772" spans="4:12" x14ac:dyDescent="0.2">
      <c r="D772" s="6"/>
      <c r="E772" s="6"/>
      <c r="F772" s="6"/>
      <c r="G772" s="6"/>
      <c r="H772" s="6"/>
      <c r="J772" s="6"/>
      <c r="K772" s="6"/>
      <c r="L772" s="6"/>
    </row>
    <row r="773" spans="4:12" x14ac:dyDescent="0.2">
      <c r="D773" s="6"/>
      <c r="E773" s="6"/>
      <c r="F773" s="6"/>
      <c r="G773" s="6"/>
      <c r="H773" s="6"/>
      <c r="J773" s="6"/>
      <c r="K773" s="6"/>
      <c r="L773" s="6"/>
    </row>
    <row r="774" spans="4:12" x14ac:dyDescent="0.2">
      <c r="D774" s="6"/>
      <c r="E774" s="6"/>
      <c r="F774" s="6"/>
      <c r="G774" s="6"/>
      <c r="H774" s="6"/>
      <c r="J774" s="6"/>
      <c r="K774" s="6"/>
      <c r="L774" s="6"/>
    </row>
    <row r="775" spans="4:12" x14ac:dyDescent="0.2">
      <c r="D775" s="6"/>
      <c r="E775" s="6"/>
      <c r="F775" s="6"/>
      <c r="G775" s="6"/>
      <c r="H775" s="6"/>
      <c r="J775" s="6"/>
      <c r="K775" s="6"/>
      <c r="L775" s="6"/>
    </row>
    <row r="776" spans="4:12" x14ac:dyDescent="0.2">
      <c r="D776" s="6"/>
      <c r="E776" s="6"/>
      <c r="F776" s="6"/>
      <c r="G776" s="6"/>
      <c r="H776" s="6"/>
      <c r="J776" s="6"/>
      <c r="K776" s="6"/>
      <c r="L776" s="6"/>
    </row>
    <row r="777" spans="4:12" x14ac:dyDescent="0.2">
      <c r="D777" s="6"/>
      <c r="E777" s="6"/>
      <c r="F777" s="6"/>
      <c r="G777" s="6"/>
      <c r="H777" s="6"/>
      <c r="J777" s="6"/>
      <c r="K777" s="6"/>
      <c r="L777" s="6"/>
    </row>
    <row r="778" spans="4:12" x14ac:dyDescent="0.2">
      <c r="D778" s="6"/>
      <c r="E778" s="6"/>
      <c r="F778" s="6"/>
      <c r="G778" s="6"/>
      <c r="H778" s="6"/>
      <c r="J778" s="6"/>
      <c r="K778" s="6"/>
      <c r="L778" s="6"/>
    </row>
    <row r="779" spans="4:12" x14ac:dyDescent="0.2">
      <c r="D779" s="6"/>
      <c r="E779" s="6"/>
      <c r="F779" s="6"/>
      <c r="G779" s="6"/>
      <c r="H779" s="6"/>
      <c r="J779" s="6"/>
      <c r="K779" s="6"/>
      <c r="L779" s="6"/>
    </row>
    <row r="780" spans="4:12" x14ac:dyDescent="0.2">
      <c r="D780" s="6"/>
      <c r="E780" s="6"/>
      <c r="F780" s="6"/>
      <c r="G780" s="6"/>
      <c r="H780" s="6"/>
      <c r="J780" s="6"/>
      <c r="K780" s="6"/>
      <c r="L780" s="6"/>
    </row>
    <row r="781" spans="4:12" x14ac:dyDescent="0.2">
      <c r="D781" s="6"/>
      <c r="E781" s="6"/>
      <c r="F781" s="6"/>
      <c r="G781" s="6"/>
      <c r="H781" s="6"/>
      <c r="J781" s="6"/>
      <c r="K781" s="6"/>
      <c r="L781" s="6"/>
    </row>
    <row r="782" spans="4:12" x14ac:dyDescent="0.2">
      <c r="D782" s="6"/>
      <c r="E782" s="6"/>
      <c r="F782" s="6"/>
      <c r="G782" s="6"/>
      <c r="H782" s="6"/>
      <c r="J782" s="6"/>
      <c r="K782" s="6"/>
      <c r="L782" s="6"/>
    </row>
    <row r="783" spans="4:12" x14ac:dyDescent="0.2">
      <c r="D783" s="6"/>
      <c r="E783" s="6"/>
      <c r="F783" s="6"/>
      <c r="G783" s="6"/>
      <c r="H783" s="6"/>
      <c r="J783" s="6"/>
      <c r="K783" s="6"/>
      <c r="L783" s="6"/>
    </row>
    <row r="784" spans="4:12" x14ac:dyDescent="0.2">
      <c r="D784" s="6"/>
      <c r="E784" s="6"/>
      <c r="F784" s="6"/>
      <c r="G784" s="6"/>
      <c r="H784" s="6"/>
      <c r="J784" s="6"/>
      <c r="K784" s="6"/>
      <c r="L784" s="6"/>
    </row>
    <row r="785" spans="4:12" x14ac:dyDescent="0.2">
      <c r="D785" s="6"/>
      <c r="E785" s="6"/>
      <c r="F785" s="6"/>
      <c r="G785" s="6"/>
      <c r="H785" s="6"/>
      <c r="J785" s="6"/>
      <c r="K785" s="6"/>
      <c r="L785" s="6"/>
    </row>
    <row r="786" spans="4:12" x14ac:dyDescent="0.2">
      <c r="D786" s="6"/>
      <c r="E786" s="6"/>
      <c r="F786" s="6"/>
      <c r="G786" s="6"/>
      <c r="H786" s="6"/>
      <c r="J786" s="6"/>
      <c r="K786" s="6"/>
      <c r="L786" s="6"/>
    </row>
    <row r="787" spans="4:12" x14ac:dyDescent="0.2">
      <c r="D787" s="6"/>
      <c r="E787" s="6"/>
      <c r="F787" s="6"/>
      <c r="G787" s="6"/>
      <c r="H787" s="6"/>
      <c r="J787" s="6"/>
      <c r="K787" s="6"/>
      <c r="L787" s="6"/>
    </row>
    <row r="788" spans="4:12" x14ac:dyDescent="0.2">
      <c r="D788" s="6"/>
      <c r="E788" s="6"/>
      <c r="F788" s="6"/>
      <c r="G788" s="6"/>
      <c r="H788" s="6"/>
      <c r="J788" s="6"/>
      <c r="K788" s="6"/>
      <c r="L788" s="6"/>
    </row>
    <row r="789" spans="4:12" x14ac:dyDescent="0.2">
      <c r="D789" s="6"/>
      <c r="E789" s="6"/>
      <c r="F789" s="6"/>
      <c r="G789" s="6"/>
      <c r="H789" s="6"/>
      <c r="J789" s="6"/>
      <c r="K789" s="6"/>
      <c r="L789" s="6"/>
    </row>
    <row r="790" spans="4:12" x14ac:dyDescent="0.2">
      <c r="D790" s="6"/>
      <c r="E790" s="6"/>
      <c r="F790" s="6"/>
      <c r="G790" s="6"/>
      <c r="H790" s="6"/>
      <c r="J790" s="6"/>
      <c r="K790" s="6"/>
      <c r="L790" s="6"/>
    </row>
    <row r="791" spans="4:12" x14ac:dyDescent="0.2">
      <c r="D791" s="6"/>
      <c r="E791" s="6"/>
      <c r="F791" s="6"/>
      <c r="G791" s="6"/>
      <c r="H791" s="6"/>
      <c r="J791" s="6"/>
      <c r="K791" s="6"/>
      <c r="L791" s="6"/>
    </row>
    <row r="792" spans="4:12" x14ac:dyDescent="0.2">
      <c r="D792" s="6"/>
      <c r="E792" s="6"/>
      <c r="F792" s="6"/>
      <c r="G792" s="6"/>
      <c r="H792" s="6"/>
      <c r="J792" s="6"/>
      <c r="K792" s="6"/>
      <c r="L792" s="6"/>
    </row>
    <row r="793" spans="4:12" x14ac:dyDescent="0.2">
      <c r="D793" s="6"/>
      <c r="E793" s="6"/>
      <c r="F793" s="6"/>
      <c r="G793" s="6"/>
      <c r="H793" s="6"/>
      <c r="J793" s="6"/>
      <c r="K793" s="6"/>
      <c r="L793" s="6"/>
    </row>
    <row r="794" spans="4:12" x14ac:dyDescent="0.2">
      <c r="D794" s="6"/>
      <c r="E794" s="6"/>
      <c r="F794" s="6"/>
      <c r="G794" s="6"/>
      <c r="H794" s="6"/>
      <c r="J794" s="6"/>
      <c r="K794" s="6"/>
      <c r="L794" s="6"/>
    </row>
    <row r="795" spans="4:12" x14ac:dyDescent="0.2">
      <c r="D795" s="6"/>
      <c r="E795" s="6"/>
      <c r="F795" s="6"/>
      <c r="G795" s="6"/>
      <c r="H795" s="6"/>
      <c r="J795" s="6"/>
      <c r="K795" s="6"/>
      <c r="L795" s="6"/>
    </row>
    <row r="796" spans="4:12" x14ac:dyDescent="0.2">
      <c r="D796" s="6"/>
      <c r="E796" s="6"/>
      <c r="F796" s="6"/>
      <c r="G796" s="6"/>
      <c r="H796" s="6"/>
      <c r="J796" s="6"/>
      <c r="K796" s="6"/>
      <c r="L796" s="6"/>
    </row>
    <row r="797" spans="4:12" x14ac:dyDescent="0.2">
      <c r="D797" s="6"/>
      <c r="E797" s="6"/>
      <c r="F797" s="6"/>
      <c r="G797" s="6"/>
      <c r="H797" s="6"/>
      <c r="J797" s="6"/>
      <c r="K797" s="6"/>
      <c r="L797" s="6"/>
    </row>
    <row r="798" spans="4:12" x14ac:dyDescent="0.2">
      <c r="D798" s="6"/>
      <c r="E798" s="6"/>
      <c r="F798" s="6"/>
      <c r="G798" s="6"/>
      <c r="H798" s="6"/>
      <c r="J798" s="6"/>
      <c r="K798" s="6"/>
      <c r="L798" s="6"/>
    </row>
    <row r="799" spans="4:12" x14ac:dyDescent="0.2">
      <c r="D799" s="6"/>
      <c r="E799" s="6"/>
      <c r="F799" s="6"/>
      <c r="G799" s="6"/>
      <c r="H799" s="6"/>
      <c r="J799" s="6"/>
      <c r="K799" s="6"/>
      <c r="L799" s="6"/>
    </row>
    <row r="800" spans="4:12" x14ac:dyDescent="0.2">
      <c r="D800" s="6"/>
      <c r="E800" s="6"/>
      <c r="F800" s="6"/>
      <c r="G800" s="6"/>
      <c r="H800" s="6"/>
      <c r="J800" s="6"/>
      <c r="K800" s="6"/>
      <c r="L800" s="6"/>
    </row>
    <row r="801" spans="4:12" x14ac:dyDescent="0.2">
      <c r="D801" s="6"/>
      <c r="E801" s="6"/>
      <c r="F801" s="6"/>
      <c r="G801" s="6"/>
      <c r="H801" s="6"/>
      <c r="J801" s="6"/>
      <c r="K801" s="6"/>
      <c r="L801" s="6"/>
    </row>
    <row r="802" spans="4:12" x14ac:dyDescent="0.2">
      <c r="D802" s="6"/>
      <c r="E802" s="6"/>
      <c r="F802" s="6"/>
      <c r="G802" s="6"/>
      <c r="H802" s="6"/>
      <c r="J802" s="6"/>
      <c r="K802" s="6"/>
      <c r="L802" s="6"/>
    </row>
    <row r="803" spans="4:12" x14ac:dyDescent="0.2">
      <c r="D803" s="6"/>
      <c r="E803" s="6"/>
      <c r="F803" s="6"/>
      <c r="G803" s="6"/>
      <c r="H803" s="6"/>
      <c r="J803" s="6"/>
      <c r="K803" s="6"/>
      <c r="L803" s="6"/>
    </row>
    <row r="804" spans="4:12" x14ac:dyDescent="0.2">
      <c r="D804" s="6"/>
      <c r="E804" s="6"/>
      <c r="F804" s="6"/>
      <c r="G804" s="6"/>
      <c r="H804" s="6"/>
      <c r="J804" s="6"/>
      <c r="K804" s="6"/>
      <c r="L804" s="6"/>
    </row>
    <row r="805" spans="4:12" x14ac:dyDescent="0.2">
      <c r="D805" s="6"/>
      <c r="E805" s="6"/>
      <c r="F805" s="6"/>
      <c r="G805" s="6"/>
      <c r="H805" s="6"/>
      <c r="J805" s="6"/>
      <c r="K805" s="6"/>
      <c r="L805" s="6"/>
    </row>
    <row r="806" spans="4:12" x14ac:dyDescent="0.2">
      <c r="D806" s="6"/>
      <c r="E806" s="6"/>
      <c r="F806" s="6"/>
      <c r="G806" s="6"/>
      <c r="H806" s="6"/>
      <c r="J806" s="6"/>
      <c r="K806" s="6"/>
      <c r="L806" s="6"/>
    </row>
    <row r="807" spans="4:12" x14ac:dyDescent="0.2">
      <c r="D807" s="6"/>
      <c r="E807" s="6"/>
      <c r="F807" s="6"/>
      <c r="G807" s="6"/>
      <c r="H807" s="6"/>
      <c r="J807" s="6"/>
      <c r="K807" s="6"/>
      <c r="L807" s="6"/>
    </row>
    <row r="808" spans="4:12" x14ac:dyDescent="0.2">
      <c r="D808" s="6"/>
      <c r="E808" s="6"/>
      <c r="F808" s="6"/>
      <c r="G808" s="6"/>
      <c r="H808" s="6"/>
      <c r="J808" s="6"/>
      <c r="K808" s="6"/>
      <c r="L808" s="6"/>
    </row>
    <row r="809" spans="4:12" x14ac:dyDescent="0.2">
      <c r="D809" s="6"/>
      <c r="E809" s="6"/>
      <c r="F809" s="6"/>
      <c r="G809" s="6"/>
      <c r="H809" s="6"/>
      <c r="J809" s="6"/>
      <c r="K809" s="6"/>
      <c r="L809" s="6"/>
    </row>
    <row r="810" spans="4:12" x14ac:dyDescent="0.2">
      <c r="D810" s="6"/>
      <c r="E810" s="6"/>
      <c r="F810" s="6"/>
      <c r="G810" s="6"/>
      <c r="H810" s="6"/>
      <c r="J810" s="6"/>
      <c r="K810" s="6"/>
      <c r="L810" s="6"/>
    </row>
    <row r="811" spans="4:12" x14ac:dyDescent="0.2">
      <c r="D811" s="6"/>
      <c r="E811" s="6"/>
      <c r="F811" s="6"/>
      <c r="G811" s="6"/>
      <c r="H811" s="6"/>
      <c r="J811" s="6"/>
      <c r="K811" s="6"/>
      <c r="L811" s="6"/>
    </row>
    <row r="812" spans="4:12" x14ac:dyDescent="0.2">
      <c r="D812" s="6"/>
      <c r="E812" s="6"/>
      <c r="F812" s="6"/>
      <c r="G812" s="6"/>
      <c r="H812" s="6"/>
      <c r="J812" s="6"/>
      <c r="K812" s="6"/>
      <c r="L812" s="6"/>
    </row>
    <row r="813" spans="4:12" x14ac:dyDescent="0.2">
      <c r="D813" s="6"/>
      <c r="E813" s="6"/>
      <c r="F813" s="6"/>
      <c r="G813" s="6"/>
      <c r="H813" s="6"/>
      <c r="J813" s="6"/>
      <c r="K813" s="6"/>
      <c r="L813" s="6"/>
    </row>
    <row r="814" spans="4:12" x14ac:dyDescent="0.2">
      <c r="D814" s="6"/>
      <c r="E814" s="6"/>
      <c r="F814" s="6"/>
      <c r="G814" s="6"/>
      <c r="H814" s="6"/>
      <c r="J814" s="6"/>
      <c r="K814" s="6"/>
      <c r="L814" s="6"/>
    </row>
    <row r="815" spans="4:12" x14ac:dyDescent="0.2">
      <c r="D815" s="6"/>
      <c r="E815" s="6"/>
      <c r="F815" s="6"/>
      <c r="G815" s="6"/>
      <c r="H815" s="6"/>
      <c r="J815" s="6"/>
      <c r="K815" s="6"/>
      <c r="L815" s="6"/>
    </row>
    <row r="816" spans="4:12" x14ac:dyDescent="0.2">
      <c r="D816" s="6"/>
      <c r="E816" s="6"/>
      <c r="F816" s="6"/>
      <c r="G816" s="6"/>
      <c r="H816" s="6"/>
      <c r="J816" s="6"/>
      <c r="K816" s="6"/>
      <c r="L816" s="6"/>
    </row>
    <row r="817" spans="4:12" x14ac:dyDescent="0.2">
      <c r="D817" s="6"/>
      <c r="E817" s="6"/>
      <c r="F817" s="6"/>
      <c r="G817" s="6"/>
      <c r="H817" s="6"/>
      <c r="J817" s="6"/>
      <c r="K817" s="6"/>
      <c r="L817" s="6"/>
    </row>
    <row r="818" spans="4:12" x14ac:dyDescent="0.2">
      <c r="D818" s="6"/>
      <c r="E818" s="6"/>
      <c r="F818" s="6"/>
      <c r="G818" s="6"/>
      <c r="H818" s="6"/>
      <c r="J818" s="6"/>
      <c r="K818" s="6"/>
      <c r="L818" s="6"/>
    </row>
    <row r="819" spans="4:12" x14ac:dyDescent="0.2">
      <c r="D819" s="6"/>
      <c r="E819" s="6"/>
      <c r="F819" s="6"/>
      <c r="G819" s="6"/>
      <c r="H819" s="6"/>
      <c r="J819" s="6"/>
      <c r="K819" s="6"/>
      <c r="L819" s="6"/>
    </row>
    <row r="820" spans="4:12" x14ac:dyDescent="0.2">
      <c r="D820" s="6"/>
      <c r="E820" s="6"/>
      <c r="F820" s="6"/>
      <c r="G820" s="6"/>
      <c r="H820" s="6"/>
      <c r="J820" s="6"/>
      <c r="K820" s="6"/>
      <c r="L820" s="6"/>
    </row>
    <row r="821" spans="4:12" x14ac:dyDescent="0.2">
      <c r="D821" s="6"/>
      <c r="E821" s="6"/>
      <c r="F821" s="6"/>
      <c r="G821" s="6"/>
      <c r="H821" s="6"/>
      <c r="J821" s="6"/>
      <c r="K821" s="6"/>
      <c r="L821" s="6"/>
    </row>
    <row r="822" spans="4:12" x14ac:dyDescent="0.2">
      <c r="D822" s="6"/>
      <c r="E822" s="6"/>
      <c r="F822" s="6"/>
      <c r="G822" s="6"/>
      <c r="H822" s="6"/>
      <c r="J822" s="6"/>
      <c r="K822" s="6"/>
      <c r="L822" s="6"/>
    </row>
    <row r="823" spans="4:12" x14ac:dyDescent="0.2">
      <c r="D823" s="6"/>
      <c r="E823" s="6"/>
      <c r="F823" s="6"/>
      <c r="G823" s="6"/>
      <c r="H823" s="6"/>
      <c r="J823" s="6"/>
      <c r="K823" s="6"/>
      <c r="L823" s="6"/>
    </row>
    <row r="824" spans="4:12" x14ac:dyDescent="0.2">
      <c r="D824" s="6"/>
      <c r="E824" s="6"/>
      <c r="F824" s="6"/>
      <c r="G824" s="6"/>
      <c r="H824" s="6"/>
      <c r="J824" s="6"/>
      <c r="K824" s="6"/>
      <c r="L824" s="6"/>
    </row>
    <row r="825" spans="4:12" x14ac:dyDescent="0.2">
      <c r="D825" s="6"/>
      <c r="E825" s="6"/>
      <c r="F825" s="6"/>
      <c r="G825" s="6"/>
      <c r="H825" s="6"/>
      <c r="J825" s="6"/>
      <c r="K825" s="6"/>
      <c r="L825" s="6"/>
    </row>
    <row r="826" spans="4:12" x14ac:dyDescent="0.2">
      <c r="D826" s="6"/>
      <c r="E826" s="6"/>
      <c r="F826" s="6"/>
      <c r="G826" s="6"/>
      <c r="H826" s="6"/>
      <c r="J826" s="6"/>
      <c r="K826" s="6"/>
      <c r="L826" s="6"/>
    </row>
    <row r="827" spans="4:12" x14ac:dyDescent="0.2">
      <c r="D827" s="6"/>
      <c r="E827" s="6"/>
      <c r="F827" s="6"/>
      <c r="G827" s="6"/>
      <c r="H827" s="6"/>
      <c r="J827" s="6"/>
      <c r="K827" s="6"/>
      <c r="L827" s="6"/>
    </row>
    <row r="828" spans="4:12" x14ac:dyDescent="0.2">
      <c r="D828" s="6"/>
      <c r="E828" s="6"/>
      <c r="F828" s="6"/>
      <c r="G828" s="6"/>
      <c r="H828" s="6"/>
      <c r="J828" s="6"/>
      <c r="K828" s="6"/>
      <c r="L828" s="6"/>
    </row>
    <row r="829" spans="4:12" x14ac:dyDescent="0.2">
      <c r="D829" s="6"/>
      <c r="E829" s="6"/>
      <c r="F829" s="6"/>
      <c r="G829" s="6"/>
      <c r="H829" s="6"/>
      <c r="J829" s="6"/>
      <c r="K829" s="6"/>
      <c r="L829" s="6"/>
    </row>
    <row r="830" spans="4:12" x14ac:dyDescent="0.2">
      <c r="D830" s="6"/>
      <c r="E830" s="6"/>
      <c r="F830" s="6"/>
      <c r="G830" s="6"/>
      <c r="H830" s="6"/>
      <c r="J830" s="6"/>
      <c r="K830" s="6"/>
      <c r="L830" s="6"/>
    </row>
    <row r="831" spans="4:12" x14ac:dyDescent="0.2">
      <c r="D831" s="6"/>
      <c r="E831" s="6"/>
      <c r="F831" s="6"/>
      <c r="G831" s="6"/>
      <c r="H831" s="6"/>
      <c r="J831" s="6"/>
      <c r="K831" s="6"/>
      <c r="L831" s="6"/>
    </row>
    <row r="832" spans="4:12" x14ac:dyDescent="0.2">
      <c r="D832" s="6"/>
      <c r="E832" s="6"/>
      <c r="F832" s="6"/>
      <c r="G832" s="6"/>
      <c r="H832" s="6"/>
      <c r="J832" s="6"/>
      <c r="K832" s="6"/>
      <c r="L832" s="6"/>
    </row>
    <row r="833" spans="4:12" x14ac:dyDescent="0.2">
      <c r="D833" s="6"/>
      <c r="E833" s="6"/>
      <c r="F833" s="6"/>
      <c r="G833" s="6"/>
      <c r="H833" s="6"/>
      <c r="J833" s="6"/>
      <c r="K833" s="6"/>
      <c r="L833" s="6"/>
    </row>
    <row r="834" spans="4:12" x14ac:dyDescent="0.2">
      <c r="D834" s="6"/>
      <c r="E834" s="6"/>
      <c r="F834" s="6"/>
      <c r="G834" s="6"/>
      <c r="H834" s="6"/>
      <c r="J834" s="6"/>
      <c r="K834" s="6"/>
      <c r="L834" s="6"/>
    </row>
    <row r="835" spans="4:12" x14ac:dyDescent="0.2">
      <c r="D835" s="6"/>
      <c r="E835" s="6"/>
      <c r="F835" s="6"/>
      <c r="G835" s="6"/>
      <c r="H835" s="6"/>
      <c r="J835" s="6"/>
      <c r="K835" s="6"/>
      <c r="L835" s="6"/>
    </row>
    <row r="836" spans="4:12" x14ac:dyDescent="0.2">
      <c r="D836" s="6"/>
      <c r="E836" s="6"/>
      <c r="F836" s="6"/>
      <c r="G836" s="6"/>
      <c r="H836" s="6"/>
      <c r="J836" s="6"/>
      <c r="K836" s="6"/>
      <c r="L836" s="6"/>
    </row>
    <row r="837" spans="4:12" x14ac:dyDescent="0.2">
      <c r="D837" s="6"/>
      <c r="E837" s="6"/>
      <c r="F837" s="6"/>
      <c r="G837" s="6"/>
      <c r="H837" s="6"/>
      <c r="J837" s="6"/>
      <c r="K837" s="6"/>
      <c r="L837" s="6"/>
    </row>
    <row r="838" spans="4:12" x14ac:dyDescent="0.2">
      <c r="D838" s="6"/>
      <c r="E838" s="6"/>
      <c r="F838" s="6"/>
      <c r="G838" s="6"/>
      <c r="H838" s="6"/>
      <c r="J838" s="6"/>
      <c r="K838" s="6"/>
      <c r="L838" s="6"/>
    </row>
    <row r="839" spans="4:12" x14ac:dyDescent="0.2">
      <c r="D839" s="6"/>
      <c r="E839" s="6"/>
      <c r="F839" s="6"/>
      <c r="G839" s="6"/>
      <c r="H839" s="6"/>
      <c r="J839" s="6"/>
      <c r="K839" s="6"/>
      <c r="L839" s="6"/>
    </row>
    <row r="840" spans="4:12" x14ac:dyDescent="0.2">
      <c r="D840" s="6"/>
      <c r="E840" s="6"/>
      <c r="F840" s="6"/>
      <c r="G840" s="6"/>
      <c r="H840" s="6"/>
      <c r="J840" s="6"/>
      <c r="K840" s="6"/>
      <c r="L840" s="6"/>
    </row>
    <row r="841" spans="4:12" x14ac:dyDescent="0.2">
      <c r="D841" s="6"/>
      <c r="E841" s="6"/>
      <c r="F841" s="6"/>
      <c r="G841" s="6"/>
      <c r="H841" s="6"/>
      <c r="J841" s="6"/>
      <c r="K841" s="6"/>
      <c r="L841" s="6"/>
    </row>
    <row r="842" spans="4:12" x14ac:dyDescent="0.2">
      <c r="D842" s="6"/>
      <c r="E842" s="6"/>
      <c r="F842" s="6"/>
      <c r="G842" s="6"/>
      <c r="H842" s="6"/>
      <c r="J842" s="6"/>
      <c r="K842" s="6"/>
      <c r="L842" s="6"/>
    </row>
    <row r="843" spans="4:12" x14ac:dyDescent="0.2">
      <c r="D843" s="6"/>
      <c r="E843" s="6"/>
      <c r="F843" s="6"/>
      <c r="G843" s="6"/>
      <c r="H843" s="6"/>
      <c r="J843" s="6"/>
      <c r="K843" s="6"/>
      <c r="L843" s="6"/>
    </row>
    <row r="844" spans="4:12" x14ac:dyDescent="0.2">
      <c r="D844" s="6"/>
      <c r="E844" s="6"/>
      <c r="F844" s="6"/>
      <c r="G844" s="6"/>
      <c r="H844" s="6"/>
      <c r="J844" s="6"/>
      <c r="K844" s="6"/>
      <c r="L844" s="6"/>
    </row>
    <row r="845" spans="4:12" x14ac:dyDescent="0.2">
      <c r="D845" s="6"/>
      <c r="E845" s="6"/>
      <c r="F845" s="6"/>
      <c r="G845" s="6"/>
      <c r="H845" s="6"/>
      <c r="J845" s="6"/>
      <c r="K845" s="6"/>
      <c r="L845" s="6"/>
    </row>
    <row r="846" spans="4:12" x14ac:dyDescent="0.2">
      <c r="D846" s="6"/>
      <c r="E846" s="6"/>
      <c r="F846" s="6"/>
      <c r="G846" s="6"/>
      <c r="H846" s="6"/>
      <c r="J846" s="6"/>
      <c r="K846" s="6"/>
      <c r="L846" s="6"/>
    </row>
    <row r="847" spans="4:12" x14ac:dyDescent="0.2">
      <c r="D847" s="6"/>
      <c r="E847" s="6"/>
      <c r="F847" s="6"/>
      <c r="G847" s="6"/>
      <c r="H847" s="6"/>
      <c r="J847" s="6"/>
      <c r="K847" s="6"/>
      <c r="L847" s="6"/>
    </row>
    <row r="848" spans="4:12" x14ac:dyDescent="0.2">
      <c r="D848" s="6"/>
      <c r="E848" s="6"/>
      <c r="F848" s="6"/>
      <c r="G848" s="6"/>
      <c r="H848" s="6"/>
      <c r="J848" s="6"/>
      <c r="K848" s="6"/>
      <c r="L848" s="6"/>
    </row>
    <row r="849" spans="4:12" x14ac:dyDescent="0.2">
      <c r="D849" s="6"/>
      <c r="E849" s="6"/>
      <c r="F849" s="6"/>
      <c r="G849" s="6"/>
      <c r="H849" s="6"/>
      <c r="J849" s="6"/>
      <c r="K849" s="6"/>
      <c r="L849" s="6"/>
    </row>
    <row r="850" spans="4:12" x14ac:dyDescent="0.2">
      <c r="D850" s="6"/>
      <c r="E850" s="6"/>
      <c r="F850" s="6"/>
      <c r="G850" s="6"/>
      <c r="H850" s="6"/>
      <c r="J850" s="6"/>
      <c r="K850" s="6"/>
      <c r="L850" s="6"/>
    </row>
    <row r="851" spans="4:12" x14ac:dyDescent="0.2">
      <c r="D851" s="6"/>
      <c r="E851" s="6"/>
      <c r="F851" s="6"/>
      <c r="G851" s="6"/>
      <c r="H851" s="6"/>
      <c r="J851" s="6"/>
      <c r="K851" s="6"/>
      <c r="L851" s="6"/>
    </row>
    <row r="852" spans="4:12" x14ac:dyDescent="0.2">
      <c r="D852" s="6"/>
      <c r="E852" s="6"/>
      <c r="F852" s="6"/>
      <c r="G852" s="6"/>
      <c r="H852" s="6"/>
      <c r="J852" s="6"/>
      <c r="K852" s="6"/>
      <c r="L852" s="6"/>
    </row>
    <row r="853" spans="4:12" x14ac:dyDescent="0.2">
      <c r="D853" s="6"/>
      <c r="E853" s="6"/>
      <c r="F853" s="6"/>
      <c r="G853" s="6"/>
      <c r="H853" s="6"/>
      <c r="J853" s="6"/>
      <c r="K853" s="6"/>
      <c r="L853" s="6"/>
    </row>
    <row r="854" spans="4:12" x14ac:dyDescent="0.2">
      <c r="D854" s="6"/>
      <c r="E854" s="6"/>
      <c r="F854" s="6"/>
      <c r="G854" s="6"/>
      <c r="H854" s="6"/>
      <c r="J854" s="6"/>
      <c r="K854" s="6"/>
      <c r="L854" s="6"/>
    </row>
    <row r="855" spans="4:12" x14ac:dyDescent="0.2">
      <c r="D855" s="6"/>
      <c r="E855" s="6"/>
      <c r="F855" s="6"/>
      <c r="G855" s="6"/>
      <c r="H855" s="6"/>
      <c r="J855" s="6"/>
      <c r="K855" s="6"/>
      <c r="L855" s="6"/>
    </row>
    <row r="856" spans="4:12" x14ac:dyDescent="0.2">
      <c r="D856" s="6"/>
      <c r="E856" s="6"/>
      <c r="F856" s="6"/>
      <c r="G856" s="6"/>
      <c r="H856" s="6"/>
      <c r="J856" s="6"/>
      <c r="K856" s="6"/>
      <c r="L856" s="6"/>
    </row>
    <row r="857" spans="4:12" x14ac:dyDescent="0.2">
      <c r="D857" s="6"/>
      <c r="E857" s="6"/>
      <c r="F857" s="6"/>
      <c r="G857" s="6"/>
      <c r="H857" s="6"/>
      <c r="J857" s="6"/>
      <c r="K857" s="6"/>
      <c r="L857" s="6"/>
    </row>
    <row r="858" spans="4:12" x14ac:dyDescent="0.2">
      <c r="D858" s="6"/>
      <c r="E858" s="6"/>
      <c r="F858" s="6"/>
      <c r="G858" s="6"/>
      <c r="H858" s="6"/>
      <c r="J858" s="6"/>
      <c r="K858" s="6"/>
      <c r="L858" s="6"/>
    </row>
    <row r="859" spans="4:12" x14ac:dyDescent="0.2">
      <c r="D859" s="6"/>
      <c r="E859" s="6"/>
      <c r="F859" s="6"/>
      <c r="G859" s="6"/>
      <c r="H859" s="6"/>
      <c r="J859" s="6"/>
      <c r="K859" s="6"/>
      <c r="L859" s="6"/>
    </row>
    <row r="860" spans="4:12" x14ac:dyDescent="0.2">
      <c r="D860" s="6"/>
      <c r="E860" s="6"/>
      <c r="F860" s="6"/>
      <c r="G860" s="6"/>
      <c r="H860" s="6"/>
      <c r="J860" s="6"/>
      <c r="K860" s="6"/>
      <c r="L860" s="6"/>
    </row>
    <row r="861" spans="4:12" x14ac:dyDescent="0.2">
      <c r="D861" s="6"/>
      <c r="E861" s="6"/>
      <c r="F861" s="6"/>
      <c r="G861" s="6"/>
      <c r="H861" s="6"/>
      <c r="J861" s="6"/>
      <c r="K861" s="6"/>
      <c r="L861" s="6"/>
    </row>
    <row r="862" spans="4:12" x14ac:dyDescent="0.2">
      <c r="D862" s="6"/>
      <c r="E862" s="6"/>
      <c r="F862" s="6"/>
      <c r="G862" s="6"/>
      <c r="H862" s="6"/>
      <c r="J862" s="6"/>
      <c r="K862" s="6"/>
      <c r="L862" s="6"/>
    </row>
    <row r="863" spans="4:12" x14ac:dyDescent="0.2">
      <c r="D863" s="6"/>
      <c r="E863" s="6"/>
      <c r="F863" s="6"/>
      <c r="G863" s="6"/>
      <c r="H863" s="6"/>
      <c r="J863" s="6"/>
      <c r="K863" s="6"/>
      <c r="L863" s="6"/>
    </row>
    <row r="864" spans="4:12" x14ac:dyDescent="0.2">
      <c r="D864" s="6"/>
      <c r="E864" s="6"/>
      <c r="F864" s="6"/>
      <c r="G864" s="6"/>
      <c r="H864" s="6"/>
      <c r="J864" s="6"/>
      <c r="K864" s="6"/>
      <c r="L864" s="6"/>
    </row>
    <row r="865" spans="4:12" x14ac:dyDescent="0.2">
      <c r="D865" s="6"/>
      <c r="E865" s="6"/>
      <c r="F865" s="6"/>
      <c r="G865" s="6"/>
      <c r="H865" s="6"/>
      <c r="J865" s="6"/>
      <c r="K865" s="6"/>
      <c r="L865" s="6"/>
    </row>
    <row r="866" spans="4:12" x14ac:dyDescent="0.2">
      <c r="D866" s="6"/>
      <c r="E866" s="6"/>
      <c r="F866" s="6"/>
      <c r="G866" s="6"/>
      <c r="H866" s="6"/>
      <c r="J866" s="6"/>
      <c r="K866" s="6"/>
      <c r="L866" s="6"/>
    </row>
    <row r="867" spans="4:12" x14ac:dyDescent="0.2">
      <c r="D867" s="6"/>
      <c r="E867" s="6"/>
      <c r="F867" s="6"/>
      <c r="G867" s="6"/>
      <c r="H867" s="6"/>
      <c r="J867" s="6"/>
      <c r="K867" s="6"/>
      <c r="L867" s="6"/>
    </row>
    <row r="868" spans="4:12" x14ac:dyDescent="0.2">
      <c r="D868" s="6"/>
      <c r="E868" s="6"/>
      <c r="F868" s="6"/>
      <c r="G868" s="6"/>
      <c r="H868" s="6"/>
      <c r="J868" s="6"/>
      <c r="K868" s="6"/>
      <c r="L868" s="6"/>
    </row>
    <row r="869" spans="4:12" x14ac:dyDescent="0.2">
      <c r="D869" s="6"/>
      <c r="E869" s="6"/>
      <c r="F869" s="6"/>
      <c r="G869" s="6"/>
      <c r="H869" s="6"/>
      <c r="J869" s="6"/>
      <c r="K869" s="6"/>
      <c r="L869" s="6"/>
    </row>
    <row r="870" spans="4:12" x14ac:dyDescent="0.2">
      <c r="D870" s="6"/>
      <c r="E870" s="6"/>
      <c r="F870" s="6"/>
      <c r="G870" s="6"/>
      <c r="H870" s="6"/>
      <c r="J870" s="6"/>
      <c r="K870" s="6"/>
      <c r="L870" s="6"/>
    </row>
    <row r="871" spans="4:12" x14ac:dyDescent="0.2">
      <c r="D871" s="6"/>
      <c r="E871" s="6"/>
      <c r="F871" s="6"/>
      <c r="G871" s="6"/>
      <c r="H871" s="6"/>
      <c r="J871" s="6"/>
      <c r="K871" s="6"/>
      <c r="L871" s="6"/>
    </row>
    <row r="872" spans="4:12" x14ac:dyDescent="0.2">
      <c r="D872" s="6"/>
      <c r="E872" s="6"/>
      <c r="F872" s="6"/>
      <c r="G872" s="6"/>
      <c r="H872" s="6"/>
      <c r="J872" s="6"/>
      <c r="K872" s="6"/>
      <c r="L872" s="6"/>
    </row>
    <row r="873" spans="4:12" x14ac:dyDescent="0.2">
      <c r="D873" s="6"/>
      <c r="E873" s="6"/>
      <c r="F873" s="6"/>
      <c r="G873" s="6"/>
      <c r="H873" s="6"/>
      <c r="J873" s="6"/>
      <c r="K873" s="6"/>
      <c r="L873" s="6"/>
    </row>
    <row r="874" spans="4:12" x14ac:dyDescent="0.2">
      <c r="D874" s="6"/>
      <c r="E874" s="6"/>
      <c r="F874" s="6"/>
      <c r="G874" s="6"/>
      <c r="H874" s="6"/>
      <c r="J874" s="6"/>
      <c r="K874" s="6"/>
      <c r="L874" s="6"/>
    </row>
    <row r="875" spans="4:12" x14ac:dyDescent="0.2">
      <c r="D875" s="6"/>
      <c r="E875" s="6"/>
      <c r="F875" s="6"/>
      <c r="G875" s="6"/>
      <c r="H875" s="6"/>
      <c r="J875" s="6"/>
      <c r="K875" s="6"/>
      <c r="L875" s="6"/>
    </row>
    <row r="876" spans="4:12" x14ac:dyDescent="0.2">
      <c r="D876" s="6"/>
      <c r="E876" s="6"/>
      <c r="F876" s="6"/>
      <c r="G876" s="6"/>
      <c r="H876" s="6"/>
      <c r="J876" s="6"/>
      <c r="K876" s="6"/>
      <c r="L876" s="6"/>
    </row>
    <row r="877" spans="4:12" x14ac:dyDescent="0.2">
      <c r="D877" s="6"/>
      <c r="E877" s="6"/>
      <c r="F877" s="6"/>
      <c r="G877" s="6"/>
      <c r="H877" s="6"/>
      <c r="J877" s="6"/>
      <c r="K877" s="6"/>
      <c r="L877" s="6"/>
    </row>
    <row r="878" spans="4:12" x14ac:dyDescent="0.2">
      <c r="D878" s="6"/>
      <c r="E878" s="6"/>
      <c r="F878" s="6"/>
      <c r="G878" s="6"/>
      <c r="H878" s="6"/>
      <c r="J878" s="6"/>
      <c r="K878" s="6"/>
      <c r="L878" s="6"/>
    </row>
    <row r="879" spans="4:12" x14ac:dyDescent="0.2">
      <c r="D879" s="6"/>
      <c r="E879" s="6"/>
      <c r="F879" s="6"/>
      <c r="G879" s="6"/>
      <c r="H879" s="6"/>
      <c r="J879" s="6"/>
      <c r="K879" s="6"/>
      <c r="L879" s="6"/>
    </row>
    <row r="880" spans="4:12" x14ac:dyDescent="0.2">
      <c r="D880" s="6"/>
      <c r="E880" s="6"/>
      <c r="F880" s="6"/>
      <c r="G880" s="6"/>
      <c r="H880" s="6"/>
      <c r="J880" s="6"/>
      <c r="K880" s="6"/>
      <c r="L880" s="6"/>
    </row>
    <row r="881" spans="4:12" x14ac:dyDescent="0.2">
      <c r="D881" s="6"/>
      <c r="E881" s="6"/>
      <c r="F881" s="6"/>
      <c r="G881" s="6"/>
      <c r="H881" s="6"/>
      <c r="J881" s="6"/>
      <c r="K881" s="6"/>
      <c r="L881" s="6"/>
    </row>
    <row r="882" spans="4:12" x14ac:dyDescent="0.2">
      <c r="D882" s="6"/>
      <c r="E882" s="6"/>
      <c r="F882" s="6"/>
      <c r="G882" s="6"/>
      <c r="H882" s="6"/>
      <c r="J882" s="6"/>
      <c r="K882" s="6"/>
      <c r="L882" s="6"/>
    </row>
    <row r="883" spans="4:12" x14ac:dyDescent="0.2">
      <c r="D883" s="6"/>
      <c r="E883" s="6"/>
      <c r="F883" s="6"/>
      <c r="G883" s="6"/>
      <c r="H883" s="6"/>
      <c r="J883" s="6"/>
      <c r="K883" s="6"/>
      <c r="L883" s="6"/>
    </row>
    <row r="884" spans="4:12" x14ac:dyDescent="0.2">
      <c r="D884" s="6"/>
      <c r="E884" s="6"/>
      <c r="F884" s="6"/>
      <c r="G884" s="6"/>
      <c r="H884" s="6"/>
      <c r="J884" s="6"/>
      <c r="K884" s="6"/>
      <c r="L884" s="6"/>
    </row>
    <row r="885" spans="4:12" x14ac:dyDescent="0.2">
      <c r="D885" s="6"/>
      <c r="E885" s="6"/>
      <c r="F885" s="6"/>
      <c r="G885" s="6"/>
      <c r="H885" s="6"/>
      <c r="J885" s="6"/>
      <c r="K885" s="6"/>
      <c r="L885" s="6"/>
    </row>
    <row r="886" spans="4:12" x14ac:dyDescent="0.2">
      <c r="D886" s="6"/>
      <c r="E886" s="6"/>
      <c r="F886" s="6"/>
      <c r="G886" s="6"/>
      <c r="H886" s="6"/>
      <c r="J886" s="6"/>
      <c r="K886" s="6"/>
      <c r="L886" s="6"/>
    </row>
    <row r="887" spans="4:12" x14ac:dyDescent="0.2">
      <c r="D887" s="6"/>
      <c r="E887" s="6"/>
      <c r="F887" s="6"/>
      <c r="G887" s="6"/>
      <c r="H887" s="6"/>
      <c r="J887" s="6"/>
      <c r="K887" s="6"/>
      <c r="L887" s="6"/>
    </row>
    <row r="888" spans="4:12" x14ac:dyDescent="0.2">
      <c r="D888" s="6"/>
      <c r="E888" s="6"/>
      <c r="F888" s="6"/>
      <c r="G888" s="6"/>
      <c r="H888" s="6"/>
      <c r="J888" s="6"/>
      <c r="K888" s="6"/>
      <c r="L888" s="6"/>
    </row>
    <row r="889" spans="4:12" x14ac:dyDescent="0.2">
      <c r="D889" s="6"/>
      <c r="E889" s="6"/>
      <c r="F889" s="6"/>
      <c r="G889" s="6"/>
      <c r="H889" s="6"/>
      <c r="J889" s="6"/>
      <c r="K889" s="6"/>
      <c r="L889" s="6"/>
    </row>
    <row r="890" spans="4:12" x14ac:dyDescent="0.2">
      <c r="D890" s="6"/>
      <c r="E890" s="6"/>
      <c r="F890" s="6"/>
      <c r="G890" s="6"/>
      <c r="H890" s="6"/>
      <c r="J890" s="6"/>
      <c r="K890" s="6"/>
      <c r="L890" s="6"/>
    </row>
    <row r="891" spans="4:12" x14ac:dyDescent="0.2">
      <c r="D891" s="6"/>
      <c r="E891" s="6"/>
      <c r="F891" s="6"/>
      <c r="G891" s="6"/>
      <c r="H891" s="6"/>
      <c r="J891" s="6"/>
      <c r="K891" s="6"/>
      <c r="L891" s="6"/>
    </row>
    <row r="892" spans="4:12" x14ac:dyDescent="0.2">
      <c r="D892" s="6"/>
      <c r="E892" s="6"/>
      <c r="F892" s="6"/>
      <c r="G892" s="6"/>
      <c r="H892" s="6"/>
      <c r="J892" s="6"/>
      <c r="K892" s="6"/>
      <c r="L892" s="6"/>
    </row>
    <row r="893" spans="4:12" x14ac:dyDescent="0.2">
      <c r="D893" s="6"/>
      <c r="E893" s="6"/>
      <c r="F893" s="6"/>
      <c r="G893" s="6"/>
      <c r="H893" s="6"/>
      <c r="J893" s="6"/>
      <c r="K893" s="6"/>
      <c r="L893" s="6"/>
    </row>
    <row r="894" spans="4:12" x14ac:dyDescent="0.2">
      <c r="D894" s="6"/>
      <c r="E894" s="6"/>
      <c r="F894" s="6"/>
      <c r="G894" s="6"/>
      <c r="H894" s="6"/>
      <c r="J894" s="6"/>
      <c r="K894" s="6"/>
      <c r="L894" s="6"/>
    </row>
    <row r="895" spans="4:12" x14ac:dyDescent="0.2">
      <c r="D895" s="6"/>
      <c r="E895" s="6"/>
      <c r="F895" s="6"/>
      <c r="G895" s="6"/>
      <c r="H895" s="6"/>
      <c r="J895" s="6"/>
      <c r="K895" s="6"/>
      <c r="L895" s="6"/>
    </row>
    <row r="896" spans="4:12" x14ac:dyDescent="0.2">
      <c r="D896" s="6"/>
      <c r="E896" s="6"/>
      <c r="F896" s="6"/>
      <c r="G896" s="6"/>
      <c r="H896" s="6"/>
      <c r="J896" s="6"/>
      <c r="K896" s="6"/>
      <c r="L896" s="6"/>
    </row>
    <row r="897" spans="4:12" x14ac:dyDescent="0.2">
      <c r="D897" s="6"/>
      <c r="E897" s="6"/>
      <c r="F897" s="6"/>
      <c r="G897" s="6"/>
      <c r="H897" s="6"/>
      <c r="J897" s="6"/>
      <c r="K897" s="6"/>
      <c r="L897" s="6"/>
    </row>
    <row r="898" spans="4:12" x14ac:dyDescent="0.2">
      <c r="D898" s="6"/>
      <c r="E898" s="6"/>
      <c r="F898" s="6"/>
      <c r="G898" s="6"/>
      <c r="H898" s="6"/>
      <c r="J898" s="6"/>
      <c r="K898" s="6"/>
      <c r="L898" s="6"/>
    </row>
    <row r="899" spans="4:12" x14ac:dyDescent="0.2">
      <c r="D899" s="6"/>
      <c r="E899" s="6"/>
      <c r="F899" s="6"/>
      <c r="G899" s="6"/>
      <c r="H899" s="6"/>
      <c r="J899" s="6"/>
      <c r="K899" s="6"/>
      <c r="L899" s="6"/>
    </row>
    <row r="900" spans="4:12" x14ac:dyDescent="0.2">
      <c r="D900" s="6"/>
      <c r="E900" s="6"/>
      <c r="F900" s="6"/>
      <c r="G900" s="6"/>
      <c r="H900" s="6"/>
      <c r="J900" s="6"/>
      <c r="K900" s="6"/>
      <c r="L900" s="6"/>
    </row>
    <row r="901" spans="4:12" x14ac:dyDescent="0.2">
      <c r="D901" s="6"/>
      <c r="E901" s="6"/>
      <c r="F901" s="6"/>
      <c r="G901" s="6"/>
      <c r="H901" s="6"/>
      <c r="J901" s="6"/>
      <c r="K901" s="6"/>
      <c r="L901" s="6"/>
    </row>
    <row r="902" spans="4:12" x14ac:dyDescent="0.2">
      <c r="D902" s="6"/>
      <c r="E902" s="6"/>
      <c r="F902" s="6"/>
      <c r="G902" s="6"/>
      <c r="H902" s="6"/>
      <c r="J902" s="6"/>
      <c r="K902" s="6"/>
      <c r="L902" s="6"/>
    </row>
    <row r="903" spans="4:12" x14ac:dyDescent="0.2">
      <c r="D903" s="6"/>
      <c r="E903" s="6"/>
      <c r="F903" s="6"/>
      <c r="G903" s="6"/>
      <c r="H903" s="6"/>
      <c r="J903" s="6"/>
      <c r="K903" s="6"/>
      <c r="L903" s="6"/>
    </row>
    <row r="904" spans="4:12" x14ac:dyDescent="0.2">
      <c r="D904" s="6"/>
      <c r="E904" s="6"/>
      <c r="F904" s="6"/>
      <c r="G904" s="6"/>
      <c r="H904" s="6"/>
      <c r="J904" s="6"/>
      <c r="K904" s="6"/>
      <c r="L904" s="6"/>
    </row>
    <row r="905" spans="4:12" x14ac:dyDescent="0.2">
      <c r="D905" s="6"/>
      <c r="E905" s="6"/>
      <c r="F905" s="6"/>
      <c r="G905" s="6"/>
      <c r="H905" s="6"/>
      <c r="J905" s="6"/>
      <c r="K905" s="6"/>
      <c r="L905" s="6"/>
    </row>
    <row r="906" spans="4:12" x14ac:dyDescent="0.2">
      <c r="D906" s="6"/>
      <c r="E906" s="6"/>
      <c r="F906" s="6"/>
      <c r="G906" s="6"/>
      <c r="H906" s="6"/>
      <c r="J906" s="6"/>
      <c r="K906" s="6"/>
      <c r="L906" s="6"/>
    </row>
    <row r="907" spans="4:12" x14ac:dyDescent="0.2">
      <c r="D907" s="6"/>
      <c r="E907" s="6"/>
      <c r="F907" s="6"/>
      <c r="G907" s="6"/>
      <c r="H907" s="6"/>
      <c r="J907" s="6"/>
      <c r="K907" s="6"/>
      <c r="L907" s="6"/>
    </row>
    <row r="908" spans="4:12" x14ac:dyDescent="0.2">
      <c r="D908" s="6"/>
      <c r="E908" s="6"/>
      <c r="F908" s="6"/>
      <c r="G908" s="6"/>
      <c r="H908" s="6"/>
      <c r="J908" s="6"/>
      <c r="K908" s="6"/>
      <c r="L908" s="6"/>
    </row>
    <row r="909" spans="4:12" x14ac:dyDescent="0.2">
      <c r="D909" s="6"/>
      <c r="E909" s="6"/>
      <c r="F909" s="6"/>
      <c r="G909" s="6"/>
      <c r="H909" s="6"/>
      <c r="J909" s="6"/>
      <c r="K909" s="6"/>
      <c r="L909" s="6"/>
    </row>
    <row r="910" spans="4:12" x14ac:dyDescent="0.2">
      <c r="D910" s="6"/>
      <c r="E910" s="6"/>
      <c r="F910" s="6"/>
      <c r="G910" s="6"/>
      <c r="H910" s="6"/>
      <c r="J910" s="6"/>
      <c r="K910" s="6"/>
      <c r="L910" s="6"/>
    </row>
    <row r="911" spans="4:12" x14ac:dyDescent="0.2">
      <c r="D911" s="6"/>
      <c r="E911" s="6"/>
      <c r="F911" s="6"/>
      <c r="G911" s="6"/>
      <c r="H911" s="6"/>
      <c r="J911" s="6"/>
      <c r="K911" s="6"/>
      <c r="L911" s="6"/>
    </row>
    <row r="912" spans="4:12" x14ac:dyDescent="0.2">
      <c r="D912" s="6"/>
      <c r="E912" s="6"/>
      <c r="F912" s="6"/>
      <c r="G912" s="6"/>
      <c r="H912" s="6"/>
      <c r="J912" s="6"/>
      <c r="K912" s="6"/>
      <c r="L912" s="6"/>
    </row>
    <row r="913" spans="4:12" x14ac:dyDescent="0.2">
      <c r="D913" s="6"/>
      <c r="E913" s="6"/>
      <c r="F913" s="6"/>
      <c r="G913" s="6"/>
      <c r="H913" s="6"/>
      <c r="J913" s="6"/>
      <c r="K913" s="6"/>
      <c r="L913" s="6"/>
    </row>
    <row r="914" spans="4:12" x14ac:dyDescent="0.2">
      <c r="D914" s="6"/>
      <c r="E914" s="6"/>
      <c r="F914" s="6"/>
      <c r="G914" s="6"/>
      <c r="H914" s="6"/>
      <c r="J914" s="6"/>
      <c r="K914" s="6"/>
      <c r="L914" s="6"/>
    </row>
    <row r="915" spans="4:12" x14ac:dyDescent="0.2">
      <c r="D915" s="6"/>
      <c r="E915" s="6"/>
      <c r="F915" s="6"/>
      <c r="G915" s="6"/>
      <c r="H915" s="6"/>
      <c r="J915" s="6"/>
      <c r="K915" s="6"/>
      <c r="L915" s="6"/>
    </row>
    <row r="916" spans="4:12" x14ac:dyDescent="0.2">
      <c r="D916" s="6"/>
      <c r="E916" s="6"/>
      <c r="F916" s="6"/>
      <c r="G916" s="6"/>
      <c r="H916" s="6"/>
      <c r="J916" s="6"/>
      <c r="K916" s="6"/>
      <c r="L916" s="6"/>
    </row>
    <row r="917" spans="4:12" x14ac:dyDescent="0.2">
      <c r="D917" s="6"/>
      <c r="E917" s="6"/>
      <c r="F917" s="6"/>
      <c r="G917" s="6"/>
      <c r="H917" s="6"/>
      <c r="J917" s="6"/>
      <c r="K917" s="6"/>
      <c r="L917" s="6"/>
    </row>
    <row r="918" spans="4:12" x14ac:dyDescent="0.2">
      <c r="D918" s="6"/>
      <c r="E918" s="6"/>
      <c r="F918" s="6"/>
      <c r="G918" s="6"/>
      <c r="H918" s="6"/>
      <c r="J918" s="6"/>
      <c r="K918" s="6"/>
      <c r="L918" s="6"/>
    </row>
    <row r="919" spans="4:12" x14ac:dyDescent="0.2">
      <c r="D919" s="6"/>
      <c r="E919" s="6"/>
      <c r="F919" s="6"/>
      <c r="G919" s="6"/>
      <c r="H919" s="6"/>
      <c r="J919" s="6"/>
      <c r="K919" s="6"/>
      <c r="L919" s="6"/>
    </row>
    <row r="920" spans="4:12" x14ac:dyDescent="0.2">
      <c r="D920" s="6"/>
      <c r="E920" s="6"/>
      <c r="F920" s="6"/>
      <c r="G920" s="6"/>
      <c r="H920" s="6"/>
      <c r="J920" s="6"/>
      <c r="K920" s="6"/>
      <c r="L920" s="6"/>
    </row>
    <row r="921" spans="4:12" x14ac:dyDescent="0.2">
      <c r="D921" s="6"/>
      <c r="E921" s="6"/>
      <c r="F921" s="6"/>
      <c r="G921" s="6"/>
      <c r="H921" s="6"/>
      <c r="J921" s="6"/>
      <c r="K921" s="6"/>
      <c r="L921" s="6"/>
    </row>
    <row r="922" spans="4:12" x14ac:dyDescent="0.2">
      <c r="D922" s="6"/>
      <c r="E922" s="6"/>
      <c r="F922" s="6"/>
      <c r="G922" s="6"/>
      <c r="H922" s="6"/>
      <c r="J922" s="6"/>
      <c r="K922" s="6"/>
      <c r="L922" s="6"/>
    </row>
    <row r="923" spans="4:12" x14ac:dyDescent="0.2">
      <c r="D923" s="6"/>
      <c r="E923" s="6"/>
      <c r="F923" s="6"/>
      <c r="G923" s="6"/>
      <c r="H923" s="6"/>
      <c r="J923" s="6"/>
      <c r="K923" s="6"/>
      <c r="L923" s="6"/>
    </row>
    <row r="924" spans="4:12" x14ac:dyDescent="0.2">
      <c r="D924" s="6"/>
      <c r="E924" s="6"/>
      <c r="F924" s="6"/>
      <c r="G924" s="6"/>
      <c r="H924" s="6"/>
      <c r="J924" s="6"/>
      <c r="K924" s="6"/>
      <c r="L924" s="6"/>
    </row>
    <row r="925" spans="4:12" x14ac:dyDescent="0.2">
      <c r="D925" s="6"/>
      <c r="E925" s="6"/>
      <c r="F925" s="6"/>
      <c r="G925" s="6"/>
      <c r="H925" s="6"/>
      <c r="J925" s="6"/>
      <c r="K925" s="6"/>
      <c r="L925" s="6"/>
    </row>
    <row r="926" spans="4:12" x14ac:dyDescent="0.2">
      <c r="D926" s="6"/>
      <c r="E926" s="6"/>
      <c r="F926" s="6"/>
      <c r="G926" s="6"/>
      <c r="H926" s="6"/>
      <c r="J926" s="6"/>
      <c r="K926" s="6"/>
      <c r="L926" s="6"/>
    </row>
    <row r="927" spans="4:12" x14ac:dyDescent="0.2">
      <c r="D927" s="6"/>
      <c r="E927" s="6"/>
      <c r="F927" s="6"/>
      <c r="G927" s="6"/>
      <c r="H927" s="6"/>
      <c r="J927" s="6"/>
      <c r="K927" s="6"/>
      <c r="L927" s="6"/>
    </row>
    <row r="928" spans="4:12" x14ac:dyDescent="0.2">
      <c r="D928" s="6"/>
      <c r="E928" s="6"/>
      <c r="F928" s="6"/>
      <c r="G928" s="6"/>
      <c r="H928" s="6"/>
      <c r="J928" s="6"/>
      <c r="K928" s="6"/>
      <c r="L928" s="6"/>
    </row>
    <row r="929" spans="4:12" x14ac:dyDescent="0.2">
      <c r="D929" s="6"/>
      <c r="E929" s="6"/>
      <c r="F929" s="6"/>
      <c r="G929" s="6"/>
      <c r="H929" s="6"/>
      <c r="J929" s="6"/>
      <c r="K929" s="6"/>
      <c r="L929" s="6"/>
    </row>
    <row r="930" spans="4:12" x14ac:dyDescent="0.2">
      <c r="D930" s="6"/>
      <c r="E930" s="6"/>
      <c r="F930" s="6"/>
      <c r="G930" s="6"/>
      <c r="H930" s="6"/>
      <c r="J930" s="6"/>
      <c r="K930" s="6"/>
      <c r="L930" s="6"/>
    </row>
    <row r="931" spans="4:12" x14ac:dyDescent="0.2">
      <c r="D931" s="6"/>
      <c r="E931" s="6"/>
      <c r="F931" s="6"/>
      <c r="G931" s="6"/>
      <c r="H931" s="6"/>
      <c r="J931" s="6"/>
      <c r="K931" s="6"/>
      <c r="L931" s="6"/>
    </row>
    <row r="932" spans="4:12" x14ac:dyDescent="0.2">
      <c r="D932" s="6"/>
      <c r="E932" s="6"/>
      <c r="F932" s="6"/>
      <c r="G932" s="6"/>
      <c r="H932" s="6"/>
      <c r="J932" s="6"/>
      <c r="K932" s="6"/>
      <c r="L932" s="6"/>
    </row>
    <row r="933" spans="4:12" x14ac:dyDescent="0.2">
      <c r="D933" s="6"/>
      <c r="E933" s="6"/>
      <c r="F933" s="6"/>
      <c r="G933" s="6"/>
      <c r="H933" s="6"/>
      <c r="J933" s="6"/>
      <c r="K933" s="6"/>
      <c r="L933" s="6"/>
    </row>
    <row r="934" spans="4:12" x14ac:dyDescent="0.2">
      <c r="D934" s="6"/>
      <c r="E934" s="6"/>
      <c r="F934" s="6"/>
      <c r="G934" s="6"/>
      <c r="H934" s="6"/>
      <c r="J934" s="6"/>
      <c r="K934" s="6"/>
      <c r="L934" s="6"/>
    </row>
    <row r="935" spans="4:12" x14ac:dyDescent="0.2">
      <c r="D935" s="6"/>
      <c r="E935" s="6"/>
      <c r="F935" s="6"/>
      <c r="G935" s="6"/>
      <c r="H935" s="6"/>
      <c r="J935" s="6"/>
      <c r="K935" s="6"/>
      <c r="L935" s="6"/>
    </row>
    <row r="936" spans="4:12" x14ac:dyDescent="0.2">
      <c r="D936" s="6"/>
      <c r="E936" s="6"/>
      <c r="F936" s="6"/>
      <c r="G936" s="6"/>
      <c r="H936" s="6"/>
      <c r="J936" s="6"/>
      <c r="K936" s="6"/>
      <c r="L936" s="6"/>
    </row>
    <row r="937" spans="4:12" x14ac:dyDescent="0.2">
      <c r="D937" s="6"/>
      <c r="E937" s="6"/>
      <c r="F937" s="6"/>
      <c r="G937" s="6"/>
      <c r="H937" s="6"/>
      <c r="J937" s="6"/>
      <c r="K937" s="6"/>
      <c r="L937" s="6"/>
    </row>
    <row r="938" spans="4:12" x14ac:dyDescent="0.2">
      <c r="D938" s="6"/>
      <c r="E938" s="6"/>
      <c r="F938" s="6"/>
      <c r="G938" s="6"/>
      <c r="H938" s="6"/>
      <c r="J938" s="6"/>
      <c r="K938" s="6"/>
      <c r="L938" s="6"/>
    </row>
    <row r="939" spans="4:12" x14ac:dyDescent="0.2">
      <c r="D939" s="6"/>
      <c r="E939" s="6"/>
      <c r="F939" s="6"/>
      <c r="G939" s="6"/>
      <c r="H939" s="6"/>
      <c r="J939" s="6"/>
      <c r="K939" s="6"/>
      <c r="L939" s="6"/>
    </row>
    <row r="940" spans="4:12" x14ac:dyDescent="0.2">
      <c r="D940" s="6"/>
      <c r="E940" s="6"/>
      <c r="F940" s="6"/>
      <c r="G940" s="6"/>
      <c r="H940" s="6"/>
      <c r="J940" s="6"/>
      <c r="K940" s="6"/>
      <c r="L940" s="6"/>
    </row>
    <row r="941" spans="4:12" x14ac:dyDescent="0.2">
      <c r="D941" s="6"/>
      <c r="E941" s="6"/>
      <c r="F941" s="6"/>
      <c r="G941" s="6"/>
      <c r="H941" s="6"/>
      <c r="J941" s="6"/>
      <c r="K941" s="6"/>
      <c r="L941" s="6"/>
    </row>
    <row r="942" spans="4:12" x14ac:dyDescent="0.2">
      <c r="D942" s="6"/>
      <c r="E942" s="6"/>
      <c r="F942" s="6"/>
      <c r="G942" s="6"/>
      <c r="H942" s="6"/>
      <c r="J942" s="6"/>
      <c r="K942" s="6"/>
      <c r="L942" s="6"/>
    </row>
    <row r="943" spans="4:12" x14ac:dyDescent="0.2">
      <c r="D943" s="6"/>
      <c r="E943" s="6"/>
      <c r="F943" s="6"/>
      <c r="G943" s="6"/>
      <c r="H943" s="6"/>
      <c r="J943" s="6"/>
      <c r="K943" s="6"/>
      <c r="L943" s="6"/>
    </row>
    <row r="944" spans="4:12" x14ac:dyDescent="0.2">
      <c r="D944" s="6"/>
      <c r="E944" s="6"/>
      <c r="F944" s="6"/>
      <c r="G944" s="6"/>
      <c r="H944" s="6"/>
      <c r="J944" s="6"/>
      <c r="K944" s="6"/>
      <c r="L944" s="6"/>
    </row>
    <row r="945" spans="4:12" x14ac:dyDescent="0.2">
      <c r="D945" s="6"/>
      <c r="E945" s="6"/>
      <c r="F945" s="6"/>
      <c r="G945" s="6"/>
      <c r="H945" s="6"/>
      <c r="J945" s="6"/>
      <c r="K945" s="6"/>
      <c r="L945" s="6"/>
    </row>
    <row r="946" spans="4:12" x14ac:dyDescent="0.2">
      <c r="D946" s="6"/>
      <c r="E946" s="6"/>
      <c r="F946" s="6"/>
      <c r="G946" s="6"/>
      <c r="H946" s="6"/>
      <c r="J946" s="6"/>
      <c r="K946" s="6"/>
      <c r="L946" s="6"/>
    </row>
    <row r="947" spans="4:12" x14ac:dyDescent="0.2">
      <c r="D947" s="6"/>
      <c r="E947" s="6"/>
      <c r="F947" s="6"/>
      <c r="G947" s="6"/>
      <c r="H947" s="6"/>
      <c r="J947" s="6"/>
      <c r="K947" s="6"/>
      <c r="L947" s="6"/>
    </row>
    <row r="948" spans="4:12" x14ac:dyDescent="0.2">
      <c r="D948" s="6"/>
      <c r="E948" s="6"/>
      <c r="F948" s="6"/>
      <c r="G948" s="6"/>
      <c r="H948" s="6"/>
      <c r="J948" s="6"/>
      <c r="K948" s="6"/>
      <c r="L948" s="6"/>
    </row>
    <row r="949" spans="4:12" x14ac:dyDescent="0.2">
      <c r="D949" s="6"/>
      <c r="E949" s="6"/>
      <c r="F949" s="6"/>
      <c r="G949" s="6"/>
      <c r="H949" s="6"/>
      <c r="J949" s="6"/>
      <c r="K949" s="6"/>
      <c r="L949" s="6"/>
    </row>
    <row r="950" spans="4:12" x14ac:dyDescent="0.2">
      <c r="D950" s="6"/>
      <c r="E950" s="6"/>
      <c r="F950" s="6"/>
      <c r="G950" s="6"/>
      <c r="H950" s="6"/>
      <c r="J950" s="6"/>
      <c r="K950" s="6"/>
      <c r="L950" s="6"/>
    </row>
    <row r="951" spans="4:12" x14ac:dyDescent="0.2">
      <c r="D951" s="6"/>
      <c r="E951" s="6"/>
      <c r="F951" s="6"/>
      <c r="G951" s="6"/>
      <c r="H951" s="6"/>
      <c r="J951" s="6"/>
      <c r="K951" s="6"/>
      <c r="L951" s="6"/>
    </row>
    <row r="952" spans="4:12" x14ac:dyDescent="0.2">
      <c r="D952" s="6"/>
      <c r="E952" s="6"/>
      <c r="F952" s="6"/>
      <c r="G952" s="6"/>
      <c r="H952" s="6"/>
      <c r="J952" s="6"/>
      <c r="K952" s="6"/>
      <c r="L952" s="6"/>
    </row>
    <row r="953" spans="4:12" x14ac:dyDescent="0.2">
      <c r="D953" s="6"/>
      <c r="E953" s="6"/>
      <c r="F953" s="6"/>
      <c r="G953" s="6"/>
      <c r="H953" s="6"/>
      <c r="J953" s="6"/>
      <c r="K953" s="6"/>
      <c r="L953" s="6"/>
    </row>
    <row r="954" spans="4:12" x14ac:dyDescent="0.2">
      <c r="D954" s="6"/>
      <c r="E954" s="6"/>
      <c r="F954" s="6"/>
      <c r="G954" s="6"/>
      <c r="H954" s="6"/>
      <c r="J954" s="6"/>
      <c r="K954" s="6"/>
      <c r="L954" s="6"/>
    </row>
    <row r="955" spans="4:12" x14ac:dyDescent="0.2">
      <c r="D955" s="6"/>
      <c r="E955" s="6"/>
      <c r="F955" s="6"/>
      <c r="G955" s="6"/>
      <c r="H955" s="6"/>
      <c r="J955" s="6"/>
      <c r="K955" s="6"/>
      <c r="L955" s="6"/>
    </row>
    <row r="956" spans="4:12" x14ac:dyDescent="0.2">
      <c r="D956" s="6"/>
      <c r="E956" s="6"/>
      <c r="F956" s="6"/>
      <c r="G956" s="6"/>
      <c r="H956" s="6"/>
      <c r="J956" s="6"/>
      <c r="K956" s="6"/>
      <c r="L956" s="6"/>
    </row>
    <row r="957" spans="4:12" x14ac:dyDescent="0.2">
      <c r="D957" s="6"/>
      <c r="E957" s="6"/>
      <c r="F957" s="6"/>
      <c r="G957" s="6"/>
      <c r="H957" s="6"/>
      <c r="J957" s="6"/>
      <c r="K957" s="6"/>
      <c r="L957" s="6"/>
    </row>
    <row r="958" spans="4:12" x14ac:dyDescent="0.2">
      <c r="D958" s="6"/>
      <c r="E958" s="6"/>
      <c r="F958" s="6"/>
      <c r="G958" s="6"/>
      <c r="H958" s="6"/>
      <c r="J958" s="6"/>
      <c r="K958" s="6"/>
      <c r="L958" s="6"/>
    </row>
    <row r="959" spans="4:12" x14ac:dyDescent="0.2">
      <c r="D959" s="6"/>
      <c r="E959" s="6"/>
      <c r="F959" s="6"/>
      <c r="G959" s="6"/>
      <c r="H959" s="6"/>
      <c r="J959" s="6"/>
      <c r="K959" s="6"/>
      <c r="L959" s="6"/>
    </row>
    <row r="960" spans="4:12" x14ac:dyDescent="0.2">
      <c r="D960" s="6"/>
      <c r="E960" s="6"/>
      <c r="F960" s="6"/>
      <c r="G960" s="6"/>
      <c r="H960" s="6"/>
      <c r="J960" s="6"/>
      <c r="K960" s="6"/>
      <c r="L960" s="6"/>
    </row>
    <row r="961" spans="4:12" x14ac:dyDescent="0.2">
      <c r="D961" s="6"/>
      <c r="E961" s="6"/>
      <c r="F961" s="6"/>
      <c r="G961" s="6"/>
      <c r="H961" s="6"/>
      <c r="J961" s="6"/>
      <c r="K961" s="6"/>
      <c r="L961" s="6"/>
    </row>
    <row r="962" spans="4:12" x14ac:dyDescent="0.2">
      <c r="D962" s="6"/>
      <c r="E962" s="6"/>
      <c r="F962" s="6"/>
      <c r="G962" s="6"/>
      <c r="H962" s="6"/>
      <c r="J962" s="6"/>
      <c r="K962" s="6"/>
      <c r="L962" s="6"/>
    </row>
    <row r="963" spans="4:12" x14ac:dyDescent="0.2">
      <c r="D963" s="6"/>
      <c r="E963" s="6"/>
      <c r="F963" s="6"/>
      <c r="G963" s="6"/>
      <c r="H963" s="6"/>
      <c r="J963" s="6"/>
      <c r="K963" s="6"/>
      <c r="L963" s="6"/>
    </row>
    <row r="964" spans="4:12" x14ac:dyDescent="0.2">
      <c r="D964" s="6"/>
      <c r="E964" s="6"/>
      <c r="F964" s="6"/>
      <c r="G964" s="6"/>
      <c r="H964" s="6"/>
      <c r="J964" s="6"/>
      <c r="K964" s="6"/>
      <c r="L964" s="6"/>
    </row>
    <row r="965" spans="4:12" x14ac:dyDescent="0.2">
      <c r="D965" s="6"/>
      <c r="E965" s="6"/>
      <c r="F965" s="6"/>
      <c r="G965" s="6"/>
      <c r="H965" s="6"/>
      <c r="J965" s="6"/>
      <c r="K965" s="6"/>
      <c r="L965" s="6"/>
    </row>
    <row r="966" spans="4:12" x14ac:dyDescent="0.2">
      <c r="D966" s="6"/>
      <c r="E966" s="6"/>
      <c r="F966" s="6"/>
      <c r="G966" s="6"/>
      <c r="H966" s="6"/>
      <c r="J966" s="6"/>
      <c r="K966" s="6"/>
      <c r="L966" s="6"/>
    </row>
    <row r="967" spans="4:12" x14ac:dyDescent="0.2">
      <c r="D967" s="6"/>
      <c r="E967" s="6"/>
      <c r="F967" s="6"/>
      <c r="G967" s="6"/>
      <c r="H967" s="6"/>
      <c r="J967" s="6"/>
      <c r="K967" s="6"/>
      <c r="L967" s="6"/>
    </row>
    <row r="968" spans="4:12" x14ac:dyDescent="0.2">
      <c r="D968" s="6"/>
      <c r="E968" s="6"/>
      <c r="F968" s="6"/>
      <c r="G968" s="6"/>
      <c r="H968" s="6"/>
      <c r="J968" s="6"/>
      <c r="K968" s="6"/>
      <c r="L968" s="6"/>
    </row>
    <row r="969" spans="4:12" x14ac:dyDescent="0.2">
      <c r="D969" s="6"/>
      <c r="E969" s="6"/>
      <c r="F969" s="6"/>
      <c r="G969" s="6"/>
      <c r="H969" s="6"/>
      <c r="J969" s="6"/>
      <c r="K969" s="6"/>
      <c r="L969" s="6"/>
    </row>
    <row r="970" spans="4:12" x14ac:dyDescent="0.2">
      <c r="D970" s="6"/>
      <c r="E970" s="6"/>
      <c r="F970" s="6"/>
      <c r="G970" s="6"/>
      <c r="H970" s="6"/>
      <c r="J970" s="6"/>
      <c r="K970" s="6"/>
      <c r="L970" s="6"/>
    </row>
    <row r="971" spans="4:12" x14ac:dyDescent="0.2">
      <c r="D971" s="6"/>
      <c r="E971" s="6"/>
      <c r="F971" s="6"/>
      <c r="G971" s="6"/>
      <c r="H971" s="6"/>
      <c r="J971" s="6"/>
      <c r="K971" s="6"/>
      <c r="L971" s="6"/>
    </row>
    <row r="972" spans="4:12" x14ac:dyDescent="0.2">
      <c r="D972" s="6"/>
      <c r="E972" s="6"/>
      <c r="F972" s="6"/>
      <c r="G972" s="6"/>
      <c r="H972" s="6"/>
      <c r="J972" s="6"/>
      <c r="K972" s="6"/>
      <c r="L972" s="6"/>
    </row>
    <row r="973" spans="4:12" x14ac:dyDescent="0.2">
      <c r="D973" s="6"/>
      <c r="E973" s="6"/>
      <c r="F973" s="6"/>
      <c r="G973" s="6"/>
      <c r="H973" s="6"/>
      <c r="J973" s="6"/>
      <c r="K973" s="6"/>
      <c r="L973" s="6"/>
    </row>
    <row r="974" spans="4:12" x14ac:dyDescent="0.2">
      <c r="D974" s="6"/>
      <c r="E974" s="6"/>
      <c r="F974" s="6"/>
      <c r="G974" s="6"/>
      <c r="H974" s="6"/>
      <c r="J974" s="6"/>
      <c r="K974" s="6"/>
      <c r="L974" s="6"/>
    </row>
    <row r="975" spans="4:12" x14ac:dyDescent="0.2">
      <c r="D975" s="6"/>
      <c r="E975" s="6"/>
      <c r="F975" s="6"/>
      <c r="G975" s="6"/>
      <c r="H975" s="6"/>
      <c r="J975" s="6"/>
      <c r="K975" s="6"/>
      <c r="L975" s="6"/>
    </row>
    <row r="976" spans="4:12" x14ac:dyDescent="0.2">
      <c r="D976" s="6"/>
      <c r="E976" s="6"/>
      <c r="F976" s="6"/>
      <c r="G976" s="6"/>
      <c r="H976" s="6"/>
      <c r="J976" s="6"/>
      <c r="K976" s="6"/>
      <c r="L976" s="6"/>
    </row>
    <row r="977" spans="4:12" x14ac:dyDescent="0.2">
      <c r="D977" s="6"/>
      <c r="E977" s="6"/>
      <c r="F977" s="6"/>
      <c r="G977" s="6"/>
      <c r="H977" s="6"/>
      <c r="J977" s="6"/>
      <c r="K977" s="6"/>
      <c r="L977" s="6"/>
    </row>
    <row r="978" spans="4:12" x14ac:dyDescent="0.2">
      <c r="D978" s="6"/>
      <c r="E978" s="6"/>
      <c r="F978" s="6"/>
      <c r="G978" s="6"/>
      <c r="H978" s="6"/>
      <c r="J978" s="6"/>
      <c r="K978" s="6"/>
      <c r="L978" s="6"/>
    </row>
    <row r="979" spans="4:12" x14ac:dyDescent="0.2">
      <c r="D979" s="6"/>
      <c r="E979" s="6"/>
      <c r="F979" s="6"/>
      <c r="G979" s="6"/>
      <c r="H979" s="6"/>
      <c r="J979" s="6"/>
      <c r="K979" s="6"/>
      <c r="L979" s="6"/>
    </row>
    <row r="980" spans="4:12" x14ac:dyDescent="0.2">
      <c r="D980" s="6"/>
      <c r="E980" s="6"/>
      <c r="F980" s="6"/>
      <c r="G980" s="6"/>
      <c r="H980" s="6"/>
      <c r="J980" s="6"/>
      <c r="K980" s="6"/>
      <c r="L980" s="6"/>
    </row>
    <row r="981" spans="4:12" x14ac:dyDescent="0.2">
      <c r="D981" s="6"/>
      <c r="E981" s="6"/>
      <c r="F981" s="6"/>
      <c r="G981" s="6"/>
      <c r="H981" s="6"/>
      <c r="J981" s="6"/>
      <c r="K981" s="6"/>
      <c r="L981" s="6"/>
    </row>
    <row r="982" spans="4:12" x14ac:dyDescent="0.2">
      <c r="D982" s="6"/>
      <c r="E982" s="6"/>
      <c r="F982" s="6"/>
      <c r="G982" s="6"/>
      <c r="H982" s="6"/>
      <c r="J982" s="6"/>
      <c r="K982" s="6"/>
      <c r="L982" s="6"/>
    </row>
    <row r="983" spans="4:12" x14ac:dyDescent="0.2">
      <c r="D983" s="6"/>
      <c r="E983" s="6"/>
      <c r="F983" s="6"/>
      <c r="G983" s="6"/>
      <c r="H983" s="6"/>
      <c r="J983" s="6"/>
      <c r="K983" s="6"/>
      <c r="L983" s="6"/>
    </row>
    <row r="984" spans="4:12" x14ac:dyDescent="0.2">
      <c r="D984" s="6"/>
      <c r="E984" s="6"/>
      <c r="F984" s="6"/>
      <c r="G984" s="6"/>
      <c r="H984" s="6"/>
      <c r="J984" s="6"/>
      <c r="K984" s="6"/>
      <c r="L984" s="6"/>
    </row>
    <row r="985" spans="4:12" x14ac:dyDescent="0.2">
      <c r="D985" s="6"/>
      <c r="E985" s="6"/>
      <c r="F985" s="6"/>
      <c r="G985" s="6"/>
      <c r="H985" s="6"/>
      <c r="J985" s="6"/>
      <c r="K985" s="6"/>
      <c r="L985" s="6"/>
    </row>
    <row r="986" spans="4:12" x14ac:dyDescent="0.2">
      <c r="D986" s="6"/>
      <c r="E986" s="6"/>
      <c r="F986" s="6"/>
      <c r="G986" s="6"/>
      <c r="H986" s="6"/>
      <c r="J986" s="6"/>
      <c r="K986" s="6"/>
      <c r="L986" s="6"/>
    </row>
    <row r="987" spans="4:12" x14ac:dyDescent="0.2">
      <c r="D987" s="6"/>
      <c r="E987" s="6"/>
      <c r="F987" s="6"/>
      <c r="G987" s="6"/>
      <c r="H987" s="6"/>
      <c r="J987" s="6"/>
      <c r="K987" s="6"/>
      <c r="L987" s="6"/>
    </row>
    <row r="988" spans="4:12" x14ac:dyDescent="0.2">
      <c r="D988" s="6"/>
      <c r="E988" s="6"/>
      <c r="F988" s="6"/>
      <c r="G988" s="6"/>
      <c r="H988" s="6"/>
      <c r="J988" s="6"/>
      <c r="K988" s="6"/>
      <c r="L988" s="6"/>
    </row>
    <row r="989" spans="4:12" x14ac:dyDescent="0.2">
      <c r="D989" s="6"/>
      <c r="E989" s="6"/>
      <c r="F989" s="6"/>
      <c r="G989" s="6"/>
      <c r="H989" s="6"/>
      <c r="J989" s="6"/>
      <c r="K989" s="6"/>
      <c r="L989" s="6"/>
    </row>
    <row r="990" spans="4:12" x14ac:dyDescent="0.2">
      <c r="D990" s="6"/>
      <c r="E990" s="6"/>
      <c r="F990" s="6"/>
      <c r="G990" s="6"/>
      <c r="H990" s="6"/>
      <c r="J990" s="6"/>
      <c r="K990" s="6"/>
      <c r="L990" s="6"/>
    </row>
    <row r="991" spans="4:12" x14ac:dyDescent="0.2">
      <c r="D991" s="6"/>
      <c r="E991" s="6"/>
      <c r="F991" s="6"/>
      <c r="G991" s="6"/>
      <c r="H991" s="6"/>
      <c r="J991" s="6"/>
      <c r="K991" s="6"/>
      <c r="L991" s="6"/>
    </row>
    <row r="992" spans="4:12" x14ac:dyDescent="0.2">
      <c r="D992" s="6"/>
      <c r="E992" s="6"/>
      <c r="F992" s="6"/>
      <c r="G992" s="6"/>
      <c r="H992" s="6"/>
      <c r="J992" s="6"/>
      <c r="K992" s="6"/>
      <c r="L992" s="6"/>
    </row>
    <row r="993" spans="4:12" x14ac:dyDescent="0.2">
      <c r="D993" s="6"/>
      <c r="E993" s="6"/>
      <c r="F993" s="6"/>
      <c r="G993" s="6"/>
      <c r="H993" s="6"/>
      <c r="J993" s="6"/>
      <c r="K993" s="6"/>
      <c r="L993" s="6"/>
    </row>
    <row r="994" spans="4:12" x14ac:dyDescent="0.2">
      <c r="D994" s="6"/>
      <c r="E994" s="6"/>
      <c r="F994" s="6"/>
      <c r="G994" s="6"/>
      <c r="H994" s="6"/>
      <c r="J994" s="6"/>
      <c r="K994" s="6"/>
      <c r="L994" s="6"/>
    </row>
    <row r="995" spans="4:12" x14ac:dyDescent="0.2">
      <c r="D995" s="6"/>
      <c r="E995" s="6"/>
      <c r="F995" s="6"/>
      <c r="G995" s="6"/>
      <c r="H995" s="6"/>
      <c r="J995" s="6"/>
      <c r="K995" s="6"/>
      <c r="L995" s="6"/>
    </row>
    <row r="996" spans="4:12" x14ac:dyDescent="0.2">
      <c r="D996" s="6"/>
      <c r="E996" s="6"/>
      <c r="F996" s="6"/>
      <c r="G996" s="6"/>
      <c r="H996" s="6"/>
      <c r="J996" s="6"/>
      <c r="K996" s="6"/>
      <c r="L996" s="6"/>
    </row>
    <row r="997" spans="4:12" x14ac:dyDescent="0.2">
      <c r="D997" s="6"/>
      <c r="E997" s="6"/>
      <c r="F997" s="6"/>
      <c r="G997" s="6"/>
      <c r="H997" s="6"/>
      <c r="J997" s="6"/>
      <c r="K997" s="6"/>
      <c r="L997" s="6"/>
    </row>
    <row r="998" spans="4:12" x14ac:dyDescent="0.2">
      <c r="D998" s="6"/>
      <c r="E998" s="6"/>
      <c r="F998" s="6"/>
      <c r="G998" s="6"/>
      <c r="H998" s="6"/>
      <c r="J998" s="6"/>
      <c r="K998" s="6"/>
      <c r="L998" s="6"/>
    </row>
    <row r="999" spans="4:12" x14ac:dyDescent="0.2">
      <c r="D999" s="6"/>
      <c r="E999" s="6"/>
      <c r="F999" s="6"/>
      <c r="G999" s="6"/>
      <c r="H999" s="6"/>
      <c r="J999" s="6"/>
      <c r="K999" s="6"/>
      <c r="L999" s="6"/>
    </row>
    <row r="1000" spans="4:12" x14ac:dyDescent="0.2">
      <c r="D1000" s="6"/>
      <c r="E1000" s="6"/>
      <c r="F1000" s="6"/>
      <c r="G1000" s="6"/>
      <c r="H1000" s="6"/>
      <c r="J1000" s="6"/>
      <c r="K1000" s="6"/>
      <c r="L1000" s="6"/>
    </row>
    <row r="1001" spans="4:12" x14ac:dyDescent="0.2">
      <c r="D1001" s="6"/>
      <c r="E1001" s="6"/>
      <c r="F1001" s="6"/>
      <c r="G1001" s="6"/>
      <c r="H1001" s="6"/>
      <c r="J1001" s="6"/>
      <c r="K1001" s="6"/>
      <c r="L1001" s="6"/>
    </row>
    <row r="1002" spans="4:12" x14ac:dyDescent="0.2">
      <c r="D1002" s="6"/>
      <c r="E1002" s="6"/>
      <c r="F1002" s="6"/>
      <c r="G1002" s="6"/>
      <c r="H1002" s="6"/>
      <c r="J1002" s="6"/>
      <c r="K1002" s="6"/>
      <c r="L1002" s="6"/>
    </row>
    <row r="1003" spans="4:12" x14ac:dyDescent="0.2">
      <c r="D1003" s="6"/>
      <c r="E1003" s="6"/>
      <c r="F1003" s="6"/>
      <c r="G1003" s="6"/>
      <c r="H1003" s="6"/>
      <c r="J1003" s="6"/>
      <c r="K1003" s="6"/>
      <c r="L1003" s="6"/>
    </row>
    <row r="1004" spans="4:12" x14ac:dyDescent="0.2">
      <c r="D1004" s="6"/>
      <c r="E1004" s="6"/>
      <c r="F1004" s="6"/>
      <c r="G1004" s="6"/>
      <c r="H1004" s="6"/>
      <c r="J1004" s="6"/>
      <c r="K1004" s="6"/>
      <c r="L1004" s="6"/>
    </row>
    <row r="1005" spans="4:12" x14ac:dyDescent="0.2">
      <c r="D1005" s="6"/>
      <c r="E1005" s="6"/>
      <c r="F1005" s="6"/>
      <c r="G1005" s="6"/>
      <c r="H1005" s="6"/>
      <c r="J1005" s="6"/>
      <c r="K1005" s="6"/>
      <c r="L1005" s="6"/>
    </row>
    <row r="1006" spans="4:12" x14ac:dyDescent="0.2">
      <c r="D1006" s="6"/>
      <c r="E1006" s="6"/>
      <c r="F1006" s="6"/>
      <c r="G1006" s="6"/>
      <c r="H1006" s="6"/>
      <c r="J1006" s="6"/>
      <c r="K1006" s="6"/>
      <c r="L1006" s="6"/>
    </row>
    <row r="1007" spans="4:12" x14ac:dyDescent="0.2">
      <c r="D1007" s="6"/>
      <c r="E1007" s="6"/>
      <c r="F1007" s="6"/>
      <c r="G1007" s="6"/>
      <c r="H1007" s="6"/>
      <c r="J1007" s="6"/>
      <c r="K1007" s="6"/>
      <c r="L1007" s="6"/>
    </row>
    <row r="1008" spans="4:12" x14ac:dyDescent="0.2">
      <c r="D1008" s="6"/>
      <c r="E1008" s="6"/>
      <c r="F1008" s="6"/>
      <c r="G1008" s="6"/>
      <c r="H1008" s="6"/>
      <c r="J1008" s="6"/>
      <c r="K1008" s="6"/>
      <c r="L1008" s="6"/>
    </row>
    <row r="1009" spans="4:12" x14ac:dyDescent="0.2">
      <c r="D1009" s="6"/>
      <c r="E1009" s="6"/>
      <c r="F1009" s="6"/>
      <c r="G1009" s="6"/>
      <c r="H1009" s="6"/>
      <c r="J1009" s="6"/>
      <c r="K1009" s="6"/>
      <c r="L1009" s="6"/>
    </row>
    <row r="1010" spans="4:12" x14ac:dyDescent="0.2">
      <c r="D1010" s="6"/>
      <c r="E1010" s="6"/>
      <c r="F1010" s="6"/>
      <c r="G1010" s="6"/>
      <c r="H1010" s="6"/>
      <c r="J1010" s="6"/>
      <c r="K1010" s="6"/>
      <c r="L1010" s="6"/>
    </row>
    <row r="1011" spans="4:12" x14ac:dyDescent="0.2">
      <c r="D1011" s="6"/>
      <c r="E1011" s="6"/>
      <c r="F1011" s="6"/>
      <c r="G1011" s="6"/>
      <c r="H1011" s="6"/>
      <c r="J1011" s="6"/>
      <c r="K1011" s="6"/>
      <c r="L1011" s="6"/>
    </row>
    <row r="1012" spans="4:12" x14ac:dyDescent="0.2">
      <c r="D1012" s="6"/>
      <c r="E1012" s="6"/>
      <c r="F1012" s="6"/>
      <c r="G1012" s="6"/>
      <c r="H1012" s="6"/>
      <c r="J1012" s="6"/>
      <c r="K1012" s="6"/>
      <c r="L1012" s="6"/>
    </row>
    <row r="1013" spans="4:12" x14ac:dyDescent="0.2">
      <c r="D1013" s="6"/>
      <c r="E1013" s="6"/>
      <c r="F1013" s="6"/>
      <c r="G1013" s="6"/>
      <c r="H1013" s="6"/>
      <c r="J1013" s="6"/>
      <c r="K1013" s="6"/>
      <c r="L1013" s="6"/>
    </row>
    <row r="1014" spans="4:12" x14ac:dyDescent="0.2">
      <c r="D1014" s="6"/>
      <c r="E1014" s="6"/>
      <c r="F1014" s="6"/>
      <c r="G1014" s="6"/>
      <c r="H1014" s="6"/>
      <c r="J1014" s="6"/>
      <c r="K1014" s="6"/>
      <c r="L1014" s="6"/>
    </row>
    <row r="1015" spans="4:12" x14ac:dyDescent="0.2">
      <c r="D1015" s="6"/>
      <c r="E1015" s="6"/>
      <c r="F1015" s="6"/>
      <c r="G1015" s="6"/>
      <c r="H1015" s="6"/>
      <c r="J1015" s="6"/>
      <c r="K1015" s="6"/>
      <c r="L1015" s="6"/>
    </row>
    <row r="1016" spans="4:12" x14ac:dyDescent="0.2">
      <c r="D1016" s="6"/>
      <c r="E1016" s="6"/>
      <c r="F1016" s="6"/>
      <c r="G1016" s="6"/>
      <c r="H1016" s="6"/>
      <c r="J1016" s="6"/>
      <c r="K1016" s="6"/>
      <c r="L1016" s="6"/>
    </row>
    <row r="1017" spans="4:12" x14ac:dyDescent="0.2">
      <c r="D1017" s="6"/>
      <c r="E1017" s="6"/>
      <c r="F1017" s="6"/>
      <c r="G1017" s="6"/>
      <c r="H1017" s="6"/>
      <c r="J1017" s="6"/>
      <c r="K1017" s="6"/>
      <c r="L1017" s="6"/>
    </row>
    <row r="1018" spans="4:12" x14ac:dyDescent="0.2">
      <c r="D1018" s="6"/>
      <c r="E1018" s="6"/>
      <c r="F1018" s="6"/>
      <c r="G1018" s="6"/>
      <c r="H1018" s="6"/>
      <c r="J1018" s="6"/>
      <c r="K1018" s="6"/>
      <c r="L1018" s="6"/>
    </row>
    <row r="1019" spans="4:12" x14ac:dyDescent="0.2">
      <c r="D1019" s="6"/>
      <c r="E1019" s="6"/>
      <c r="F1019" s="6"/>
      <c r="G1019" s="6"/>
      <c r="H1019" s="6"/>
      <c r="J1019" s="6"/>
      <c r="K1019" s="6"/>
      <c r="L1019" s="6"/>
    </row>
    <row r="1020" spans="4:12" x14ac:dyDescent="0.2">
      <c r="D1020" s="6"/>
      <c r="E1020" s="6"/>
      <c r="F1020" s="6"/>
      <c r="G1020" s="6"/>
      <c r="H1020" s="6"/>
      <c r="J1020" s="6"/>
      <c r="K1020" s="6"/>
      <c r="L1020" s="6"/>
    </row>
    <row r="1021" spans="4:12" x14ac:dyDescent="0.2">
      <c r="D1021" s="6"/>
      <c r="E1021" s="6"/>
      <c r="F1021" s="6"/>
      <c r="G1021" s="6"/>
      <c r="H1021" s="6"/>
      <c r="J1021" s="6"/>
      <c r="K1021" s="6"/>
      <c r="L1021" s="6"/>
    </row>
    <row r="1022" spans="4:12" x14ac:dyDescent="0.2">
      <c r="D1022" s="6"/>
      <c r="E1022" s="6"/>
      <c r="F1022" s="6"/>
      <c r="G1022" s="6"/>
      <c r="H1022" s="6"/>
      <c r="J1022" s="6"/>
      <c r="K1022" s="6"/>
      <c r="L1022" s="6"/>
    </row>
    <row r="1023" spans="4:12" x14ac:dyDescent="0.2">
      <c r="D1023" s="6"/>
      <c r="E1023" s="6"/>
      <c r="F1023" s="6"/>
      <c r="G1023" s="6"/>
      <c r="H1023" s="6"/>
      <c r="J1023" s="6"/>
      <c r="K1023" s="6"/>
      <c r="L1023" s="6"/>
    </row>
    <row r="1024" spans="4:12" x14ac:dyDescent="0.2">
      <c r="D1024" s="6"/>
      <c r="E1024" s="6"/>
      <c r="F1024" s="6"/>
      <c r="G1024" s="6"/>
      <c r="H1024" s="6"/>
      <c r="J1024" s="6"/>
      <c r="K1024" s="6"/>
      <c r="L1024" s="6"/>
    </row>
    <row r="1025" spans="4:12" x14ac:dyDescent="0.2">
      <c r="D1025" s="6"/>
      <c r="E1025" s="6"/>
      <c r="F1025" s="6"/>
      <c r="G1025" s="6"/>
      <c r="H1025" s="6"/>
      <c r="J1025" s="6"/>
      <c r="K1025" s="6"/>
      <c r="L1025" s="6"/>
    </row>
    <row r="1026" spans="4:12" x14ac:dyDescent="0.2">
      <c r="D1026" s="6"/>
      <c r="E1026" s="6"/>
      <c r="F1026" s="6"/>
      <c r="G1026" s="6"/>
      <c r="H1026" s="6"/>
      <c r="J1026" s="6"/>
      <c r="K1026" s="6"/>
      <c r="L1026" s="6"/>
    </row>
    <row r="1027" spans="4:12" x14ac:dyDescent="0.2">
      <c r="D1027" s="6"/>
      <c r="E1027" s="6"/>
      <c r="F1027" s="6"/>
      <c r="G1027" s="6"/>
      <c r="H1027" s="6"/>
      <c r="J1027" s="6"/>
      <c r="K1027" s="6"/>
      <c r="L1027" s="6"/>
    </row>
    <row r="1028" spans="4:12" x14ac:dyDescent="0.2">
      <c r="D1028" s="6"/>
      <c r="E1028" s="6"/>
      <c r="F1028" s="6"/>
      <c r="G1028" s="6"/>
      <c r="H1028" s="6"/>
      <c r="J1028" s="6"/>
      <c r="K1028" s="6"/>
      <c r="L1028" s="6"/>
    </row>
    <row r="1029" spans="4:12" x14ac:dyDescent="0.2">
      <c r="D1029" s="6"/>
      <c r="E1029" s="6"/>
      <c r="F1029" s="6"/>
      <c r="G1029" s="6"/>
      <c r="H1029" s="6"/>
      <c r="J1029" s="6"/>
      <c r="K1029" s="6"/>
      <c r="L1029" s="6"/>
    </row>
    <row r="1030" spans="4:12" x14ac:dyDescent="0.2">
      <c r="D1030" s="6"/>
      <c r="E1030" s="6"/>
      <c r="F1030" s="6"/>
      <c r="G1030" s="6"/>
      <c r="H1030" s="6"/>
      <c r="J1030" s="6"/>
      <c r="K1030" s="6"/>
      <c r="L1030" s="6"/>
    </row>
    <row r="1031" spans="4:12" x14ac:dyDescent="0.2">
      <c r="D1031" s="6"/>
      <c r="E1031" s="6"/>
      <c r="F1031" s="6"/>
      <c r="G1031" s="6"/>
      <c r="H1031" s="6"/>
      <c r="J1031" s="6"/>
      <c r="K1031" s="6"/>
      <c r="L1031" s="6"/>
    </row>
    <row r="1032" spans="4:12" x14ac:dyDescent="0.2">
      <c r="D1032" s="6"/>
      <c r="E1032" s="6"/>
      <c r="F1032" s="6"/>
      <c r="G1032" s="6"/>
      <c r="H1032" s="6"/>
      <c r="J1032" s="6"/>
      <c r="K1032" s="6"/>
      <c r="L1032" s="6"/>
    </row>
    <row r="1033" spans="4:12" x14ac:dyDescent="0.2">
      <c r="D1033" s="6"/>
      <c r="E1033" s="6"/>
      <c r="F1033" s="6"/>
      <c r="G1033" s="6"/>
      <c r="H1033" s="6"/>
      <c r="J1033" s="6"/>
      <c r="K1033" s="6"/>
      <c r="L1033" s="6"/>
    </row>
    <row r="1034" spans="4:12" x14ac:dyDescent="0.2">
      <c r="D1034" s="6"/>
      <c r="E1034" s="6"/>
      <c r="F1034" s="6"/>
      <c r="G1034" s="6"/>
      <c r="H1034" s="6"/>
      <c r="J1034" s="6"/>
      <c r="K1034" s="6"/>
      <c r="L1034" s="6"/>
    </row>
    <row r="1035" spans="4:12" x14ac:dyDescent="0.2">
      <c r="D1035" s="6"/>
      <c r="E1035" s="6"/>
      <c r="F1035" s="6"/>
      <c r="G1035" s="6"/>
      <c r="H1035" s="6"/>
      <c r="J1035" s="6"/>
      <c r="K1035" s="6"/>
      <c r="L1035" s="6"/>
    </row>
    <row r="1036" spans="4:12" x14ac:dyDescent="0.2">
      <c r="D1036" s="6"/>
      <c r="E1036" s="6"/>
      <c r="F1036" s="6"/>
      <c r="G1036" s="6"/>
      <c r="H1036" s="6"/>
      <c r="J1036" s="6"/>
      <c r="K1036" s="6"/>
      <c r="L1036" s="6"/>
    </row>
    <row r="1037" spans="4:12" x14ac:dyDescent="0.2">
      <c r="D1037" s="6"/>
      <c r="E1037" s="6"/>
      <c r="F1037" s="6"/>
      <c r="G1037" s="6"/>
      <c r="H1037" s="6"/>
      <c r="J1037" s="6"/>
      <c r="K1037" s="6"/>
      <c r="L1037" s="6"/>
    </row>
    <row r="1038" spans="4:12" x14ac:dyDescent="0.2">
      <c r="D1038" s="6"/>
      <c r="E1038" s="6"/>
      <c r="F1038" s="6"/>
      <c r="G1038" s="6"/>
      <c r="H1038" s="6"/>
      <c r="J1038" s="6"/>
      <c r="K1038" s="6"/>
      <c r="L1038" s="6"/>
    </row>
    <row r="1039" spans="4:12" x14ac:dyDescent="0.2">
      <c r="D1039" s="6"/>
      <c r="E1039" s="6"/>
      <c r="F1039" s="6"/>
      <c r="G1039" s="6"/>
      <c r="H1039" s="6"/>
      <c r="J1039" s="6"/>
      <c r="K1039" s="6"/>
      <c r="L1039" s="6"/>
    </row>
    <row r="1040" spans="4:12" x14ac:dyDescent="0.2">
      <c r="D1040" s="6"/>
      <c r="E1040" s="6"/>
      <c r="F1040" s="6"/>
      <c r="G1040" s="6"/>
      <c r="H1040" s="6"/>
      <c r="J1040" s="6"/>
      <c r="K1040" s="6"/>
      <c r="L1040" s="6"/>
    </row>
    <row r="1041" spans="4:12" x14ac:dyDescent="0.2">
      <c r="D1041" s="6"/>
      <c r="E1041" s="6"/>
      <c r="F1041" s="6"/>
      <c r="G1041" s="6"/>
      <c r="H1041" s="6"/>
      <c r="J1041" s="6"/>
      <c r="K1041" s="6"/>
      <c r="L1041" s="6"/>
    </row>
    <row r="1042" spans="4:12" x14ac:dyDescent="0.2">
      <c r="D1042" s="6"/>
      <c r="E1042" s="6"/>
      <c r="F1042" s="6"/>
      <c r="G1042" s="6"/>
      <c r="H1042" s="6"/>
      <c r="J1042" s="6"/>
      <c r="K1042" s="6"/>
      <c r="L1042" s="6"/>
    </row>
    <row r="1043" spans="4:12" x14ac:dyDescent="0.2">
      <c r="D1043" s="6"/>
      <c r="E1043" s="6"/>
      <c r="F1043" s="6"/>
      <c r="G1043" s="6"/>
      <c r="H1043" s="6"/>
      <c r="J1043" s="6"/>
      <c r="K1043" s="6"/>
      <c r="L1043" s="6"/>
    </row>
    <row r="1044" spans="4:12" x14ac:dyDescent="0.2">
      <c r="D1044" s="6"/>
      <c r="E1044" s="6"/>
      <c r="F1044" s="6"/>
      <c r="G1044" s="6"/>
      <c r="H1044" s="6"/>
      <c r="J1044" s="6"/>
      <c r="K1044" s="6"/>
      <c r="L1044" s="6"/>
    </row>
    <row r="1045" spans="4:12" x14ac:dyDescent="0.2">
      <c r="D1045" s="6"/>
      <c r="E1045" s="6"/>
      <c r="F1045" s="6"/>
      <c r="G1045" s="6"/>
      <c r="H1045" s="6"/>
      <c r="J1045" s="6"/>
      <c r="K1045" s="6"/>
      <c r="L1045" s="6"/>
    </row>
    <row r="1046" spans="4:12" x14ac:dyDescent="0.2">
      <c r="D1046" s="6"/>
      <c r="E1046" s="6"/>
      <c r="F1046" s="6"/>
      <c r="G1046" s="6"/>
      <c r="H1046" s="6"/>
      <c r="J1046" s="6"/>
      <c r="K1046" s="6"/>
      <c r="L1046" s="6"/>
    </row>
    <row r="1047" spans="4:12" x14ac:dyDescent="0.2">
      <c r="D1047" s="6"/>
      <c r="E1047" s="6"/>
      <c r="F1047" s="6"/>
      <c r="G1047" s="6"/>
      <c r="H1047" s="6"/>
      <c r="J1047" s="6"/>
      <c r="K1047" s="6"/>
      <c r="L1047" s="6"/>
    </row>
    <row r="1048" spans="4:12" x14ac:dyDescent="0.2">
      <c r="D1048" s="6"/>
      <c r="E1048" s="6"/>
      <c r="F1048" s="6"/>
      <c r="G1048" s="6"/>
      <c r="H1048" s="6"/>
      <c r="J1048" s="6"/>
      <c r="K1048" s="6"/>
      <c r="L1048" s="6"/>
    </row>
    <row r="1049" spans="4:12" x14ac:dyDescent="0.2">
      <c r="D1049" s="6"/>
      <c r="E1049" s="6"/>
      <c r="F1049" s="6"/>
      <c r="G1049" s="6"/>
      <c r="H1049" s="6"/>
      <c r="J1049" s="6"/>
      <c r="K1049" s="6"/>
      <c r="L1049" s="6"/>
    </row>
    <row r="1050" spans="4:12" x14ac:dyDescent="0.2">
      <c r="D1050" s="6"/>
      <c r="E1050" s="6"/>
      <c r="F1050" s="6"/>
      <c r="G1050" s="6"/>
      <c r="H1050" s="6"/>
      <c r="J1050" s="6"/>
      <c r="K1050" s="6"/>
      <c r="L1050" s="6"/>
    </row>
    <row r="1051" spans="4:12" x14ac:dyDescent="0.2">
      <c r="D1051" s="6"/>
      <c r="E1051" s="6"/>
      <c r="F1051" s="6"/>
      <c r="G1051" s="6"/>
      <c r="H1051" s="6"/>
      <c r="J1051" s="6"/>
      <c r="K1051" s="6"/>
      <c r="L1051" s="6"/>
    </row>
    <row r="1052" spans="4:12" x14ac:dyDescent="0.2">
      <c r="D1052" s="6"/>
      <c r="E1052" s="6"/>
      <c r="F1052" s="6"/>
      <c r="G1052" s="6"/>
      <c r="H1052" s="6"/>
      <c r="J1052" s="6"/>
      <c r="K1052" s="6"/>
      <c r="L1052" s="6"/>
    </row>
    <row r="1053" spans="4:12" x14ac:dyDescent="0.2">
      <c r="D1053" s="6"/>
      <c r="E1053" s="6"/>
      <c r="F1053" s="6"/>
      <c r="G1053" s="6"/>
      <c r="H1053" s="6"/>
      <c r="J1053" s="6"/>
      <c r="K1053" s="6"/>
      <c r="L1053" s="6"/>
    </row>
    <row r="1054" spans="4:12" x14ac:dyDescent="0.2">
      <c r="D1054" s="6"/>
      <c r="E1054" s="6"/>
      <c r="F1054" s="6"/>
      <c r="G1054" s="6"/>
      <c r="H1054" s="6"/>
      <c r="J1054" s="6"/>
      <c r="K1054" s="6"/>
      <c r="L1054" s="6"/>
    </row>
    <row r="1055" spans="4:12" x14ac:dyDescent="0.2">
      <c r="D1055" s="6"/>
      <c r="E1055" s="6"/>
      <c r="F1055" s="6"/>
      <c r="G1055" s="6"/>
      <c r="H1055" s="6"/>
      <c r="J1055" s="6"/>
      <c r="K1055" s="6"/>
      <c r="L1055" s="6"/>
    </row>
    <row r="1056" spans="4:12" x14ac:dyDescent="0.2">
      <c r="D1056" s="6"/>
      <c r="E1056" s="6"/>
      <c r="F1056" s="6"/>
      <c r="G1056" s="6"/>
      <c r="H1056" s="6"/>
      <c r="J1056" s="6"/>
      <c r="K1056" s="6"/>
      <c r="L1056" s="6"/>
    </row>
    <row r="1057" spans="4:12" x14ac:dyDescent="0.2">
      <c r="D1057" s="6"/>
      <c r="E1057" s="6"/>
      <c r="F1057" s="6"/>
      <c r="G1057" s="6"/>
      <c r="H1057" s="6"/>
      <c r="J1057" s="6"/>
      <c r="K1057" s="6"/>
      <c r="L1057" s="6"/>
    </row>
    <row r="1058" spans="4:12" x14ac:dyDescent="0.2">
      <c r="D1058" s="6"/>
      <c r="E1058" s="6"/>
      <c r="F1058" s="6"/>
      <c r="G1058" s="6"/>
      <c r="H1058" s="6"/>
      <c r="J1058" s="6"/>
      <c r="K1058" s="6"/>
      <c r="L1058" s="6"/>
    </row>
    <row r="1059" spans="4:12" x14ac:dyDescent="0.2">
      <c r="D1059" s="6"/>
      <c r="E1059" s="6"/>
      <c r="F1059" s="6"/>
      <c r="G1059" s="6"/>
      <c r="H1059" s="6"/>
      <c r="J1059" s="6"/>
      <c r="K1059" s="6"/>
      <c r="L1059" s="6"/>
    </row>
    <row r="1060" spans="4:12" x14ac:dyDescent="0.2">
      <c r="D1060" s="6"/>
      <c r="E1060" s="6"/>
      <c r="F1060" s="6"/>
      <c r="G1060" s="6"/>
      <c r="H1060" s="6"/>
      <c r="J1060" s="6"/>
      <c r="K1060" s="6"/>
      <c r="L1060" s="6"/>
    </row>
    <row r="1061" spans="4:12" x14ac:dyDescent="0.2">
      <c r="D1061" s="6"/>
      <c r="E1061" s="6"/>
      <c r="F1061" s="6"/>
      <c r="G1061" s="6"/>
      <c r="H1061" s="6"/>
      <c r="J1061" s="6"/>
      <c r="K1061" s="6"/>
      <c r="L1061" s="6"/>
    </row>
    <row r="1062" spans="4:12" x14ac:dyDescent="0.2">
      <c r="D1062" s="6"/>
      <c r="E1062" s="6"/>
      <c r="F1062" s="6"/>
      <c r="G1062" s="6"/>
      <c r="H1062" s="6"/>
      <c r="J1062" s="6"/>
      <c r="K1062" s="6"/>
      <c r="L1062" s="6"/>
    </row>
    <row r="1063" spans="4:12" x14ac:dyDescent="0.2">
      <c r="D1063" s="6"/>
      <c r="E1063" s="6"/>
      <c r="F1063" s="6"/>
      <c r="G1063" s="6"/>
      <c r="H1063" s="6"/>
      <c r="J1063" s="6"/>
      <c r="K1063" s="6"/>
      <c r="L1063" s="6"/>
    </row>
    <row r="1064" spans="4:12" x14ac:dyDescent="0.2">
      <c r="D1064" s="6"/>
      <c r="E1064" s="6"/>
      <c r="F1064" s="6"/>
      <c r="G1064" s="6"/>
      <c r="H1064" s="6"/>
      <c r="J1064" s="6"/>
      <c r="K1064" s="6"/>
      <c r="L1064" s="6"/>
    </row>
    <row r="1065" spans="4:12" x14ac:dyDescent="0.2">
      <c r="D1065" s="6"/>
      <c r="E1065" s="6"/>
      <c r="F1065" s="6"/>
      <c r="G1065" s="6"/>
      <c r="H1065" s="6"/>
      <c r="J1065" s="6"/>
      <c r="K1065" s="6"/>
      <c r="L1065" s="6"/>
    </row>
    <row r="1066" spans="4:12" x14ac:dyDescent="0.2">
      <c r="D1066" s="6"/>
      <c r="E1066" s="6"/>
      <c r="F1066" s="6"/>
      <c r="G1066" s="6"/>
      <c r="H1066" s="6"/>
      <c r="J1066" s="6"/>
      <c r="K1066" s="6"/>
      <c r="L1066" s="6"/>
    </row>
    <row r="1067" spans="4:12" x14ac:dyDescent="0.2">
      <c r="D1067" s="6"/>
      <c r="E1067" s="6"/>
      <c r="F1067" s="6"/>
      <c r="G1067" s="6"/>
      <c r="H1067" s="6"/>
      <c r="J1067" s="6"/>
      <c r="K1067" s="6"/>
      <c r="L1067" s="6"/>
    </row>
    <row r="1068" spans="4:12" x14ac:dyDescent="0.2">
      <c r="D1068" s="6"/>
      <c r="E1068" s="6"/>
      <c r="F1068" s="6"/>
      <c r="G1068" s="6"/>
      <c r="H1068" s="6"/>
      <c r="J1068" s="6"/>
      <c r="K1068" s="6"/>
      <c r="L1068" s="6"/>
    </row>
    <row r="1069" spans="4:12" x14ac:dyDescent="0.2">
      <c r="D1069" s="6"/>
      <c r="E1069" s="6"/>
      <c r="F1069" s="6"/>
      <c r="G1069" s="6"/>
      <c r="H1069" s="6"/>
      <c r="J1069" s="6"/>
      <c r="K1069" s="6"/>
      <c r="L1069" s="6"/>
    </row>
    <row r="1070" spans="4:12" x14ac:dyDescent="0.2">
      <c r="D1070" s="6"/>
      <c r="E1070" s="6"/>
      <c r="F1070" s="6"/>
      <c r="G1070" s="6"/>
      <c r="H1070" s="6"/>
      <c r="J1070" s="6"/>
      <c r="K1070" s="6"/>
      <c r="L1070" s="6"/>
    </row>
    <row r="1071" spans="4:12" x14ac:dyDescent="0.2">
      <c r="D1071" s="6"/>
      <c r="E1071" s="6"/>
      <c r="F1071" s="6"/>
      <c r="G1071" s="6"/>
      <c r="H1071" s="6"/>
      <c r="J1071" s="6"/>
      <c r="K1071" s="6"/>
      <c r="L1071" s="6"/>
    </row>
    <row r="1072" spans="4:12" x14ac:dyDescent="0.2">
      <c r="D1072" s="6"/>
      <c r="E1072" s="6"/>
      <c r="F1072" s="6"/>
      <c r="G1072" s="6"/>
      <c r="H1072" s="6"/>
      <c r="J1072" s="6"/>
      <c r="K1072" s="6"/>
      <c r="L1072" s="6"/>
    </row>
    <row r="1073" spans="4:12" x14ac:dyDescent="0.2">
      <c r="D1073" s="6"/>
      <c r="E1073" s="6"/>
      <c r="F1073" s="6"/>
      <c r="G1073" s="6"/>
      <c r="H1073" s="6"/>
      <c r="J1073" s="6"/>
      <c r="K1073" s="6"/>
      <c r="L1073" s="6"/>
    </row>
    <row r="1074" spans="4:12" x14ac:dyDescent="0.2">
      <c r="D1074" s="6"/>
      <c r="E1074" s="6"/>
      <c r="F1074" s="6"/>
      <c r="G1074" s="6"/>
      <c r="H1074" s="6"/>
      <c r="J1074" s="6"/>
      <c r="K1074" s="6"/>
      <c r="L1074" s="6"/>
    </row>
    <row r="1075" spans="4:12" x14ac:dyDescent="0.2">
      <c r="D1075" s="6"/>
      <c r="E1075" s="6"/>
      <c r="F1075" s="6"/>
      <c r="G1075" s="6"/>
      <c r="H1075" s="6"/>
      <c r="J1075" s="6"/>
      <c r="K1075" s="6"/>
      <c r="L1075" s="6"/>
    </row>
    <row r="1076" spans="4:12" x14ac:dyDescent="0.2">
      <c r="D1076" s="6"/>
      <c r="E1076" s="6"/>
      <c r="F1076" s="6"/>
      <c r="G1076" s="6"/>
      <c r="H1076" s="6"/>
      <c r="J1076" s="6"/>
      <c r="K1076" s="6"/>
      <c r="L1076" s="6"/>
    </row>
    <row r="1077" spans="4:12" x14ac:dyDescent="0.2">
      <c r="D1077" s="6"/>
      <c r="E1077" s="6"/>
      <c r="F1077" s="6"/>
      <c r="G1077" s="6"/>
      <c r="H1077" s="6"/>
      <c r="J1077" s="6"/>
      <c r="K1077" s="6"/>
      <c r="L1077" s="6"/>
    </row>
    <row r="1078" spans="4:12" x14ac:dyDescent="0.2">
      <c r="D1078" s="6"/>
      <c r="E1078" s="6"/>
      <c r="F1078" s="6"/>
      <c r="G1078" s="6"/>
      <c r="H1078" s="6"/>
      <c r="J1078" s="6"/>
      <c r="K1078" s="6"/>
      <c r="L1078" s="6"/>
    </row>
    <row r="1079" spans="4:12" x14ac:dyDescent="0.2">
      <c r="D1079" s="6"/>
      <c r="E1079" s="6"/>
      <c r="F1079" s="6"/>
      <c r="G1079" s="6"/>
      <c r="H1079" s="6"/>
      <c r="J1079" s="6"/>
      <c r="K1079" s="6"/>
      <c r="L1079" s="6"/>
    </row>
    <row r="1080" spans="4:12" x14ac:dyDescent="0.2">
      <c r="D1080" s="6"/>
      <c r="E1080" s="6"/>
      <c r="F1080" s="6"/>
      <c r="G1080" s="6"/>
      <c r="H1080" s="6"/>
      <c r="J1080" s="6"/>
      <c r="K1080" s="6"/>
      <c r="L1080" s="6"/>
    </row>
    <row r="1081" spans="4:12" x14ac:dyDescent="0.2">
      <c r="D1081" s="6"/>
      <c r="E1081" s="6"/>
      <c r="F1081" s="6"/>
      <c r="G1081" s="6"/>
      <c r="H1081" s="6"/>
      <c r="J1081" s="6"/>
      <c r="K1081" s="6"/>
      <c r="L1081" s="6"/>
    </row>
    <row r="1082" spans="4:12" x14ac:dyDescent="0.2">
      <c r="D1082" s="6"/>
      <c r="E1082" s="6"/>
      <c r="F1082" s="6"/>
      <c r="G1082" s="6"/>
      <c r="H1082" s="6"/>
      <c r="J1082" s="6"/>
      <c r="K1082" s="6"/>
      <c r="L1082" s="6"/>
    </row>
    <row r="1083" spans="4:12" x14ac:dyDescent="0.2">
      <c r="D1083" s="6"/>
      <c r="E1083" s="6"/>
      <c r="F1083" s="6"/>
      <c r="G1083" s="6"/>
      <c r="H1083" s="6"/>
      <c r="J1083" s="6"/>
      <c r="K1083" s="6"/>
      <c r="L1083" s="6"/>
    </row>
    <row r="1084" spans="4:12" x14ac:dyDescent="0.2">
      <c r="D1084" s="6"/>
      <c r="E1084" s="6"/>
      <c r="F1084" s="6"/>
      <c r="G1084" s="6"/>
      <c r="H1084" s="6"/>
      <c r="J1084" s="6"/>
      <c r="K1084" s="6"/>
      <c r="L1084" s="6"/>
    </row>
    <row r="1085" spans="4:12" x14ac:dyDescent="0.2">
      <c r="D1085" s="6"/>
      <c r="E1085" s="6"/>
      <c r="F1085" s="6"/>
      <c r="G1085" s="6"/>
      <c r="H1085" s="6"/>
      <c r="J1085" s="6"/>
      <c r="K1085" s="6"/>
      <c r="L1085" s="6"/>
    </row>
    <row r="1086" spans="4:12" x14ac:dyDescent="0.2">
      <c r="D1086" s="6"/>
      <c r="E1086" s="6"/>
      <c r="F1086" s="6"/>
      <c r="G1086" s="6"/>
      <c r="H1086" s="6"/>
      <c r="J1086" s="6"/>
      <c r="K1086" s="6"/>
      <c r="L1086" s="6"/>
    </row>
    <row r="1087" spans="4:12" x14ac:dyDescent="0.2">
      <c r="D1087" s="6"/>
      <c r="E1087" s="6"/>
      <c r="F1087" s="6"/>
      <c r="G1087" s="6"/>
      <c r="H1087" s="6"/>
      <c r="J1087" s="6"/>
      <c r="K1087" s="6"/>
      <c r="L1087" s="6"/>
    </row>
    <row r="1088" spans="4:12" x14ac:dyDescent="0.2">
      <c r="D1088" s="6"/>
      <c r="E1088" s="6"/>
      <c r="F1088" s="6"/>
      <c r="G1088" s="6"/>
      <c r="H1088" s="6"/>
      <c r="J1088" s="6"/>
      <c r="K1088" s="6"/>
      <c r="L1088" s="6"/>
    </row>
    <row r="1089" spans="4:12" x14ac:dyDescent="0.2">
      <c r="D1089" s="6"/>
      <c r="E1089" s="6"/>
      <c r="F1089" s="6"/>
      <c r="G1089" s="6"/>
      <c r="H1089" s="6"/>
      <c r="J1089" s="6"/>
      <c r="K1089" s="6"/>
      <c r="L1089" s="6"/>
    </row>
    <row r="1090" spans="4:12" x14ac:dyDescent="0.2">
      <c r="D1090" s="6"/>
      <c r="E1090" s="6"/>
      <c r="F1090" s="6"/>
      <c r="G1090" s="6"/>
      <c r="H1090" s="6"/>
      <c r="J1090" s="6"/>
      <c r="K1090" s="6"/>
      <c r="L1090" s="6"/>
    </row>
    <row r="1091" spans="4:12" x14ac:dyDescent="0.2">
      <c r="D1091" s="6"/>
      <c r="E1091" s="6"/>
      <c r="F1091" s="6"/>
      <c r="G1091" s="6"/>
      <c r="H1091" s="6"/>
      <c r="J1091" s="6"/>
      <c r="K1091" s="6"/>
      <c r="L1091" s="6"/>
    </row>
    <row r="1092" spans="4:12" x14ac:dyDescent="0.2">
      <c r="D1092" s="6"/>
      <c r="E1092" s="6"/>
      <c r="F1092" s="6"/>
      <c r="G1092" s="6"/>
      <c r="H1092" s="6"/>
      <c r="J1092" s="6"/>
      <c r="K1092" s="6"/>
      <c r="L1092" s="6"/>
    </row>
    <row r="1093" spans="4:12" x14ac:dyDescent="0.2">
      <c r="D1093" s="6"/>
      <c r="E1093" s="6"/>
      <c r="F1093" s="6"/>
      <c r="G1093" s="6"/>
      <c r="H1093" s="6"/>
      <c r="J1093" s="6"/>
      <c r="K1093" s="6"/>
      <c r="L1093" s="6"/>
    </row>
    <row r="1094" spans="4:12" x14ac:dyDescent="0.2">
      <c r="D1094" s="6"/>
      <c r="E1094" s="6"/>
      <c r="F1094" s="6"/>
      <c r="G1094" s="6"/>
      <c r="H1094" s="6"/>
      <c r="J1094" s="6"/>
      <c r="K1094" s="6"/>
      <c r="L1094" s="6"/>
    </row>
    <row r="1095" spans="4:12" x14ac:dyDescent="0.2">
      <c r="D1095" s="6"/>
      <c r="E1095" s="6"/>
      <c r="F1095" s="6"/>
      <c r="G1095" s="6"/>
      <c r="H1095" s="6"/>
      <c r="J1095" s="6"/>
      <c r="K1095" s="6"/>
      <c r="L1095" s="6"/>
    </row>
    <row r="1096" spans="4:12" x14ac:dyDescent="0.2">
      <c r="D1096" s="6"/>
      <c r="E1096" s="6"/>
      <c r="F1096" s="6"/>
      <c r="G1096" s="6"/>
      <c r="H1096" s="6"/>
      <c r="J1096" s="6"/>
      <c r="K1096" s="6"/>
      <c r="L1096" s="6"/>
    </row>
    <row r="1097" spans="4:12" x14ac:dyDescent="0.2">
      <c r="D1097" s="6"/>
      <c r="E1097" s="6"/>
      <c r="F1097" s="6"/>
      <c r="G1097" s="6"/>
      <c r="H1097" s="6"/>
      <c r="J1097" s="6"/>
      <c r="K1097" s="6"/>
      <c r="L1097" s="6"/>
    </row>
    <row r="1098" spans="4:12" x14ac:dyDescent="0.2">
      <c r="D1098" s="6"/>
      <c r="E1098" s="6"/>
      <c r="F1098" s="6"/>
      <c r="G1098" s="6"/>
      <c r="H1098" s="6"/>
      <c r="J1098" s="6"/>
      <c r="K1098" s="6"/>
      <c r="L1098" s="6"/>
    </row>
    <row r="1099" spans="4:12" x14ac:dyDescent="0.2">
      <c r="D1099" s="6"/>
      <c r="E1099" s="6"/>
      <c r="F1099" s="6"/>
      <c r="G1099" s="6"/>
      <c r="H1099" s="6"/>
      <c r="J1099" s="6"/>
      <c r="K1099" s="6"/>
      <c r="L1099" s="6"/>
    </row>
    <row r="1100" spans="4:12" x14ac:dyDescent="0.2">
      <c r="D1100" s="6"/>
      <c r="E1100" s="6"/>
      <c r="F1100" s="6"/>
      <c r="G1100" s="6"/>
      <c r="H1100" s="6"/>
      <c r="J1100" s="6"/>
      <c r="K1100" s="6"/>
      <c r="L1100" s="6"/>
    </row>
    <row r="1101" spans="4:12" x14ac:dyDescent="0.2">
      <c r="D1101" s="6"/>
      <c r="E1101" s="6"/>
      <c r="F1101" s="6"/>
      <c r="G1101" s="6"/>
      <c r="H1101" s="6"/>
      <c r="J1101" s="6"/>
      <c r="K1101" s="6"/>
      <c r="L1101" s="6"/>
    </row>
    <row r="1102" spans="4:12" x14ac:dyDescent="0.2">
      <c r="D1102" s="6"/>
      <c r="E1102" s="6"/>
      <c r="F1102" s="6"/>
      <c r="G1102" s="6"/>
      <c r="H1102" s="6"/>
      <c r="J1102" s="6"/>
      <c r="K1102" s="6"/>
      <c r="L1102" s="6"/>
    </row>
    <row r="1103" spans="4:12" x14ac:dyDescent="0.2">
      <c r="D1103" s="6"/>
      <c r="E1103" s="6"/>
      <c r="F1103" s="6"/>
      <c r="G1103" s="6"/>
      <c r="H1103" s="6"/>
      <c r="J1103" s="6"/>
      <c r="K1103" s="6"/>
      <c r="L1103" s="6"/>
    </row>
    <row r="1104" spans="4:12" x14ac:dyDescent="0.2">
      <c r="D1104" s="6"/>
      <c r="E1104" s="6"/>
      <c r="F1104" s="6"/>
      <c r="G1104" s="6"/>
      <c r="H1104" s="6"/>
      <c r="J1104" s="6"/>
      <c r="K1104" s="6"/>
      <c r="L1104" s="6"/>
    </row>
    <row r="1105" spans="4:12" x14ac:dyDescent="0.2">
      <c r="D1105" s="6"/>
      <c r="E1105" s="6"/>
      <c r="F1105" s="6"/>
      <c r="G1105" s="6"/>
      <c r="H1105" s="6"/>
      <c r="J1105" s="6"/>
      <c r="K1105" s="6"/>
      <c r="L1105" s="6"/>
    </row>
    <row r="1106" spans="4:12" x14ac:dyDescent="0.2">
      <c r="D1106" s="6"/>
      <c r="E1106" s="6"/>
      <c r="F1106" s="6"/>
      <c r="G1106" s="6"/>
      <c r="H1106" s="6"/>
      <c r="J1106" s="6"/>
      <c r="K1106" s="6"/>
      <c r="L1106" s="6"/>
    </row>
    <row r="1107" spans="4:12" x14ac:dyDescent="0.2">
      <c r="D1107" s="6"/>
      <c r="E1107" s="6"/>
      <c r="F1107" s="6"/>
      <c r="G1107" s="6"/>
      <c r="H1107" s="6"/>
      <c r="J1107" s="6"/>
      <c r="K1107" s="6"/>
      <c r="L1107" s="6"/>
    </row>
    <row r="1108" spans="4:12" x14ac:dyDescent="0.2">
      <c r="D1108" s="6"/>
      <c r="E1108" s="6"/>
      <c r="F1108" s="6"/>
      <c r="G1108" s="6"/>
      <c r="H1108" s="6"/>
      <c r="J1108" s="6"/>
      <c r="K1108" s="6"/>
      <c r="L1108" s="6"/>
    </row>
    <row r="1109" spans="4:12" x14ac:dyDescent="0.2">
      <c r="D1109" s="6"/>
      <c r="E1109" s="6"/>
      <c r="F1109" s="6"/>
      <c r="G1109" s="6"/>
      <c r="H1109" s="6"/>
      <c r="J1109" s="6"/>
      <c r="K1109" s="6"/>
      <c r="L1109" s="6"/>
    </row>
    <row r="1110" spans="4:12" x14ac:dyDescent="0.2">
      <c r="D1110" s="6"/>
      <c r="E1110" s="6"/>
      <c r="F1110" s="6"/>
      <c r="G1110" s="6"/>
      <c r="H1110" s="6"/>
      <c r="J1110" s="6"/>
      <c r="K1110" s="6"/>
      <c r="L1110" s="6"/>
    </row>
    <row r="1111" spans="4:12" x14ac:dyDescent="0.2">
      <c r="D1111" s="6"/>
      <c r="E1111" s="6"/>
      <c r="F1111" s="6"/>
      <c r="G1111" s="6"/>
      <c r="H1111" s="6"/>
      <c r="J1111" s="6"/>
      <c r="K1111" s="6"/>
      <c r="L1111" s="6"/>
    </row>
    <row r="1112" spans="4:12" x14ac:dyDescent="0.2">
      <c r="D1112" s="6"/>
      <c r="E1112" s="6"/>
      <c r="F1112" s="6"/>
      <c r="G1112" s="6"/>
      <c r="H1112" s="6"/>
      <c r="J1112" s="6"/>
      <c r="K1112" s="6"/>
      <c r="L1112" s="6"/>
    </row>
    <row r="1113" spans="4:12" x14ac:dyDescent="0.2">
      <c r="D1113" s="6"/>
      <c r="E1113" s="6"/>
      <c r="F1113" s="6"/>
      <c r="G1113" s="6"/>
      <c r="H1113" s="6"/>
      <c r="J1113" s="6"/>
      <c r="K1113" s="6"/>
      <c r="L1113" s="6"/>
    </row>
    <row r="1114" spans="4:12" x14ac:dyDescent="0.2">
      <c r="D1114" s="6"/>
      <c r="E1114" s="6"/>
      <c r="F1114" s="6"/>
      <c r="G1114" s="6"/>
      <c r="H1114" s="6"/>
      <c r="J1114" s="6"/>
      <c r="K1114" s="6"/>
      <c r="L1114" s="6"/>
    </row>
    <row r="1115" spans="4:12" x14ac:dyDescent="0.2">
      <c r="D1115" s="6"/>
      <c r="E1115" s="6"/>
      <c r="F1115" s="6"/>
      <c r="G1115" s="6"/>
      <c r="H1115" s="6"/>
      <c r="J1115" s="6"/>
      <c r="K1115" s="6"/>
      <c r="L1115" s="6"/>
    </row>
    <row r="1116" spans="4:12" x14ac:dyDescent="0.2">
      <c r="D1116" s="6"/>
      <c r="E1116" s="6"/>
      <c r="F1116" s="6"/>
      <c r="G1116" s="6"/>
      <c r="H1116" s="6"/>
      <c r="J1116" s="6"/>
      <c r="K1116" s="6"/>
      <c r="L1116" s="6"/>
    </row>
    <row r="1117" spans="4:12" x14ac:dyDescent="0.2">
      <c r="D1117" s="6"/>
      <c r="E1117" s="6"/>
      <c r="F1117" s="6"/>
      <c r="G1117" s="6"/>
      <c r="H1117" s="6"/>
      <c r="J1117" s="6"/>
      <c r="K1117" s="6"/>
      <c r="L1117" s="6"/>
    </row>
    <row r="1118" spans="4:12" x14ac:dyDescent="0.2">
      <c r="D1118" s="6"/>
      <c r="E1118" s="6"/>
      <c r="F1118" s="6"/>
      <c r="G1118" s="6"/>
      <c r="H1118" s="6"/>
      <c r="J1118" s="6"/>
      <c r="K1118" s="6"/>
      <c r="L1118" s="6"/>
    </row>
    <row r="1119" spans="4:12" x14ac:dyDescent="0.2">
      <c r="D1119" s="6"/>
      <c r="E1119" s="6"/>
      <c r="F1119" s="6"/>
      <c r="G1119" s="6"/>
      <c r="H1119" s="6"/>
      <c r="J1119" s="6"/>
      <c r="K1119" s="6"/>
      <c r="L1119" s="6"/>
    </row>
    <row r="1120" spans="4:12" x14ac:dyDescent="0.2">
      <c r="D1120" s="6"/>
      <c r="E1120" s="6"/>
      <c r="F1120" s="6"/>
      <c r="G1120" s="6"/>
      <c r="H1120" s="6"/>
      <c r="J1120" s="6"/>
      <c r="K1120" s="6"/>
      <c r="L1120" s="6"/>
    </row>
    <row r="1121" spans="4:12" x14ac:dyDescent="0.2">
      <c r="D1121" s="6"/>
      <c r="E1121" s="6"/>
      <c r="F1121" s="6"/>
      <c r="G1121" s="6"/>
      <c r="H1121" s="6"/>
      <c r="J1121" s="6"/>
      <c r="K1121" s="6"/>
      <c r="L1121" s="6"/>
    </row>
    <row r="1122" spans="4:12" x14ac:dyDescent="0.2">
      <c r="D1122" s="6"/>
      <c r="E1122" s="6"/>
      <c r="F1122" s="6"/>
      <c r="G1122" s="6"/>
      <c r="H1122" s="6"/>
      <c r="J1122" s="6"/>
      <c r="K1122" s="6"/>
      <c r="L1122" s="6"/>
    </row>
    <row r="1123" spans="4:12" x14ac:dyDescent="0.2">
      <c r="D1123" s="6"/>
      <c r="E1123" s="6"/>
      <c r="F1123" s="6"/>
      <c r="G1123" s="6"/>
      <c r="H1123" s="6"/>
      <c r="J1123" s="6"/>
      <c r="K1123" s="6"/>
      <c r="L1123" s="6"/>
    </row>
    <row r="1124" spans="4:12" x14ac:dyDescent="0.2">
      <c r="D1124" s="6"/>
      <c r="E1124" s="6"/>
      <c r="F1124" s="6"/>
      <c r="G1124" s="6"/>
      <c r="H1124" s="6"/>
      <c r="J1124" s="6"/>
      <c r="K1124" s="6"/>
      <c r="L1124" s="6"/>
    </row>
    <row r="1125" spans="4:12" x14ac:dyDescent="0.2">
      <c r="D1125" s="6"/>
      <c r="E1125" s="6"/>
      <c r="F1125" s="6"/>
      <c r="G1125" s="6"/>
      <c r="H1125" s="6"/>
      <c r="J1125" s="6"/>
      <c r="K1125" s="6"/>
      <c r="L1125" s="6"/>
    </row>
    <row r="1126" spans="4:12" x14ac:dyDescent="0.2">
      <c r="D1126" s="6"/>
      <c r="E1126" s="6"/>
      <c r="F1126" s="6"/>
      <c r="G1126" s="6"/>
      <c r="H1126" s="6"/>
      <c r="J1126" s="6"/>
      <c r="K1126" s="6"/>
      <c r="L1126" s="6"/>
    </row>
    <row r="1127" spans="4:12" x14ac:dyDescent="0.2">
      <c r="D1127" s="6"/>
      <c r="E1127" s="6"/>
      <c r="F1127" s="6"/>
      <c r="G1127" s="6"/>
      <c r="H1127" s="6"/>
      <c r="J1127" s="6"/>
      <c r="K1127" s="6"/>
      <c r="L1127" s="6"/>
    </row>
    <row r="1128" spans="4:12" x14ac:dyDescent="0.2">
      <c r="D1128" s="6"/>
      <c r="E1128" s="6"/>
      <c r="F1128" s="6"/>
      <c r="G1128" s="6"/>
      <c r="H1128" s="6"/>
      <c r="J1128" s="6"/>
      <c r="K1128" s="6"/>
      <c r="L1128" s="6"/>
    </row>
    <row r="1129" spans="4:12" x14ac:dyDescent="0.2">
      <c r="D1129" s="6"/>
      <c r="E1129" s="6"/>
      <c r="F1129" s="6"/>
      <c r="G1129" s="6"/>
      <c r="H1129" s="6"/>
      <c r="J1129" s="6"/>
      <c r="K1129" s="6"/>
      <c r="L1129" s="6"/>
    </row>
    <row r="1130" spans="4:12" x14ac:dyDescent="0.2">
      <c r="D1130" s="6"/>
      <c r="E1130" s="6"/>
      <c r="F1130" s="6"/>
      <c r="G1130" s="6"/>
      <c r="H1130" s="6"/>
      <c r="J1130" s="6"/>
      <c r="K1130" s="6"/>
      <c r="L1130" s="6"/>
    </row>
    <row r="1131" spans="4:12" x14ac:dyDescent="0.2">
      <c r="D1131" s="6"/>
      <c r="E1131" s="6"/>
      <c r="F1131" s="6"/>
      <c r="G1131" s="6"/>
      <c r="H1131" s="6"/>
      <c r="J1131" s="6"/>
      <c r="K1131" s="6"/>
      <c r="L1131" s="6"/>
    </row>
    <row r="1132" spans="4:12" x14ac:dyDescent="0.2">
      <c r="D1132" s="6"/>
      <c r="E1132" s="6"/>
      <c r="F1132" s="6"/>
      <c r="G1132" s="6"/>
      <c r="H1132" s="6"/>
      <c r="J1132" s="6"/>
      <c r="K1132" s="6"/>
      <c r="L1132" s="6"/>
    </row>
    <row r="1133" spans="4:12" x14ac:dyDescent="0.2">
      <c r="D1133" s="6"/>
      <c r="E1133" s="6"/>
      <c r="F1133" s="6"/>
      <c r="G1133" s="6"/>
      <c r="H1133" s="6"/>
      <c r="J1133" s="6"/>
      <c r="K1133" s="6"/>
      <c r="L1133" s="6"/>
    </row>
    <row r="1134" spans="4:12" x14ac:dyDescent="0.2">
      <c r="D1134" s="6"/>
      <c r="E1134" s="6"/>
      <c r="F1134" s="6"/>
      <c r="G1134" s="6"/>
      <c r="H1134" s="6"/>
      <c r="J1134" s="6"/>
      <c r="K1134" s="6"/>
      <c r="L1134" s="6"/>
    </row>
    <row r="1135" spans="4:12" x14ac:dyDescent="0.2">
      <c r="D1135" s="6"/>
      <c r="E1135" s="6"/>
      <c r="F1135" s="6"/>
      <c r="G1135" s="6"/>
      <c r="H1135" s="6"/>
      <c r="J1135" s="6"/>
      <c r="K1135" s="6"/>
      <c r="L1135" s="6"/>
    </row>
    <row r="1136" spans="4:12" x14ac:dyDescent="0.2">
      <c r="D1136" s="6"/>
      <c r="E1136" s="6"/>
      <c r="F1136" s="6"/>
      <c r="G1136" s="6"/>
      <c r="H1136" s="6"/>
      <c r="J1136" s="6"/>
      <c r="K1136" s="6"/>
      <c r="L1136" s="6"/>
    </row>
    <row r="1137" spans="4:12" x14ac:dyDescent="0.2">
      <c r="D1137" s="6"/>
      <c r="E1137" s="6"/>
      <c r="F1137" s="6"/>
      <c r="G1137" s="6"/>
      <c r="H1137" s="6"/>
      <c r="J1137" s="6"/>
      <c r="K1137" s="6"/>
      <c r="L1137" s="6"/>
    </row>
    <row r="1138" spans="4:12" x14ac:dyDescent="0.2">
      <c r="D1138" s="6"/>
      <c r="E1138" s="6"/>
      <c r="F1138" s="6"/>
      <c r="G1138" s="6"/>
      <c r="H1138" s="6"/>
      <c r="J1138" s="6"/>
      <c r="K1138" s="6"/>
      <c r="L1138" s="6"/>
    </row>
    <row r="1139" spans="4:12" x14ac:dyDescent="0.2">
      <c r="D1139" s="6"/>
      <c r="E1139" s="6"/>
      <c r="F1139" s="6"/>
      <c r="G1139" s="6"/>
      <c r="H1139" s="6"/>
      <c r="J1139" s="6"/>
      <c r="K1139" s="6"/>
      <c r="L1139" s="6"/>
    </row>
    <row r="1140" spans="4:12" x14ac:dyDescent="0.2">
      <c r="D1140" s="6"/>
      <c r="E1140" s="6"/>
      <c r="F1140" s="6"/>
      <c r="G1140" s="6"/>
      <c r="H1140" s="6"/>
      <c r="J1140" s="6"/>
      <c r="K1140" s="6"/>
      <c r="L1140" s="6"/>
    </row>
    <row r="1141" spans="4:12" x14ac:dyDescent="0.2">
      <c r="D1141" s="6"/>
      <c r="E1141" s="6"/>
      <c r="F1141" s="6"/>
      <c r="G1141" s="6"/>
      <c r="H1141" s="6"/>
      <c r="J1141" s="6"/>
      <c r="K1141" s="6"/>
      <c r="L1141" s="6"/>
    </row>
    <row r="1142" spans="4:12" x14ac:dyDescent="0.2">
      <c r="D1142" s="6"/>
      <c r="E1142" s="6"/>
      <c r="F1142" s="6"/>
      <c r="G1142" s="6"/>
      <c r="H1142" s="6"/>
      <c r="J1142" s="6"/>
      <c r="K1142" s="6"/>
      <c r="L1142" s="6"/>
    </row>
    <row r="1143" spans="4:12" x14ac:dyDescent="0.2">
      <c r="D1143" s="6"/>
      <c r="E1143" s="6"/>
      <c r="F1143" s="6"/>
      <c r="G1143" s="6"/>
      <c r="H1143" s="6"/>
      <c r="J1143" s="6"/>
      <c r="K1143" s="6"/>
      <c r="L1143" s="6"/>
    </row>
    <row r="1144" spans="4:12" x14ac:dyDescent="0.2">
      <c r="D1144" s="6"/>
      <c r="E1144" s="6"/>
      <c r="F1144" s="6"/>
      <c r="G1144" s="6"/>
      <c r="H1144" s="6"/>
      <c r="J1144" s="6"/>
      <c r="K1144" s="6"/>
      <c r="L1144" s="6"/>
    </row>
    <row r="1145" spans="4:12" x14ac:dyDescent="0.2">
      <c r="D1145" s="6"/>
      <c r="E1145" s="6"/>
      <c r="F1145" s="6"/>
      <c r="G1145" s="6"/>
      <c r="H1145" s="6"/>
      <c r="J1145" s="6"/>
      <c r="K1145" s="6"/>
      <c r="L1145" s="6"/>
    </row>
    <row r="1146" spans="4:12" x14ac:dyDescent="0.2">
      <c r="D1146" s="6"/>
      <c r="E1146" s="6"/>
      <c r="F1146" s="6"/>
      <c r="G1146" s="6"/>
      <c r="H1146" s="6"/>
      <c r="J1146" s="6"/>
      <c r="K1146" s="6"/>
      <c r="L1146" s="6"/>
    </row>
    <row r="1147" spans="4:12" x14ac:dyDescent="0.2">
      <c r="D1147" s="6"/>
      <c r="E1147" s="6"/>
      <c r="F1147" s="6"/>
      <c r="G1147" s="6"/>
      <c r="H1147" s="6"/>
      <c r="J1147" s="6"/>
      <c r="K1147" s="6"/>
      <c r="L1147" s="6"/>
    </row>
    <row r="1148" spans="4:12" x14ac:dyDescent="0.2">
      <c r="D1148" s="6"/>
      <c r="E1148" s="6"/>
      <c r="F1148" s="6"/>
      <c r="G1148" s="6"/>
      <c r="H1148" s="6"/>
      <c r="J1148" s="6"/>
      <c r="K1148" s="6"/>
      <c r="L1148" s="6"/>
    </row>
    <row r="1149" spans="4:12" x14ac:dyDescent="0.2">
      <c r="D1149" s="6"/>
      <c r="E1149" s="6"/>
      <c r="F1149" s="6"/>
      <c r="G1149" s="6"/>
      <c r="H1149" s="6"/>
      <c r="J1149" s="6"/>
      <c r="K1149" s="6"/>
      <c r="L1149" s="6"/>
    </row>
    <row r="1150" spans="4:12" x14ac:dyDescent="0.2">
      <c r="D1150" s="6"/>
      <c r="E1150" s="6"/>
      <c r="F1150" s="6"/>
      <c r="G1150" s="6"/>
      <c r="H1150" s="6"/>
      <c r="J1150" s="6"/>
      <c r="K1150" s="6"/>
      <c r="L1150" s="6"/>
    </row>
    <row r="1151" spans="4:12" x14ac:dyDescent="0.2">
      <c r="D1151" s="6"/>
      <c r="E1151" s="6"/>
      <c r="F1151" s="6"/>
      <c r="G1151" s="6"/>
      <c r="H1151" s="6"/>
      <c r="J1151" s="6"/>
      <c r="K1151" s="6"/>
      <c r="L1151" s="6"/>
    </row>
    <row r="1152" spans="4:12" x14ac:dyDescent="0.2">
      <c r="D1152" s="6"/>
      <c r="E1152" s="6"/>
      <c r="F1152" s="6"/>
      <c r="G1152" s="6"/>
      <c r="H1152" s="6"/>
      <c r="J1152" s="6"/>
      <c r="K1152" s="6"/>
      <c r="L1152" s="6"/>
    </row>
    <row r="1153" spans="4:12" x14ac:dyDescent="0.2">
      <c r="D1153" s="6"/>
      <c r="E1153" s="6"/>
      <c r="F1153" s="6"/>
      <c r="G1153" s="6"/>
      <c r="H1153" s="6"/>
      <c r="J1153" s="6"/>
      <c r="K1153" s="6"/>
      <c r="L1153" s="6"/>
    </row>
    <row r="1154" spans="4:12" x14ac:dyDescent="0.2">
      <c r="D1154" s="6"/>
      <c r="E1154" s="6"/>
      <c r="F1154" s="6"/>
      <c r="G1154" s="6"/>
      <c r="H1154" s="6"/>
      <c r="J1154" s="6"/>
      <c r="K1154" s="6"/>
      <c r="L1154" s="6"/>
    </row>
    <row r="1155" spans="4:12" x14ac:dyDescent="0.2">
      <c r="D1155" s="6"/>
      <c r="E1155" s="6"/>
      <c r="F1155" s="6"/>
      <c r="G1155" s="6"/>
      <c r="H1155" s="6"/>
      <c r="J1155" s="6"/>
      <c r="K1155" s="6"/>
      <c r="L1155" s="6"/>
    </row>
    <row r="1156" spans="4:12" x14ac:dyDescent="0.2">
      <c r="D1156" s="6"/>
      <c r="E1156" s="6"/>
      <c r="F1156" s="6"/>
      <c r="G1156" s="6"/>
      <c r="H1156" s="6"/>
      <c r="J1156" s="6"/>
      <c r="K1156" s="6"/>
      <c r="L1156" s="6"/>
    </row>
    <row r="1157" spans="4:12" x14ac:dyDescent="0.2">
      <c r="D1157" s="6"/>
      <c r="E1157" s="6"/>
      <c r="F1157" s="6"/>
      <c r="G1157" s="6"/>
      <c r="H1157" s="6"/>
      <c r="J1157" s="6"/>
      <c r="K1157" s="6"/>
      <c r="L1157" s="6"/>
    </row>
    <row r="1158" spans="4:12" x14ac:dyDescent="0.2">
      <c r="D1158" s="6"/>
      <c r="E1158" s="6"/>
      <c r="F1158" s="6"/>
      <c r="G1158" s="6"/>
      <c r="H1158" s="6"/>
      <c r="J1158" s="6"/>
      <c r="K1158" s="6"/>
      <c r="L1158" s="6"/>
    </row>
    <row r="1159" spans="4:12" x14ac:dyDescent="0.2">
      <c r="D1159" s="6"/>
      <c r="E1159" s="6"/>
      <c r="F1159" s="6"/>
      <c r="G1159" s="6"/>
      <c r="H1159" s="6"/>
      <c r="J1159" s="6"/>
      <c r="K1159" s="6"/>
      <c r="L1159" s="6"/>
    </row>
    <row r="1160" spans="4:12" x14ac:dyDescent="0.2">
      <c r="D1160" s="6"/>
      <c r="E1160" s="6"/>
      <c r="F1160" s="6"/>
      <c r="G1160" s="6"/>
      <c r="H1160" s="6"/>
      <c r="J1160" s="6"/>
      <c r="K1160" s="6"/>
      <c r="L1160" s="6"/>
    </row>
    <row r="1161" spans="4:12" x14ac:dyDescent="0.2">
      <c r="D1161" s="6"/>
      <c r="E1161" s="6"/>
      <c r="F1161" s="6"/>
      <c r="G1161" s="6"/>
      <c r="H1161" s="6"/>
      <c r="J1161" s="6"/>
      <c r="K1161" s="6"/>
      <c r="L1161" s="6"/>
    </row>
    <row r="1162" spans="4:12" x14ac:dyDescent="0.2">
      <c r="D1162" s="6"/>
      <c r="E1162" s="6"/>
      <c r="F1162" s="6"/>
      <c r="G1162" s="6"/>
      <c r="H1162" s="6"/>
      <c r="J1162" s="6"/>
      <c r="K1162" s="6"/>
      <c r="L1162" s="6"/>
    </row>
    <row r="1163" spans="4:12" x14ac:dyDescent="0.2">
      <c r="D1163" s="6"/>
      <c r="E1163" s="6"/>
      <c r="F1163" s="6"/>
      <c r="G1163" s="6"/>
      <c r="H1163" s="6"/>
      <c r="J1163" s="6"/>
      <c r="K1163" s="6"/>
      <c r="L1163" s="6"/>
    </row>
    <row r="1164" spans="4:12" x14ac:dyDescent="0.2">
      <c r="D1164" s="6"/>
      <c r="E1164" s="6"/>
      <c r="F1164" s="6"/>
      <c r="G1164" s="6"/>
      <c r="H1164" s="6"/>
      <c r="J1164" s="6"/>
      <c r="K1164" s="6"/>
      <c r="L1164" s="6"/>
    </row>
    <row r="1165" spans="4:12" x14ac:dyDescent="0.2">
      <c r="D1165" s="6"/>
      <c r="E1165" s="6"/>
      <c r="F1165" s="6"/>
      <c r="G1165" s="6"/>
      <c r="H1165" s="6"/>
      <c r="J1165" s="6"/>
      <c r="K1165" s="6"/>
      <c r="L1165" s="6"/>
    </row>
    <row r="1166" spans="4:12" x14ac:dyDescent="0.2">
      <c r="D1166" s="6"/>
      <c r="E1166" s="6"/>
      <c r="F1166" s="6"/>
      <c r="G1166" s="6"/>
      <c r="H1166" s="6"/>
      <c r="J1166" s="6"/>
      <c r="K1166" s="6"/>
      <c r="L1166" s="6"/>
    </row>
    <row r="1167" spans="4:12" x14ac:dyDescent="0.2">
      <c r="D1167" s="6"/>
      <c r="E1167" s="6"/>
      <c r="F1167" s="6"/>
      <c r="G1167" s="6"/>
      <c r="H1167" s="6"/>
      <c r="J1167" s="6"/>
      <c r="K1167" s="6"/>
      <c r="L1167" s="6"/>
    </row>
    <row r="1168" spans="4:12" x14ac:dyDescent="0.2">
      <c r="D1168" s="6"/>
      <c r="E1168" s="6"/>
      <c r="F1168" s="6"/>
      <c r="G1168" s="6"/>
      <c r="H1168" s="6"/>
      <c r="J1168" s="6"/>
      <c r="K1168" s="6"/>
      <c r="L1168" s="6"/>
    </row>
    <row r="1169" spans="4:12" x14ac:dyDescent="0.2">
      <c r="D1169" s="6"/>
      <c r="E1169" s="6"/>
      <c r="F1169" s="6"/>
      <c r="G1169" s="6"/>
      <c r="H1169" s="6"/>
      <c r="J1169" s="6"/>
      <c r="K1169" s="6"/>
      <c r="L1169" s="6"/>
    </row>
    <row r="1170" spans="4:12" x14ac:dyDescent="0.2">
      <c r="D1170" s="6"/>
      <c r="E1170" s="6"/>
      <c r="F1170" s="6"/>
      <c r="G1170" s="6"/>
      <c r="H1170" s="6"/>
      <c r="J1170" s="6"/>
      <c r="K1170" s="6"/>
      <c r="L1170" s="6"/>
    </row>
    <row r="1171" spans="4:12" x14ac:dyDescent="0.2">
      <c r="D1171" s="6"/>
      <c r="E1171" s="6"/>
      <c r="F1171" s="6"/>
      <c r="G1171" s="6"/>
      <c r="H1171" s="6"/>
      <c r="J1171" s="6"/>
      <c r="K1171" s="6"/>
      <c r="L1171" s="6"/>
    </row>
    <row r="1172" spans="4:12" x14ac:dyDescent="0.2">
      <c r="D1172" s="6"/>
      <c r="E1172" s="6"/>
      <c r="F1172" s="6"/>
      <c r="G1172" s="6"/>
      <c r="H1172" s="6"/>
      <c r="J1172" s="6"/>
      <c r="K1172" s="6"/>
      <c r="L1172" s="6"/>
    </row>
    <row r="1173" spans="4:12" x14ac:dyDescent="0.2">
      <c r="D1173" s="6"/>
      <c r="E1173" s="6"/>
      <c r="F1173" s="6"/>
      <c r="G1173" s="6"/>
      <c r="H1173" s="6"/>
      <c r="J1173" s="6"/>
      <c r="K1173" s="6"/>
      <c r="L1173" s="6"/>
    </row>
    <row r="1174" spans="4:12" x14ac:dyDescent="0.2">
      <c r="D1174" s="6"/>
      <c r="E1174" s="6"/>
      <c r="F1174" s="6"/>
      <c r="G1174" s="6"/>
      <c r="H1174" s="6"/>
      <c r="J1174" s="6"/>
      <c r="K1174" s="6"/>
      <c r="L1174" s="6"/>
    </row>
    <row r="1175" spans="4:12" x14ac:dyDescent="0.2">
      <c r="D1175" s="6"/>
      <c r="E1175" s="6"/>
      <c r="F1175" s="6"/>
      <c r="G1175" s="6"/>
      <c r="H1175" s="6"/>
      <c r="J1175" s="6"/>
      <c r="K1175" s="6"/>
      <c r="L1175" s="6"/>
    </row>
    <row r="1176" spans="4:12" x14ac:dyDescent="0.2">
      <c r="D1176" s="6"/>
      <c r="E1176" s="6"/>
      <c r="F1176" s="6"/>
      <c r="G1176" s="6"/>
      <c r="H1176" s="6"/>
      <c r="J1176" s="6"/>
      <c r="K1176" s="6"/>
      <c r="L1176" s="6"/>
    </row>
    <row r="1177" spans="4:12" x14ac:dyDescent="0.2">
      <c r="D1177" s="6"/>
      <c r="E1177" s="6"/>
      <c r="F1177" s="6"/>
      <c r="G1177" s="6"/>
      <c r="H1177" s="6"/>
      <c r="J1177" s="6"/>
      <c r="K1177" s="6"/>
      <c r="L1177" s="6"/>
    </row>
    <row r="1178" spans="4:12" x14ac:dyDescent="0.2">
      <c r="D1178" s="6"/>
      <c r="E1178" s="6"/>
      <c r="F1178" s="6"/>
      <c r="G1178" s="6"/>
      <c r="H1178" s="6"/>
      <c r="J1178" s="6"/>
      <c r="K1178" s="6"/>
      <c r="L1178" s="6"/>
    </row>
    <row r="1179" spans="4:12" x14ac:dyDescent="0.2">
      <c r="D1179" s="6"/>
      <c r="E1179" s="6"/>
      <c r="F1179" s="6"/>
      <c r="G1179" s="6"/>
      <c r="H1179" s="6"/>
      <c r="J1179" s="6"/>
      <c r="K1179" s="6"/>
      <c r="L1179" s="6"/>
    </row>
    <row r="1180" spans="4:12" x14ac:dyDescent="0.2">
      <c r="D1180" s="6"/>
      <c r="E1180" s="6"/>
      <c r="F1180" s="6"/>
      <c r="G1180" s="6"/>
      <c r="H1180" s="6"/>
      <c r="J1180" s="6"/>
      <c r="K1180" s="6"/>
      <c r="L1180" s="6"/>
    </row>
    <row r="1181" spans="4:12" x14ac:dyDescent="0.2">
      <c r="D1181" s="6"/>
      <c r="E1181" s="6"/>
      <c r="F1181" s="6"/>
      <c r="G1181" s="6"/>
      <c r="H1181" s="6"/>
      <c r="J1181" s="6"/>
      <c r="K1181" s="6"/>
      <c r="L1181" s="6"/>
    </row>
    <row r="1182" spans="4:12" x14ac:dyDescent="0.2">
      <c r="D1182" s="6"/>
      <c r="E1182" s="6"/>
      <c r="F1182" s="6"/>
      <c r="G1182" s="6"/>
      <c r="H1182" s="6"/>
      <c r="J1182" s="6"/>
      <c r="K1182" s="6"/>
      <c r="L1182" s="6"/>
    </row>
    <row r="1183" spans="4:12" x14ac:dyDescent="0.2">
      <c r="D1183" s="6"/>
      <c r="E1183" s="6"/>
      <c r="F1183" s="6"/>
      <c r="G1183" s="6"/>
      <c r="H1183" s="6"/>
      <c r="J1183" s="6"/>
      <c r="K1183" s="6"/>
      <c r="L1183" s="6"/>
    </row>
    <row r="1184" spans="4:12" x14ac:dyDescent="0.2">
      <c r="D1184" s="6"/>
      <c r="E1184" s="6"/>
      <c r="F1184" s="6"/>
      <c r="G1184" s="6"/>
      <c r="H1184" s="6"/>
      <c r="J1184" s="6"/>
      <c r="K1184" s="6"/>
      <c r="L1184" s="6"/>
    </row>
    <row r="1185" spans="4:12" x14ac:dyDescent="0.2">
      <c r="D1185" s="6"/>
      <c r="E1185" s="6"/>
      <c r="F1185" s="6"/>
      <c r="G1185" s="6"/>
      <c r="H1185" s="6"/>
      <c r="J1185" s="6"/>
      <c r="K1185" s="6"/>
      <c r="L1185" s="6"/>
    </row>
    <row r="1186" spans="4:12" x14ac:dyDescent="0.2">
      <c r="D1186" s="6"/>
      <c r="E1186" s="6"/>
      <c r="F1186" s="6"/>
      <c r="G1186" s="6"/>
      <c r="H1186" s="6"/>
      <c r="J1186" s="6"/>
      <c r="K1186" s="6"/>
      <c r="L1186" s="6"/>
    </row>
    <row r="1187" spans="4:12" x14ac:dyDescent="0.2">
      <c r="D1187" s="6"/>
      <c r="E1187" s="6"/>
      <c r="F1187" s="6"/>
      <c r="G1187" s="6"/>
      <c r="H1187" s="6"/>
      <c r="J1187" s="6"/>
      <c r="K1187" s="6"/>
      <c r="L1187" s="6"/>
    </row>
    <row r="1188" spans="4:12" x14ac:dyDescent="0.2">
      <c r="D1188" s="6"/>
      <c r="E1188" s="6"/>
      <c r="F1188" s="6"/>
      <c r="G1188" s="6"/>
      <c r="H1188" s="6"/>
      <c r="J1188" s="6"/>
      <c r="K1188" s="6"/>
      <c r="L1188" s="6"/>
    </row>
    <row r="1189" spans="4:12" x14ac:dyDescent="0.2">
      <c r="D1189" s="6"/>
      <c r="E1189" s="6"/>
      <c r="F1189" s="6"/>
      <c r="G1189" s="6"/>
      <c r="H1189" s="6"/>
      <c r="J1189" s="6"/>
      <c r="K1189" s="6"/>
      <c r="L1189" s="6"/>
    </row>
    <row r="1190" spans="4:12" x14ac:dyDescent="0.2">
      <c r="D1190" s="6"/>
      <c r="E1190" s="6"/>
      <c r="F1190" s="6"/>
      <c r="G1190" s="6"/>
      <c r="H1190" s="6"/>
      <c r="J1190" s="6"/>
      <c r="K1190" s="6"/>
      <c r="L1190" s="6"/>
    </row>
    <row r="1191" spans="4:12" x14ac:dyDescent="0.2">
      <c r="D1191" s="6"/>
      <c r="E1191" s="6"/>
      <c r="F1191" s="6"/>
      <c r="G1191" s="6"/>
      <c r="H1191" s="6"/>
      <c r="J1191" s="6"/>
      <c r="K1191" s="6"/>
      <c r="L1191" s="6"/>
    </row>
    <row r="1192" spans="4:12" x14ac:dyDescent="0.2">
      <c r="D1192" s="6"/>
      <c r="E1192" s="6"/>
      <c r="F1192" s="6"/>
      <c r="G1192" s="6"/>
      <c r="H1192" s="6"/>
      <c r="J1192" s="6"/>
      <c r="K1192" s="6"/>
      <c r="L1192" s="6"/>
    </row>
    <row r="1193" spans="4:12" x14ac:dyDescent="0.2">
      <c r="D1193" s="6"/>
      <c r="E1193" s="6"/>
      <c r="F1193" s="6"/>
      <c r="G1193" s="6"/>
      <c r="H1193" s="6"/>
      <c r="J1193" s="6"/>
      <c r="K1193" s="6"/>
      <c r="L1193" s="6"/>
    </row>
    <row r="1194" spans="4:12" x14ac:dyDescent="0.2">
      <c r="D1194" s="6"/>
      <c r="E1194" s="6"/>
      <c r="F1194" s="6"/>
      <c r="G1194" s="6"/>
      <c r="H1194" s="6"/>
      <c r="J1194" s="6"/>
      <c r="K1194" s="6"/>
      <c r="L1194" s="6"/>
    </row>
    <row r="1195" spans="4:12" x14ac:dyDescent="0.2">
      <c r="D1195" s="6"/>
      <c r="E1195" s="6"/>
      <c r="F1195" s="6"/>
      <c r="G1195" s="6"/>
      <c r="H1195" s="6"/>
      <c r="J1195" s="6"/>
      <c r="K1195" s="6"/>
      <c r="L1195" s="6"/>
    </row>
    <row r="1196" spans="4:12" x14ac:dyDescent="0.2">
      <c r="D1196" s="6"/>
      <c r="E1196" s="6"/>
      <c r="F1196" s="6"/>
      <c r="G1196" s="6"/>
      <c r="H1196" s="6"/>
      <c r="J1196" s="6"/>
      <c r="K1196" s="6"/>
      <c r="L1196" s="6"/>
    </row>
    <row r="1197" spans="4:12" x14ac:dyDescent="0.2">
      <c r="D1197" s="6"/>
      <c r="E1197" s="6"/>
      <c r="F1197" s="6"/>
      <c r="G1197" s="6"/>
      <c r="H1197" s="6"/>
      <c r="J1197" s="6"/>
      <c r="K1197" s="6"/>
      <c r="L1197" s="6"/>
    </row>
    <row r="1198" spans="4:12" x14ac:dyDescent="0.2">
      <c r="D1198" s="6"/>
      <c r="E1198" s="6"/>
      <c r="F1198" s="6"/>
      <c r="G1198" s="6"/>
      <c r="H1198" s="6"/>
      <c r="J1198" s="6"/>
      <c r="K1198" s="6"/>
      <c r="L1198" s="6"/>
    </row>
    <row r="1199" spans="4:12" x14ac:dyDescent="0.2">
      <c r="D1199" s="6"/>
      <c r="E1199" s="6"/>
      <c r="F1199" s="6"/>
      <c r="G1199" s="6"/>
      <c r="H1199" s="6"/>
      <c r="J1199" s="6"/>
      <c r="K1199" s="6"/>
      <c r="L1199" s="6"/>
    </row>
    <row r="1200" spans="4:12" x14ac:dyDescent="0.2">
      <c r="D1200" s="6"/>
      <c r="E1200" s="6"/>
      <c r="F1200" s="6"/>
      <c r="G1200" s="6"/>
      <c r="H1200" s="6"/>
      <c r="J1200" s="6"/>
      <c r="K1200" s="6"/>
      <c r="L1200" s="6"/>
    </row>
    <row r="1201" spans="4:12" x14ac:dyDescent="0.2">
      <c r="D1201" s="6"/>
      <c r="E1201" s="6"/>
      <c r="F1201" s="6"/>
      <c r="G1201" s="6"/>
      <c r="H1201" s="6"/>
      <c r="J1201" s="6"/>
      <c r="K1201" s="6"/>
      <c r="L1201" s="6"/>
    </row>
    <row r="1202" spans="4:12" x14ac:dyDescent="0.2">
      <c r="D1202" s="6"/>
      <c r="E1202" s="6"/>
      <c r="F1202" s="6"/>
      <c r="G1202" s="6"/>
      <c r="H1202" s="6"/>
      <c r="J1202" s="6"/>
      <c r="K1202" s="6"/>
      <c r="L1202" s="6"/>
    </row>
    <row r="1203" spans="4:12" x14ac:dyDescent="0.2">
      <c r="D1203" s="6"/>
      <c r="E1203" s="6"/>
      <c r="F1203" s="6"/>
      <c r="G1203" s="6"/>
      <c r="H1203" s="6"/>
      <c r="J1203" s="6"/>
      <c r="K1203" s="6"/>
      <c r="L1203" s="6"/>
    </row>
    <row r="1204" spans="4:12" x14ac:dyDescent="0.2">
      <c r="D1204" s="6"/>
      <c r="E1204" s="6"/>
      <c r="F1204" s="6"/>
      <c r="G1204" s="6"/>
      <c r="H1204" s="6"/>
      <c r="J1204" s="6"/>
      <c r="K1204" s="6"/>
      <c r="L1204" s="6"/>
    </row>
    <row r="1205" spans="4:12" x14ac:dyDescent="0.2">
      <c r="D1205" s="6"/>
      <c r="E1205" s="6"/>
      <c r="F1205" s="6"/>
      <c r="G1205" s="6"/>
      <c r="H1205" s="6"/>
      <c r="J1205" s="6"/>
      <c r="K1205" s="6"/>
      <c r="L1205" s="6"/>
    </row>
    <row r="1206" spans="4:12" x14ac:dyDescent="0.2">
      <c r="D1206" s="6"/>
      <c r="E1206" s="6"/>
      <c r="F1206" s="6"/>
      <c r="G1206" s="6"/>
      <c r="H1206" s="6"/>
      <c r="J1206" s="6"/>
      <c r="K1206" s="6"/>
      <c r="L1206" s="6"/>
    </row>
    <row r="1207" spans="4:12" x14ac:dyDescent="0.2">
      <c r="D1207" s="6"/>
      <c r="E1207" s="6"/>
      <c r="F1207" s="6"/>
      <c r="G1207" s="6"/>
      <c r="H1207" s="6"/>
      <c r="J1207" s="6"/>
      <c r="K1207" s="6"/>
      <c r="L1207" s="6"/>
    </row>
    <row r="1208" spans="4:12" x14ac:dyDescent="0.2">
      <c r="D1208" s="6"/>
      <c r="E1208" s="6"/>
      <c r="F1208" s="6"/>
      <c r="G1208" s="6"/>
      <c r="H1208" s="6"/>
      <c r="J1208" s="6"/>
      <c r="K1208" s="6"/>
      <c r="L1208" s="6"/>
    </row>
    <row r="1209" spans="4:12" x14ac:dyDescent="0.2">
      <c r="D1209" s="6"/>
      <c r="E1209" s="6"/>
      <c r="F1209" s="6"/>
      <c r="G1209" s="6"/>
      <c r="H1209" s="6"/>
      <c r="J1209" s="6"/>
      <c r="K1209" s="6"/>
      <c r="L1209" s="6"/>
    </row>
    <row r="1210" spans="4:12" x14ac:dyDescent="0.2">
      <c r="D1210" s="6"/>
      <c r="E1210" s="6"/>
      <c r="F1210" s="6"/>
      <c r="G1210" s="6"/>
      <c r="H1210" s="6"/>
      <c r="J1210" s="6"/>
      <c r="K1210" s="6"/>
      <c r="L1210" s="6"/>
    </row>
    <row r="1211" spans="4:12" x14ac:dyDescent="0.2">
      <c r="D1211" s="6"/>
      <c r="E1211" s="6"/>
      <c r="F1211" s="6"/>
      <c r="G1211" s="6"/>
      <c r="H1211" s="6"/>
      <c r="J1211" s="6"/>
      <c r="K1211" s="6"/>
      <c r="L1211" s="6"/>
    </row>
    <row r="1212" spans="4:12" x14ac:dyDescent="0.2">
      <c r="D1212" s="6"/>
      <c r="E1212" s="6"/>
      <c r="F1212" s="6"/>
      <c r="G1212" s="6"/>
      <c r="H1212" s="6"/>
      <c r="J1212" s="6"/>
      <c r="K1212" s="6"/>
      <c r="L1212" s="6"/>
    </row>
    <row r="1213" spans="4:12" x14ac:dyDescent="0.2">
      <c r="D1213" s="6"/>
      <c r="E1213" s="6"/>
      <c r="F1213" s="6"/>
      <c r="G1213" s="6"/>
      <c r="H1213" s="6"/>
      <c r="J1213" s="6"/>
      <c r="K1213" s="6"/>
      <c r="L1213" s="6"/>
    </row>
    <row r="1214" spans="4:12" x14ac:dyDescent="0.2">
      <c r="D1214" s="6"/>
      <c r="E1214" s="6"/>
      <c r="F1214" s="6"/>
      <c r="G1214" s="6"/>
      <c r="H1214" s="6"/>
      <c r="J1214" s="6"/>
      <c r="K1214" s="6"/>
      <c r="L1214" s="6"/>
    </row>
    <row r="1215" spans="4:12" x14ac:dyDescent="0.2">
      <c r="D1215" s="6"/>
      <c r="E1215" s="6"/>
      <c r="F1215" s="6"/>
      <c r="G1215" s="6"/>
      <c r="H1215" s="6"/>
      <c r="J1215" s="6"/>
      <c r="K1215" s="6"/>
      <c r="L1215" s="6"/>
    </row>
    <row r="1216" spans="4:12" x14ac:dyDescent="0.2">
      <c r="D1216" s="6"/>
      <c r="E1216" s="6"/>
      <c r="F1216" s="6"/>
      <c r="G1216" s="6"/>
      <c r="H1216" s="6"/>
      <c r="J1216" s="6"/>
      <c r="K1216" s="6"/>
      <c r="L1216" s="6"/>
    </row>
    <row r="1217" spans="4:12" x14ac:dyDescent="0.2">
      <c r="D1217" s="6"/>
      <c r="E1217" s="6"/>
      <c r="F1217" s="6"/>
      <c r="G1217" s="6"/>
      <c r="H1217" s="6"/>
      <c r="J1217" s="6"/>
      <c r="K1217" s="6"/>
      <c r="L1217" s="6"/>
    </row>
    <row r="1218" spans="4:12" x14ac:dyDescent="0.2">
      <c r="D1218" s="6"/>
      <c r="E1218" s="6"/>
      <c r="F1218" s="6"/>
      <c r="G1218" s="6"/>
      <c r="H1218" s="6"/>
      <c r="J1218" s="6"/>
      <c r="K1218" s="6"/>
      <c r="L1218" s="6"/>
    </row>
    <row r="1219" spans="4:12" x14ac:dyDescent="0.2">
      <c r="D1219" s="6"/>
      <c r="E1219" s="6"/>
      <c r="F1219" s="6"/>
      <c r="G1219" s="6"/>
      <c r="H1219" s="6"/>
      <c r="J1219" s="6"/>
      <c r="K1219" s="6"/>
      <c r="L1219" s="6"/>
    </row>
    <row r="1220" spans="4:12" x14ac:dyDescent="0.2">
      <c r="D1220" s="6"/>
      <c r="E1220" s="6"/>
      <c r="F1220" s="6"/>
      <c r="G1220" s="6"/>
      <c r="H1220" s="6"/>
      <c r="J1220" s="6"/>
      <c r="K1220" s="6"/>
      <c r="L1220" s="6"/>
    </row>
    <row r="1221" spans="4:12" x14ac:dyDescent="0.2">
      <c r="D1221" s="6"/>
      <c r="E1221" s="6"/>
      <c r="F1221" s="6"/>
      <c r="G1221" s="6"/>
      <c r="H1221" s="6"/>
      <c r="J1221" s="6"/>
      <c r="K1221" s="6"/>
      <c r="L1221" s="6"/>
    </row>
    <row r="1222" spans="4:12" x14ac:dyDescent="0.2">
      <c r="D1222" s="6"/>
      <c r="E1222" s="6"/>
      <c r="F1222" s="6"/>
      <c r="G1222" s="6"/>
      <c r="H1222" s="6"/>
      <c r="J1222" s="6"/>
      <c r="K1222" s="6"/>
      <c r="L1222" s="6"/>
    </row>
    <row r="1223" spans="4:12" x14ac:dyDescent="0.2">
      <c r="D1223" s="6"/>
      <c r="E1223" s="6"/>
      <c r="F1223" s="6"/>
      <c r="G1223" s="6"/>
      <c r="H1223" s="6"/>
      <c r="J1223" s="6"/>
      <c r="K1223" s="6"/>
      <c r="L1223" s="6"/>
    </row>
    <row r="1224" spans="4:12" x14ac:dyDescent="0.2">
      <c r="D1224" s="6"/>
      <c r="E1224" s="6"/>
      <c r="F1224" s="6"/>
      <c r="G1224" s="6"/>
      <c r="H1224" s="6"/>
      <c r="J1224" s="6"/>
      <c r="K1224" s="6"/>
      <c r="L1224" s="6"/>
    </row>
    <row r="1225" spans="4:12" x14ac:dyDescent="0.2">
      <c r="D1225" s="6"/>
      <c r="E1225" s="6"/>
      <c r="F1225" s="6"/>
      <c r="G1225" s="6"/>
      <c r="H1225" s="6"/>
      <c r="J1225" s="6"/>
      <c r="K1225" s="6"/>
      <c r="L1225" s="6"/>
    </row>
    <row r="1226" spans="4:12" x14ac:dyDescent="0.2">
      <c r="D1226" s="6"/>
      <c r="E1226" s="6"/>
      <c r="F1226" s="6"/>
      <c r="G1226" s="6"/>
      <c r="H1226" s="6"/>
      <c r="J1226" s="6"/>
      <c r="K1226" s="6"/>
      <c r="L1226" s="6"/>
    </row>
    <row r="1227" spans="4:12" x14ac:dyDescent="0.2">
      <c r="D1227" s="6"/>
      <c r="E1227" s="6"/>
      <c r="F1227" s="6"/>
      <c r="G1227" s="6"/>
      <c r="H1227" s="6"/>
      <c r="J1227" s="6"/>
      <c r="K1227" s="6"/>
      <c r="L1227" s="6"/>
    </row>
    <row r="1228" spans="4:12" x14ac:dyDescent="0.2">
      <c r="D1228" s="6"/>
      <c r="E1228" s="6"/>
      <c r="F1228" s="6"/>
      <c r="G1228" s="6"/>
      <c r="H1228" s="6"/>
      <c r="J1228" s="6"/>
      <c r="K1228" s="6"/>
      <c r="L1228" s="6"/>
    </row>
    <row r="1229" spans="4:12" x14ac:dyDescent="0.2">
      <c r="D1229" s="6"/>
      <c r="E1229" s="6"/>
      <c r="F1229" s="6"/>
      <c r="G1229" s="6"/>
      <c r="H1229" s="6"/>
      <c r="J1229" s="6"/>
      <c r="K1229" s="6"/>
      <c r="L1229" s="6"/>
    </row>
    <row r="1230" spans="4:12" x14ac:dyDescent="0.2">
      <c r="D1230" s="6"/>
      <c r="E1230" s="6"/>
      <c r="F1230" s="6"/>
      <c r="G1230" s="6"/>
      <c r="H1230" s="6"/>
      <c r="J1230" s="6"/>
      <c r="K1230" s="6"/>
      <c r="L1230" s="6"/>
    </row>
    <row r="1231" spans="4:12" x14ac:dyDescent="0.2">
      <c r="D1231" s="6"/>
      <c r="E1231" s="6"/>
      <c r="F1231" s="6"/>
      <c r="G1231" s="6"/>
      <c r="H1231" s="6"/>
      <c r="J1231" s="6"/>
      <c r="K1231" s="6"/>
      <c r="L1231" s="6"/>
    </row>
    <row r="1232" spans="4:12" x14ac:dyDescent="0.2">
      <c r="D1232" s="6"/>
      <c r="E1232" s="6"/>
      <c r="F1232" s="6"/>
      <c r="G1232" s="6"/>
      <c r="H1232" s="6"/>
      <c r="J1232" s="6"/>
      <c r="K1232" s="6"/>
      <c r="L1232" s="6"/>
    </row>
    <row r="1233" spans="4:12" x14ac:dyDescent="0.2">
      <c r="D1233" s="6"/>
      <c r="E1233" s="6"/>
      <c r="F1233" s="6"/>
      <c r="G1233" s="6"/>
      <c r="H1233" s="6"/>
      <c r="J1233" s="6"/>
      <c r="K1233" s="6"/>
      <c r="L1233" s="6"/>
    </row>
    <row r="1234" spans="4:12" x14ac:dyDescent="0.2">
      <c r="D1234" s="6"/>
      <c r="E1234" s="6"/>
      <c r="F1234" s="6"/>
      <c r="G1234" s="6"/>
      <c r="H1234" s="6"/>
      <c r="J1234" s="6"/>
      <c r="K1234" s="6"/>
      <c r="L1234" s="6"/>
    </row>
    <row r="1235" spans="4:12" x14ac:dyDescent="0.2">
      <c r="D1235" s="6"/>
      <c r="E1235" s="6"/>
      <c r="F1235" s="6"/>
      <c r="G1235" s="6"/>
      <c r="H1235" s="6"/>
      <c r="J1235" s="6"/>
      <c r="K1235" s="6"/>
      <c r="L1235" s="6"/>
    </row>
    <row r="1236" spans="4:12" x14ac:dyDescent="0.2">
      <c r="D1236" s="6"/>
      <c r="E1236" s="6"/>
      <c r="F1236" s="6"/>
      <c r="G1236" s="6"/>
      <c r="H1236" s="6"/>
      <c r="J1236" s="6"/>
      <c r="K1236" s="6"/>
      <c r="L1236" s="6"/>
    </row>
    <row r="1237" spans="4:12" x14ac:dyDescent="0.2">
      <c r="D1237" s="6"/>
      <c r="E1237" s="6"/>
      <c r="F1237" s="6"/>
      <c r="G1237" s="6"/>
      <c r="H1237" s="6"/>
      <c r="J1237" s="6"/>
      <c r="K1237" s="6"/>
      <c r="L1237" s="6"/>
    </row>
    <row r="1238" spans="4:12" x14ac:dyDescent="0.2">
      <c r="D1238" s="6"/>
      <c r="E1238" s="6"/>
      <c r="F1238" s="6"/>
      <c r="G1238" s="6"/>
      <c r="H1238" s="6"/>
      <c r="J1238" s="6"/>
      <c r="K1238" s="6"/>
      <c r="L1238" s="6"/>
    </row>
    <row r="1239" spans="4:12" x14ac:dyDescent="0.2">
      <c r="D1239" s="6"/>
      <c r="E1239" s="6"/>
      <c r="F1239" s="6"/>
      <c r="G1239" s="6"/>
      <c r="H1239" s="6"/>
      <c r="J1239" s="6"/>
      <c r="K1239" s="6"/>
      <c r="L1239" s="6"/>
    </row>
    <row r="1240" spans="4:12" x14ac:dyDescent="0.2">
      <c r="D1240" s="6"/>
      <c r="E1240" s="6"/>
      <c r="F1240" s="6"/>
      <c r="G1240" s="6"/>
      <c r="H1240" s="6"/>
      <c r="J1240" s="6"/>
      <c r="K1240" s="6"/>
      <c r="L1240" s="6"/>
    </row>
    <row r="1241" spans="4:12" x14ac:dyDescent="0.2">
      <c r="D1241" s="6"/>
      <c r="E1241" s="6"/>
      <c r="F1241" s="6"/>
      <c r="G1241" s="6"/>
      <c r="H1241" s="6"/>
      <c r="J1241" s="6"/>
      <c r="K1241" s="6"/>
      <c r="L1241" s="6"/>
    </row>
    <row r="1242" spans="4:12" x14ac:dyDescent="0.2">
      <c r="D1242" s="6"/>
      <c r="E1242" s="6"/>
      <c r="F1242" s="6"/>
      <c r="G1242" s="6"/>
      <c r="H1242" s="6"/>
      <c r="J1242" s="6"/>
      <c r="K1242" s="6"/>
      <c r="L1242" s="6"/>
    </row>
    <row r="1243" spans="4:12" x14ac:dyDescent="0.2">
      <c r="D1243" s="6"/>
      <c r="E1243" s="6"/>
      <c r="F1243" s="6"/>
      <c r="G1243" s="6"/>
      <c r="H1243" s="6"/>
      <c r="J1243" s="6"/>
      <c r="K1243" s="6"/>
      <c r="L1243" s="6"/>
    </row>
    <row r="1244" spans="4:12" x14ac:dyDescent="0.2">
      <c r="D1244" s="6"/>
      <c r="E1244" s="6"/>
      <c r="F1244" s="6"/>
      <c r="G1244" s="6"/>
      <c r="H1244" s="6"/>
      <c r="J1244" s="6"/>
      <c r="K1244" s="6"/>
      <c r="L1244" s="6"/>
    </row>
    <row r="1245" spans="4:12" x14ac:dyDescent="0.2">
      <c r="D1245" s="6"/>
      <c r="E1245" s="6"/>
      <c r="F1245" s="6"/>
      <c r="G1245" s="6"/>
      <c r="H1245" s="6"/>
      <c r="J1245" s="6"/>
      <c r="K1245" s="6"/>
      <c r="L1245" s="6"/>
    </row>
    <row r="1246" spans="4:12" x14ac:dyDescent="0.2">
      <c r="D1246" s="6"/>
      <c r="E1246" s="6"/>
      <c r="F1246" s="6"/>
      <c r="G1246" s="6"/>
      <c r="H1246" s="6"/>
      <c r="J1246" s="6"/>
      <c r="K1246" s="6"/>
      <c r="L1246" s="6"/>
    </row>
    <row r="1247" spans="4:12" x14ac:dyDescent="0.2">
      <c r="D1247" s="6"/>
      <c r="E1247" s="6"/>
      <c r="F1247" s="6"/>
      <c r="G1247" s="6"/>
      <c r="H1247" s="6"/>
      <c r="J1247" s="6"/>
      <c r="K1247" s="6"/>
      <c r="L1247" s="6"/>
    </row>
    <row r="1248" spans="4:12" x14ac:dyDescent="0.2">
      <c r="D1248" s="6"/>
      <c r="E1248" s="6"/>
      <c r="F1248" s="6"/>
      <c r="G1248" s="6"/>
      <c r="H1248" s="6"/>
      <c r="J1248" s="6"/>
      <c r="K1248" s="6"/>
      <c r="L1248" s="6"/>
    </row>
    <row r="1249" spans="4:12" x14ac:dyDescent="0.2">
      <c r="D1249" s="6"/>
      <c r="E1249" s="6"/>
      <c r="F1249" s="6"/>
      <c r="G1249" s="6"/>
      <c r="H1249" s="6"/>
      <c r="J1249" s="6"/>
      <c r="K1249" s="6"/>
      <c r="L1249" s="6"/>
    </row>
    <row r="1250" spans="4:12" x14ac:dyDescent="0.2">
      <c r="D1250" s="6"/>
      <c r="E1250" s="6"/>
      <c r="F1250" s="6"/>
      <c r="G1250" s="6"/>
      <c r="H1250" s="6"/>
      <c r="J1250" s="6"/>
      <c r="K1250" s="6"/>
      <c r="L1250" s="6"/>
    </row>
    <row r="1251" spans="4:12" x14ac:dyDescent="0.2">
      <c r="D1251" s="6"/>
      <c r="E1251" s="6"/>
      <c r="F1251" s="6"/>
      <c r="G1251" s="6"/>
      <c r="H1251" s="6"/>
      <c r="J1251" s="6"/>
      <c r="K1251" s="6"/>
      <c r="L1251" s="6"/>
    </row>
    <row r="1252" spans="4:12" x14ac:dyDescent="0.2">
      <c r="D1252" s="6"/>
      <c r="E1252" s="6"/>
      <c r="F1252" s="6"/>
      <c r="G1252" s="6"/>
      <c r="H1252" s="6"/>
      <c r="J1252" s="6"/>
      <c r="K1252" s="6"/>
      <c r="L1252" s="6"/>
    </row>
    <row r="1253" spans="4:12" x14ac:dyDescent="0.2">
      <c r="D1253" s="6"/>
      <c r="E1253" s="6"/>
      <c r="F1253" s="6"/>
      <c r="G1253" s="6"/>
      <c r="H1253" s="6"/>
      <c r="J1253" s="6"/>
      <c r="K1253" s="6"/>
      <c r="L1253" s="6"/>
    </row>
    <row r="1254" spans="4:12" x14ac:dyDescent="0.2">
      <c r="D1254" s="6"/>
      <c r="E1254" s="6"/>
      <c r="F1254" s="6"/>
      <c r="G1254" s="6"/>
      <c r="H1254" s="6"/>
      <c r="J1254" s="6"/>
      <c r="K1254" s="6"/>
      <c r="L1254" s="6"/>
    </row>
    <row r="1255" spans="4:12" x14ac:dyDescent="0.2">
      <c r="D1255" s="6"/>
      <c r="E1255" s="6"/>
      <c r="F1255" s="6"/>
      <c r="G1255" s="6"/>
      <c r="H1255" s="6"/>
      <c r="J1255" s="6"/>
      <c r="K1255" s="6"/>
      <c r="L1255" s="6"/>
    </row>
    <row r="1256" spans="4:12" x14ac:dyDescent="0.2">
      <c r="D1256" s="6"/>
      <c r="E1256" s="6"/>
      <c r="F1256" s="6"/>
      <c r="G1256" s="6"/>
      <c r="H1256" s="6"/>
      <c r="J1256" s="6"/>
      <c r="K1256" s="6"/>
      <c r="L1256" s="6"/>
    </row>
    <row r="1257" spans="4:12" x14ac:dyDescent="0.2">
      <c r="D1257" s="6"/>
      <c r="E1257" s="6"/>
      <c r="F1257" s="6"/>
      <c r="G1257" s="6"/>
      <c r="H1257" s="6"/>
      <c r="J1257" s="6"/>
      <c r="K1257" s="6"/>
      <c r="L1257" s="6"/>
    </row>
    <row r="1258" spans="4:12" x14ac:dyDescent="0.2">
      <c r="D1258" s="6"/>
      <c r="E1258" s="6"/>
      <c r="F1258" s="6"/>
      <c r="G1258" s="6"/>
      <c r="H1258" s="6"/>
      <c r="J1258" s="6"/>
      <c r="K1258" s="6"/>
      <c r="L1258" s="6"/>
    </row>
    <row r="1259" spans="4:12" x14ac:dyDescent="0.2">
      <c r="D1259" s="6"/>
      <c r="E1259" s="6"/>
      <c r="F1259" s="6"/>
      <c r="G1259" s="6"/>
      <c r="H1259" s="6"/>
      <c r="J1259" s="6"/>
      <c r="K1259" s="6"/>
      <c r="L1259" s="6"/>
    </row>
    <row r="1260" spans="4:12" x14ac:dyDescent="0.2">
      <c r="D1260" s="6"/>
      <c r="E1260" s="6"/>
      <c r="F1260" s="6"/>
      <c r="G1260" s="6"/>
      <c r="H1260" s="6"/>
      <c r="J1260" s="6"/>
      <c r="K1260" s="6"/>
      <c r="L1260" s="6"/>
    </row>
    <row r="1261" spans="4:12" x14ac:dyDescent="0.2">
      <c r="D1261" s="6"/>
      <c r="E1261" s="6"/>
      <c r="F1261" s="6"/>
      <c r="G1261" s="6"/>
      <c r="H1261" s="6"/>
      <c r="J1261" s="6"/>
      <c r="K1261" s="6"/>
      <c r="L1261" s="6"/>
    </row>
    <row r="1262" spans="4:12" x14ac:dyDescent="0.2">
      <c r="D1262" s="6"/>
      <c r="E1262" s="6"/>
      <c r="F1262" s="6"/>
      <c r="G1262" s="6"/>
      <c r="H1262" s="6"/>
      <c r="J1262" s="6"/>
      <c r="K1262" s="6"/>
      <c r="L1262" s="6"/>
    </row>
    <row r="1263" spans="4:12" x14ac:dyDescent="0.2">
      <c r="D1263" s="6"/>
      <c r="E1263" s="6"/>
      <c r="F1263" s="6"/>
      <c r="G1263" s="6"/>
      <c r="H1263" s="6"/>
      <c r="J1263" s="6"/>
      <c r="K1263" s="6"/>
      <c r="L1263" s="6"/>
    </row>
    <row r="1264" spans="4:12" x14ac:dyDescent="0.2">
      <c r="D1264" s="6"/>
      <c r="E1264" s="6"/>
      <c r="F1264" s="6"/>
      <c r="G1264" s="6"/>
      <c r="H1264" s="6"/>
      <c r="J1264" s="6"/>
      <c r="K1264" s="6"/>
      <c r="L1264" s="6"/>
    </row>
    <row r="1265" spans="4:12" x14ac:dyDescent="0.2">
      <c r="D1265" s="6"/>
      <c r="E1265" s="6"/>
      <c r="F1265" s="6"/>
      <c r="G1265" s="6"/>
      <c r="H1265" s="6"/>
      <c r="J1265" s="6"/>
      <c r="K1265" s="6"/>
      <c r="L1265" s="6"/>
    </row>
    <row r="1266" spans="4:12" x14ac:dyDescent="0.2">
      <c r="D1266" s="6"/>
      <c r="E1266" s="6"/>
      <c r="F1266" s="6"/>
      <c r="G1266" s="6"/>
      <c r="H1266" s="6"/>
      <c r="J1266" s="6"/>
      <c r="K1266" s="6"/>
      <c r="L1266" s="6"/>
    </row>
    <row r="1267" spans="4:12" x14ac:dyDescent="0.2">
      <c r="D1267" s="6"/>
      <c r="E1267" s="6"/>
      <c r="F1267" s="6"/>
      <c r="G1267" s="6"/>
      <c r="H1267" s="6"/>
      <c r="J1267" s="6"/>
      <c r="K1267" s="6"/>
      <c r="L1267" s="6"/>
    </row>
    <row r="1268" spans="4:12" x14ac:dyDescent="0.2">
      <c r="D1268" s="6"/>
      <c r="E1268" s="6"/>
      <c r="F1268" s="6"/>
      <c r="G1268" s="6"/>
      <c r="H1268" s="6"/>
      <c r="J1268" s="6"/>
      <c r="K1268" s="6"/>
      <c r="L1268" s="6"/>
    </row>
    <row r="1269" spans="4:12" x14ac:dyDescent="0.2">
      <c r="D1269" s="6"/>
      <c r="E1269" s="6"/>
      <c r="F1269" s="6"/>
      <c r="G1269" s="6"/>
      <c r="H1269" s="6"/>
      <c r="J1269" s="6"/>
      <c r="K1269" s="6"/>
      <c r="L1269" s="6"/>
    </row>
    <row r="1270" spans="4:12" x14ac:dyDescent="0.2">
      <c r="D1270" s="6"/>
      <c r="E1270" s="6"/>
      <c r="F1270" s="6"/>
      <c r="G1270" s="6"/>
      <c r="H1270" s="6"/>
      <c r="J1270" s="6"/>
      <c r="K1270" s="6"/>
      <c r="L1270" s="6"/>
    </row>
    <row r="1271" spans="4:12" x14ac:dyDescent="0.2">
      <c r="D1271" s="6"/>
      <c r="E1271" s="6"/>
      <c r="F1271" s="6"/>
      <c r="G1271" s="6"/>
      <c r="H1271" s="6"/>
      <c r="J1271" s="6"/>
      <c r="K1271" s="6"/>
      <c r="L1271" s="6"/>
    </row>
    <row r="1272" spans="4:12" x14ac:dyDescent="0.2">
      <c r="D1272" s="6"/>
      <c r="E1272" s="6"/>
      <c r="F1272" s="6"/>
      <c r="G1272" s="6"/>
      <c r="H1272" s="6"/>
      <c r="J1272" s="6"/>
      <c r="K1272" s="6"/>
      <c r="L1272" s="6"/>
    </row>
    <row r="1273" spans="4:12" x14ac:dyDescent="0.2">
      <c r="D1273" s="6"/>
      <c r="E1273" s="6"/>
      <c r="F1273" s="6"/>
      <c r="G1273" s="6"/>
      <c r="H1273" s="6"/>
      <c r="J1273" s="6"/>
      <c r="K1273" s="6"/>
      <c r="L1273" s="6"/>
    </row>
    <row r="1274" spans="4:12" x14ac:dyDescent="0.2">
      <c r="D1274" s="6"/>
      <c r="E1274" s="6"/>
      <c r="F1274" s="6"/>
      <c r="G1274" s="6"/>
      <c r="H1274" s="6"/>
      <c r="J1274" s="6"/>
      <c r="K1274" s="6"/>
      <c r="L1274" s="6"/>
    </row>
    <row r="1275" spans="4:12" x14ac:dyDescent="0.2">
      <c r="D1275" s="6"/>
      <c r="E1275" s="6"/>
      <c r="F1275" s="6"/>
      <c r="G1275" s="6"/>
      <c r="H1275" s="6"/>
      <c r="J1275" s="6"/>
      <c r="K1275" s="6"/>
      <c r="L1275" s="6"/>
    </row>
    <row r="1276" spans="4:12" x14ac:dyDescent="0.2">
      <c r="D1276" s="6"/>
      <c r="E1276" s="6"/>
      <c r="F1276" s="6"/>
      <c r="G1276" s="6"/>
      <c r="H1276" s="6"/>
      <c r="J1276" s="6"/>
      <c r="K1276" s="6"/>
      <c r="L1276" s="6"/>
    </row>
    <row r="1277" spans="4:12" x14ac:dyDescent="0.2">
      <c r="D1277" s="6"/>
      <c r="E1277" s="6"/>
      <c r="F1277" s="6"/>
      <c r="G1277" s="6"/>
      <c r="H1277" s="6"/>
      <c r="J1277" s="6"/>
      <c r="K1277" s="6"/>
      <c r="L1277" s="6"/>
    </row>
    <row r="1278" spans="4:12" x14ac:dyDescent="0.2">
      <c r="D1278" s="6"/>
      <c r="E1278" s="6"/>
      <c r="F1278" s="6"/>
      <c r="G1278" s="6"/>
      <c r="H1278" s="6"/>
      <c r="J1278" s="6"/>
      <c r="K1278" s="6"/>
      <c r="L1278" s="6"/>
    </row>
    <row r="1279" spans="4:12" x14ac:dyDescent="0.2">
      <c r="D1279" s="6"/>
      <c r="E1279" s="6"/>
      <c r="F1279" s="6"/>
      <c r="G1279" s="6"/>
      <c r="H1279" s="6"/>
      <c r="J1279" s="6"/>
      <c r="K1279" s="6"/>
      <c r="L1279" s="6"/>
    </row>
    <row r="1280" spans="4:12" x14ac:dyDescent="0.2">
      <c r="D1280" s="6"/>
      <c r="E1280" s="6"/>
      <c r="F1280" s="6"/>
      <c r="G1280" s="6"/>
      <c r="H1280" s="6"/>
      <c r="J1280" s="6"/>
      <c r="K1280" s="6"/>
      <c r="L1280" s="6"/>
    </row>
    <row r="1281" spans="4:12" x14ac:dyDescent="0.2">
      <c r="D1281" s="6"/>
      <c r="E1281" s="6"/>
      <c r="F1281" s="6"/>
      <c r="G1281" s="6"/>
      <c r="H1281" s="6"/>
      <c r="J1281" s="6"/>
      <c r="K1281" s="6"/>
      <c r="L1281" s="6"/>
    </row>
    <row r="1282" spans="4:12" x14ac:dyDescent="0.2">
      <c r="D1282" s="6"/>
      <c r="E1282" s="6"/>
      <c r="F1282" s="6"/>
      <c r="G1282" s="6"/>
      <c r="H1282" s="6"/>
      <c r="J1282" s="6"/>
      <c r="K1282" s="6"/>
      <c r="L1282" s="6"/>
    </row>
    <row r="1283" spans="4:12" x14ac:dyDescent="0.2">
      <c r="D1283" s="6"/>
      <c r="E1283" s="6"/>
      <c r="F1283" s="6"/>
      <c r="G1283" s="6"/>
      <c r="H1283" s="6"/>
      <c r="J1283" s="6"/>
      <c r="K1283" s="6"/>
      <c r="L1283" s="6"/>
    </row>
    <row r="1284" spans="4:12" x14ac:dyDescent="0.2">
      <c r="D1284" s="6"/>
      <c r="E1284" s="6"/>
      <c r="F1284" s="6"/>
      <c r="G1284" s="6"/>
      <c r="H1284" s="6"/>
      <c r="J1284" s="6"/>
      <c r="K1284" s="6"/>
      <c r="L1284" s="6"/>
    </row>
    <row r="1285" spans="4:12" x14ac:dyDescent="0.2">
      <c r="D1285" s="6"/>
      <c r="E1285" s="6"/>
      <c r="F1285" s="6"/>
      <c r="G1285" s="6"/>
      <c r="H1285" s="6"/>
      <c r="J1285" s="6"/>
      <c r="K1285" s="6"/>
      <c r="L1285" s="6"/>
    </row>
    <row r="1286" spans="4:12" x14ac:dyDescent="0.2">
      <c r="D1286" s="6"/>
      <c r="E1286" s="6"/>
      <c r="F1286" s="6"/>
      <c r="G1286" s="6"/>
      <c r="H1286" s="6"/>
      <c r="J1286" s="6"/>
      <c r="K1286" s="6"/>
      <c r="L1286" s="6"/>
    </row>
    <row r="1287" spans="4:12" x14ac:dyDescent="0.2">
      <c r="D1287" s="6"/>
      <c r="E1287" s="6"/>
      <c r="F1287" s="6"/>
      <c r="G1287" s="6"/>
      <c r="H1287" s="6"/>
      <c r="J1287" s="6"/>
      <c r="K1287" s="6"/>
      <c r="L1287" s="6"/>
    </row>
    <row r="1288" spans="4:12" x14ac:dyDescent="0.2">
      <c r="D1288" s="6"/>
      <c r="E1288" s="6"/>
      <c r="F1288" s="6"/>
      <c r="G1288" s="6"/>
      <c r="H1288" s="6"/>
      <c r="J1288" s="6"/>
      <c r="K1288" s="6"/>
      <c r="L1288" s="6"/>
    </row>
    <row r="1289" spans="4:12" x14ac:dyDescent="0.2">
      <c r="D1289" s="6"/>
      <c r="E1289" s="6"/>
      <c r="F1289" s="6"/>
      <c r="G1289" s="6"/>
      <c r="H1289" s="6"/>
      <c r="J1289" s="6"/>
      <c r="K1289" s="6"/>
      <c r="L1289" s="6"/>
    </row>
    <row r="1290" spans="4:12" x14ac:dyDescent="0.2">
      <c r="D1290" s="6"/>
      <c r="E1290" s="6"/>
      <c r="F1290" s="6"/>
      <c r="G1290" s="6"/>
      <c r="H1290" s="6"/>
      <c r="J1290" s="6"/>
      <c r="K1290" s="6"/>
      <c r="L1290" s="6"/>
    </row>
    <row r="1291" spans="4:12" x14ac:dyDescent="0.2">
      <c r="D1291" s="6"/>
      <c r="E1291" s="6"/>
      <c r="F1291" s="6"/>
      <c r="G1291" s="6"/>
      <c r="H1291" s="6"/>
      <c r="J1291" s="6"/>
      <c r="K1291" s="6"/>
      <c r="L1291" s="6"/>
    </row>
    <row r="1292" spans="4:12" x14ac:dyDescent="0.2">
      <c r="D1292" s="6"/>
      <c r="E1292" s="6"/>
      <c r="F1292" s="6"/>
      <c r="G1292" s="6"/>
      <c r="H1292" s="6"/>
      <c r="J1292" s="6"/>
      <c r="K1292" s="6"/>
      <c r="L1292" s="6"/>
    </row>
    <row r="1293" spans="4:12" x14ac:dyDescent="0.2">
      <c r="D1293" s="6"/>
      <c r="E1293" s="6"/>
      <c r="F1293" s="6"/>
      <c r="G1293" s="6"/>
      <c r="H1293" s="6"/>
      <c r="J1293" s="6"/>
      <c r="K1293" s="6"/>
      <c r="L1293" s="6"/>
    </row>
    <row r="1294" spans="4:12" x14ac:dyDescent="0.2">
      <c r="D1294" s="6"/>
      <c r="E1294" s="6"/>
      <c r="F1294" s="6"/>
      <c r="G1294" s="6"/>
      <c r="H1294" s="6"/>
      <c r="J1294" s="6"/>
      <c r="K1294" s="6"/>
      <c r="L1294" s="6"/>
    </row>
    <row r="1295" spans="4:12" x14ac:dyDescent="0.2">
      <c r="D1295" s="6"/>
      <c r="E1295" s="6"/>
      <c r="F1295" s="6"/>
      <c r="G1295" s="6"/>
      <c r="H1295" s="6"/>
      <c r="J1295" s="6"/>
      <c r="K1295" s="6"/>
      <c r="L1295" s="6"/>
    </row>
    <row r="1296" spans="4:12" x14ac:dyDescent="0.2">
      <c r="D1296" s="6"/>
      <c r="E1296" s="6"/>
      <c r="F1296" s="6"/>
      <c r="G1296" s="6"/>
      <c r="H1296" s="6"/>
      <c r="J1296" s="6"/>
      <c r="K1296" s="6"/>
      <c r="L1296" s="6"/>
    </row>
    <row r="1297" spans="4:12" x14ac:dyDescent="0.2">
      <c r="D1297" s="6"/>
      <c r="E1297" s="6"/>
      <c r="F1297" s="6"/>
      <c r="G1297" s="6"/>
      <c r="H1297" s="6"/>
      <c r="J1297" s="6"/>
      <c r="K1297" s="6"/>
      <c r="L1297" s="6"/>
    </row>
    <row r="1298" spans="4:12" x14ac:dyDescent="0.2">
      <c r="D1298" s="6"/>
      <c r="E1298" s="6"/>
      <c r="F1298" s="6"/>
      <c r="G1298" s="6"/>
      <c r="H1298" s="6"/>
      <c r="J1298" s="6"/>
      <c r="K1298" s="6"/>
      <c r="L1298" s="6"/>
    </row>
    <row r="1299" spans="4:12" x14ac:dyDescent="0.2">
      <c r="D1299" s="6"/>
      <c r="E1299" s="6"/>
      <c r="F1299" s="6"/>
      <c r="G1299" s="6"/>
      <c r="H1299" s="6"/>
      <c r="J1299" s="6"/>
      <c r="K1299" s="6"/>
      <c r="L1299" s="6"/>
    </row>
    <row r="1300" spans="4:12" x14ac:dyDescent="0.2">
      <c r="D1300" s="6"/>
      <c r="E1300" s="6"/>
      <c r="F1300" s="6"/>
      <c r="G1300" s="6"/>
      <c r="H1300" s="6"/>
      <c r="J1300" s="6"/>
      <c r="K1300" s="6"/>
      <c r="L1300" s="6"/>
    </row>
    <row r="1301" spans="4:12" x14ac:dyDescent="0.2">
      <c r="D1301" s="6"/>
      <c r="E1301" s="6"/>
      <c r="F1301" s="6"/>
      <c r="G1301" s="6"/>
      <c r="H1301" s="6"/>
      <c r="J1301" s="6"/>
      <c r="K1301" s="6"/>
      <c r="L1301" s="6"/>
    </row>
    <row r="1302" spans="4:12" x14ac:dyDescent="0.2">
      <c r="D1302" s="6"/>
      <c r="E1302" s="6"/>
      <c r="F1302" s="6"/>
      <c r="G1302" s="6"/>
      <c r="H1302" s="6"/>
      <c r="J1302" s="6"/>
      <c r="K1302" s="6"/>
      <c r="L1302" s="6"/>
    </row>
    <row r="1303" spans="4:12" x14ac:dyDescent="0.2">
      <c r="D1303" s="6"/>
      <c r="E1303" s="6"/>
      <c r="F1303" s="6"/>
      <c r="G1303" s="6"/>
      <c r="H1303" s="6"/>
      <c r="J1303" s="6"/>
      <c r="K1303" s="6"/>
      <c r="L1303" s="6"/>
    </row>
    <row r="1304" spans="4:12" x14ac:dyDescent="0.2">
      <c r="D1304" s="6"/>
      <c r="E1304" s="6"/>
      <c r="F1304" s="6"/>
      <c r="G1304" s="6"/>
      <c r="H1304" s="6"/>
      <c r="J1304" s="6"/>
      <c r="K1304" s="6"/>
      <c r="L1304" s="6"/>
    </row>
    <row r="1305" spans="4:12" x14ac:dyDescent="0.2">
      <c r="D1305" s="6"/>
      <c r="E1305" s="6"/>
      <c r="F1305" s="6"/>
      <c r="G1305" s="6"/>
      <c r="H1305" s="6"/>
      <c r="J1305" s="6"/>
      <c r="K1305" s="6"/>
      <c r="L1305" s="6"/>
    </row>
    <row r="1306" spans="4:12" x14ac:dyDescent="0.2">
      <c r="D1306" s="6"/>
      <c r="E1306" s="6"/>
      <c r="F1306" s="6"/>
      <c r="G1306" s="6"/>
      <c r="H1306" s="6"/>
      <c r="J1306" s="6"/>
      <c r="K1306" s="6"/>
      <c r="L1306" s="6"/>
    </row>
    <row r="1307" spans="4:12" x14ac:dyDescent="0.2">
      <c r="D1307" s="6"/>
      <c r="E1307" s="6"/>
      <c r="F1307" s="6"/>
      <c r="G1307" s="6"/>
      <c r="H1307" s="6"/>
      <c r="J1307" s="6"/>
      <c r="K1307" s="6"/>
      <c r="L1307" s="6"/>
    </row>
    <row r="1308" spans="4:12" x14ac:dyDescent="0.2">
      <c r="D1308" s="6"/>
      <c r="E1308" s="6"/>
      <c r="F1308" s="6"/>
      <c r="G1308" s="6"/>
      <c r="H1308" s="6"/>
      <c r="J1308" s="6"/>
      <c r="K1308" s="6"/>
      <c r="L1308" s="6"/>
    </row>
    <row r="1309" spans="4:12" x14ac:dyDescent="0.2">
      <c r="D1309" s="6"/>
      <c r="E1309" s="6"/>
      <c r="F1309" s="6"/>
      <c r="G1309" s="6"/>
      <c r="H1309" s="6"/>
      <c r="J1309" s="6"/>
      <c r="K1309" s="6"/>
      <c r="L1309" s="6"/>
    </row>
    <row r="1310" spans="4:12" x14ac:dyDescent="0.2">
      <c r="D1310" s="6"/>
      <c r="E1310" s="6"/>
      <c r="F1310" s="6"/>
      <c r="G1310" s="6"/>
      <c r="H1310" s="6"/>
      <c r="J1310" s="6"/>
      <c r="K1310" s="6"/>
      <c r="L1310" s="6"/>
    </row>
    <row r="1311" spans="4:12" x14ac:dyDescent="0.2">
      <c r="D1311" s="6"/>
      <c r="E1311" s="6"/>
      <c r="F1311" s="6"/>
      <c r="G1311" s="6"/>
      <c r="H1311" s="6"/>
      <c r="J1311" s="6"/>
      <c r="K1311" s="6"/>
      <c r="L1311" s="6"/>
    </row>
    <row r="1312" spans="4:12" x14ac:dyDescent="0.2">
      <c r="D1312" s="6"/>
      <c r="E1312" s="6"/>
      <c r="F1312" s="6"/>
      <c r="G1312" s="6"/>
      <c r="H1312" s="6"/>
      <c r="J1312" s="6"/>
      <c r="K1312" s="6"/>
      <c r="L1312" s="6"/>
    </row>
    <row r="1313" spans="4:12" x14ac:dyDescent="0.2">
      <c r="D1313" s="6"/>
      <c r="E1313" s="6"/>
      <c r="F1313" s="6"/>
      <c r="G1313" s="6"/>
      <c r="H1313" s="6"/>
      <c r="J1313" s="6"/>
      <c r="K1313" s="6"/>
      <c r="L1313" s="6"/>
    </row>
    <row r="1314" spans="4:12" x14ac:dyDescent="0.2">
      <c r="D1314" s="6"/>
      <c r="E1314" s="6"/>
      <c r="F1314" s="6"/>
      <c r="G1314" s="6"/>
      <c r="H1314" s="6"/>
      <c r="J1314" s="6"/>
      <c r="K1314" s="6"/>
      <c r="L1314" s="6"/>
    </row>
    <row r="1315" spans="4:12" x14ac:dyDescent="0.2">
      <c r="D1315" s="6"/>
      <c r="E1315" s="6"/>
      <c r="F1315" s="6"/>
      <c r="G1315" s="6"/>
      <c r="H1315" s="6"/>
      <c r="J1315" s="6"/>
      <c r="K1315" s="6"/>
      <c r="L1315" s="6"/>
    </row>
    <row r="1316" spans="4:12" x14ac:dyDescent="0.2">
      <c r="D1316" s="6"/>
      <c r="E1316" s="6"/>
      <c r="F1316" s="6"/>
      <c r="G1316" s="6"/>
      <c r="H1316" s="6"/>
      <c r="J1316" s="6"/>
      <c r="K1316" s="6"/>
      <c r="L1316" s="6"/>
    </row>
    <row r="1317" spans="4:12" x14ac:dyDescent="0.2">
      <c r="D1317" s="6"/>
      <c r="E1317" s="6"/>
      <c r="F1317" s="6"/>
      <c r="G1317" s="6"/>
      <c r="H1317" s="6"/>
      <c r="J1317" s="6"/>
      <c r="K1317" s="6"/>
      <c r="L1317" s="6"/>
    </row>
    <row r="1318" spans="4:12" x14ac:dyDescent="0.2">
      <c r="D1318" s="6"/>
      <c r="E1318" s="6"/>
      <c r="F1318" s="6"/>
      <c r="G1318" s="6"/>
      <c r="H1318" s="6"/>
      <c r="J1318" s="6"/>
      <c r="K1318" s="6"/>
      <c r="L1318" s="6"/>
    </row>
    <row r="1319" spans="4:12" x14ac:dyDescent="0.2">
      <c r="D1319" s="6"/>
      <c r="E1319" s="6"/>
      <c r="F1319" s="6"/>
      <c r="G1319" s="6"/>
      <c r="H1319" s="6"/>
      <c r="J1319" s="6"/>
      <c r="K1319" s="6"/>
      <c r="L1319" s="6"/>
    </row>
    <row r="1320" spans="4:12" x14ac:dyDescent="0.2">
      <c r="D1320" s="6"/>
      <c r="E1320" s="6"/>
      <c r="F1320" s="6"/>
      <c r="G1320" s="6"/>
      <c r="H1320" s="6"/>
      <c r="J1320" s="6"/>
      <c r="K1320" s="6"/>
      <c r="L1320" s="6"/>
    </row>
    <row r="1321" spans="4:12" x14ac:dyDescent="0.2">
      <c r="D1321" s="6"/>
      <c r="E1321" s="6"/>
      <c r="F1321" s="6"/>
      <c r="G1321" s="6"/>
      <c r="H1321" s="6"/>
      <c r="J1321" s="6"/>
      <c r="K1321" s="6"/>
      <c r="L1321" s="6"/>
    </row>
    <row r="1322" spans="4:12" x14ac:dyDescent="0.2">
      <c r="D1322" s="6"/>
      <c r="E1322" s="6"/>
      <c r="F1322" s="6"/>
      <c r="G1322" s="6"/>
      <c r="H1322" s="6"/>
      <c r="J1322" s="6"/>
      <c r="K1322" s="6"/>
      <c r="L1322" s="6"/>
    </row>
    <row r="1323" spans="4:12" x14ac:dyDescent="0.2">
      <c r="D1323" s="6"/>
      <c r="E1323" s="6"/>
      <c r="F1323" s="6"/>
      <c r="G1323" s="6"/>
      <c r="H1323" s="6"/>
      <c r="J1323" s="6"/>
      <c r="K1323" s="6"/>
      <c r="L1323" s="6"/>
    </row>
    <row r="1324" spans="4:12" x14ac:dyDescent="0.2">
      <c r="D1324" s="6"/>
      <c r="E1324" s="6"/>
      <c r="F1324" s="6"/>
      <c r="G1324" s="6"/>
      <c r="H1324" s="6"/>
      <c r="J1324" s="6"/>
      <c r="K1324" s="6"/>
      <c r="L1324" s="6"/>
    </row>
    <row r="1325" spans="4:12" x14ac:dyDescent="0.2">
      <c r="D1325" s="6"/>
      <c r="E1325" s="6"/>
      <c r="F1325" s="6"/>
      <c r="G1325" s="6"/>
      <c r="H1325" s="6"/>
      <c r="J1325" s="6"/>
      <c r="K1325" s="6"/>
      <c r="L1325" s="6"/>
    </row>
    <row r="1326" spans="4:12" x14ac:dyDescent="0.2">
      <c r="D1326" s="6"/>
      <c r="E1326" s="6"/>
      <c r="F1326" s="6"/>
      <c r="G1326" s="6"/>
      <c r="H1326" s="6"/>
      <c r="J1326" s="6"/>
      <c r="K1326" s="6"/>
      <c r="L1326" s="6"/>
    </row>
    <row r="1327" spans="4:12" x14ac:dyDescent="0.2">
      <c r="D1327" s="6"/>
      <c r="E1327" s="6"/>
      <c r="F1327" s="6"/>
      <c r="G1327" s="6"/>
      <c r="H1327" s="6"/>
      <c r="J1327" s="6"/>
      <c r="K1327" s="6"/>
      <c r="L1327" s="6"/>
    </row>
    <row r="1328" spans="4:12" x14ac:dyDescent="0.2">
      <c r="D1328" s="6"/>
      <c r="E1328" s="6"/>
      <c r="F1328" s="6"/>
      <c r="G1328" s="6"/>
      <c r="H1328" s="6"/>
      <c r="J1328" s="6"/>
      <c r="K1328" s="6"/>
      <c r="L1328" s="6"/>
    </row>
    <row r="1329" spans="4:12" x14ac:dyDescent="0.2">
      <c r="D1329" s="6"/>
      <c r="E1329" s="6"/>
      <c r="F1329" s="6"/>
      <c r="G1329" s="6"/>
      <c r="H1329" s="6"/>
      <c r="J1329" s="6"/>
      <c r="K1329" s="6"/>
      <c r="L1329" s="6"/>
    </row>
    <row r="1330" spans="4:12" x14ac:dyDescent="0.2">
      <c r="D1330" s="6"/>
      <c r="E1330" s="6"/>
      <c r="F1330" s="6"/>
      <c r="G1330" s="6"/>
      <c r="H1330" s="6"/>
      <c r="J1330" s="6"/>
      <c r="K1330" s="6"/>
      <c r="L1330" s="6"/>
    </row>
    <row r="1331" spans="4:12" x14ac:dyDescent="0.2">
      <c r="D1331" s="6"/>
      <c r="E1331" s="6"/>
      <c r="F1331" s="6"/>
      <c r="G1331" s="6"/>
      <c r="H1331" s="6"/>
      <c r="J1331" s="6"/>
      <c r="K1331" s="6"/>
      <c r="L1331" s="6"/>
    </row>
    <row r="1332" spans="4:12" x14ac:dyDescent="0.2">
      <c r="D1332" s="6"/>
      <c r="E1332" s="6"/>
      <c r="F1332" s="6"/>
      <c r="G1332" s="6"/>
      <c r="H1332" s="6"/>
      <c r="J1332" s="6"/>
      <c r="K1332" s="6"/>
      <c r="L1332" s="6"/>
    </row>
    <row r="1333" spans="4:12" x14ac:dyDescent="0.2">
      <c r="D1333" s="6"/>
      <c r="E1333" s="6"/>
      <c r="F1333" s="6"/>
      <c r="G1333" s="6"/>
      <c r="H1333" s="6"/>
      <c r="J1333" s="6"/>
      <c r="K1333" s="6"/>
      <c r="L1333" s="6"/>
    </row>
    <row r="1334" spans="4:12" x14ac:dyDescent="0.2">
      <c r="D1334" s="6"/>
      <c r="E1334" s="6"/>
      <c r="F1334" s="6"/>
      <c r="G1334" s="6"/>
      <c r="H1334" s="6"/>
      <c r="J1334" s="6"/>
      <c r="K1334" s="6"/>
      <c r="L1334" s="6"/>
    </row>
    <row r="1335" spans="4:12" x14ac:dyDescent="0.2">
      <c r="D1335" s="6"/>
      <c r="E1335" s="6"/>
      <c r="F1335" s="6"/>
      <c r="G1335" s="6"/>
      <c r="H1335" s="6"/>
      <c r="J1335" s="6"/>
      <c r="K1335" s="6"/>
      <c r="L1335" s="6"/>
    </row>
    <row r="1336" spans="4:12" x14ac:dyDescent="0.2">
      <c r="D1336" s="6"/>
      <c r="E1336" s="6"/>
      <c r="F1336" s="6"/>
      <c r="G1336" s="6"/>
      <c r="H1336" s="6"/>
      <c r="J1336" s="6"/>
      <c r="K1336" s="6"/>
      <c r="L1336" s="6"/>
    </row>
    <row r="1337" spans="4:12" x14ac:dyDescent="0.2">
      <c r="D1337" s="6"/>
      <c r="E1337" s="6"/>
      <c r="F1337" s="6"/>
      <c r="G1337" s="6"/>
      <c r="H1337" s="6"/>
      <c r="J1337" s="6"/>
      <c r="K1337" s="6"/>
      <c r="L1337" s="6"/>
    </row>
    <row r="1338" spans="4:12" x14ac:dyDescent="0.2">
      <c r="D1338" s="6"/>
      <c r="E1338" s="6"/>
      <c r="F1338" s="6"/>
      <c r="G1338" s="6"/>
      <c r="H1338" s="6"/>
      <c r="J1338" s="6"/>
      <c r="K1338" s="6"/>
      <c r="L1338" s="6"/>
    </row>
    <row r="1339" spans="4:12" x14ac:dyDescent="0.2">
      <c r="D1339" s="6"/>
      <c r="E1339" s="6"/>
      <c r="F1339" s="6"/>
      <c r="G1339" s="6"/>
      <c r="H1339" s="6"/>
      <c r="J1339" s="6"/>
      <c r="K1339" s="6"/>
      <c r="L1339" s="6"/>
    </row>
    <row r="1340" spans="4:12" x14ac:dyDescent="0.2">
      <c r="D1340" s="6"/>
      <c r="E1340" s="6"/>
      <c r="F1340" s="6"/>
      <c r="G1340" s="6"/>
      <c r="H1340" s="6"/>
      <c r="J1340" s="6"/>
      <c r="K1340" s="6"/>
      <c r="L1340" s="6"/>
    </row>
    <row r="1341" spans="4:12" x14ac:dyDescent="0.2">
      <c r="D1341" s="6"/>
      <c r="E1341" s="6"/>
      <c r="F1341" s="6"/>
      <c r="G1341" s="6"/>
      <c r="H1341" s="6"/>
      <c r="J1341" s="6"/>
      <c r="K1341" s="6"/>
      <c r="L1341" s="6"/>
    </row>
    <row r="1342" spans="4:12" x14ac:dyDescent="0.2">
      <c r="D1342" s="6"/>
      <c r="E1342" s="6"/>
      <c r="F1342" s="6"/>
      <c r="G1342" s="6"/>
      <c r="H1342" s="6"/>
      <c r="J1342" s="6"/>
      <c r="K1342" s="6"/>
      <c r="L1342" s="6"/>
    </row>
    <row r="1343" spans="4:12" x14ac:dyDescent="0.2">
      <c r="D1343" s="6"/>
      <c r="E1343" s="6"/>
      <c r="F1343" s="6"/>
      <c r="G1343" s="6"/>
      <c r="H1343" s="6"/>
      <c r="J1343" s="6"/>
      <c r="K1343" s="6"/>
      <c r="L1343" s="6"/>
    </row>
    <row r="1344" spans="4:12" x14ac:dyDescent="0.2">
      <c r="D1344" s="6"/>
      <c r="E1344" s="6"/>
      <c r="F1344" s="6"/>
      <c r="G1344" s="6"/>
      <c r="H1344" s="6"/>
      <c r="J1344" s="6"/>
      <c r="K1344" s="6"/>
      <c r="L1344" s="6"/>
    </row>
    <row r="1345" spans="4:12" x14ac:dyDescent="0.2">
      <c r="D1345" s="6"/>
      <c r="E1345" s="6"/>
      <c r="F1345" s="6"/>
      <c r="G1345" s="6"/>
      <c r="H1345" s="6"/>
      <c r="J1345" s="6"/>
      <c r="K1345" s="6"/>
      <c r="L1345" s="6"/>
    </row>
    <row r="1346" spans="4:12" x14ac:dyDescent="0.2">
      <c r="D1346" s="6"/>
      <c r="E1346" s="6"/>
      <c r="F1346" s="6"/>
      <c r="G1346" s="6"/>
      <c r="H1346" s="6"/>
      <c r="J1346" s="6"/>
      <c r="K1346" s="6"/>
      <c r="L1346" s="6"/>
    </row>
    <row r="1347" spans="4:12" x14ac:dyDescent="0.2">
      <c r="D1347" s="6"/>
      <c r="E1347" s="6"/>
      <c r="F1347" s="6"/>
      <c r="G1347" s="6"/>
      <c r="H1347" s="6"/>
      <c r="J1347" s="6"/>
      <c r="K1347" s="6"/>
      <c r="L1347" s="6"/>
    </row>
    <row r="1348" spans="4:12" x14ac:dyDescent="0.2">
      <c r="D1348" s="6"/>
      <c r="E1348" s="6"/>
      <c r="F1348" s="6"/>
      <c r="G1348" s="6"/>
      <c r="H1348" s="6"/>
      <c r="J1348" s="6"/>
      <c r="K1348" s="6"/>
      <c r="L1348" s="6"/>
    </row>
    <row r="1349" spans="4:12" x14ac:dyDescent="0.2">
      <c r="D1349" s="6"/>
      <c r="E1349" s="6"/>
      <c r="F1349" s="6"/>
      <c r="G1349" s="6"/>
      <c r="H1349" s="6"/>
      <c r="J1349" s="6"/>
      <c r="K1349" s="6"/>
      <c r="L1349" s="6"/>
    </row>
    <row r="1350" spans="4:12" x14ac:dyDescent="0.2">
      <c r="D1350" s="6"/>
      <c r="E1350" s="6"/>
      <c r="F1350" s="6"/>
      <c r="G1350" s="6"/>
      <c r="H1350" s="6"/>
      <c r="J1350" s="6"/>
      <c r="K1350" s="6"/>
      <c r="L1350" s="6"/>
    </row>
    <row r="1351" spans="4:12" x14ac:dyDescent="0.2">
      <c r="D1351" s="6"/>
      <c r="E1351" s="6"/>
      <c r="F1351" s="6"/>
      <c r="G1351" s="6"/>
      <c r="H1351" s="6"/>
      <c r="J1351" s="6"/>
      <c r="K1351" s="6"/>
      <c r="L1351" s="6"/>
    </row>
    <row r="1352" spans="4:12" x14ac:dyDescent="0.2">
      <c r="D1352" s="6"/>
      <c r="E1352" s="6"/>
      <c r="F1352" s="6"/>
      <c r="G1352" s="6"/>
      <c r="H1352" s="6"/>
      <c r="J1352" s="6"/>
      <c r="K1352" s="6"/>
      <c r="L1352" s="6"/>
    </row>
    <row r="1353" spans="4:12" x14ac:dyDescent="0.2">
      <c r="D1353" s="6"/>
      <c r="E1353" s="6"/>
      <c r="F1353" s="6"/>
      <c r="G1353" s="6"/>
      <c r="H1353" s="6"/>
      <c r="J1353" s="6"/>
      <c r="K1353" s="6"/>
      <c r="L1353" s="6"/>
    </row>
    <row r="1354" spans="4:12" x14ac:dyDescent="0.2">
      <c r="D1354" s="6"/>
      <c r="E1354" s="6"/>
      <c r="F1354" s="6"/>
      <c r="G1354" s="6"/>
      <c r="H1354" s="6"/>
      <c r="J1354" s="6"/>
      <c r="K1354" s="6"/>
      <c r="L1354" s="6"/>
    </row>
    <row r="1355" spans="4:12" x14ac:dyDescent="0.2">
      <c r="D1355" s="6"/>
      <c r="E1355" s="6"/>
      <c r="F1355" s="6"/>
      <c r="G1355" s="6"/>
      <c r="H1355" s="6"/>
      <c r="J1355" s="6"/>
      <c r="K1355" s="6"/>
      <c r="L1355" s="6"/>
    </row>
    <row r="1356" spans="4:12" x14ac:dyDescent="0.2">
      <c r="D1356" s="6"/>
      <c r="E1356" s="6"/>
      <c r="F1356" s="6"/>
      <c r="G1356" s="6"/>
      <c r="H1356" s="6"/>
      <c r="J1356" s="6"/>
      <c r="K1356" s="6"/>
      <c r="L1356" s="6"/>
    </row>
    <row r="1357" spans="4:12" x14ac:dyDescent="0.2">
      <c r="D1357" s="6"/>
      <c r="E1357" s="6"/>
      <c r="F1357" s="6"/>
      <c r="G1357" s="6"/>
      <c r="H1357" s="6"/>
      <c r="J1357" s="6"/>
      <c r="K1357" s="6"/>
      <c r="L1357" s="6"/>
    </row>
    <row r="1358" spans="4:12" x14ac:dyDescent="0.2">
      <c r="D1358" s="6"/>
      <c r="E1358" s="6"/>
      <c r="F1358" s="6"/>
      <c r="G1358" s="6"/>
      <c r="H1358" s="6"/>
      <c r="J1358" s="6"/>
      <c r="K1358" s="6"/>
      <c r="L1358" s="6"/>
    </row>
    <row r="1359" spans="4:12" x14ac:dyDescent="0.2">
      <c r="D1359" s="6"/>
      <c r="E1359" s="6"/>
      <c r="F1359" s="6"/>
      <c r="G1359" s="6"/>
      <c r="H1359" s="6"/>
      <c r="J1359" s="6"/>
      <c r="K1359" s="6"/>
      <c r="L1359" s="6"/>
    </row>
    <row r="1360" spans="4:12" x14ac:dyDescent="0.2">
      <c r="D1360" s="6"/>
      <c r="E1360" s="6"/>
      <c r="F1360" s="6"/>
      <c r="G1360" s="6"/>
      <c r="H1360" s="6"/>
      <c r="J1360" s="6"/>
      <c r="K1360" s="6"/>
      <c r="L1360" s="6"/>
    </row>
    <row r="1361" spans="4:12" x14ac:dyDescent="0.2">
      <c r="D1361" s="6"/>
      <c r="E1361" s="6"/>
      <c r="F1361" s="6"/>
      <c r="G1361" s="6"/>
      <c r="H1361" s="6"/>
      <c r="J1361" s="6"/>
      <c r="K1361" s="6"/>
      <c r="L1361" s="6"/>
    </row>
    <row r="1362" spans="4:12" x14ac:dyDescent="0.2">
      <c r="D1362" s="6"/>
      <c r="E1362" s="6"/>
      <c r="F1362" s="6"/>
      <c r="G1362" s="6"/>
      <c r="H1362" s="6"/>
      <c r="J1362" s="6"/>
      <c r="K1362" s="6"/>
      <c r="L1362" s="6"/>
    </row>
    <row r="1363" spans="4:12" x14ac:dyDescent="0.2">
      <c r="D1363" s="6"/>
      <c r="E1363" s="6"/>
      <c r="F1363" s="6"/>
      <c r="G1363" s="6"/>
      <c r="H1363" s="6"/>
      <c r="J1363" s="6"/>
      <c r="K1363" s="6"/>
      <c r="L1363" s="6"/>
    </row>
    <row r="1364" spans="4:12" x14ac:dyDescent="0.2">
      <c r="D1364" s="6"/>
      <c r="E1364" s="6"/>
      <c r="F1364" s="6"/>
      <c r="G1364" s="6"/>
      <c r="H1364" s="6"/>
      <c r="J1364" s="6"/>
      <c r="K1364" s="6"/>
      <c r="L1364" s="6"/>
    </row>
    <row r="1365" spans="4:12" x14ac:dyDescent="0.2">
      <c r="D1365" s="6"/>
      <c r="E1365" s="6"/>
      <c r="F1365" s="6"/>
      <c r="G1365" s="6"/>
      <c r="H1365" s="6"/>
      <c r="J1365" s="6"/>
      <c r="K1365" s="6"/>
      <c r="L1365" s="6"/>
    </row>
    <row r="1366" spans="4:12" x14ac:dyDescent="0.2">
      <c r="D1366" s="6"/>
      <c r="E1366" s="6"/>
      <c r="F1366" s="6"/>
      <c r="G1366" s="6"/>
      <c r="H1366" s="6"/>
      <c r="J1366" s="6"/>
      <c r="K1366" s="6"/>
      <c r="L1366" s="6"/>
    </row>
    <row r="1367" spans="4:12" x14ac:dyDescent="0.2">
      <c r="D1367" s="6"/>
      <c r="E1367" s="6"/>
      <c r="F1367" s="6"/>
      <c r="G1367" s="6"/>
      <c r="H1367" s="6"/>
      <c r="J1367" s="6"/>
      <c r="K1367" s="6"/>
      <c r="L1367" s="6"/>
    </row>
    <row r="1368" spans="4:12" x14ac:dyDescent="0.2">
      <c r="D1368" s="6"/>
      <c r="E1368" s="6"/>
      <c r="F1368" s="6"/>
      <c r="G1368" s="6"/>
      <c r="H1368" s="6"/>
      <c r="J1368" s="6"/>
      <c r="K1368" s="6"/>
      <c r="L1368" s="6"/>
    </row>
    <row r="1369" spans="4:12" x14ac:dyDescent="0.2">
      <c r="D1369" s="6"/>
      <c r="E1369" s="6"/>
      <c r="F1369" s="6"/>
      <c r="G1369" s="6"/>
      <c r="H1369" s="6"/>
      <c r="J1369" s="6"/>
      <c r="K1369" s="6"/>
      <c r="L1369" s="6"/>
    </row>
    <row r="1370" spans="4:12" x14ac:dyDescent="0.2">
      <c r="D1370" s="6"/>
      <c r="E1370" s="6"/>
      <c r="F1370" s="6"/>
      <c r="G1370" s="6"/>
      <c r="H1370" s="6"/>
      <c r="J1370" s="6"/>
      <c r="K1370" s="6"/>
      <c r="L1370" s="6"/>
    </row>
    <row r="1371" spans="4:12" x14ac:dyDescent="0.2">
      <c r="D1371" s="6"/>
      <c r="E1371" s="6"/>
      <c r="F1371" s="6"/>
      <c r="G1371" s="6"/>
      <c r="H1371" s="6"/>
      <c r="J1371" s="6"/>
      <c r="K1371" s="6"/>
      <c r="L1371" s="6"/>
    </row>
    <row r="1372" spans="4:12" x14ac:dyDescent="0.2">
      <c r="D1372" s="6"/>
      <c r="E1372" s="6"/>
      <c r="F1372" s="6"/>
      <c r="G1372" s="6"/>
      <c r="H1372" s="6"/>
      <c r="J1372" s="6"/>
      <c r="K1372" s="6"/>
      <c r="L1372" s="6"/>
    </row>
    <row r="1373" spans="4:12" x14ac:dyDescent="0.2">
      <c r="D1373" s="6"/>
      <c r="E1373" s="6"/>
      <c r="F1373" s="6"/>
      <c r="G1373" s="6"/>
      <c r="H1373" s="6"/>
      <c r="J1373" s="6"/>
      <c r="K1373" s="6"/>
      <c r="L1373" s="6"/>
    </row>
    <row r="1374" spans="4:12" x14ac:dyDescent="0.2">
      <c r="D1374" s="6"/>
      <c r="E1374" s="6"/>
      <c r="F1374" s="6"/>
      <c r="G1374" s="6"/>
      <c r="H1374" s="6"/>
      <c r="J1374" s="6"/>
      <c r="K1374" s="6"/>
      <c r="L1374" s="6"/>
    </row>
    <row r="1375" spans="4:12" x14ac:dyDescent="0.2">
      <c r="D1375" s="6"/>
      <c r="E1375" s="6"/>
      <c r="F1375" s="6"/>
      <c r="G1375" s="6"/>
      <c r="H1375" s="6"/>
      <c r="J1375" s="6"/>
      <c r="K1375" s="6"/>
      <c r="L1375" s="6"/>
    </row>
    <row r="1376" spans="4:12" x14ac:dyDescent="0.2">
      <c r="D1376" s="6"/>
      <c r="E1376" s="6"/>
      <c r="F1376" s="6"/>
      <c r="G1376" s="6"/>
      <c r="H1376" s="6"/>
      <c r="J1376" s="6"/>
      <c r="K1376" s="6"/>
      <c r="L1376" s="6"/>
    </row>
    <row r="1377" spans="4:12" x14ac:dyDescent="0.2">
      <c r="D1377" s="6"/>
      <c r="E1377" s="6"/>
      <c r="F1377" s="6"/>
      <c r="G1377" s="6"/>
      <c r="H1377" s="6"/>
      <c r="J1377" s="6"/>
      <c r="K1377" s="6"/>
      <c r="L1377" s="6"/>
    </row>
    <row r="1378" spans="4:12" x14ac:dyDescent="0.2">
      <c r="D1378" s="6"/>
      <c r="E1378" s="6"/>
      <c r="F1378" s="6"/>
      <c r="G1378" s="6"/>
      <c r="H1378" s="6"/>
      <c r="J1378" s="6"/>
      <c r="K1378" s="6"/>
      <c r="L1378" s="6"/>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6" customWidth="1"/>
    <col min="2" max="2" width="30.83203125" style="6" customWidth="1"/>
    <col min="3" max="3" width="13.1640625" style="397" customWidth="1"/>
    <col min="4" max="4" width="13.1640625" style="172" customWidth="1"/>
    <col min="5" max="5" width="28" customWidth="1"/>
  </cols>
  <sheetData>
    <row r="1" spans="1:5" s="41" customFormat="1" ht="31" customHeight="1" x14ac:dyDescent="0.3">
      <c r="A1" s="167" t="s">
        <v>70</v>
      </c>
      <c r="B1" s="167"/>
      <c r="C1" s="393" t="s">
        <v>70</v>
      </c>
      <c r="D1" s="168"/>
      <c r="E1" s="132"/>
    </row>
    <row r="2" spans="1:5" s="169" customFormat="1" ht="19" x14ac:dyDescent="0.25">
      <c r="A2" s="23"/>
      <c r="B2" s="23"/>
      <c r="C2" s="394" t="s">
        <v>73</v>
      </c>
      <c r="D2" s="136" t="s">
        <v>3</v>
      </c>
      <c r="E2" s="133"/>
    </row>
    <row r="3" spans="1:5" ht="117" customHeight="1" x14ac:dyDescent="0.2">
      <c r="A3" s="170"/>
      <c r="B3" s="170"/>
      <c r="C3" s="308" t="s">
        <v>578</v>
      </c>
      <c r="D3" s="48" t="s">
        <v>922</v>
      </c>
      <c r="E3" s="134" t="s">
        <v>979</v>
      </c>
    </row>
    <row r="4" spans="1:5" x14ac:dyDescent="0.2">
      <c r="A4" s="25"/>
      <c r="B4" s="25" t="s">
        <v>4</v>
      </c>
      <c r="C4" s="395"/>
      <c r="D4" s="174"/>
      <c r="E4" s="171" t="str">
        <f>IF(COUNTIF(D$15:INDEX($D:$D,COUNTA($B:$B)+14-COUNTA($B$1:$B$14)),"")&gt;0,"BLANK PRIORITIZATIONS","")</f>
        <v>BLANK PRIORITIZATIONS</v>
      </c>
    </row>
    <row r="5" spans="1:5" x14ac:dyDescent="0.2">
      <c r="A5" s="6" t="s">
        <v>98</v>
      </c>
      <c r="B5" s="6" t="s">
        <v>98</v>
      </c>
      <c r="C5" s="395" t="s">
        <v>106</v>
      </c>
      <c r="D5" s="174" t="s">
        <v>106</v>
      </c>
      <c r="E5" t="s">
        <v>98</v>
      </c>
    </row>
    <row r="6" spans="1:5" x14ac:dyDescent="0.2">
      <c r="A6" s="6" t="s">
        <v>200</v>
      </c>
      <c r="B6" s="6" t="s">
        <v>200</v>
      </c>
      <c r="C6" s="395" t="s">
        <v>110</v>
      </c>
      <c r="D6" s="174" t="s">
        <v>92</v>
      </c>
      <c r="E6" t="s">
        <v>93</v>
      </c>
    </row>
    <row r="7" spans="1:5" x14ac:dyDescent="0.2">
      <c r="A7" s="6" t="s">
        <v>108</v>
      </c>
      <c r="B7" s="6" t="s">
        <v>108</v>
      </c>
      <c r="C7" s="395" t="s">
        <v>94</v>
      </c>
      <c r="D7" s="174" t="s">
        <v>94</v>
      </c>
      <c r="E7" t="s">
        <v>108</v>
      </c>
    </row>
    <row r="8" spans="1:5" x14ac:dyDescent="0.2">
      <c r="C8" s="396" t="s">
        <v>105</v>
      </c>
      <c r="D8" s="286" t="s">
        <v>105</v>
      </c>
    </row>
    <row r="9" spans="1:5" x14ac:dyDescent="0.2">
      <c r="C9" s="396"/>
      <c r="D9" s="286"/>
    </row>
    <row r="10" spans="1:5" x14ac:dyDescent="0.2">
      <c r="C10" s="396"/>
      <c r="D10" s="286"/>
    </row>
    <row r="11" spans="1:5" x14ac:dyDescent="0.2">
      <c r="C11" s="395"/>
      <c r="D11" s="174"/>
    </row>
    <row r="12" spans="1:5" x14ac:dyDescent="0.2">
      <c r="C12" s="395"/>
      <c r="D12" s="174"/>
    </row>
    <row r="13" spans="1:5" x14ac:dyDescent="0.2">
      <c r="C13" s="395"/>
      <c r="D13" s="174"/>
    </row>
    <row r="14" spans="1:5" x14ac:dyDescent="0.2">
      <c r="A14" s="36" t="s">
        <v>583</v>
      </c>
      <c r="B14" s="36" t="s">
        <v>5</v>
      </c>
      <c r="C14" s="309" t="s">
        <v>567</v>
      </c>
      <c r="D14" s="175" t="s">
        <v>568</v>
      </c>
      <c r="E14" s="163" t="s">
        <v>713</v>
      </c>
    </row>
    <row r="15" spans="1:5" x14ac:dyDescent="0.2">
      <c r="D15" s="172" t="str">
        <f>IF(LEFT($B15,4)="_Mil","M",IF(SUM($C15)=0,"",$C15))</f>
        <v/>
      </c>
      <c r="E15" s="173" t="str">
        <f>IF($D15=1,"Scale-up: Saturation",IF($D15=2,"Scale-up: Aggressive",IF($D15=4,"Sustained",IF($D15=5,"Centrally Supported",IF($D15=6,"Sustained:Commodities",IF($D15=7,"Attained",IF($D15=8,"Not PEPFAR Supported",IF($D15="M","Military",IF($D15="NA","Not a PSNU","INVALID")))))))))</f>
        <v>INVALID</v>
      </c>
    </row>
    <row r="16" spans="1:5" x14ac:dyDescent="0.2">
      <c r="E16" s="173"/>
    </row>
    <row r="17" spans="1:5" x14ac:dyDescent="0.2">
      <c r="E17" s="173"/>
    </row>
    <row r="18" spans="1:5" x14ac:dyDescent="0.2">
      <c r="A18" s="37"/>
      <c r="B18" s="37"/>
      <c r="E18" s="173"/>
    </row>
  </sheetData>
  <conditionalFormatting sqref="E4">
    <cfRule type="containsText" dxfId="217" priority="3" operator="containsText" text="BLANK PRIORITIZATIONS">
      <formula>NOT(ISERROR(SEARCH("BLANK PRIORITIZATIONS",E4)))</formula>
    </cfRule>
  </conditionalFormatting>
  <conditionalFormatting sqref="C1:D1048576">
    <cfRule type="expression" dxfId="216" priority="2">
      <formula>AND(ROW(C1)&gt;14,$B1&lt;&gt;"",C1&lt;&gt;1,C1&lt;&gt;2,C1&lt;&gt;4,C1&lt;&gt;5,C1&lt;&gt;6,C1&lt;&gt;7,C1&lt;&gt;8,C1&lt;&gt;"M",C1&lt;&gt;"NA")</formula>
    </cfRule>
  </conditionalFormatting>
  <conditionalFormatting sqref="D1:D1048576">
    <cfRule type="expression" dxfId="215" priority="728">
      <formula>AND(ROW($D1)&gt;14,$D1="",$B1&lt;&gt;"")</formula>
    </cfRule>
    <cfRule type="expression" dxfId="214"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DE15"/>
  <sheetViews>
    <sheetView tabSelected="1"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39" hidden="1" customWidth="1"/>
    <col min="6" max="6" width="13.1640625" style="377" customWidth="1"/>
    <col min="7" max="7" width="12" hidden="1" customWidth="1"/>
    <col min="8" max="8" width="11.83203125" customWidth="1"/>
    <col min="9" max="9" width="11.83203125" hidden="1" customWidth="1"/>
    <col min="10" max="10" width="11.83203125" customWidth="1"/>
    <col min="11" max="11" width="11.83203125" hidden="1" customWidth="1"/>
    <col min="12" max="12" width="11.83203125" style="416" customWidth="1"/>
    <col min="13" max="13" width="11.83203125" hidden="1" customWidth="1"/>
    <col min="14" max="14" width="11.83203125" style="416" customWidth="1"/>
    <col min="15" max="15" width="11.83203125" hidden="1" customWidth="1"/>
    <col min="16" max="16" width="11.83203125" customWidth="1"/>
    <col min="17" max="17" width="11.83203125" hidden="1" customWidth="1"/>
    <col min="18" max="18" width="11.83203125" customWidth="1"/>
    <col min="19" max="19" width="11.83203125" hidden="1" customWidth="1"/>
    <col min="20" max="20" width="11.83203125" customWidth="1"/>
    <col min="21" max="21" width="11.83203125" hidden="1" customWidth="1"/>
    <col min="22" max="22" width="11.83203125" customWidth="1"/>
    <col min="23" max="23" width="11.83203125" hidden="1" customWidth="1"/>
    <col min="24" max="24" width="11.83203125" customWidth="1"/>
    <col min="25" max="25" width="11.83203125" hidden="1" customWidth="1"/>
    <col min="26" max="26" width="11.83203125" style="377" customWidth="1"/>
    <col min="27" max="30" width="11.83203125" customWidth="1"/>
    <col min="31" max="31" width="11.83203125" style="377" customWidth="1"/>
    <col min="32" max="35" width="11.83203125" customWidth="1"/>
    <col min="36" max="36" width="11.83203125" style="377" customWidth="1"/>
    <col min="37" max="38" width="11.83203125" style="399" customWidth="1"/>
    <col min="39" max="39" width="11.83203125" style="400" customWidth="1"/>
    <col min="40" max="40" width="11.83203125" style="399" customWidth="1"/>
    <col min="41" max="41" width="11.83203125" style="407" customWidth="1"/>
    <col min="42" max="42" width="11.83203125" style="399" customWidth="1"/>
    <col min="43" max="43" width="11.83203125" style="377" customWidth="1"/>
    <col min="44" max="47" width="11.83203125" style="399" customWidth="1"/>
    <col min="48" max="48" width="11.83203125" style="377" customWidth="1"/>
    <col min="49" max="50" width="11.83203125" customWidth="1"/>
    <col min="51" max="59" width="11.83203125" style="399" customWidth="1"/>
    <col min="60" max="61" width="11.83203125" customWidth="1"/>
    <col min="62" max="63" width="11.83203125" style="399" customWidth="1"/>
    <col min="64" max="64" width="11.83203125" style="484" customWidth="1"/>
    <col min="65" max="65" width="11.83203125" style="377" customWidth="1"/>
    <col min="66" max="66" width="11.83203125" style="399" customWidth="1"/>
    <col min="67" max="67" width="11.83203125" style="377" customWidth="1"/>
    <col min="68" max="69" width="11.83203125" style="399" customWidth="1"/>
    <col min="70" max="71" width="11.83203125" style="400" customWidth="1"/>
    <col min="72" max="72" width="11.83203125" style="377" customWidth="1"/>
    <col min="73" max="74" width="11.83203125" style="399" customWidth="1"/>
    <col min="75" max="75" width="11.83203125" style="377" customWidth="1"/>
    <col min="76" max="87" width="11.83203125" customWidth="1"/>
    <col min="88" max="88" width="11.83203125" style="377" customWidth="1"/>
    <col min="89" max="94" width="11.83203125" customWidth="1"/>
    <col min="95" max="95" width="11.83203125" style="377" customWidth="1"/>
    <col min="96" max="102" width="11.83203125" customWidth="1"/>
    <col min="103" max="103" width="11.83203125" style="377" customWidth="1"/>
  </cols>
  <sheetData>
    <row r="1" spans="1:109" s="41" customFormat="1" ht="31" customHeight="1" thickBot="1" x14ac:dyDescent="0.35">
      <c r="A1" s="5" t="s">
        <v>297</v>
      </c>
      <c r="B1" s="5"/>
      <c r="C1" s="5"/>
      <c r="D1" s="260"/>
      <c r="E1" s="5"/>
      <c r="F1" s="94" t="s">
        <v>76</v>
      </c>
      <c r="G1" s="29"/>
      <c r="H1" s="51"/>
      <c r="I1" s="19"/>
      <c r="J1" s="69"/>
      <c r="K1" s="19"/>
      <c r="L1" s="382"/>
      <c r="M1" s="19"/>
      <c r="N1" s="64"/>
      <c r="O1" s="19"/>
      <c r="P1" s="51"/>
      <c r="Q1" s="19"/>
      <c r="R1" s="51"/>
      <c r="S1" s="19"/>
      <c r="T1" s="51"/>
      <c r="U1" s="19"/>
      <c r="V1" s="51"/>
      <c r="W1" s="19"/>
      <c r="X1" s="64"/>
      <c r="Y1" s="19"/>
      <c r="Z1" s="94" t="s">
        <v>1087</v>
      </c>
      <c r="AA1" s="342"/>
      <c r="AB1" s="80"/>
      <c r="AC1" s="302"/>
      <c r="AD1" s="80"/>
      <c r="AE1" s="94" t="s">
        <v>1088</v>
      </c>
      <c r="AF1" s="342"/>
      <c r="AG1" s="342"/>
      <c r="AH1" s="79"/>
      <c r="AI1" s="80"/>
      <c r="AJ1" s="147" t="s">
        <v>760</v>
      </c>
      <c r="AK1" s="322"/>
      <c r="AL1" s="322"/>
      <c r="AM1" s="319"/>
      <c r="AN1" s="80"/>
      <c r="AO1" s="401" t="s">
        <v>51</v>
      </c>
      <c r="AP1" s="80"/>
      <c r="AQ1" s="224" t="s">
        <v>52</v>
      </c>
      <c r="AR1" s="322"/>
      <c r="AS1" s="322"/>
      <c r="AT1" s="322"/>
      <c r="AU1" s="80"/>
      <c r="AV1" s="224" t="s">
        <v>1161</v>
      </c>
      <c r="AW1" s="98"/>
      <c r="AX1" s="226"/>
      <c r="AY1" s="319"/>
      <c r="AZ1" s="302"/>
      <c r="BA1" s="372"/>
      <c r="BB1" s="148"/>
      <c r="BC1" s="322"/>
      <c r="BD1" s="322"/>
      <c r="BE1" s="226"/>
      <c r="BF1" s="322"/>
      <c r="BG1" s="322"/>
      <c r="BH1" s="98"/>
      <c r="BI1" s="98"/>
      <c r="BJ1" s="80"/>
      <c r="BK1" s="80"/>
      <c r="BL1" s="322"/>
      <c r="BM1" s="147" t="s">
        <v>1</v>
      </c>
      <c r="BN1" s="80"/>
      <c r="BO1" s="147" t="s">
        <v>0</v>
      </c>
      <c r="BP1" s="322"/>
      <c r="BQ1" s="80"/>
      <c r="BR1" s="342"/>
      <c r="BS1" s="342"/>
      <c r="BT1" s="401" t="s">
        <v>759</v>
      </c>
      <c r="BU1" s="226"/>
      <c r="BV1" s="322"/>
      <c r="BW1" s="147" t="s">
        <v>1119</v>
      </c>
      <c r="BX1" s="61"/>
      <c r="BY1" s="61"/>
      <c r="BZ1" s="148"/>
      <c r="CA1" s="148"/>
      <c r="CB1" s="114"/>
      <c r="CC1" s="114"/>
      <c r="CD1" s="114"/>
      <c r="CE1" s="114"/>
      <c r="CF1" s="114"/>
      <c r="CG1" s="114"/>
      <c r="CH1" s="114"/>
      <c r="CI1" s="114"/>
      <c r="CJ1" s="224" t="s">
        <v>955</v>
      </c>
      <c r="CK1" s="319"/>
      <c r="CL1" s="319"/>
      <c r="CM1" s="319"/>
      <c r="CN1" s="319"/>
      <c r="CO1" s="319"/>
      <c r="CP1" s="319"/>
      <c r="CQ1" s="224" t="s">
        <v>9</v>
      </c>
      <c r="CR1" s="29"/>
      <c r="CS1" s="29"/>
      <c r="CT1" s="64"/>
      <c r="CU1" s="64"/>
      <c r="CV1" s="64"/>
      <c r="CW1" s="64"/>
      <c r="CX1" s="19"/>
      <c r="CY1" s="94" t="s">
        <v>44</v>
      </c>
    </row>
    <row r="2" spans="1:109" s="40" customFormat="1" ht="19" x14ac:dyDescent="0.25">
      <c r="A2" s="486" t="s">
        <v>1126</v>
      </c>
      <c r="B2" s="487"/>
      <c r="C2" s="2"/>
      <c r="D2" s="261"/>
      <c r="E2" s="2"/>
      <c r="F2" s="419" t="s">
        <v>73</v>
      </c>
      <c r="G2" s="18"/>
      <c r="H2" s="65"/>
      <c r="I2" s="18"/>
      <c r="J2" s="177"/>
      <c r="K2" s="18"/>
      <c r="L2" s="177"/>
      <c r="M2" s="18"/>
      <c r="N2" s="65"/>
      <c r="O2" s="18"/>
      <c r="P2" s="65"/>
      <c r="Q2" s="18"/>
      <c r="R2" s="65"/>
      <c r="S2" s="18"/>
      <c r="T2" s="65"/>
      <c r="U2" s="18"/>
      <c r="V2" s="65"/>
      <c r="W2" s="18"/>
      <c r="X2" s="65"/>
      <c r="Y2" s="18"/>
      <c r="Z2" s="95" t="s">
        <v>73</v>
      </c>
      <c r="AA2" s="296"/>
      <c r="AB2" s="296"/>
      <c r="AC2" s="99"/>
      <c r="AD2" s="296"/>
      <c r="AE2" s="95" t="s">
        <v>73</v>
      </c>
      <c r="AF2" s="296"/>
      <c r="AG2" s="296"/>
      <c r="AH2" s="78"/>
      <c r="AI2" s="296"/>
      <c r="AJ2" s="142" t="s">
        <v>2</v>
      </c>
      <c r="AK2" s="323"/>
      <c r="AL2" s="323"/>
      <c r="AM2" s="227"/>
      <c r="AN2" s="86" t="s">
        <v>3</v>
      </c>
      <c r="AO2" s="405" t="s">
        <v>3</v>
      </c>
      <c r="AP2" s="86"/>
      <c r="AQ2" s="225" t="s">
        <v>73</v>
      </c>
      <c r="AR2" s="323"/>
      <c r="AS2" s="323"/>
      <c r="AT2" s="323" t="s">
        <v>2</v>
      </c>
      <c r="AU2" s="86" t="s">
        <v>3</v>
      </c>
      <c r="AV2" s="225" t="s">
        <v>73</v>
      </c>
      <c r="AW2" s="99"/>
      <c r="AX2" s="227" t="s">
        <v>2</v>
      </c>
      <c r="AY2" s="227"/>
      <c r="AZ2" s="99"/>
      <c r="BA2" s="149"/>
      <c r="BB2" s="149"/>
      <c r="BC2" s="323"/>
      <c r="BD2" s="323"/>
      <c r="BE2" s="332"/>
      <c r="BF2" s="323"/>
      <c r="BG2" s="323"/>
      <c r="BH2" s="251" t="s">
        <v>3</v>
      </c>
      <c r="BI2" s="251"/>
      <c r="BJ2" s="86"/>
      <c r="BK2" s="86"/>
      <c r="BL2" s="325"/>
      <c r="BM2" s="142" t="s">
        <v>2</v>
      </c>
      <c r="BN2" s="86"/>
      <c r="BO2" s="142" t="s">
        <v>2</v>
      </c>
      <c r="BP2" s="323"/>
      <c r="BQ2" s="86" t="s">
        <v>3</v>
      </c>
      <c r="BR2" s="296" t="s">
        <v>73</v>
      </c>
      <c r="BS2" s="296"/>
      <c r="BT2" s="405" t="s">
        <v>3</v>
      </c>
      <c r="BU2" s="227"/>
      <c r="BV2" s="325"/>
      <c r="BW2" s="142" t="s">
        <v>2</v>
      </c>
      <c r="BX2" s="75"/>
      <c r="BY2" s="72"/>
      <c r="BZ2" s="149"/>
      <c r="CA2" s="149"/>
      <c r="CB2" s="86" t="s">
        <v>3</v>
      </c>
      <c r="CC2" s="86"/>
      <c r="CD2" s="86"/>
      <c r="CE2" s="86"/>
      <c r="CF2" s="86"/>
      <c r="CG2" s="86"/>
      <c r="CH2" s="86"/>
      <c r="CI2" s="86"/>
      <c r="CJ2" s="142" t="s">
        <v>59</v>
      </c>
      <c r="CK2" s="323"/>
      <c r="CL2" s="323"/>
      <c r="CM2" s="323"/>
      <c r="CN2" s="323"/>
      <c r="CO2" s="323"/>
      <c r="CP2" s="323"/>
      <c r="CQ2" s="225" t="s">
        <v>2</v>
      </c>
      <c r="CR2" s="18"/>
      <c r="CS2" s="18"/>
      <c r="CT2" s="65" t="s">
        <v>3</v>
      </c>
      <c r="CU2" s="65"/>
      <c r="CV2" s="65"/>
      <c r="CW2" s="65"/>
      <c r="CX2" s="18" t="s">
        <v>73</v>
      </c>
      <c r="CY2" s="409" t="s">
        <v>3</v>
      </c>
    </row>
    <row r="3" spans="1:109" s="24" customFormat="1" ht="134" customHeight="1" thickBot="1" x14ac:dyDescent="0.25">
      <c r="A3" s="488"/>
      <c r="B3" s="489"/>
      <c r="C3" s="31"/>
      <c r="D3" s="262"/>
      <c r="E3" s="31"/>
      <c r="F3" s="420" t="s">
        <v>1107</v>
      </c>
      <c r="G3" s="310" t="s">
        <v>957</v>
      </c>
      <c r="H3" s="123" t="s">
        <v>1108</v>
      </c>
      <c r="I3" s="310" t="s">
        <v>958</v>
      </c>
      <c r="J3" s="178" t="s">
        <v>1109</v>
      </c>
      <c r="K3" s="310" t="s">
        <v>959</v>
      </c>
      <c r="L3" s="417" t="s">
        <v>1123</v>
      </c>
      <c r="M3" s="310" t="s">
        <v>1122</v>
      </c>
      <c r="N3" s="414" t="s">
        <v>1110</v>
      </c>
      <c r="O3" s="310" t="s">
        <v>1098</v>
      </c>
      <c r="P3" s="123" t="s">
        <v>1111</v>
      </c>
      <c r="Q3" s="310" t="s">
        <v>1038</v>
      </c>
      <c r="R3" s="123" t="s">
        <v>1112</v>
      </c>
      <c r="S3" s="310" t="s">
        <v>960</v>
      </c>
      <c r="T3" s="123" t="s">
        <v>1113</v>
      </c>
      <c r="U3" s="310" t="s">
        <v>961</v>
      </c>
      <c r="V3" s="123" t="s">
        <v>1114</v>
      </c>
      <c r="W3" s="310" t="s">
        <v>962</v>
      </c>
      <c r="X3" s="123" t="s">
        <v>1115</v>
      </c>
      <c r="Y3" s="299" t="s">
        <v>963</v>
      </c>
      <c r="Z3" s="120" t="s">
        <v>1086</v>
      </c>
      <c r="AA3" s="297" t="s">
        <v>1</v>
      </c>
      <c r="AB3" s="297" t="s">
        <v>0</v>
      </c>
      <c r="AC3" s="100" t="s">
        <v>52</v>
      </c>
      <c r="AD3" s="297" t="s">
        <v>51</v>
      </c>
      <c r="AE3" s="120" t="s">
        <v>1086</v>
      </c>
      <c r="AF3" s="297" t="s">
        <v>1</v>
      </c>
      <c r="AG3" s="297" t="s">
        <v>0</v>
      </c>
      <c r="AH3" s="129" t="s">
        <v>52</v>
      </c>
      <c r="AI3" s="297" t="s">
        <v>51</v>
      </c>
      <c r="AJ3" s="334" t="s">
        <v>1160</v>
      </c>
      <c r="AK3" s="256" t="s">
        <v>1166</v>
      </c>
      <c r="AL3" s="320" t="s">
        <v>1092</v>
      </c>
      <c r="AM3" s="256" t="s">
        <v>1101</v>
      </c>
      <c r="AN3" s="259" t="s">
        <v>1165</v>
      </c>
      <c r="AO3" s="237" t="s">
        <v>966</v>
      </c>
      <c r="AP3" s="259" t="s">
        <v>1102</v>
      </c>
      <c r="AQ3" s="315" t="s">
        <v>1118</v>
      </c>
      <c r="AR3" s="320" t="s">
        <v>1094</v>
      </c>
      <c r="AS3" s="320" t="s">
        <v>1095</v>
      </c>
      <c r="AT3" s="256" t="s">
        <v>1105</v>
      </c>
      <c r="AU3" s="259" t="s">
        <v>1100</v>
      </c>
      <c r="AV3" s="315" t="s">
        <v>1164</v>
      </c>
      <c r="AW3" s="100" t="s">
        <v>1167</v>
      </c>
      <c r="AX3" s="316" t="s">
        <v>1186</v>
      </c>
      <c r="AY3" s="320" t="s">
        <v>1106</v>
      </c>
      <c r="AZ3" s="254" t="s">
        <v>1168</v>
      </c>
      <c r="BA3" s="183" t="s">
        <v>1096</v>
      </c>
      <c r="BB3" s="183" t="s">
        <v>1097</v>
      </c>
      <c r="BC3" s="256" t="s">
        <v>1162</v>
      </c>
      <c r="BD3" s="256" t="s">
        <v>1187</v>
      </c>
      <c r="BE3" s="228" t="s">
        <v>1128</v>
      </c>
      <c r="BF3" s="333" t="s">
        <v>1169</v>
      </c>
      <c r="BG3" s="256" t="s">
        <v>1127</v>
      </c>
      <c r="BH3" s="235" t="s">
        <v>1220</v>
      </c>
      <c r="BI3" s="235" t="s">
        <v>1223</v>
      </c>
      <c r="BJ3" s="259" t="s">
        <v>1221</v>
      </c>
      <c r="BK3" s="259" t="s">
        <v>1129</v>
      </c>
      <c r="BL3" s="326" t="s">
        <v>1163</v>
      </c>
      <c r="BM3" s="330" t="s">
        <v>1222</v>
      </c>
      <c r="BN3" s="259" t="s">
        <v>779</v>
      </c>
      <c r="BO3" s="330" t="s">
        <v>1099</v>
      </c>
      <c r="BP3" s="256" t="s">
        <v>821</v>
      </c>
      <c r="BQ3" s="259" t="s">
        <v>780</v>
      </c>
      <c r="BR3" s="297" t="s">
        <v>1192</v>
      </c>
      <c r="BS3" s="297" t="s">
        <v>1188</v>
      </c>
      <c r="BT3" s="408" t="s">
        <v>951</v>
      </c>
      <c r="BU3" s="320" t="s">
        <v>1117</v>
      </c>
      <c r="BV3" s="326" t="s">
        <v>1150</v>
      </c>
      <c r="BW3" s="42" t="s">
        <v>1170</v>
      </c>
      <c r="BX3" s="77" t="s">
        <v>830</v>
      </c>
      <c r="BY3" s="77" t="s">
        <v>1191</v>
      </c>
      <c r="BZ3" s="183" t="s">
        <v>1083</v>
      </c>
      <c r="CA3" s="150" t="s">
        <v>1084</v>
      </c>
      <c r="CB3" s="84" t="s">
        <v>925</v>
      </c>
      <c r="CC3" s="54" t="s">
        <v>926</v>
      </c>
      <c r="CD3" s="54" t="s">
        <v>841</v>
      </c>
      <c r="CE3" s="54" t="s">
        <v>842</v>
      </c>
      <c r="CF3" s="54" t="s">
        <v>843</v>
      </c>
      <c r="CG3" s="54" t="s">
        <v>927</v>
      </c>
      <c r="CH3" s="54" t="s">
        <v>928</v>
      </c>
      <c r="CI3" s="54" t="s">
        <v>845</v>
      </c>
      <c r="CJ3" s="336" t="s">
        <v>796</v>
      </c>
      <c r="CK3" s="337" t="s">
        <v>929</v>
      </c>
      <c r="CL3" s="337" t="s">
        <v>795</v>
      </c>
      <c r="CM3" s="337" t="s">
        <v>797</v>
      </c>
      <c r="CN3" s="337" t="s">
        <v>807</v>
      </c>
      <c r="CO3" s="337" t="s">
        <v>930</v>
      </c>
      <c r="CP3" s="337" t="s">
        <v>798</v>
      </c>
      <c r="CQ3" s="338" t="s">
        <v>931</v>
      </c>
      <c r="CR3" s="32" t="s">
        <v>953</v>
      </c>
      <c r="CS3" s="32" t="s">
        <v>954</v>
      </c>
      <c r="CT3" s="53" t="s">
        <v>1006</v>
      </c>
      <c r="CU3" s="53" t="s">
        <v>932</v>
      </c>
      <c r="CV3" s="53" t="s">
        <v>1007</v>
      </c>
      <c r="CW3" s="53" t="s">
        <v>933</v>
      </c>
      <c r="CX3" s="335" t="s">
        <v>934</v>
      </c>
      <c r="CY3" s="410" t="s">
        <v>1116</v>
      </c>
      <c r="CZ3"/>
      <c r="DA3"/>
      <c r="DB3"/>
      <c r="DC3"/>
      <c r="DD3"/>
      <c r="DE3"/>
    </row>
    <row r="4" spans="1:109" s="24" customFormat="1" x14ac:dyDescent="0.2">
      <c r="A4" s="33"/>
      <c r="B4" s="33"/>
      <c r="C4" s="33"/>
      <c r="D4" s="263" t="s">
        <v>4</v>
      </c>
      <c r="E4" s="33"/>
      <c r="F4" s="253">
        <f>SUBTOTAL(109,F$15:INDEX(F:F,COUNTA($B:$B)+14-COUNTA($B$1:$B$14)))</f>
        <v>0</v>
      </c>
      <c r="G4" s="311"/>
      <c r="H4" s="70">
        <f>SUBTOTAL(109,H$15:INDEX(H:H,COUNTA($B:$B)+14-COUNTA($B$1:$B$14)))</f>
        <v>0</v>
      </c>
      <c r="I4" s="311"/>
      <c r="J4" s="179" t="str">
        <f>IF(SUM($F4)=0,"",SUM($H4)/$F4)</f>
        <v/>
      </c>
      <c r="K4" s="189"/>
      <c r="L4" s="179" t="str">
        <f>IF(SUM($F4)=0,"",SUM($N4)/$F4)</f>
        <v/>
      </c>
      <c r="M4" s="189"/>
      <c r="N4" s="67">
        <f>SUBTOTAL(109,N$15:INDEX(N:N,COUNTA($B:$B)+14-COUNTA($B$1:$B$14)))</f>
        <v>0</v>
      </c>
      <c r="O4" s="189"/>
      <c r="P4" s="70">
        <f>SUBTOTAL(109,P$15:INDEX(P:P,COUNTA($B:$B)+14-COUNTA($B$1:$B$14)))</f>
        <v>0</v>
      </c>
      <c r="Q4" s="189"/>
      <c r="R4" s="70">
        <f>SUBTOTAL(109,R$15:INDEX(R:R,COUNTA($B:$B)+14-COUNTA($B$1:$B$14)))</f>
        <v>0</v>
      </c>
      <c r="S4" s="311"/>
      <c r="T4" s="70">
        <f>SUBTOTAL(109,T$15:INDEX(T:T,COUNTA($B:$B)+14-COUNTA($B$1:$B$14)))</f>
        <v>0</v>
      </c>
      <c r="U4" s="311"/>
      <c r="V4" s="70">
        <f>SUBTOTAL(109,V$15:INDEX(V:V,COUNTA($B:$B)+14-COUNTA($B$1:$B$14)))</f>
        <v>0</v>
      </c>
      <c r="W4" s="311"/>
      <c r="X4" s="70">
        <f>SUBTOTAL(109,X$15:INDEX(X:X,COUNTA($B:$B)+14-COUNTA($B$1:$B$14)))</f>
        <v>0</v>
      </c>
      <c r="Y4" s="311"/>
      <c r="Z4" s="104">
        <f>SUBTOTAL(109,Z$15:INDEX(Z:Z,COUNTA($B:$B)+14-COUNTA($B$1:$B$14)))</f>
        <v>0</v>
      </c>
      <c r="AA4" s="343">
        <f>SUBTOTAL(109,AA$15:INDEX(AA:AA,COUNTA($B:$B)+14-COUNTA($B$1:$B$14)))</f>
        <v>0</v>
      </c>
      <c r="AB4" s="343">
        <f>SUBTOTAL(109,AB$15:INDEX(AB:AB,COUNTA($B:$B)+14-COUNTA($B$1:$B$14)))</f>
        <v>0</v>
      </c>
      <c r="AC4" s="300">
        <f>SUBTOTAL(109,AC$15:INDEX(AC:AC,COUNTA($B:$B)+14-COUNTA($B$1:$B$14)))</f>
        <v>0</v>
      </c>
      <c r="AD4" s="101">
        <f>SUBTOTAL(109,AD$15:INDEX(AD:AD,COUNTA($B:$B)+14-COUNTA($B$1:$B$14)))</f>
        <v>0</v>
      </c>
      <c r="AE4" s="104">
        <f>SUBTOTAL(109,AE$15:INDEX(AE:AE,COUNTA($B:$B)+14-COUNTA($B$1:$B$14)))</f>
        <v>0</v>
      </c>
      <c r="AF4" s="343">
        <f>SUBTOTAL(109,AF$15:INDEX(AF:AF,COUNTA($B:$B)+14-COUNTA($B$1:$B$14)))</f>
        <v>0</v>
      </c>
      <c r="AG4" s="343">
        <f>SUBTOTAL(109,AG$15:INDEX(AG:AG,COUNTA($B:$B)+14-COUNTA($B$1:$B$14)))</f>
        <v>0</v>
      </c>
      <c r="AH4" s="119">
        <f>SUBTOTAL(109,AH$15:INDEX(AH:AH,COUNTA($B:$B)+14-COUNTA($B$1:$B$14)))</f>
        <v>0</v>
      </c>
      <c r="AI4" s="101">
        <f>SUBTOTAL(109,AI$15:INDEX(AI:AI,COUNTA($B:$B)+14-COUNTA($B$1:$B$14)))</f>
        <v>0</v>
      </c>
      <c r="AJ4" s="143" t="str">
        <f>IF(SUM($T4)=0,IF(SUM($R4)=0,IF(AND(SUM($AG4)=0,SUM($AB4)=0),"",1),IF(SUM($AB4)=0,SUM($AG4),$AB4)/$R4),IF(SUM($AG4)=0,IF(SUM($R4)=0,SUM($AB4)/$T4,SUM($AB4)/$R4),$AG4/$T4))</f>
        <v/>
      </c>
      <c r="AK4" s="229" t="str">
        <f>IF(SUM($AN4)=0,"",SUM($AP4)/$AN4)</f>
        <v/>
      </c>
      <c r="AL4" s="229" t="str">
        <f>IF(SUM($H4)=0,"",IF(SUM($X4)=0,IF(SUM($AI4)=0,SUM($AD4),$AI4)/IF(SUM($AJ4)=0,1,$AJ4)/$H4,$X4/$H4))</f>
        <v/>
      </c>
      <c r="AM4" s="321" t="str">
        <f>IF(SUM($H4,$N4)=0,"",SUM($AN4)/SUM($H4,$N4))</f>
        <v/>
      </c>
      <c r="AN4" s="158">
        <f>SUBTOTAL(109,AN$15:INDEX(AN:AN,COUNTA($B:$B)+14-COUNTA($B$1:$B$14)))</f>
        <v>0</v>
      </c>
      <c r="AO4" s="402">
        <f>SUBTOTAL(109,AO$15:INDEX(AO:AO,COUNTA($B:$B)+14-COUNTA($B$1:$B$14)))</f>
        <v>0</v>
      </c>
      <c r="AP4" s="158">
        <f>SUBTOTAL(109,AP$15:INDEX(AP:AP,COUNTA($B:$B)+14-COUNTA($B$1:$B$14)))</f>
        <v>0</v>
      </c>
      <c r="AQ4" s="143" t="str">
        <f>IF(SUM($V4)=0,"",SUM($X4)/$V4)</f>
        <v/>
      </c>
      <c r="AR4" s="229" t="str">
        <f>IF(SUM($AC4)=0,"",SUM($AD4)/$AC4)</f>
        <v/>
      </c>
      <c r="AS4" s="229" t="str">
        <f>IF(SUM($AH4)=0,"",SUM($AI4)/$AH4)</f>
        <v/>
      </c>
      <c r="AT4" s="229" t="str">
        <f>IF(SUM($AU4)=0,"",SUM($AP4)/$AU4)</f>
        <v/>
      </c>
      <c r="AU4" s="87">
        <f>SUBTOTAL(109,AU$15:INDEX(AU:AU,COUNTA($B:$B)+14-COUNTA($B$1:$B$14)))</f>
        <v>0</v>
      </c>
      <c r="AV4" s="143" t="str">
        <f>IF(SUM($H4)=0,"",SUM($P4)/$H4)</f>
        <v/>
      </c>
      <c r="AW4" s="300">
        <f>SUBTOTAL(109,AW$15:INDEX(AW:AW,COUNTA($B:$B)+14-COUNTA($B$1:$B$14)))</f>
        <v>0</v>
      </c>
      <c r="AX4" s="229" t="str">
        <f>IF($N$4=0,"",($BH$4/$AK$4)/$N$4)</f>
        <v/>
      </c>
      <c r="AY4" s="321" t="str">
        <f>IF(SUM($P4)=0,"",SUM($T4)/$P4)</f>
        <v/>
      </c>
      <c r="AZ4" s="300">
        <f>SUBTOTAL(109,AZ$15:INDEX(AZ:AZ,COUNTA($B:$B)+14-COUNTA($B$1:$B$14)))</f>
        <v>0</v>
      </c>
      <c r="BA4" s="151" t="str">
        <f>IF(SUM($Z4)=0,"",SUM($AA4)/$Z4)</f>
        <v/>
      </c>
      <c r="BB4" s="151" t="str">
        <f>IF(SUM($AE4)=0,"",SUM($AF4)/$AE4)</f>
        <v/>
      </c>
      <c r="BC4" s="229" t="str">
        <f>IF($CB$4=0,"",$BN$4/$CB$4)</f>
        <v/>
      </c>
      <c r="BD4" s="229" t="str">
        <f>IF(SUM($BJ$4)=0,"",(SUM($BK$4)-SUM($AG$4))/$BJ$4)</f>
        <v/>
      </c>
      <c r="BE4" s="229" t="str">
        <f>IF(SUM($T4)=0,"",SUM($V4)/$T4)</f>
        <v/>
      </c>
      <c r="BF4" s="229" t="str">
        <f>IF(SUM($AG4)=0,"",SUM($AH4)/$AG4)</f>
        <v/>
      </c>
      <c r="BG4" s="229" t="str">
        <f>IF(SUM($BK$4)=0,"",SUM($AU$4)/SUM($BK$4))</f>
        <v/>
      </c>
      <c r="BH4" s="303">
        <f>SUBTOTAL(109,BH$15:INDEX(BH:BH,COUNTA($B:$B)+14-COUNTA($B$1:$B$14)))</f>
        <v>0</v>
      </c>
      <c r="BI4" s="303">
        <f>SUBTOTAL(109,BI$15:INDEX(BI:BI,COUNTA($B:$B)+14-COUNTA($B$1:$B$14)))</f>
        <v>0</v>
      </c>
      <c r="BJ4" s="118">
        <f>SUBTOTAL(109,BJ$15:INDEX(BJ:BJ,COUNTA($B:$B)+14-COUNTA($B$1:$B$14)))</f>
        <v>0</v>
      </c>
      <c r="BK4" s="87">
        <f>SUBTOTAL(109,BK$15:INDEX(BK:BK,COUNTA($B:$B)+14-COUNTA($B$1:$B$14)))</f>
        <v>0</v>
      </c>
      <c r="BL4" s="327" t="str">
        <f>IF(SUM($BK$4)=0,"",SUM($AU$4)/SUM($BK$4))</f>
        <v/>
      </c>
      <c r="BM4" s="143" t="str">
        <f>IF($BI$4=0,"",($BN$4-$BH$4)/$BI$4)</f>
        <v/>
      </c>
      <c r="BN4" s="118">
        <f>SUBTOTAL(109,BN$15:INDEX(BN:BN,COUNTA($B:$B)+14-COUNTA($B$1:$B$14)))</f>
        <v>0</v>
      </c>
      <c r="BO4" s="143"/>
      <c r="BP4" s="229"/>
      <c r="BQ4" s="87">
        <f>SUBTOTAL(109,BQ$15:INDEX(BQ:BQ,COUNTA($B:$B)+14-COUNTA($B$1:$B$14)))</f>
        <v>0</v>
      </c>
      <c r="BR4" s="343">
        <f>SUBTOTAL(109,BR$15:INDEX(BR:BR,COUNTA($B:$B)+14-COUNTA($B$1:$B$14)))</f>
        <v>0</v>
      </c>
      <c r="BS4" s="343">
        <f>SUBTOTAL(109,BS$15:INDEX(BS:BS,COUNTA($B:$B)+14-COUNTA($B$1:$B$14)))</f>
        <v>0</v>
      </c>
      <c r="BT4" s="402">
        <f>SUBTOTAL(109,BT$15:INDEX(BT:BT,COUNTA($B:$B)+14-COUNTA($B$1:$B$14)))</f>
        <v>0</v>
      </c>
      <c r="BU4" s="229" t="str">
        <f>IF(SUM($H4)=0,"",SUM($T4)/$H4)</f>
        <v/>
      </c>
      <c r="BV4" s="327" t="str">
        <f>IF(SUM($H4,$N4)=0,"",SUM($BT4)/SUM($H4,$N4))</f>
        <v/>
      </c>
      <c r="BW4" s="143" t="str">
        <f>IF(SUM($BN4)=0,"",SUM($BX4)/$BN4)</f>
        <v/>
      </c>
      <c r="BX4" s="85">
        <f>SUBTOTAL(109,BX$15:INDEX(BX:BX,COUNTA($B:$B)+14-COUNTA($B$1:$B$14)))</f>
        <v>0</v>
      </c>
      <c r="BY4" s="85">
        <f>SUBTOTAL(109,BY$15:INDEX(BY:BY,COUNTA($B:$B)+14-COUNTA($B$1:$B$14)))</f>
        <v>0</v>
      </c>
      <c r="BZ4" s="151"/>
      <c r="CA4" s="151" t="str">
        <f>IF(SUM($CB4)=0,"",SUM($CC4)/$CB4)</f>
        <v/>
      </c>
      <c r="CB4" s="87">
        <f>SUBTOTAL(109,CB$15:INDEX(CB:CB,COUNTA($B:$B)+14-COUNTA($B$1:$B$14)))</f>
        <v>0</v>
      </c>
      <c r="CC4" s="87">
        <f>SUBTOTAL(109,CC$15:INDEX(CC:CC,COUNTA($B:$B)+14-COUNTA($B$1:$B$14)))</f>
        <v>0</v>
      </c>
      <c r="CD4" s="70">
        <f>SUBTOTAL(109,CD$15:INDEX(CD:CD,COUNTA($B:$B)+14-COUNTA($B$1:$B$14)))</f>
        <v>0</v>
      </c>
      <c r="CE4" s="118">
        <f>SUBTOTAL(109,CE$15:INDEX(CE:CE,COUNTA($B:$B)+14-COUNTA($B$1:$B$14)))</f>
        <v>0</v>
      </c>
      <c r="CF4" s="55">
        <f>SUBTOTAL(109,CF$15:INDEX(CF:CF,COUNTA($B:$B)+14-COUNTA($B$1:$B$14)))</f>
        <v>0</v>
      </c>
      <c r="CG4" s="55">
        <f>SUBTOTAL(109,CG$15:INDEX(CG:CG,COUNTA($B:$B)+14-COUNTA($B$1:$B$14)))</f>
        <v>0</v>
      </c>
      <c r="CH4" s="55">
        <f>SUBTOTAL(109,CH$15:INDEX(CH:CH,COUNTA($B:$B)+14-COUNTA($B$1:$B$14)))</f>
        <v>0</v>
      </c>
      <c r="CI4" s="87">
        <f>IF(COUNTIF(CI$15:INDEX(CI:CI,COUNTA($B:$B)+14-COUNTA($B$1:$B$14)),"&lt;0")&gt;0,"Negatives",SUBTOTAL(109,CI$15:INDEX(CI:CI,COUNTA($B:$B)+14-COUNTA($B$1:$B$14))))</f>
        <v>0</v>
      </c>
      <c r="CJ4" s="339" t="str">
        <f>IF(SUM($CB4)=0,"",SUM($CC4)/$CB4)</f>
        <v/>
      </c>
      <c r="CK4" s="340" t="str">
        <f>IF(SUM($CB4)=0,"",SUM($CD4)/$CB4)</f>
        <v/>
      </c>
      <c r="CL4" s="340" t="str">
        <f>IF(SUM($CB4)=0,"",SUM($CE4)/$CB4)</f>
        <v/>
      </c>
      <c r="CM4" s="340" t="str">
        <f>IF(SUM($CB4)=0,"",SUM($CF4)/$CB4)</f>
        <v/>
      </c>
      <c r="CN4" s="340" t="str">
        <f>IF(SUM($CB4)=0,"",SUM($CG4)/$CB4)</f>
        <v/>
      </c>
      <c r="CO4" s="340" t="str">
        <f>IF(SUM($CB4)=0,"",SUM($CH4)/$CB4)</f>
        <v/>
      </c>
      <c r="CP4" s="340" t="str">
        <f>IF(SUM($CB4)=0,"",SUM($CI4)/$CB4)</f>
        <v/>
      </c>
      <c r="CQ4" s="143" t="str">
        <f>IF(SUM($CC4)=0,"",SUM($CT4)/$CC4)</f>
        <v/>
      </c>
      <c r="CR4" s="34" t="str">
        <f>IF(SUM($CU4,$CT4)=0,"",SUM($CT4)/SUM($CU4,$CT4))</f>
        <v/>
      </c>
      <c r="CS4" s="34" t="str">
        <f>IF(SUM($CV4,$CW4)=0,"",SUM($CV4)/SUM($CV4,$CW4))</f>
        <v/>
      </c>
      <c r="CT4" s="55">
        <f>SUBTOTAL(109,CT$15:INDEX(CT:CT,COUNTA($B:$B)+14-COUNTA($B$1:$B$14)))</f>
        <v>0</v>
      </c>
      <c r="CU4" s="55">
        <f>SUBTOTAL(109,CU$15:INDEX(CU:CU,COUNTA($B:$B)+14-COUNTA($B$1:$B$14)))</f>
        <v>0</v>
      </c>
      <c r="CV4" s="55">
        <f>SUBTOTAL(109,CV$15:INDEX(CV:CV,COUNTA($B:$B)+14-COUNTA($B$1:$B$14)))</f>
        <v>0</v>
      </c>
      <c r="CW4" s="55">
        <f>SUBTOTAL(109,CW$15:INDEX(CW:CW,COUNTA($B:$B)+14-COUNTA($B$1:$B$14)))</f>
        <v>0</v>
      </c>
      <c r="CX4" s="34" t="str">
        <f>IF(SUM($CB4)=0,"",SUM($CT4,$CV4)/$CB4)</f>
        <v/>
      </c>
      <c r="CY4" s="411">
        <f>SUBTOTAL(109,CY$15:INDEX(CY:CY,COUNTA($B:$B)+14-COUNTA($B$1:$B$14)))</f>
        <v>0</v>
      </c>
      <c r="CZ4"/>
      <c r="DA4"/>
      <c r="DB4"/>
      <c r="DC4"/>
      <c r="DD4"/>
      <c r="DE4"/>
    </row>
    <row r="5" spans="1:109" s="24" customFormat="1" x14ac:dyDescent="0.2">
      <c r="A5" s="26" t="s">
        <v>98</v>
      </c>
      <c r="B5" s="26" t="s">
        <v>98</v>
      </c>
      <c r="C5" s="26" t="s">
        <v>98</v>
      </c>
      <c r="D5" s="264" t="s">
        <v>98</v>
      </c>
      <c r="E5" s="26" t="s">
        <v>98</v>
      </c>
      <c r="F5" s="106" t="s">
        <v>106</v>
      </c>
      <c r="G5" s="20" t="s">
        <v>98</v>
      </c>
      <c r="H5" s="56" t="s">
        <v>106</v>
      </c>
      <c r="I5" s="20" t="s">
        <v>98</v>
      </c>
      <c r="J5" s="180" t="s">
        <v>106</v>
      </c>
      <c r="K5" s="20" t="s">
        <v>98</v>
      </c>
      <c r="L5" s="182" t="s">
        <v>98</v>
      </c>
      <c r="M5" s="20" t="s">
        <v>98</v>
      </c>
      <c r="N5" s="68" t="s">
        <v>98</v>
      </c>
      <c r="O5" s="20" t="s">
        <v>98</v>
      </c>
      <c r="P5" s="56" t="s">
        <v>107</v>
      </c>
      <c r="Q5" s="20" t="s">
        <v>98</v>
      </c>
      <c r="R5" s="56" t="s">
        <v>107</v>
      </c>
      <c r="S5" s="20" t="s">
        <v>98</v>
      </c>
      <c r="T5" s="56" t="s">
        <v>107</v>
      </c>
      <c r="U5" s="20" t="s">
        <v>98</v>
      </c>
      <c r="V5" s="56" t="s">
        <v>98</v>
      </c>
      <c r="W5" s="20" t="s">
        <v>98</v>
      </c>
      <c r="X5" s="56" t="s">
        <v>107</v>
      </c>
      <c r="Y5" s="20" t="s">
        <v>98</v>
      </c>
      <c r="Z5" s="82" t="s">
        <v>98</v>
      </c>
      <c r="AA5" s="344" t="s">
        <v>109</v>
      </c>
      <c r="AB5" s="344" t="s">
        <v>109</v>
      </c>
      <c r="AC5" s="81" t="s">
        <v>109</v>
      </c>
      <c r="AD5" s="81" t="s">
        <v>109</v>
      </c>
      <c r="AE5" s="82" t="s">
        <v>98</v>
      </c>
      <c r="AF5" s="344" t="s">
        <v>109</v>
      </c>
      <c r="AG5" s="344" t="s">
        <v>109</v>
      </c>
      <c r="AH5" s="81" t="s">
        <v>109</v>
      </c>
      <c r="AI5" s="81" t="s">
        <v>109</v>
      </c>
      <c r="AJ5" s="144" t="s">
        <v>98</v>
      </c>
      <c r="AK5" s="230" t="s">
        <v>98</v>
      </c>
      <c r="AL5" s="230" t="s">
        <v>98</v>
      </c>
      <c r="AM5" s="255" t="s">
        <v>98</v>
      </c>
      <c r="AN5" s="88" t="s">
        <v>107</v>
      </c>
      <c r="AO5" s="106" t="s">
        <v>98</v>
      </c>
      <c r="AP5" s="88" t="s">
        <v>109</v>
      </c>
      <c r="AQ5" s="144" t="s">
        <v>98</v>
      </c>
      <c r="AR5" s="230" t="s">
        <v>98</v>
      </c>
      <c r="AS5" s="230" t="s">
        <v>98</v>
      </c>
      <c r="AT5" s="230" t="s">
        <v>98</v>
      </c>
      <c r="AU5" s="88" t="s">
        <v>109</v>
      </c>
      <c r="AV5" s="144" t="s">
        <v>98</v>
      </c>
      <c r="AW5" s="102" t="s">
        <v>98</v>
      </c>
      <c r="AX5" s="230" t="s">
        <v>98</v>
      </c>
      <c r="AY5" s="255" t="s">
        <v>98</v>
      </c>
      <c r="AZ5" s="81" t="s">
        <v>98</v>
      </c>
      <c r="BA5" s="152" t="s">
        <v>98</v>
      </c>
      <c r="BB5" s="152" t="s">
        <v>98</v>
      </c>
      <c r="BC5" s="230" t="s">
        <v>98</v>
      </c>
      <c r="BD5" s="230" t="s">
        <v>98</v>
      </c>
      <c r="BE5" s="230" t="s">
        <v>98</v>
      </c>
      <c r="BF5" s="230" t="s">
        <v>98</v>
      </c>
      <c r="BG5" s="230" t="s">
        <v>98</v>
      </c>
      <c r="BH5" s="199" t="s">
        <v>98</v>
      </c>
      <c r="BI5" s="199" t="s">
        <v>98</v>
      </c>
      <c r="BJ5" s="199" t="s">
        <v>98</v>
      </c>
      <c r="BK5" s="88" t="s">
        <v>98</v>
      </c>
      <c r="BL5" s="328" t="s">
        <v>98</v>
      </c>
      <c r="BM5" s="144" t="s">
        <v>98</v>
      </c>
      <c r="BN5" s="199" t="s">
        <v>109</v>
      </c>
      <c r="BO5" s="144" t="s">
        <v>98</v>
      </c>
      <c r="BP5" s="230" t="s">
        <v>98</v>
      </c>
      <c r="BQ5" s="88" t="s">
        <v>109</v>
      </c>
      <c r="BR5" s="81" t="s">
        <v>98</v>
      </c>
      <c r="BS5" s="81" t="s">
        <v>98</v>
      </c>
      <c r="BT5" s="106" t="s">
        <v>107</v>
      </c>
      <c r="BU5" s="152" t="s">
        <v>98</v>
      </c>
      <c r="BV5" s="328" t="s">
        <v>98</v>
      </c>
      <c r="BW5" s="144" t="s">
        <v>98</v>
      </c>
      <c r="BX5" s="59" t="s">
        <v>98</v>
      </c>
      <c r="BY5" s="59" t="s">
        <v>98</v>
      </c>
      <c r="BZ5" s="152" t="s">
        <v>98</v>
      </c>
      <c r="CA5" s="152" t="s">
        <v>98</v>
      </c>
      <c r="CB5" s="88" t="s">
        <v>98</v>
      </c>
      <c r="CC5" s="56" t="s">
        <v>98</v>
      </c>
      <c r="CD5" s="56" t="s">
        <v>98</v>
      </c>
      <c r="CE5" s="56" t="s">
        <v>98</v>
      </c>
      <c r="CF5" s="56" t="s">
        <v>98</v>
      </c>
      <c r="CG5" s="56" t="s">
        <v>98</v>
      </c>
      <c r="CH5" s="56" t="s">
        <v>98</v>
      </c>
      <c r="CI5" s="56" t="s">
        <v>98</v>
      </c>
      <c r="CJ5" s="144" t="s">
        <v>98</v>
      </c>
      <c r="CK5" s="230" t="s">
        <v>98</v>
      </c>
      <c r="CL5" s="230" t="s">
        <v>98</v>
      </c>
      <c r="CM5" s="230" t="s">
        <v>98</v>
      </c>
      <c r="CN5" s="230" t="s">
        <v>98</v>
      </c>
      <c r="CO5" s="230" t="s">
        <v>98</v>
      </c>
      <c r="CP5" s="230" t="s">
        <v>98</v>
      </c>
      <c r="CQ5" s="144" t="s">
        <v>98</v>
      </c>
      <c r="CR5" s="20" t="s">
        <v>98</v>
      </c>
      <c r="CS5" s="20" t="s">
        <v>98</v>
      </c>
      <c r="CT5" s="56" t="s">
        <v>109</v>
      </c>
      <c r="CU5" s="56" t="s">
        <v>109</v>
      </c>
      <c r="CV5" s="56" t="s">
        <v>109</v>
      </c>
      <c r="CW5" s="56" t="s">
        <v>109</v>
      </c>
      <c r="CX5" s="20" t="s">
        <v>98</v>
      </c>
      <c r="CY5" s="412" t="s">
        <v>107</v>
      </c>
      <c r="CZ5"/>
      <c r="DA5"/>
      <c r="DB5"/>
      <c r="DC5"/>
      <c r="DD5"/>
      <c r="DE5"/>
    </row>
    <row r="6" spans="1:109" s="24" customFormat="1" x14ac:dyDescent="0.2">
      <c r="A6" s="26" t="s">
        <v>200</v>
      </c>
      <c r="B6" s="26" t="s">
        <v>200</v>
      </c>
      <c r="C6" s="26" t="s">
        <v>200</v>
      </c>
      <c r="D6" s="264" t="s">
        <v>200</v>
      </c>
      <c r="E6" s="26" t="s">
        <v>200</v>
      </c>
      <c r="F6" s="106" t="s">
        <v>92</v>
      </c>
      <c r="G6" s="20" t="s">
        <v>93</v>
      </c>
      <c r="H6" s="56" t="s">
        <v>92</v>
      </c>
      <c r="I6" s="20" t="s">
        <v>93</v>
      </c>
      <c r="J6" s="180" t="s">
        <v>92</v>
      </c>
      <c r="K6" s="20" t="s">
        <v>93</v>
      </c>
      <c r="L6" s="182" t="s">
        <v>93</v>
      </c>
      <c r="M6" s="20" t="s">
        <v>93</v>
      </c>
      <c r="N6" s="68" t="s">
        <v>93</v>
      </c>
      <c r="O6" s="20" t="s">
        <v>93</v>
      </c>
      <c r="P6" s="56" t="s">
        <v>92</v>
      </c>
      <c r="Q6" s="20" t="s">
        <v>93</v>
      </c>
      <c r="R6" s="56" t="s">
        <v>767</v>
      </c>
      <c r="S6" s="20" t="s">
        <v>93</v>
      </c>
      <c r="T6" s="56" t="s">
        <v>92</v>
      </c>
      <c r="U6" s="20" t="s">
        <v>93</v>
      </c>
      <c r="V6" s="56" t="s">
        <v>93</v>
      </c>
      <c r="W6" s="20" t="s">
        <v>93</v>
      </c>
      <c r="X6" s="56" t="s">
        <v>92</v>
      </c>
      <c r="Y6" s="20" t="s">
        <v>93</v>
      </c>
      <c r="Z6" s="82" t="s">
        <v>111</v>
      </c>
      <c r="AA6" s="344" t="s">
        <v>110</v>
      </c>
      <c r="AB6" s="344" t="s">
        <v>110</v>
      </c>
      <c r="AC6" s="81" t="s">
        <v>110</v>
      </c>
      <c r="AD6" s="81" t="s">
        <v>110</v>
      </c>
      <c r="AE6" s="82" t="s">
        <v>111</v>
      </c>
      <c r="AF6" s="344" t="s">
        <v>110</v>
      </c>
      <c r="AG6" s="344" t="s">
        <v>110</v>
      </c>
      <c r="AH6" s="59" t="s">
        <v>110</v>
      </c>
      <c r="AI6" s="81" t="s">
        <v>110</v>
      </c>
      <c r="AJ6" s="144" t="s">
        <v>93</v>
      </c>
      <c r="AK6" s="230" t="s">
        <v>112</v>
      </c>
      <c r="AL6" s="230" t="s">
        <v>93</v>
      </c>
      <c r="AM6" s="255" t="s">
        <v>112</v>
      </c>
      <c r="AN6" s="88" t="s">
        <v>92</v>
      </c>
      <c r="AO6" s="106" t="s">
        <v>93</v>
      </c>
      <c r="AP6" s="88" t="s">
        <v>92</v>
      </c>
      <c r="AQ6" s="144" t="s">
        <v>93</v>
      </c>
      <c r="AR6" s="230" t="s">
        <v>93</v>
      </c>
      <c r="AS6" s="230" t="s">
        <v>93</v>
      </c>
      <c r="AT6" s="230" t="s">
        <v>112</v>
      </c>
      <c r="AU6" s="88" t="s">
        <v>92</v>
      </c>
      <c r="AV6" s="144" t="s">
        <v>93</v>
      </c>
      <c r="AW6" s="102" t="s">
        <v>93</v>
      </c>
      <c r="AX6" s="230" t="s">
        <v>112</v>
      </c>
      <c r="AY6" s="255" t="s">
        <v>93</v>
      </c>
      <c r="AZ6" s="81" t="s">
        <v>93</v>
      </c>
      <c r="BA6" s="152" t="s">
        <v>93</v>
      </c>
      <c r="BB6" s="152" t="s">
        <v>93</v>
      </c>
      <c r="BC6" s="230" t="s">
        <v>112</v>
      </c>
      <c r="BD6" s="230" t="s">
        <v>112</v>
      </c>
      <c r="BE6" s="230" t="s">
        <v>93</v>
      </c>
      <c r="BF6" s="230" t="s">
        <v>93</v>
      </c>
      <c r="BG6" s="230" t="s">
        <v>112</v>
      </c>
      <c r="BH6" s="199" t="s">
        <v>93</v>
      </c>
      <c r="BI6" s="199" t="s">
        <v>93</v>
      </c>
      <c r="BJ6" s="199" t="s">
        <v>93</v>
      </c>
      <c r="BK6" s="88" t="s">
        <v>93</v>
      </c>
      <c r="BL6" s="328" t="s">
        <v>93</v>
      </c>
      <c r="BM6" s="144" t="s">
        <v>112</v>
      </c>
      <c r="BN6" s="199" t="s">
        <v>92</v>
      </c>
      <c r="BO6" s="144" t="s">
        <v>112</v>
      </c>
      <c r="BP6" s="230" t="s">
        <v>112</v>
      </c>
      <c r="BQ6" s="88" t="s">
        <v>92</v>
      </c>
      <c r="BR6" s="81" t="s">
        <v>93</v>
      </c>
      <c r="BS6" s="81" t="s">
        <v>93</v>
      </c>
      <c r="BT6" s="106" t="s">
        <v>92</v>
      </c>
      <c r="BU6" s="152" t="s">
        <v>93</v>
      </c>
      <c r="BV6" s="328" t="s">
        <v>93</v>
      </c>
      <c r="BW6" s="144" t="s">
        <v>112</v>
      </c>
      <c r="BX6" s="59" t="s">
        <v>93</v>
      </c>
      <c r="BY6" s="59" t="s">
        <v>93</v>
      </c>
      <c r="BZ6" s="152" t="s">
        <v>111</v>
      </c>
      <c r="CA6" s="152" t="s">
        <v>112</v>
      </c>
      <c r="CB6" s="88" t="s">
        <v>93</v>
      </c>
      <c r="CC6" s="56" t="s">
        <v>93</v>
      </c>
      <c r="CD6" s="56" t="s">
        <v>93</v>
      </c>
      <c r="CE6" s="56" t="s">
        <v>93</v>
      </c>
      <c r="CF6" s="56" t="s">
        <v>93</v>
      </c>
      <c r="CG6" s="56" t="s">
        <v>93</v>
      </c>
      <c r="CH6" s="56" t="s">
        <v>93</v>
      </c>
      <c r="CI6" s="56" t="s">
        <v>93</v>
      </c>
      <c r="CJ6" s="144" t="s">
        <v>93</v>
      </c>
      <c r="CK6" s="230" t="s">
        <v>93</v>
      </c>
      <c r="CL6" s="230" t="s">
        <v>93</v>
      </c>
      <c r="CM6" s="230" t="s">
        <v>93</v>
      </c>
      <c r="CN6" s="230" t="s">
        <v>93</v>
      </c>
      <c r="CO6" s="230" t="s">
        <v>93</v>
      </c>
      <c r="CP6" s="230" t="s">
        <v>93</v>
      </c>
      <c r="CQ6" s="144" t="s">
        <v>111</v>
      </c>
      <c r="CR6" s="20" t="s">
        <v>111</v>
      </c>
      <c r="CS6" s="20" t="s">
        <v>111</v>
      </c>
      <c r="CT6" s="56" t="s">
        <v>92</v>
      </c>
      <c r="CU6" s="56" t="s">
        <v>92</v>
      </c>
      <c r="CV6" s="56" t="s">
        <v>92</v>
      </c>
      <c r="CW6" s="56" t="s">
        <v>92</v>
      </c>
      <c r="CX6" s="20" t="s">
        <v>93</v>
      </c>
      <c r="CY6" s="412" t="s">
        <v>92</v>
      </c>
      <c r="CZ6"/>
      <c r="DA6"/>
      <c r="DB6"/>
      <c r="DC6"/>
      <c r="DD6"/>
      <c r="DE6"/>
    </row>
    <row r="7" spans="1:109" s="24" customFormat="1" x14ac:dyDescent="0.2">
      <c r="A7" s="26" t="s">
        <v>108</v>
      </c>
      <c r="B7" s="26" t="s">
        <v>108</v>
      </c>
      <c r="C7" s="26" t="s">
        <v>108</v>
      </c>
      <c r="D7" s="264" t="s">
        <v>108</v>
      </c>
      <c r="E7" s="26" t="s">
        <v>108</v>
      </c>
      <c r="F7" s="106" t="s">
        <v>94</v>
      </c>
      <c r="G7" s="20" t="s">
        <v>95</v>
      </c>
      <c r="H7" s="56" t="s">
        <v>94</v>
      </c>
      <c r="I7" s="20" t="s">
        <v>95</v>
      </c>
      <c r="J7" s="180" t="s">
        <v>95</v>
      </c>
      <c r="K7" s="20" t="s">
        <v>95</v>
      </c>
      <c r="L7" s="182" t="s">
        <v>95</v>
      </c>
      <c r="M7" s="20" t="s">
        <v>95</v>
      </c>
      <c r="N7" s="68" t="s">
        <v>94</v>
      </c>
      <c r="O7" s="20" t="s">
        <v>95</v>
      </c>
      <c r="P7" s="56" t="s">
        <v>94</v>
      </c>
      <c r="Q7" s="20" t="s">
        <v>95</v>
      </c>
      <c r="R7" s="56" t="s">
        <v>94</v>
      </c>
      <c r="S7" s="20" t="s">
        <v>95</v>
      </c>
      <c r="T7" s="56" t="s">
        <v>94</v>
      </c>
      <c r="U7" s="20" t="s">
        <v>95</v>
      </c>
      <c r="V7" s="56" t="s">
        <v>94</v>
      </c>
      <c r="W7" s="20" t="s">
        <v>95</v>
      </c>
      <c r="X7" s="56" t="s">
        <v>94</v>
      </c>
      <c r="Y7" s="20" t="s">
        <v>95</v>
      </c>
      <c r="Z7" s="82" t="s">
        <v>94</v>
      </c>
      <c r="AA7" s="344" t="s">
        <v>94</v>
      </c>
      <c r="AB7" s="344" t="s">
        <v>94</v>
      </c>
      <c r="AC7" s="81" t="s">
        <v>94</v>
      </c>
      <c r="AD7" s="81" t="s">
        <v>94</v>
      </c>
      <c r="AE7" s="82" t="s">
        <v>94</v>
      </c>
      <c r="AF7" s="344" t="s">
        <v>94</v>
      </c>
      <c r="AG7" s="344" t="s">
        <v>94</v>
      </c>
      <c r="AH7" s="59" t="s">
        <v>94</v>
      </c>
      <c r="AI7" s="81" t="s">
        <v>94</v>
      </c>
      <c r="AJ7" s="144" t="s">
        <v>95</v>
      </c>
      <c r="AK7" s="230" t="s">
        <v>95</v>
      </c>
      <c r="AL7" s="230" t="s">
        <v>95</v>
      </c>
      <c r="AM7" s="255" t="s">
        <v>95</v>
      </c>
      <c r="AN7" s="88" t="s">
        <v>94</v>
      </c>
      <c r="AO7" s="106" t="s">
        <v>94</v>
      </c>
      <c r="AP7" s="88" t="s">
        <v>94</v>
      </c>
      <c r="AQ7" s="144" t="s">
        <v>95</v>
      </c>
      <c r="AR7" s="230" t="s">
        <v>95</v>
      </c>
      <c r="AS7" s="230" t="s">
        <v>95</v>
      </c>
      <c r="AT7" s="230" t="s">
        <v>95</v>
      </c>
      <c r="AU7" s="88" t="s">
        <v>94</v>
      </c>
      <c r="AV7" s="144" t="s">
        <v>95</v>
      </c>
      <c r="AW7" s="102" t="s">
        <v>94</v>
      </c>
      <c r="AX7" s="230" t="s">
        <v>95</v>
      </c>
      <c r="AY7" s="255" t="s">
        <v>95</v>
      </c>
      <c r="AZ7" s="81" t="s">
        <v>94</v>
      </c>
      <c r="BA7" s="152" t="s">
        <v>95</v>
      </c>
      <c r="BB7" s="152" t="s">
        <v>95</v>
      </c>
      <c r="BC7" s="230" t="s">
        <v>95</v>
      </c>
      <c r="BD7" s="230" t="s">
        <v>95</v>
      </c>
      <c r="BE7" s="230" t="s">
        <v>95</v>
      </c>
      <c r="BF7" s="230" t="s">
        <v>95</v>
      </c>
      <c r="BG7" s="230" t="s">
        <v>95</v>
      </c>
      <c r="BH7" s="199" t="s">
        <v>94</v>
      </c>
      <c r="BI7" s="199" t="s">
        <v>94</v>
      </c>
      <c r="BJ7" s="199" t="s">
        <v>94</v>
      </c>
      <c r="BK7" s="88" t="s">
        <v>94</v>
      </c>
      <c r="BL7" s="328" t="s">
        <v>95</v>
      </c>
      <c r="BM7" s="144" t="s">
        <v>95</v>
      </c>
      <c r="BN7" s="199" t="s">
        <v>94</v>
      </c>
      <c r="BO7" s="144" t="s">
        <v>95</v>
      </c>
      <c r="BP7" s="230" t="s">
        <v>95</v>
      </c>
      <c r="BQ7" s="88" t="s">
        <v>94</v>
      </c>
      <c r="BR7" s="81" t="s">
        <v>94</v>
      </c>
      <c r="BS7" s="81" t="s">
        <v>94</v>
      </c>
      <c r="BT7" s="106" t="s">
        <v>94</v>
      </c>
      <c r="BU7" s="152" t="s">
        <v>95</v>
      </c>
      <c r="BV7" s="328" t="s">
        <v>95</v>
      </c>
      <c r="BW7" s="144" t="s">
        <v>95</v>
      </c>
      <c r="BX7" s="59" t="s">
        <v>94</v>
      </c>
      <c r="BY7" s="59" t="s">
        <v>94</v>
      </c>
      <c r="BZ7" s="152" t="s">
        <v>95</v>
      </c>
      <c r="CA7" s="152" t="s">
        <v>95</v>
      </c>
      <c r="CB7" s="88" t="s">
        <v>94</v>
      </c>
      <c r="CC7" s="56" t="s">
        <v>94</v>
      </c>
      <c r="CD7" s="56" t="s">
        <v>94</v>
      </c>
      <c r="CE7" s="56" t="s">
        <v>94</v>
      </c>
      <c r="CF7" s="56" t="s">
        <v>94</v>
      </c>
      <c r="CG7" s="56" t="s">
        <v>94</v>
      </c>
      <c r="CH7" s="56" t="s">
        <v>94</v>
      </c>
      <c r="CI7" s="56" t="s">
        <v>94</v>
      </c>
      <c r="CJ7" s="144" t="s">
        <v>95</v>
      </c>
      <c r="CK7" s="230" t="s">
        <v>95</v>
      </c>
      <c r="CL7" s="230" t="s">
        <v>95</v>
      </c>
      <c r="CM7" s="230" t="s">
        <v>95</v>
      </c>
      <c r="CN7" s="230" t="s">
        <v>95</v>
      </c>
      <c r="CO7" s="230" t="s">
        <v>95</v>
      </c>
      <c r="CP7" s="230" t="s">
        <v>95</v>
      </c>
      <c r="CQ7" s="144" t="s">
        <v>95</v>
      </c>
      <c r="CR7" s="20" t="s">
        <v>95</v>
      </c>
      <c r="CS7" s="20" t="s">
        <v>95</v>
      </c>
      <c r="CT7" s="56" t="s">
        <v>94</v>
      </c>
      <c r="CU7" s="56" t="s">
        <v>94</v>
      </c>
      <c r="CV7" s="56" t="s">
        <v>94</v>
      </c>
      <c r="CW7" s="56" t="s">
        <v>94</v>
      </c>
      <c r="CX7" s="20" t="s">
        <v>95</v>
      </c>
      <c r="CY7" s="412" t="s">
        <v>94</v>
      </c>
      <c r="CZ7"/>
      <c r="DA7"/>
      <c r="DB7"/>
      <c r="DC7"/>
      <c r="DD7"/>
      <c r="DE7"/>
    </row>
    <row r="8" spans="1:109" s="291" customFormat="1" x14ac:dyDescent="0.2">
      <c r="A8" s="292"/>
      <c r="B8" s="292"/>
      <c r="C8" s="292"/>
      <c r="D8" s="348"/>
      <c r="E8" s="292"/>
      <c r="F8" s="403" t="s">
        <v>96</v>
      </c>
      <c r="G8" s="295"/>
      <c r="H8" s="103" t="s">
        <v>287</v>
      </c>
      <c r="I8" s="295"/>
      <c r="J8" s="349" t="s">
        <v>97</v>
      </c>
      <c r="K8" s="295"/>
      <c r="L8" s="384"/>
      <c r="M8" s="295"/>
      <c r="N8" s="197"/>
      <c r="O8" s="295"/>
      <c r="P8" s="103" t="s">
        <v>99</v>
      </c>
      <c r="Q8" s="295"/>
      <c r="R8" s="103" t="s">
        <v>608</v>
      </c>
      <c r="S8" s="295"/>
      <c r="T8" s="103" t="s">
        <v>291</v>
      </c>
      <c r="U8" s="295"/>
      <c r="V8" s="103"/>
      <c r="W8" s="295"/>
      <c r="X8" s="103" t="s">
        <v>100</v>
      </c>
      <c r="Y8" s="295"/>
      <c r="Z8" s="196"/>
      <c r="AA8" s="350" t="s">
        <v>947</v>
      </c>
      <c r="AB8" s="350" t="s">
        <v>762</v>
      </c>
      <c r="AC8" s="348" t="s">
        <v>141</v>
      </c>
      <c r="AD8" s="348" t="s">
        <v>884</v>
      </c>
      <c r="AE8" s="196"/>
      <c r="AF8" s="350" t="s">
        <v>137</v>
      </c>
      <c r="AG8" s="350" t="s">
        <v>135</v>
      </c>
      <c r="AH8" s="156" t="s">
        <v>139</v>
      </c>
      <c r="AI8" s="348" t="s">
        <v>784</v>
      </c>
      <c r="AJ8" s="294"/>
      <c r="AK8" s="351"/>
      <c r="AL8" s="351"/>
      <c r="AM8" s="355"/>
      <c r="AN8" s="357" t="s">
        <v>100</v>
      </c>
      <c r="AO8" s="403"/>
      <c r="AP8" s="357" t="s">
        <v>784</v>
      </c>
      <c r="AQ8" s="294"/>
      <c r="AR8" s="351"/>
      <c r="AS8" s="351"/>
      <c r="AT8" s="351"/>
      <c r="AU8" s="357" t="s">
        <v>139</v>
      </c>
      <c r="AV8" s="294"/>
      <c r="AW8" s="352"/>
      <c r="AX8" s="351"/>
      <c r="AY8" s="355"/>
      <c r="AZ8" s="348"/>
      <c r="BA8" s="354"/>
      <c r="BB8" s="354"/>
      <c r="BC8" s="351"/>
      <c r="BD8" s="351"/>
      <c r="BE8" s="351"/>
      <c r="BF8" s="351"/>
      <c r="BG8" s="351"/>
      <c r="BH8" s="353"/>
      <c r="BI8" s="353"/>
      <c r="BJ8" s="353"/>
      <c r="BK8" s="357"/>
      <c r="BL8" s="356"/>
      <c r="BM8" s="294"/>
      <c r="BN8" s="353" t="s">
        <v>137</v>
      </c>
      <c r="BO8" s="294"/>
      <c r="BP8" s="351"/>
      <c r="BQ8" s="357" t="s">
        <v>135</v>
      </c>
      <c r="BR8" s="348"/>
      <c r="BS8" s="348"/>
      <c r="BT8" s="403" t="s">
        <v>291</v>
      </c>
      <c r="BU8" s="354"/>
      <c r="BV8" s="356"/>
      <c r="BW8" s="294"/>
      <c r="BX8" s="156"/>
      <c r="BY8" s="156"/>
      <c r="BZ8" s="354"/>
      <c r="CA8" s="354"/>
      <c r="CB8" s="357"/>
      <c r="CC8" s="357"/>
      <c r="CD8" s="103"/>
      <c r="CE8" s="357"/>
      <c r="CF8" s="103"/>
      <c r="CG8" s="103"/>
      <c r="CH8" s="103"/>
      <c r="CI8" s="357"/>
      <c r="CJ8" s="294"/>
      <c r="CK8" s="351"/>
      <c r="CL8" s="351"/>
      <c r="CM8" s="351"/>
      <c r="CN8" s="351"/>
      <c r="CO8" s="351"/>
      <c r="CP8" s="351"/>
      <c r="CQ8" s="294"/>
      <c r="CR8" s="295"/>
      <c r="CS8" s="295"/>
      <c r="CT8" s="103" t="s">
        <v>144</v>
      </c>
      <c r="CU8" s="103" t="s">
        <v>144</v>
      </c>
      <c r="CV8" s="103" t="s">
        <v>146</v>
      </c>
      <c r="CW8" s="103" t="s">
        <v>146</v>
      </c>
      <c r="CX8" s="295"/>
      <c r="CY8" s="413" t="s">
        <v>99</v>
      </c>
      <c r="CZ8" s="17"/>
      <c r="DA8" s="17"/>
      <c r="DB8" s="17"/>
      <c r="DC8" s="17"/>
      <c r="DD8" s="17"/>
      <c r="DE8" s="17"/>
    </row>
    <row r="9" spans="1:109" s="291" customFormat="1" x14ac:dyDescent="0.2">
      <c r="A9" s="292"/>
      <c r="B9" s="292"/>
      <c r="C9" s="292"/>
      <c r="D9" s="348"/>
      <c r="E9" s="292"/>
      <c r="F9" s="403"/>
      <c r="G9" s="295"/>
      <c r="H9" s="103"/>
      <c r="I9" s="295"/>
      <c r="J9" s="349"/>
      <c r="K9" s="295"/>
      <c r="L9" s="384"/>
      <c r="M9" s="295"/>
      <c r="N9" s="197"/>
      <c r="O9" s="295"/>
      <c r="P9" s="103"/>
      <c r="Q9" s="295"/>
      <c r="R9" s="103"/>
      <c r="S9" s="295"/>
      <c r="T9" s="103"/>
      <c r="U9" s="295"/>
      <c r="V9" s="103"/>
      <c r="W9" s="295"/>
      <c r="X9" s="103"/>
      <c r="Y9" s="295"/>
      <c r="Z9" s="196"/>
      <c r="AA9" s="350" t="s">
        <v>948</v>
      </c>
      <c r="AB9" s="350" t="s">
        <v>273</v>
      </c>
      <c r="AC9" s="348" t="s">
        <v>1081</v>
      </c>
      <c r="AD9" s="348" t="s">
        <v>885</v>
      </c>
      <c r="AE9" s="196"/>
      <c r="AF9" s="350" t="s">
        <v>138</v>
      </c>
      <c r="AG9" s="350" t="s">
        <v>136</v>
      </c>
      <c r="AH9" s="156" t="s">
        <v>140</v>
      </c>
      <c r="AI9" s="348" t="s">
        <v>785</v>
      </c>
      <c r="AJ9" s="294"/>
      <c r="AK9" s="351"/>
      <c r="AL9" s="351"/>
      <c r="AM9" s="355"/>
      <c r="AN9" s="357"/>
      <c r="AO9" s="403"/>
      <c r="AP9" s="357" t="s">
        <v>785</v>
      </c>
      <c r="AQ9" s="294"/>
      <c r="AR9" s="351"/>
      <c r="AS9" s="351"/>
      <c r="AT9" s="351"/>
      <c r="AU9" s="357" t="s">
        <v>140</v>
      </c>
      <c r="AV9" s="294"/>
      <c r="AW9" s="352"/>
      <c r="AX9" s="351"/>
      <c r="AY9" s="355"/>
      <c r="AZ9" s="348"/>
      <c r="BA9" s="354"/>
      <c r="BB9" s="354"/>
      <c r="BC9" s="351"/>
      <c r="BD9" s="351"/>
      <c r="BE9" s="351"/>
      <c r="BF9" s="351"/>
      <c r="BG9" s="351"/>
      <c r="BH9" s="353"/>
      <c r="BI9" s="353"/>
      <c r="BJ9" s="353"/>
      <c r="BK9" s="357"/>
      <c r="BL9" s="356"/>
      <c r="BM9" s="294"/>
      <c r="BN9" s="353" t="s">
        <v>138</v>
      </c>
      <c r="BO9" s="294"/>
      <c r="BP9" s="351"/>
      <c r="BQ9" s="357" t="s">
        <v>136</v>
      </c>
      <c r="BR9" s="348"/>
      <c r="BS9" s="348"/>
      <c r="BT9" s="403"/>
      <c r="BU9" s="354"/>
      <c r="BV9" s="356"/>
      <c r="BW9" s="294"/>
      <c r="BX9" s="156"/>
      <c r="BY9" s="156"/>
      <c r="BZ9" s="354"/>
      <c r="CA9" s="354"/>
      <c r="CB9" s="357"/>
      <c r="CC9" s="357"/>
      <c r="CD9" s="103"/>
      <c r="CE9" s="357"/>
      <c r="CF9" s="103"/>
      <c r="CG9" s="103"/>
      <c r="CH9" s="103"/>
      <c r="CI9" s="357"/>
      <c r="CJ9" s="294"/>
      <c r="CK9" s="351"/>
      <c r="CL9" s="351"/>
      <c r="CM9" s="351"/>
      <c r="CN9" s="351"/>
      <c r="CO9" s="351"/>
      <c r="CP9" s="351"/>
      <c r="CQ9" s="294"/>
      <c r="CR9" s="295"/>
      <c r="CS9" s="295"/>
      <c r="CT9" s="103" t="s">
        <v>145</v>
      </c>
      <c r="CU9" s="103" t="s">
        <v>145</v>
      </c>
      <c r="CV9" s="103" t="s">
        <v>147</v>
      </c>
      <c r="CW9" s="103" t="s">
        <v>147</v>
      </c>
      <c r="CX9" s="358"/>
      <c r="CY9" s="413"/>
      <c r="CZ9" s="17"/>
      <c r="DA9" s="17"/>
      <c r="DB9" s="17"/>
      <c r="DC9" s="17"/>
      <c r="DD9" s="17"/>
      <c r="DE9" s="17"/>
    </row>
    <row r="10" spans="1:109" s="291" customFormat="1" x14ac:dyDescent="0.2">
      <c r="A10" s="292"/>
      <c r="B10" s="292"/>
      <c r="C10" s="292"/>
      <c r="D10" s="348"/>
      <c r="E10" s="292"/>
      <c r="F10" s="403"/>
      <c r="G10" s="295"/>
      <c r="H10" s="103" t="s">
        <v>104</v>
      </c>
      <c r="I10" s="295"/>
      <c r="J10" s="349"/>
      <c r="K10" s="295"/>
      <c r="L10" s="384"/>
      <c r="M10" s="295"/>
      <c r="N10" s="197"/>
      <c r="O10" s="295"/>
      <c r="P10" s="103" t="s">
        <v>104</v>
      </c>
      <c r="Q10" s="295"/>
      <c r="R10" s="103" t="s">
        <v>104</v>
      </c>
      <c r="S10" s="295"/>
      <c r="T10" s="103" t="s">
        <v>104</v>
      </c>
      <c r="U10" s="295"/>
      <c r="V10" s="103"/>
      <c r="W10" s="295"/>
      <c r="X10" s="103" t="s">
        <v>104</v>
      </c>
      <c r="Y10" s="295"/>
      <c r="Z10" s="196"/>
      <c r="AA10" s="350" t="s">
        <v>104</v>
      </c>
      <c r="AB10" s="350" t="s">
        <v>104</v>
      </c>
      <c r="AC10" s="348" t="s">
        <v>141</v>
      </c>
      <c r="AD10" s="348" t="s">
        <v>141</v>
      </c>
      <c r="AE10" s="196"/>
      <c r="AF10" s="350" t="s">
        <v>104</v>
      </c>
      <c r="AG10" s="350" t="s">
        <v>104</v>
      </c>
      <c r="AH10" s="350" t="s">
        <v>141</v>
      </c>
      <c r="AI10" s="350" t="s">
        <v>141</v>
      </c>
      <c r="AJ10" s="294"/>
      <c r="AK10" s="351"/>
      <c r="AL10" s="351"/>
      <c r="AM10" s="355"/>
      <c r="AN10" s="357" t="s">
        <v>104</v>
      </c>
      <c r="AO10" s="403"/>
      <c r="AP10" s="357" t="s">
        <v>141</v>
      </c>
      <c r="AQ10" s="294"/>
      <c r="AR10" s="351"/>
      <c r="AS10" s="351"/>
      <c r="AT10" s="351"/>
      <c r="AU10" s="357" t="s">
        <v>141</v>
      </c>
      <c r="AV10" s="294"/>
      <c r="AW10" s="352"/>
      <c r="AX10" s="351"/>
      <c r="AY10" s="355"/>
      <c r="AZ10" s="348"/>
      <c r="BA10" s="354"/>
      <c r="BB10" s="354"/>
      <c r="BC10" s="351"/>
      <c r="BD10" s="351"/>
      <c r="BE10" s="351"/>
      <c r="BF10" s="351"/>
      <c r="BG10" s="351"/>
      <c r="BH10" s="353"/>
      <c r="BI10" s="353"/>
      <c r="BJ10" s="353"/>
      <c r="BK10" s="357"/>
      <c r="BL10" s="356"/>
      <c r="BM10" s="294"/>
      <c r="BN10" s="353" t="s">
        <v>104</v>
      </c>
      <c r="BO10" s="294"/>
      <c r="BP10" s="351"/>
      <c r="BQ10" s="357" t="s">
        <v>104</v>
      </c>
      <c r="BR10" s="348"/>
      <c r="BS10" s="348"/>
      <c r="BT10" s="403" t="s">
        <v>104</v>
      </c>
      <c r="BU10" s="354"/>
      <c r="BV10" s="356"/>
      <c r="BW10" s="294"/>
      <c r="BX10" s="156"/>
      <c r="BY10" s="156"/>
      <c r="BZ10" s="354"/>
      <c r="CA10" s="354"/>
      <c r="CB10" s="357"/>
      <c r="CC10" s="357"/>
      <c r="CD10" s="103"/>
      <c r="CE10" s="357"/>
      <c r="CF10" s="103"/>
      <c r="CG10" s="103"/>
      <c r="CH10" s="103"/>
      <c r="CI10" s="357"/>
      <c r="CJ10" s="294"/>
      <c r="CK10" s="351"/>
      <c r="CL10" s="351"/>
      <c r="CM10" s="351"/>
      <c r="CN10" s="351"/>
      <c r="CO10" s="351"/>
      <c r="CP10" s="351"/>
      <c r="CQ10" s="294"/>
      <c r="CR10" s="295"/>
      <c r="CS10" s="295"/>
      <c r="CT10" s="103" t="s">
        <v>102</v>
      </c>
      <c r="CU10" s="103" t="s">
        <v>103</v>
      </c>
      <c r="CV10" s="103" t="s">
        <v>102</v>
      </c>
      <c r="CW10" s="103" t="s">
        <v>103</v>
      </c>
      <c r="CX10" s="295"/>
      <c r="CY10" s="413" t="s">
        <v>104</v>
      </c>
      <c r="CZ10" s="17"/>
      <c r="DA10" s="17"/>
      <c r="DB10" s="17"/>
      <c r="DC10" s="17"/>
      <c r="DD10" s="17"/>
      <c r="DE10" s="17"/>
    </row>
    <row r="11" spans="1:109" s="24" customFormat="1" x14ac:dyDescent="0.2">
      <c r="A11" s="26"/>
      <c r="B11" s="26"/>
      <c r="C11" s="26"/>
      <c r="D11" s="81"/>
      <c r="E11" s="26"/>
      <c r="F11" s="106" t="s">
        <v>202</v>
      </c>
      <c r="G11" s="20" t="s">
        <v>202</v>
      </c>
      <c r="H11" s="56" t="s">
        <v>202</v>
      </c>
      <c r="I11" s="20" t="s">
        <v>202</v>
      </c>
      <c r="J11" s="180" t="s">
        <v>202</v>
      </c>
      <c r="K11" s="20" t="s">
        <v>202</v>
      </c>
      <c r="L11" s="182" t="s">
        <v>202</v>
      </c>
      <c r="M11" s="20" t="s">
        <v>202</v>
      </c>
      <c r="N11" s="68" t="s">
        <v>202</v>
      </c>
      <c r="O11" s="20" t="s">
        <v>202</v>
      </c>
      <c r="P11" s="56" t="s">
        <v>202</v>
      </c>
      <c r="Q11" s="20" t="s">
        <v>202</v>
      </c>
      <c r="R11" s="56" t="s">
        <v>202</v>
      </c>
      <c r="S11" s="20" t="s">
        <v>202</v>
      </c>
      <c r="T11" s="56" t="s">
        <v>202</v>
      </c>
      <c r="U11" s="20" t="s">
        <v>202</v>
      </c>
      <c r="V11" s="56" t="s">
        <v>202</v>
      </c>
      <c r="W11" s="20" t="s">
        <v>202</v>
      </c>
      <c r="X11" s="56" t="s">
        <v>202</v>
      </c>
      <c r="Y11" s="20" t="s">
        <v>202</v>
      </c>
      <c r="Z11" s="82" t="s">
        <v>202</v>
      </c>
      <c r="AA11" s="344" t="s">
        <v>202</v>
      </c>
      <c r="AB11" s="344" t="s">
        <v>202</v>
      </c>
      <c r="AC11" s="81" t="s">
        <v>202</v>
      </c>
      <c r="AD11" s="81" t="s">
        <v>202</v>
      </c>
      <c r="AE11" s="82" t="s">
        <v>202</v>
      </c>
      <c r="AF11" s="344" t="s">
        <v>202</v>
      </c>
      <c r="AG11" s="344" t="s">
        <v>202</v>
      </c>
      <c r="AH11" s="59" t="s">
        <v>202</v>
      </c>
      <c r="AI11" s="344" t="s">
        <v>202</v>
      </c>
      <c r="AJ11" s="144" t="s">
        <v>202</v>
      </c>
      <c r="AK11" s="230" t="s">
        <v>202</v>
      </c>
      <c r="AL11" s="230" t="s">
        <v>202</v>
      </c>
      <c r="AM11" s="255" t="s">
        <v>202</v>
      </c>
      <c r="AN11" s="88" t="s">
        <v>202</v>
      </c>
      <c r="AO11" s="106" t="s">
        <v>38</v>
      </c>
      <c r="AP11" s="88" t="s">
        <v>202</v>
      </c>
      <c r="AQ11" s="144" t="s">
        <v>684</v>
      </c>
      <c r="AR11" s="230" t="s">
        <v>684</v>
      </c>
      <c r="AS11" s="230" t="s">
        <v>684</v>
      </c>
      <c r="AT11" s="230" t="s">
        <v>684</v>
      </c>
      <c r="AU11" s="88" t="s">
        <v>202</v>
      </c>
      <c r="AV11" s="144" t="s">
        <v>684</v>
      </c>
      <c r="AW11" s="102" t="s">
        <v>684</v>
      </c>
      <c r="AX11" s="230" t="s">
        <v>684</v>
      </c>
      <c r="AY11" s="255" t="s">
        <v>684</v>
      </c>
      <c r="AZ11" s="81" t="s">
        <v>684</v>
      </c>
      <c r="BA11" s="152" t="s">
        <v>684</v>
      </c>
      <c r="BB11" s="152" t="s">
        <v>684</v>
      </c>
      <c r="BC11" s="230" t="s">
        <v>684</v>
      </c>
      <c r="BD11" s="230" t="s">
        <v>684</v>
      </c>
      <c r="BE11" s="230" t="s">
        <v>684</v>
      </c>
      <c r="BF11" s="230" t="s">
        <v>684</v>
      </c>
      <c r="BG11" s="230" t="s">
        <v>684</v>
      </c>
      <c r="BH11" s="199" t="s">
        <v>202</v>
      </c>
      <c r="BI11" s="199" t="s">
        <v>684</v>
      </c>
      <c r="BJ11" s="199" t="s">
        <v>202</v>
      </c>
      <c r="BK11" s="88" t="s">
        <v>202</v>
      </c>
      <c r="BL11" s="328" t="s">
        <v>202</v>
      </c>
      <c r="BM11" s="144" t="s">
        <v>684</v>
      </c>
      <c r="BN11" s="199" t="s">
        <v>202</v>
      </c>
      <c r="BO11" s="144" t="s">
        <v>684</v>
      </c>
      <c r="BP11" s="230" t="s">
        <v>684</v>
      </c>
      <c r="BQ11" s="88" t="s">
        <v>202</v>
      </c>
      <c r="BR11" s="81" t="s">
        <v>202</v>
      </c>
      <c r="BS11" s="81" t="s">
        <v>202</v>
      </c>
      <c r="BT11" s="106" t="s">
        <v>202</v>
      </c>
      <c r="BU11" s="152" t="s">
        <v>202</v>
      </c>
      <c r="BV11" s="328" t="s">
        <v>202</v>
      </c>
      <c r="BW11" s="144" t="s">
        <v>684</v>
      </c>
      <c r="BX11" s="59" t="s">
        <v>684</v>
      </c>
      <c r="BY11" s="59" t="s">
        <v>202</v>
      </c>
      <c r="BZ11" s="152" t="s">
        <v>684</v>
      </c>
      <c r="CA11" s="152" t="s">
        <v>684</v>
      </c>
      <c r="CB11" s="88" t="s">
        <v>202</v>
      </c>
      <c r="CC11" s="88" t="s">
        <v>684</v>
      </c>
      <c r="CD11" s="56" t="s">
        <v>203</v>
      </c>
      <c r="CE11" s="88" t="s">
        <v>203</v>
      </c>
      <c r="CF11" s="56" t="s">
        <v>684</v>
      </c>
      <c r="CG11" s="56" t="s">
        <v>205</v>
      </c>
      <c r="CH11" s="56" t="s">
        <v>38</v>
      </c>
      <c r="CI11" s="88" t="s">
        <v>684</v>
      </c>
      <c r="CJ11" s="144" t="s">
        <v>684</v>
      </c>
      <c r="CK11" s="230" t="s">
        <v>203</v>
      </c>
      <c r="CL11" s="230" t="s">
        <v>203</v>
      </c>
      <c r="CM11" s="230" t="s">
        <v>684</v>
      </c>
      <c r="CN11" s="230" t="s">
        <v>205</v>
      </c>
      <c r="CO11" s="230" t="s">
        <v>38</v>
      </c>
      <c r="CP11" s="230" t="s">
        <v>684</v>
      </c>
      <c r="CQ11" s="144" t="s">
        <v>684</v>
      </c>
      <c r="CR11" s="20" t="s">
        <v>684</v>
      </c>
      <c r="CS11" s="20" t="s">
        <v>684</v>
      </c>
      <c r="CT11" s="56" t="s">
        <v>684</v>
      </c>
      <c r="CU11" s="56" t="s">
        <v>684</v>
      </c>
      <c r="CV11" s="56" t="s">
        <v>684</v>
      </c>
      <c r="CW11" s="56" t="s">
        <v>684</v>
      </c>
      <c r="CX11" s="20" t="s">
        <v>684</v>
      </c>
      <c r="CY11" s="412" t="s">
        <v>202</v>
      </c>
      <c r="CZ11"/>
      <c r="DA11"/>
      <c r="DB11"/>
      <c r="DC11"/>
      <c r="DD11"/>
      <c r="DE11"/>
    </row>
    <row r="12" spans="1:109" s="24" customFormat="1" x14ac:dyDescent="0.2">
      <c r="A12" s="26"/>
      <c r="B12" s="26"/>
      <c r="C12" s="26"/>
      <c r="D12" s="81"/>
      <c r="E12" s="26"/>
      <c r="F12" s="106" t="s">
        <v>201</v>
      </c>
      <c r="G12" s="20" t="s">
        <v>201</v>
      </c>
      <c r="H12" s="56" t="s">
        <v>201</v>
      </c>
      <c r="I12" s="20" t="s">
        <v>201</v>
      </c>
      <c r="J12" s="180" t="s">
        <v>201</v>
      </c>
      <c r="K12" s="20" t="s">
        <v>201</v>
      </c>
      <c r="L12" s="182" t="s">
        <v>201</v>
      </c>
      <c r="M12" s="20" t="s">
        <v>201</v>
      </c>
      <c r="N12" s="68" t="s">
        <v>201</v>
      </c>
      <c r="O12" s="20" t="s">
        <v>201</v>
      </c>
      <c r="P12" s="56" t="s">
        <v>201</v>
      </c>
      <c r="Q12" s="20" t="s">
        <v>201</v>
      </c>
      <c r="R12" s="56" t="s">
        <v>201</v>
      </c>
      <c r="S12" s="20" t="s">
        <v>201</v>
      </c>
      <c r="T12" s="56" t="s">
        <v>201</v>
      </c>
      <c r="U12" s="20" t="s">
        <v>201</v>
      </c>
      <c r="V12" s="56" t="s">
        <v>201</v>
      </c>
      <c r="W12" s="20" t="s">
        <v>201</v>
      </c>
      <c r="X12" s="56" t="s">
        <v>201</v>
      </c>
      <c r="Y12" s="20" t="s">
        <v>201</v>
      </c>
      <c r="Z12" s="82" t="s">
        <v>201</v>
      </c>
      <c r="AA12" s="344" t="s">
        <v>201</v>
      </c>
      <c r="AB12" s="344" t="s">
        <v>201</v>
      </c>
      <c r="AC12" s="81" t="s">
        <v>201</v>
      </c>
      <c r="AD12" s="81" t="s">
        <v>201</v>
      </c>
      <c r="AE12" s="82" t="s">
        <v>201</v>
      </c>
      <c r="AF12" s="344" t="s">
        <v>201</v>
      </c>
      <c r="AG12" s="344" t="s">
        <v>201</v>
      </c>
      <c r="AH12" s="59" t="s">
        <v>201</v>
      </c>
      <c r="AI12" s="344" t="s">
        <v>201</v>
      </c>
      <c r="AJ12" s="144" t="s">
        <v>201</v>
      </c>
      <c r="AK12" s="230" t="s">
        <v>201</v>
      </c>
      <c r="AL12" s="230" t="s">
        <v>201</v>
      </c>
      <c r="AM12" s="255" t="s">
        <v>201</v>
      </c>
      <c r="AN12" s="88" t="s">
        <v>201</v>
      </c>
      <c r="AO12" s="106" t="s">
        <v>201</v>
      </c>
      <c r="AP12" s="88" t="s">
        <v>201</v>
      </c>
      <c r="AQ12" s="144" t="s">
        <v>201</v>
      </c>
      <c r="AR12" s="230" t="s">
        <v>201</v>
      </c>
      <c r="AS12" s="230" t="s">
        <v>201</v>
      </c>
      <c r="AT12" s="230" t="s">
        <v>201</v>
      </c>
      <c r="AU12" s="88" t="s">
        <v>201</v>
      </c>
      <c r="AV12" s="144" t="s">
        <v>201</v>
      </c>
      <c r="AW12" s="102" t="s">
        <v>201</v>
      </c>
      <c r="AX12" s="230" t="s">
        <v>201</v>
      </c>
      <c r="AY12" s="255" t="s">
        <v>201</v>
      </c>
      <c r="AZ12" s="81" t="s">
        <v>201</v>
      </c>
      <c r="BA12" s="152" t="s">
        <v>201</v>
      </c>
      <c r="BB12" s="152" t="s">
        <v>201</v>
      </c>
      <c r="BC12" s="230" t="s">
        <v>201</v>
      </c>
      <c r="BD12" s="230" t="s">
        <v>201</v>
      </c>
      <c r="BE12" s="230" t="s">
        <v>201</v>
      </c>
      <c r="BF12" s="230" t="s">
        <v>201</v>
      </c>
      <c r="BG12" s="230" t="s">
        <v>201</v>
      </c>
      <c r="BH12" s="199" t="s">
        <v>201</v>
      </c>
      <c r="BI12" s="199" t="s">
        <v>201</v>
      </c>
      <c r="BJ12" s="199" t="s">
        <v>201</v>
      </c>
      <c r="BK12" s="88" t="s">
        <v>201</v>
      </c>
      <c r="BL12" s="328" t="s">
        <v>201</v>
      </c>
      <c r="BM12" s="144" t="s">
        <v>201</v>
      </c>
      <c r="BN12" s="199" t="s">
        <v>201</v>
      </c>
      <c r="BO12" s="144" t="s">
        <v>201</v>
      </c>
      <c r="BP12" s="230" t="s">
        <v>201</v>
      </c>
      <c r="BQ12" s="88" t="s">
        <v>201</v>
      </c>
      <c r="BR12" s="81" t="s">
        <v>201</v>
      </c>
      <c r="BS12" s="81" t="s">
        <v>201</v>
      </c>
      <c r="BT12" s="106" t="s">
        <v>201</v>
      </c>
      <c r="BU12" s="152" t="s">
        <v>201</v>
      </c>
      <c r="BV12" s="328" t="s">
        <v>201</v>
      </c>
      <c r="BW12" s="144" t="s">
        <v>201</v>
      </c>
      <c r="BX12" s="59" t="s">
        <v>201</v>
      </c>
      <c r="BY12" s="59" t="s">
        <v>201</v>
      </c>
      <c r="BZ12" s="152" t="s">
        <v>201</v>
      </c>
      <c r="CA12" s="152" t="s">
        <v>201</v>
      </c>
      <c r="CB12" s="88" t="s">
        <v>201</v>
      </c>
      <c r="CC12" s="88" t="s">
        <v>201</v>
      </c>
      <c r="CD12" s="56" t="s">
        <v>685</v>
      </c>
      <c r="CE12" s="88" t="s">
        <v>685</v>
      </c>
      <c r="CF12" s="56" t="s">
        <v>201</v>
      </c>
      <c r="CG12" s="56" t="s">
        <v>686</v>
      </c>
      <c r="CH12" s="56" t="s">
        <v>201</v>
      </c>
      <c r="CI12" s="88" t="s">
        <v>201</v>
      </c>
      <c r="CJ12" s="144" t="s">
        <v>201</v>
      </c>
      <c r="CK12" s="230" t="s">
        <v>685</v>
      </c>
      <c r="CL12" s="230" t="s">
        <v>685</v>
      </c>
      <c r="CM12" s="230" t="s">
        <v>201</v>
      </c>
      <c r="CN12" s="230" t="s">
        <v>686</v>
      </c>
      <c r="CO12" s="230" t="s">
        <v>201</v>
      </c>
      <c r="CP12" s="230" t="s">
        <v>201</v>
      </c>
      <c r="CQ12" s="144" t="s">
        <v>201</v>
      </c>
      <c r="CR12" s="20" t="s">
        <v>201</v>
      </c>
      <c r="CS12" s="20" t="s">
        <v>201</v>
      </c>
      <c r="CT12" s="56" t="s">
        <v>201</v>
      </c>
      <c r="CU12" s="56" t="s">
        <v>201</v>
      </c>
      <c r="CV12" s="56" t="s">
        <v>201</v>
      </c>
      <c r="CW12" s="56" t="s">
        <v>201</v>
      </c>
      <c r="CX12" s="20" t="s">
        <v>201</v>
      </c>
      <c r="CY12" s="412" t="s">
        <v>201</v>
      </c>
      <c r="CZ12"/>
      <c r="DA12"/>
      <c r="DB12"/>
      <c r="DC12"/>
      <c r="DD12"/>
      <c r="DE12"/>
    </row>
    <row r="13" spans="1:109" s="24" customFormat="1" x14ac:dyDescent="0.2">
      <c r="A13" s="26"/>
      <c r="B13" s="26"/>
      <c r="C13" s="26"/>
      <c r="D13" s="81"/>
      <c r="E13" s="26"/>
      <c r="F13" s="106"/>
      <c r="G13" s="20"/>
      <c r="H13" s="56"/>
      <c r="I13" s="20"/>
      <c r="J13" s="180"/>
      <c r="K13" s="20"/>
      <c r="L13" s="182"/>
      <c r="M13" s="20"/>
      <c r="N13" s="68"/>
      <c r="O13" s="20"/>
      <c r="P13" s="56"/>
      <c r="Q13" s="20"/>
      <c r="R13" s="56"/>
      <c r="S13" s="20"/>
      <c r="T13" s="56"/>
      <c r="U13" s="20"/>
      <c r="V13" s="56"/>
      <c r="W13" s="20"/>
      <c r="X13" s="56"/>
      <c r="Y13" s="20"/>
      <c r="Z13" s="82"/>
      <c r="AA13" s="344"/>
      <c r="AB13" s="344"/>
      <c r="AC13" s="81"/>
      <c r="AD13" s="81"/>
      <c r="AE13" s="82"/>
      <c r="AF13" s="344"/>
      <c r="AG13" s="344"/>
      <c r="AH13" s="59"/>
      <c r="AI13" s="81"/>
      <c r="AJ13" s="144"/>
      <c r="AK13" s="230"/>
      <c r="AL13" s="230"/>
      <c r="AM13" s="255"/>
      <c r="AN13" s="88"/>
      <c r="AO13" s="106"/>
      <c r="AP13" s="88"/>
      <c r="AQ13" s="144"/>
      <c r="AR13" s="230"/>
      <c r="AS13" s="230"/>
      <c r="AT13" s="230"/>
      <c r="AU13" s="88"/>
      <c r="AV13" s="144"/>
      <c r="AW13" s="102"/>
      <c r="AX13" s="230"/>
      <c r="AY13" s="255"/>
      <c r="AZ13" s="81"/>
      <c r="BA13" s="152"/>
      <c r="BB13" s="152"/>
      <c r="BC13" s="230"/>
      <c r="BD13" s="230"/>
      <c r="BE13" s="230"/>
      <c r="BF13" s="230"/>
      <c r="BG13" s="230"/>
      <c r="BH13" s="199"/>
      <c r="BI13" s="199"/>
      <c r="BJ13" s="199"/>
      <c r="BK13" s="88"/>
      <c r="BL13" s="328"/>
      <c r="BM13" s="144"/>
      <c r="BN13" s="199"/>
      <c r="BO13" s="144"/>
      <c r="BP13" s="230"/>
      <c r="BQ13" s="88"/>
      <c r="BR13" s="81"/>
      <c r="BS13" s="81"/>
      <c r="BT13" s="106"/>
      <c r="BU13" s="152"/>
      <c r="BV13" s="328"/>
      <c r="BW13" s="144"/>
      <c r="BX13" s="59"/>
      <c r="BY13" s="59"/>
      <c r="BZ13" s="152"/>
      <c r="CA13" s="152"/>
      <c r="CB13" s="88"/>
      <c r="CC13" s="88"/>
      <c r="CD13" s="56"/>
      <c r="CE13" s="88"/>
      <c r="CF13" s="56"/>
      <c r="CG13" s="56"/>
      <c r="CH13" s="56"/>
      <c r="CI13" s="88"/>
      <c r="CJ13" s="144"/>
      <c r="CK13" s="230"/>
      <c r="CL13" s="230"/>
      <c r="CM13" s="230"/>
      <c r="CN13" s="230"/>
      <c r="CO13" s="230"/>
      <c r="CP13" s="230"/>
      <c r="CQ13" s="144"/>
      <c r="CR13" s="20"/>
      <c r="CS13" s="20"/>
      <c r="CT13" s="56"/>
      <c r="CU13" s="56"/>
      <c r="CV13" s="56"/>
      <c r="CW13" s="56"/>
      <c r="CX13" s="20"/>
      <c r="CY13" s="412"/>
      <c r="CZ13"/>
      <c r="DA13"/>
      <c r="DB13"/>
      <c r="DC13"/>
      <c r="DD13"/>
      <c r="DE13"/>
    </row>
    <row r="14" spans="1:109" s="44" customFormat="1" x14ac:dyDescent="0.2">
      <c r="A14" s="43" t="s">
        <v>583</v>
      </c>
      <c r="B14" s="43" t="s">
        <v>5</v>
      </c>
      <c r="C14" s="38" t="s">
        <v>35</v>
      </c>
      <c r="D14" s="265" t="s">
        <v>6</v>
      </c>
      <c r="E14" s="38" t="s">
        <v>75</v>
      </c>
      <c r="F14" s="232" t="s">
        <v>298</v>
      </c>
      <c r="G14" s="192" t="s">
        <v>937</v>
      </c>
      <c r="H14" s="155" t="s">
        <v>299</v>
      </c>
      <c r="I14" s="192" t="s">
        <v>936</v>
      </c>
      <c r="J14" s="181" t="s">
        <v>301</v>
      </c>
      <c r="K14" s="192" t="s">
        <v>935</v>
      </c>
      <c r="L14" s="181" t="s">
        <v>1124</v>
      </c>
      <c r="M14" s="192" t="s">
        <v>1125</v>
      </c>
      <c r="N14" s="155" t="s">
        <v>1103</v>
      </c>
      <c r="O14" s="192" t="s">
        <v>1104</v>
      </c>
      <c r="P14" s="155" t="s">
        <v>300</v>
      </c>
      <c r="Q14" s="312" t="s">
        <v>1037</v>
      </c>
      <c r="R14" s="155" t="s">
        <v>606</v>
      </c>
      <c r="S14" s="192" t="s">
        <v>705</v>
      </c>
      <c r="T14" s="155" t="s">
        <v>302</v>
      </c>
      <c r="U14" s="192" t="s">
        <v>706</v>
      </c>
      <c r="V14" s="155" t="s">
        <v>781</v>
      </c>
      <c r="W14" s="192" t="s">
        <v>923</v>
      </c>
      <c r="X14" s="76" t="s">
        <v>303</v>
      </c>
      <c r="Y14" s="192" t="s">
        <v>924</v>
      </c>
      <c r="Z14" s="157" t="s">
        <v>1078</v>
      </c>
      <c r="AA14" s="346" t="s">
        <v>949</v>
      </c>
      <c r="AB14" s="346" t="s">
        <v>311</v>
      </c>
      <c r="AC14" s="159" t="s">
        <v>1077</v>
      </c>
      <c r="AD14" s="83" t="s">
        <v>943</v>
      </c>
      <c r="AE14" s="157" t="s">
        <v>1079</v>
      </c>
      <c r="AF14" s="346" t="s">
        <v>950</v>
      </c>
      <c r="AG14" s="346" t="s">
        <v>312</v>
      </c>
      <c r="AH14" s="76" t="s">
        <v>1076</v>
      </c>
      <c r="AI14" s="83" t="s">
        <v>942</v>
      </c>
      <c r="AJ14" s="331" t="s">
        <v>941</v>
      </c>
      <c r="AK14" s="324" t="s">
        <v>939</v>
      </c>
      <c r="AL14" s="324" t="s">
        <v>1093</v>
      </c>
      <c r="AM14" s="231" t="s">
        <v>1120</v>
      </c>
      <c r="AN14" s="83" t="s">
        <v>940</v>
      </c>
      <c r="AO14" s="404" t="s">
        <v>968</v>
      </c>
      <c r="AP14" s="83" t="s">
        <v>917</v>
      </c>
      <c r="AQ14" s="317" t="s">
        <v>938</v>
      </c>
      <c r="AR14" s="324" t="s">
        <v>945</v>
      </c>
      <c r="AS14" s="324" t="s">
        <v>1091</v>
      </c>
      <c r="AT14" s="324" t="s">
        <v>946</v>
      </c>
      <c r="AU14" s="83" t="s">
        <v>316</v>
      </c>
      <c r="AV14" s="317" t="s">
        <v>503</v>
      </c>
      <c r="AW14" s="159" t="s">
        <v>1171</v>
      </c>
      <c r="AX14" s="231" t="s">
        <v>1225</v>
      </c>
      <c r="AY14" s="231" t="s">
        <v>497</v>
      </c>
      <c r="AZ14" s="159" t="s">
        <v>1172</v>
      </c>
      <c r="BA14" s="153" t="s">
        <v>500</v>
      </c>
      <c r="BB14" s="153" t="s">
        <v>1089</v>
      </c>
      <c r="BC14" s="324" t="s">
        <v>501</v>
      </c>
      <c r="BD14" s="324" t="s">
        <v>502</v>
      </c>
      <c r="BE14" s="231" t="s">
        <v>944</v>
      </c>
      <c r="BF14" s="324" t="s">
        <v>1090</v>
      </c>
      <c r="BG14" s="324" t="s">
        <v>1173</v>
      </c>
      <c r="BH14" s="195" t="s">
        <v>1176</v>
      </c>
      <c r="BI14" s="195" t="s">
        <v>1174</v>
      </c>
      <c r="BJ14" s="200" t="s">
        <v>1175</v>
      </c>
      <c r="BK14" s="83" t="s">
        <v>1121</v>
      </c>
      <c r="BL14" s="324" t="s">
        <v>1177</v>
      </c>
      <c r="BM14" s="331" t="s">
        <v>1178</v>
      </c>
      <c r="BN14" s="200" t="s">
        <v>314</v>
      </c>
      <c r="BO14" s="331" t="s">
        <v>474</v>
      </c>
      <c r="BP14" s="324" t="s">
        <v>475</v>
      </c>
      <c r="BQ14" s="83" t="s">
        <v>313</v>
      </c>
      <c r="BR14" s="422" t="s">
        <v>1189</v>
      </c>
      <c r="BS14" s="422" t="s">
        <v>1190</v>
      </c>
      <c r="BT14" s="404" t="s">
        <v>952</v>
      </c>
      <c r="BU14" s="231" t="s">
        <v>1179</v>
      </c>
      <c r="BV14" s="324" t="s">
        <v>1180</v>
      </c>
      <c r="BW14" s="145" t="s">
        <v>1181</v>
      </c>
      <c r="BX14" s="90" t="s">
        <v>476</v>
      </c>
      <c r="BY14" s="90" t="s">
        <v>1182</v>
      </c>
      <c r="BZ14" s="153" t="s">
        <v>956</v>
      </c>
      <c r="CA14" s="153" t="s">
        <v>965</v>
      </c>
      <c r="CB14" s="83" t="s">
        <v>563</v>
      </c>
      <c r="CC14" s="83" t="s">
        <v>571</v>
      </c>
      <c r="CD14" s="347" t="s">
        <v>367</v>
      </c>
      <c r="CE14" s="347" t="s">
        <v>369</v>
      </c>
      <c r="CF14" s="155" t="s">
        <v>365</v>
      </c>
      <c r="CG14" s="155" t="s">
        <v>371</v>
      </c>
      <c r="CH14" s="155" t="s">
        <v>522</v>
      </c>
      <c r="CI14" s="83" t="s">
        <v>569</v>
      </c>
      <c r="CJ14" s="145" t="s">
        <v>570</v>
      </c>
      <c r="CK14" s="341" t="s">
        <v>515</v>
      </c>
      <c r="CL14" s="341" t="s">
        <v>514</v>
      </c>
      <c r="CM14" s="341" t="s">
        <v>572</v>
      </c>
      <c r="CN14" s="341" t="s">
        <v>573</v>
      </c>
      <c r="CO14" s="341" t="s">
        <v>574</v>
      </c>
      <c r="CP14" s="341" t="s">
        <v>575</v>
      </c>
      <c r="CQ14" s="317" t="s">
        <v>333</v>
      </c>
      <c r="CR14" s="192" t="s">
        <v>334</v>
      </c>
      <c r="CS14" s="192" t="s">
        <v>335</v>
      </c>
      <c r="CT14" s="76" t="s">
        <v>336</v>
      </c>
      <c r="CU14" s="76" t="s">
        <v>337</v>
      </c>
      <c r="CV14" s="76" t="s">
        <v>338</v>
      </c>
      <c r="CW14" s="76" t="s">
        <v>339</v>
      </c>
      <c r="CX14" s="192" t="s">
        <v>964</v>
      </c>
      <c r="CY14" s="232" t="s">
        <v>582</v>
      </c>
    </row>
    <row r="15" spans="1:109" s="24" customFormat="1" x14ac:dyDescent="0.2">
      <c r="A15" s="26"/>
      <c r="B15" s="26"/>
      <c r="C15" s="26"/>
      <c r="D15" s="264"/>
      <c r="E15" s="26" t="str">
        <f>B15&amp;"|"&amp;C15&amp;"|"&amp;D15</f>
        <v>||</v>
      </c>
      <c r="F15" s="421" t="str">
        <f>IF(LEFT($B15,4)="_Mil","",_xlfn.IFNA(ROUND(INDEX(Spectrum!$N:$N,MATCH(RIGHT($B15,13)&amp;"|"&amp;$C15&amp;"|"&amp;$D15&amp;"|"&amp;F$14&amp;"|"&amp;"CY2022Q3",Spectrum!$Q:$Q,0)),0),""))</f>
        <v/>
      </c>
      <c r="G15" s="39" t="str">
        <f>IF(OR($F15="",LEFT($B15,4)="_Mil"),"",_xlfn.IFNA(INDEX(Spectrum!$P:$P,MATCH(RIGHT($B15,13)&amp;"|"&amp;$C15&amp;"|"&amp;$D15&amp;"|"&amp;F$14&amp;"|"&amp;"CY2022Q3",Spectrum!$Q:$Q,0)),""))</f>
        <v/>
      </c>
      <c r="H15" s="68" t="str">
        <f>IF(LEFT($B15,4)="_Mil","",_xlfn.IFNA(ROUND(INDEX(Spectrum!$N:$N,MATCH(RIGHT($B15,13)&amp;"|"&amp;$C15&amp;"|"&amp;$D15&amp;"|"&amp;H$14&amp;"|"&amp;"CY2022Q3",Spectrum!$Q:$Q,0)),0),""))</f>
        <v/>
      </c>
      <c r="I15" s="39" t="str">
        <f>IF(OR($H15="",LEFT($B15,4)="_Mil"),"",_xlfn.IFNA(INDEX(Spectrum!$P:$P,MATCH(RIGHT($B15,13)&amp;"|"&amp;$C15&amp;"|"&amp;$D15&amp;"|"&amp;H$14&amp;"|"&amp;"CY2022Q3",Spectrum!$Q:$Q,0)),""))</f>
        <v/>
      </c>
      <c r="J15" s="374" t="str">
        <f>IF(LEFT($B15,4)="_Mil","",_xlfn.IFNA(INDEX(Spectrum!$N:$N,MATCH(RIGHT($B15,13)&amp;"|"&amp;$C15&amp;"|"&amp;$D15&amp;"|"&amp;J$14&amp;"|"&amp;"CY2022Q3",Spectrum!$Q:$Q,0)),""))</f>
        <v/>
      </c>
      <c r="K15" s="39" t="str">
        <f>IF(OR($J15="",LEFT($B15,4)="_Mil"),"",_xlfn.IFNA(INDEX(Spectrum!$P:$P,MATCH(RIGHT($B15,13)&amp;"|"&amp;$C15&amp;"|"&amp;$D15&amp;"|"&amp;J$14&amp;"|"&amp;"CY2022Q3",Spectrum!$Q:$Q,0)),""))</f>
        <v/>
      </c>
      <c r="L15" s="418" t="str">
        <f>IF(LEFT($B15,4)="_Mil","",_xlfn.IFNA(INDEX(Spectrum!$N:$N,MATCH(RIGHT($B15,13)&amp;"|"&amp;$C15&amp;"|"&amp;$D15&amp;"|"&amp;L$14&amp;"|"&amp;"CY2022Q3",Spectrum!$Q:$Q,0)),""))</f>
        <v/>
      </c>
      <c r="M15" s="39" t="str">
        <f>IF(OR($J15="",LEFT($B15,4)="_Mil"),"",_xlfn.IFNA(INDEX(Spectrum!$P:$P,MATCH(RIGHT($B15,13)&amp;"|"&amp;$C15&amp;"|"&amp;$D15&amp;"|"&amp;L$14&amp;"|"&amp;"CY2022Q3",Spectrum!$Q:$Q,0)),""))</f>
        <v/>
      </c>
      <c r="N15" s="415" t="str">
        <f>IF(LEFT($B15,4)="_Mil","",_xlfn.IFNA(ROUND(INDEX(Spectrum!$N:$N,MATCH(RIGHT($B15,13)&amp;"|"&amp;$C15&amp;"|"&amp;$D15&amp;"|"&amp;N$14&amp;"|"&amp;"CY2022Q3",Spectrum!$Q:$Q,0)),0),""))</f>
        <v/>
      </c>
      <c r="O15" s="39" t="str">
        <f>IF(OR($P15="",LEFT($B15,4)="_Mil"),"",_xlfn.IFNA(INDEX(Spectrum!$P:$P,MATCH(RIGHT($B15,13)&amp;"|"&amp;$C15&amp;"|"&amp;$D15&amp;"|"&amp;N$14&amp;"|"&amp;"CY2022Q3",Spectrum!$Q:$Q,0)),""))</f>
        <v/>
      </c>
      <c r="P15" s="68" t="str">
        <f>IF(LEFT($B15,4)="_Mil","",_xlfn.IFNA(ROUND(INDEX(Spectrum!$N:$N,MATCH(RIGHT($B15,13)&amp;"|"&amp;$C15&amp;"|"&amp;$D15&amp;"|"&amp;P$14&amp;"|"&amp;"CY2022Q3",Spectrum!$Q:$Q,0)),0),""))</f>
        <v/>
      </c>
      <c r="Q15" s="39" t="str">
        <f>IF(OR($P15="",LEFT($B15,4)="_Mil"),"",_xlfn.IFNA(INDEX(Spectrum!$P:$P,MATCH(RIGHT($B15,13)&amp;"|"&amp;$C15&amp;"|"&amp;$D15&amp;"|"&amp;P$14&amp;"|"&amp;"CY2022Q3",Spectrum!$Q:$Q,0)),""))</f>
        <v/>
      </c>
      <c r="R15" s="56" t="str">
        <f>IF(LEFT($B15,4)="_Mil","",_xlfn.IFNA(ROUND(INDEX(Spectrum!$N:$N,MATCH(RIGHT($B15,13)&amp;"|"&amp;$C15&amp;"|"&amp;$D15&amp;"|"&amp;R$14&amp;"|"&amp;"CY2021Q4",Spectrum!$Q:$Q,0)),0),""))</f>
        <v/>
      </c>
      <c r="S15" s="39" t="str">
        <f>IF(OR($R15="",LEFT($B15,4)="_Mil"),"",_xlfn.IFNA(INDEX(Spectrum!$P:$P,MATCH(RIGHT($B15,13)&amp;"|"&amp;$C15&amp;"|"&amp;$D15&amp;"|"&amp;R$14&amp;"|"&amp;"CY2021Q4",Spectrum!$Q:$Q,0)),""))</f>
        <v/>
      </c>
      <c r="T15" s="56" t="str">
        <f>IF(LEFT($B15,4)="_Mil","",_xlfn.IFNA(ROUND(INDEX(Spectrum!$N:$N,MATCH(RIGHT($B15,13)&amp;"|"&amp;$C15&amp;"|"&amp;$D15&amp;"|"&amp;T$14&amp;"|"&amp;"CY2022Q3",Spectrum!$Q:$Q,0)),0),""))</f>
        <v/>
      </c>
      <c r="U15" s="39" t="str">
        <f>IF(OR($T15="",LEFT($B15,4)="_Mil"),"",_xlfn.IFNA(INDEX(Spectrum!$P:$P,MATCH(RIGHT($B15,13)&amp;"|"&amp;$C15&amp;"|"&amp;$D15&amp;"|"&amp;T$14&amp;"|"&amp;"CY2022Q3",Spectrum!$Q:$Q,0)),""))</f>
        <v/>
      </c>
      <c r="V15" s="71" t="str">
        <f>IF(LEFT($B15,4)="_Mil","",_xlfn.IFNA(ROUND(INDEX(Spectrum!$N:$N,MATCH(RIGHT($B15,13)&amp;"|"&amp;$C15&amp;"|"&amp;$D15&amp;"|"&amp;V$14&amp;"|"&amp;"CY2022Q3",Spectrum!$Q:$Q,0)),0),""))</f>
        <v/>
      </c>
      <c r="W15" s="39" t="str">
        <f>IF(OR($V15="",LEFT($B15,4)="_Mil"),"",_xlfn.IFNA(INDEX(Spectrum!$P:$P,MATCH(RIGHT($B15,13)&amp;"|"&amp;$C15&amp;"|"&amp;$D15&amp;"|"&amp;V$14&amp;"|"&amp;"CY2022Q3",Spectrum!$Q:$Q,0)),""))</f>
        <v/>
      </c>
      <c r="X15" s="68" t="str">
        <f>IF(LEFT($B15,4)="_Mil","",_xlfn.IFNA(ROUND(INDEX(Spectrum!$N:$N,MATCH(RIGHT($B15,13)&amp;"|"&amp;$C15&amp;"|"&amp;$D15&amp;"|"&amp;X$14&amp;"|"&amp;"CY2022Q3",Spectrum!$Q:$Q,0)),0),""))</f>
        <v/>
      </c>
      <c r="Y15" s="191" t="str">
        <f>IF(OR($X15="",LEFT($B15,4)="_Mil"),"",_xlfn.IFNA(INDEX(Spectrum!$P:$P,MATCH(RIGHT($B15,13)&amp;"|"&amp;$C15&amp;"|"&amp;$D15&amp;"|"&amp;X$14&amp;"|"&amp;"CY2022Q3",Spectrum!$Q:$Q,0)),""))</f>
        <v/>
      </c>
      <c r="Z15" s="96"/>
      <c r="AA15" s="298"/>
      <c r="AB15" s="298"/>
      <c r="AC15" s="102"/>
      <c r="AD15" s="298"/>
      <c r="AE15" s="96"/>
      <c r="AF15" s="298"/>
      <c r="AG15" s="298"/>
      <c r="AH15" s="63"/>
      <c r="AI15" s="298"/>
      <c r="AJ15" s="146" t="str">
        <f>IF(LEFT($B15,4)="_Mil","",IF(SUM($T15)=0,IF(SUM($R15)=0,IF(AND(SUM($AG15)=0,SUM($AB15)=0),"",1),IF(SUM($AB15)=0,SUM($AG15),$AB15)/$R15),IF(SUM($AG15)=0,IF(SUM($R15)=0,SUM($AB15)/$T15,SUM($AB15)/$R15),$AG15/$T15)))</f>
        <v/>
      </c>
      <c r="AK15" s="318" t="str">
        <f>$AJ15</f>
        <v/>
      </c>
      <c r="AL15" s="318" t="str">
        <f>IF(SUM($H15)=0,"",IF(SUM($X15)=0,IF(SUM($AI15)=0,SUM($AD15),$AI15)/IF(SUM($AJ15)=0,1,$AJ15),$X15)/$H15)</f>
        <v/>
      </c>
      <c r="AM15" s="255">
        <f>IF(LEFT($B15,4)="_Mil","",MAX($AL15,95%*95%*95%))</f>
        <v>0.85737499999999989</v>
      </c>
      <c r="AN15" s="201">
        <f>IF(LEFT($B15,4)="_Mil","",ROUND($AM15*SUM($H15,$N15),0))</f>
        <v>0</v>
      </c>
      <c r="AO15" s="406" t="str">
        <f>IF($C15="&lt;01",ROUND(INDEX(EID!$V:$V,MATCH($B15,EID!$B:$B,0))/2,0),"")</f>
        <v/>
      </c>
      <c r="AP15" s="201" t="str">
        <f>IF($C15="&lt;01",HYPERLINK("",$AO15),IF(LEFT($B15,4)="_Mil",HYPERLINK("","*For DOD Military Use Only"),IFERROR(HYPERLINK("",ROUND($AN15*AK15,0)),HYPERLINK("#Cascade!"&amp;ADDRESS(ROW(),COLUMN(AK15)),"&lt;- Add PEPFAR Contribution %"))))</f>
        <v>&lt;- Add PEPFAR Contribution %</v>
      </c>
      <c r="AQ15" s="144" t="str">
        <f>IF(OR(LEFT($B15,4)="_Mil",$C15="&lt;01",SUM($V15)=0),"",SUM($X15)/SUM($V15))</f>
        <v/>
      </c>
      <c r="AR15" s="318" t="str">
        <f>IF($C15="&lt;01","",IFERROR(SUM($AD15)/SUM($AC15),""))</f>
        <v/>
      </c>
      <c r="AS15" s="318" t="str">
        <f>IF($C15="&lt;01","",IFERROR(SUM($AI15)/SUM($AH15),""))</f>
        <v/>
      </c>
      <c r="AT15" s="318">
        <f>IF($C15="&lt;01","",MAX(95%,$AQ15,$AS15,$AR15))</f>
        <v>0.95</v>
      </c>
      <c r="AU15" s="201">
        <f>IF(AND(LEFT($B15,4)="_Mil",SUM($AP15)=0),"",IF($C15="&lt;01",HYPERLINK("",IFERROR(ROUND(INDEX(EID!$T:$T,MATCH($B15,EID!$B:$B,0))/2,0),0)),IF($AT15="",HYPERLINK("#Cascade!"&amp;ADDRESS(ROW(),COLUMN(AT15)),"&lt;- Add VLS Rate"),HYPERLINK("",ROUND(SUM($AP15)/$AT15,0)))))</f>
        <v>0</v>
      </c>
      <c r="AV15" s="144" t="str">
        <f>IF(OR(SUM($H15)=0,LEFT($B15,4)="_Mil",$C15="&lt;01"),"",SUM($P15)/$H15)</f>
        <v/>
      </c>
      <c r="AW15" s="102">
        <f>IF(OR(LEFT($B15,4)="_Mil",$C15="&lt;01"),"",SUM($H15)-SUM($P15))</f>
        <v>0</v>
      </c>
      <c r="AX15" s="230">
        <f>IF($C15="&lt;01","",MAX(95%,SUM($AV15)))</f>
        <v>0.95</v>
      </c>
      <c r="AY15" s="255" t="str">
        <f>IF(OR(LEFT($B15,4)="_Mil",$C15="&lt;01",SUM($P15)=0),"",IF(SUM($T15)=0,SUM($R15),$T15)/$P15)</f>
        <v/>
      </c>
      <c r="AZ15" s="102">
        <f>IF(OR(LEFT($B15,4)="_Mil",$C15="&lt;01"),"",SUM($P15)-IF(SUM($T15)=0,SUM($R15),$T15))</f>
        <v>0</v>
      </c>
      <c r="BA15" s="154" t="str">
        <f>IF(OR(SUM($Z15)=0,$C15="&lt;01"),"",SUM($AA15)/$Z15)</f>
        <v/>
      </c>
      <c r="BB15" s="154" t="str">
        <f>IF(OR(SUM($AE15)=0,$C15="&lt;01"),"",SUM($AF15)/$AE15)</f>
        <v/>
      </c>
      <c r="BC15" s="318">
        <f>IF($C15="&lt;01","",MIN(MAX(95%,$AY15,$BB15,$BA15),1))</f>
        <v>0.95</v>
      </c>
      <c r="BD15" s="318">
        <f>IF($C15="&lt;01","",70%)</f>
        <v>0.7</v>
      </c>
      <c r="BE15" s="230" t="str">
        <f>IF(OR(LEFT($B15,4)="_Mil",$C15="&lt;01"),"",IFERROR($V15/IF(SUM($T15)=0,$R15,$T15),""))</f>
        <v/>
      </c>
      <c r="BF15" s="318" t="str">
        <f>IF($C15="&lt;01","",IFERROR(SUM($AH15)/SUM($AG15),""))</f>
        <v/>
      </c>
      <c r="BG15" s="318">
        <f>IF($C15="&lt;01","",95%)</f>
        <v>0.95</v>
      </c>
      <c r="BH15" s="199" t="str">
        <f>IF($C15="&lt;01",HYPERLINK("",IFERROR(ROUND(INDEX(EID!$N:$N,MATCH($B15,EID!$B:$B,0))/2,0),0)),IF(AND($AK15="",LEFT($B15,4)&lt;&gt;"_Mil"),HYPERLINK("#Cascade!"&amp;ADDRESS(ROW(),COLUMN($AK15)),"&lt;- Add PEPFAR Contribution %"),IF($AX15="",HYPERLINK("#Cascade!"&amp;ADDRESS(ROW(),COLUMN($AX15)),"&lt;- Add % New Infections Diagnosed &amp; Linked"),IF($BC15="",HYPERLINK("#Cascade!"&amp;ADDRESS(ROW(),COLUMN($BC15)),"&lt;- Add Linkage"),IF(LEFT($B15,4)="_Mil",HYPERLINK("","*For DOD Military Use Only"),HYPERLINK("",ROUND(SUM($N15)*IF(LEFT($B15,4)="_Mil",1,$AK15)*$AX15*$BC15,0)))))))</f>
        <v>&lt;- Add PEPFAR Contribution %</v>
      </c>
      <c r="BI15" s="199">
        <f>IF($C15="&lt;01","",IF($BG15="",HYPERLINK("#Cascade!"&amp;ADDRESS(ROW(),COLUMN($BG15)),"&lt;- Add VLT Coverage"),IF($BD15="",HYPERLINK("#Cascade!"&amp;ADDRESS(ROW(),COLUMN($BD15)),"&lt;- Add Eligibility Rate"),HYPERLINK("",MAX(ROUND(((SUM($AU15)/SUM($BG15)-SUM($AG15))/SUM($BD15))-SUM($BH15),0),0)))))</f>
        <v>0</v>
      </c>
      <c r="BJ15" s="201">
        <f>SUM($BH15,$BI15)</f>
        <v>0</v>
      </c>
      <c r="BK15" s="201">
        <f>IF(AND(LEFT($B15,4)="_Mil",SUM($AP15)=0),"",IF($C15="&lt;01",IFERROR(ROUND(INDEX(EID!$R:$R,MATCH($B15,EID!$B:$B,0))/2,0),0),SUM($AG15)+ROUND(SUM($BJ15)*SUM($BD15),0)))</f>
        <v>0</v>
      </c>
      <c r="BL15" s="329" t="str">
        <f>IF(SUM($BK15)=0,"",SUM($AU15)/SUM($BK15))</f>
        <v/>
      </c>
      <c r="BM15" s="146">
        <f>IF($C15="&lt;01","",100%)</f>
        <v>1</v>
      </c>
      <c r="BN15" s="201">
        <f>SUM($BH15)+ROUND(SUM($BI15)*SUM($BM15),0)</f>
        <v>0</v>
      </c>
      <c r="BO15" s="146">
        <f>IF($C15="&lt;01","",98%)</f>
        <v>0.98</v>
      </c>
      <c r="BP15" s="318">
        <f>IF($C15="&lt;01","",98%)</f>
        <v>0.98</v>
      </c>
      <c r="BQ15" s="201">
        <f>IF(AND(LEFT($B15,4)="_Mil",SUM($AP15)=0),"",ROUND(IF($C15="&lt;01",IFERROR(INDEX(EID!P:$P,MATCH($B15,EID!$B:$B,0))/2,0),SUM($AG15)*SUM($BP15)+SUM($BJ15)*SUM($BO15)),0))</f>
        <v>0</v>
      </c>
      <c r="BR15" s="298">
        <f>$AG15-$AB15</f>
        <v>0</v>
      </c>
      <c r="BS15" s="298">
        <f>$BQ15-$AG15</f>
        <v>0</v>
      </c>
      <c r="BT15" s="406" t="str">
        <f>IF(LEFT($B15,4)="_Mil","",IF($AK15="",HYPERLINK("#Cascade!"&amp;ADDRESS(ROW(),COLUMN($AK15)),"&lt;- Add PEPFAR Contribution %"),HYPERLINK("",ROUND($BQ15/$AK15,0))))</f>
        <v>&lt;- Add PEPFAR Contribution %</v>
      </c>
      <c r="BU15" s="230" t="str">
        <f>IF(LEFT($B15,4)="_Mil","",IFERROR(1/(1/INDEX(Spectrum!$N:$N,MATCH(RIGHT($B15,13)&amp;"|"&amp;$C15&amp;"|"&amp;$D15&amp;"|"&amp;BU$14&amp;"|"&amp;"CY2022Q3",Spectrum!$Q:$Q,0))),IF(SUM($H15)=0,"",IF(SUM($T15)=0,SUM($R15),$T15)/$H15)))</f>
        <v/>
      </c>
      <c r="BV15" s="329" t="str">
        <f>IF(SUM($H15,$N15)=0,"",SUM($BT15)/SUM($H15,$N15))</f>
        <v/>
      </c>
      <c r="BW15" s="146">
        <f>IF($C15="&lt;01","",0%)</f>
        <v>0</v>
      </c>
      <c r="BX15" s="74">
        <f>IF($C15="&lt;01","",ROUND((SUM($BN15)-SUM($BH15))*SUM($BW15),0))</f>
        <v>0</v>
      </c>
      <c r="BY15" s="74">
        <f>SUM($BN15)-SUM($BX15)</f>
        <v>0</v>
      </c>
      <c r="BZ15" s="154"/>
      <c r="CA15" s="154" t="str">
        <f>IF(OR(SUM($BY15)=0,$C15="&lt;01"),"",SUM($BZ15))</f>
        <v/>
      </c>
      <c r="CB15" s="89" t="str">
        <f>IF($C15="&lt;01",HYPERLINK("",IFERROR(ROUND(INDEX(EID!$L:$L,MATCH($B15,EID!$B:$B,0))/2,0),0)),IF(SUM($BY15)=0,"",IF($BC15="",HYPERLINK("#Cascade!"&amp;ADDRESS(ROW(),COLUMN($BC15)),"&lt;- Add Linkage Rate"),HYPERLINK("",ROUND($BY15/$BC15,0)))))</f>
        <v/>
      </c>
      <c r="CC15" s="89" t="str">
        <f>IF($C15="&lt;01","",IF(SUM($CB15)=0,"",ROUND($CB15*SUM($CA15),0)))</f>
        <v/>
      </c>
      <c r="CD15" s="89" t="str">
        <f>IF(OR($D15&lt;&gt;"Female",$C15="&lt;01",$C15="01-04",$C15="05-09"),"",_xlfn.IFNA(INDEX(PMTCT!$AF:$AF,MATCH($E15,PMTCT!$E:$E,0)),""))</f>
        <v/>
      </c>
      <c r="CE15" s="89" t="str">
        <f>IF(OR($D15&lt;&gt;"Female",$C15="&lt;01",$C15="01-04",$C15="05-09"),"",_xlfn.IFNA(INDEX(PMTCT!$AV:$AV,MATCH($E15,PMTCT!$E:$E,0)),""))</f>
        <v/>
      </c>
      <c r="CF15" s="89">
        <f>IF($C15="&lt;01","",_xlfn.IFNA(INDEX(TB!$Q:$Q,MATCH($E15,TB!$E:$E,0)),""))</f>
        <v>0</v>
      </c>
      <c r="CG15" s="89" t="str">
        <f>IF(OR($D15&lt;&gt;"Male",$C15="&lt;01",$C15="01-04",$C15="05-09",$C15="10-14"),"",_xlfn.IFNA(INDEX(VMMC!$AC:$AC,MATCH($E15,VMMC!$E:$E,0)),""))</f>
        <v/>
      </c>
      <c r="CH15" s="89" t="str">
        <f>IF($C15="&lt;01",$CB15,"")</f>
        <v/>
      </c>
      <c r="CI15" s="89" t="str">
        <f>IF(SUM($CB15)=SUM($CC15:$CH15),"",$CB15-SUM($CC15:$CH15))</f>
        <v/>
      </c>
      <c r="CJ15" s="146" t="str">
        <f>IF(SUM($CC15)=0,"",$CC15/$CB15)</f>
        <v/>
      </c>
      <c r="CK15" s="318" t="str">
        <f>IF(SUM($CD15)=0,"",$CD15/$CB15)</f>
        <v/>
      </c>
      <c r="CL15" s="318" t="str">
        <f>IF(SUM($CE15)=0,"",$CE15/$CB15)</f>
        <v/>
      </c>
      <c r="CM15" s="318" t="str">
        <f>IF(SUM($CF15)=0,"",$CF15/$CB15)</f>
        <v/>
      </c>
      <c r="CN15" s="318" t="str">
        <f>IF(SUM($CG15)=0,"",$CG15/$CB15)</f>
        <v/>
      </c>
      <c r="CO15" s="318" t="str">
        <f>IF(SUM($CH15)=0,"",$CH15/$CB15)</f>
        <v/>
      </c>
      <c r="CP15" s="318" t="str">
        <f>IF(SUM($CI15)=0,"",$CI15/$CB15)</f>
        <v/>
      </c>
      <c r="CQ15" s="144"/>
      <c r="CR15" s="20"/>
      <c r="CS15" s="20"/>
      <c r="CT15" s="68" t="str">
        <f>IF(OR(SUM($CC15)=0,SUM($CQ15)=0),"",ROUND($CC15*$CQ15,0))</f>
        <v/>
      </c>
      <c r="CU15" s="68" t="str">
        <f>IF(SUM($CT15)=0,"",ROUND($CT15/$CR15,0)-$CT15)</f>
        <v/>
      </c>
      <c r="CV15" s="68" t="str">
        <f>IF(SUM($CC15)=0,"",$CC15-SUM($CT15))</f>
        <v/>
      </c>
      <c r="CW15" s="68" t="str">
        <f>IF(SUM($CV15)=0,"",ROUND($CV15/$CS15,0)-$CV15)</f>
        <v/>
      </c>
      <c r="CX15" s="20" t="str">
        <f>IF(OR(SUM($CB15)=0,$C15="&lt;01"),"",SUM($CT15,$CV15)/$CB15)</f>
        <v/>
      </c>
      <c r="CY15" s="412" t="str">
        <f>IF(LEFT($B15,4)="_Mil","",IF($AK15="",HYPERLINK("#Cascade!"&amp;ADDRESS(ROW(),COLUMN($AK15)),"&lt;- Add % PEPFAR Contribution"),HYPERLINK("",IF($C15="&lt;01",0,SUM($P15))+ROUND(SUM($CB15)/$AK15,0))))</f>
        <v>&lt;- Add % PEPFAR Contribution</v>
      </c>
      <c r="CZ15"/>
      <c r="DA15"/>
      <c r="DB15"/>
      <c r="DC15"/>
      <c r="DD15"/>
      <c r="DE15"/>
    </row>
  </sheetData>
  <mergeCells count="1">
    <mergeCell ref="A2:B3"/>
  </mergeCells>
  <conditionalFormatting sqref="BW1:BX1048576">
    <cfRule type="expression" dxfId="51" priority="848">
      <formula>AND(ISNUMBER(BW1),ROUND(BW1,2)&gt;0)</formula>
    </cfRule>
  </conditionalFormatting>
  <conditionalFormatting sqref="F1:Y1048576 AJ1:AN1048576 AQ1:AQ1048576 BE1:BE1048576 BT1:BV1048576 CY1:CY1048576 AV1:AW1048576 AY1:AZ1048576">
    <cfRule type="expression" dxfId="50" priority="103">
      <formula>LEFT($B1,4)="_Mil"</formula>
    </cfRule>
  </conditionalFormatting>
  <conditionalFormatting sqref="AQ1:AT1048576 BI1:BI1048576 BM1:BM1048576 BO1:BP1048576 BW1:BX1048576 BZ1:CA1048576 CC1:CG1048576 CI1:CN1048576 CP1:CX1048576 AV1:BG1048576">
    <cfRule type="expression" dxfId="49" priority="95">
      <formula>$C1="&lt;01"</formula>
    </cfRule>
  </conditionalFormatting>
  <conditionalFormatting sqref="BO1:BP1048576">
    <cfRule type="expression" dxfId="48" priority="80">
      <formula>AND(ISNUMBER(BO1),ROUND(BO1,2)&lt;98%)</formula>
    </cfRule>
  </conditionalFormatting>
  <conditionalFormatting sqref="AO1:AO1048576 CH1:CH1048576 CO1:CO1048576">
    <cfRule type="expression" dxfId="47" priority="7">
      <formula>AND(ROW(AO1)&gt;14,$B1&lt;&gt;"",NOT($C1="&lt;01"))</formula>
    </cfRule>
  </conditionalFormatting>
  <conditionalFormatting sqref="CA1:CA1048576">
    <cfRule type="expression" dxfId="46" priority="2577">
      <formula>AND(ISNUMBER($CA1),$CA1&lt;&gt;$BZ1)</formula>
    </cfRule>
  </conditionalFormatting>
  <conditionalFormatting sqref="J1:J1048576 L1:L1048576 AJ1:AM1048576 AQ1:AT1048576 AV1:AV1048576 AX1:BG1048576 BL1:BM1048576 BO1:BP1048576 BU1:BW1048576 BZ1:CA1048576 CJ1:CS1048576 CX1:CX1048576">
    <cfRule type="expression" dxfId="45" priority="6">
      <formula>AND(ISNUMBER(J1),OR(ROUND(J1,2)&lt;0,ROUND(J1,2)&gt;1))</formula>
    </cfRule>
  </conditionalFormatting>
  <conditionalFormatting sqref="AQ1:AT1048576 AV1:AV1048576 AX1:AY1048576 BA1:BC1048576 BE1:BG1048576">
    <cfRule type="expression" dxfId="44" priority="12">
      <formula>AND(ISNUMBER(AQ1),ROUND(AQ1,2)&lt;95%)</formula>
    </cfRule>
  </conditionalFormatting>
  <conditionalFormatting sqref="BU1:BV1048576">
    <cfRule type="expression" dxfId="43" priority="10">
      <formula>AND(ISNUMBER(BU1),ROUND(BU1,2)&lt;ROUND(90%*90%,2))</formula>
    </cfRule>
  </conditionalFormatting>
  <conditionalFormatting sqref="BM1:BM1048576">
    <cfRule type="expression" dxfId="42" priority="8">
      <formula>AND(ISNUMBER(BM1),ROUND(BM1,2)&lt;1)</formula>
    </cfRule>
  </conditionalFormatting>
  <conditionalFormatting sqref="CN1:CN1048576 CG1:CG1048576">
    <cfRule type="expression" dxfId="41" priority="96">
      <formula>AND(ROW(CG1)&gt;14,$B1&lt;&gt;"",$D1&lt;&gt;"Male")</formula>
    </cfRule>
  </conditionalFormatting>
  <conditionalFormatting sqref="AL1:AM1048576">
    <cfRule type="expression" dxfId="40" priority="13">
      <formula>AND(ISNUMBER(AL1),ROUND(AL1,2)&lt;POWER(0.95,3))</formula>
    </cfRule>
  </conditionalFormatting>
  <conditionalFormatting sqref="BD1:BD1048576">
    <cfRule type="expression" dxfId="39" priority="2952">
      <formula>AND(ISNUMBER(BD1),ROUND(BD1,2)&lt;70%)</formula>
    </cfRule>
  </conditionalFormatting>
  <conditionalFormatting sqref="F1:F1048576 H1:H1048576 N1:N1048576 P1:P1048576 R1:R1048576 T1:T1048576 V1:V1048576 X1:X1048576 Z1:AI1048576 AN1:AP1048576 AU1:AU1048576 AW1:AW1048576 AZ1:AZ1048576 BH1:BK1048576 BN1:BN1048576 BQ1:BT1048576 BX1:BY1048576 CB1:CI1048576 CT1:CW1048576 CY1:CY1048576">
    <cfRule type="expression" dxfId="38" priority="1">
      <formula>AND(ISNUMBER(F1),ROUND(F1,0)&lt;0)</formula>
    </cfRule>
  </conditionalFormatting>
  <conditionalFormatting sqref="CG1:CG1048576 CN1:CN1048576">
    <cfRule type="expression" dxfId="37" priority="2429">
      <formula>AND(ROW(CG1)&gt;14,$B1&lt;&gt;"",OR($C1="&lt;01",$C1="01-04",$C1="05-09",$C1="10-14"))</formula>
    </cfRule>
  </conditionalFormatting>
  <conditionalFormatting sqref="CQ1:CQ1048576">
    <cfRule type="expression" dxfId="36" priority="5">
      <formula>AND(ISNUMBER($CC1),$CC1&gt;0,CQ1="")</formula>
    </cfRule>
  </conditionalFormatting>
  <conditionalFormatting sqref="F1:F1048576 H1:H1048576 J1:J1048576 L1:L1048576 N1:N1048576 P1:P1048576 R1:R1048576 T1:T1048576 V1:V1048576 X1:X1048576">
    <cfRule type="expression" dxfId="35" priority="104">
      <formula>AND(ISNUMBER(G1),ISNUMBER(F1),G1&gt;=40%)</formula>
    </cfRule>
    <cfRule type="expression" dxfId="34" priority="105">
      <formula>AND(ISNUMBER(G1),ISNUMBER(F1),G1&gt;=20%,G1&lt;40%)</formula>
    </cfRule>
    <cfRule type="expression" dxfId="33" priority="107">
      <formula>AND(ISNUMBER(G1),ISNUMBER(F1),G1&lt;20%)</formula>
    </cfRule>
  </conditionalFormatting>
  <conditionalFormatting sqref="CD1:CE1048576 CK1:CL1048576">
    <cfRule type="expression" dxfId="32" priority="29">
      <formula>AND(ROW(CD1)&gt;14,$B1&lt;&gt;"",$D1&lt;&gt;"Female")</formula>
    </cfRule>
    <cfRule type="expression" dxfId="31" priority="93">
      <formula>AND(ROW(CD1)&gt;14,$B1&lt;&gt;"",OR($C1="&lt;01",$C1="01-04",$C1="05-09"))</formula>
    </cfRule>
  </conditionalFormatting>
  <conditionalFormatting sqref="CB1:CP1048576">
    <cfRule type="expression" dxfId="30" priority="2964">
      <formula>AND(ROW(CB1)&gt;14,$B1&lt;&gt;"",OR(SUM($CI1)&lt;0,ROUND(SUM($CP1),2)&lt;0))</formula>
    </cfRule>
    <cfRule type="expression" dxfId="29" priority="3289">
      <formula>AND(ROW($CI1)&gt;14,$B1&lt;&gt;"",$C1="&lt;01",OR(SUM($CI1)&lt;&gt;0,ROUND(SUM($CP1),2)&lt;&gt;0,SUM($CC1:$CG1)&lt;&gt;0))</formula>
    </cfRule>
    <cfRule type="expression" dxfId="28" priority="3290">
      <formula>AND(ROW($A1)&gt;14,$B1&lt;&gt;"",OR(ISERROR($CI1),ISERROR($CP1)))</formula>
    </cfRule>
  </conditionalFormatting>
  <conditionalFormatting sqref="CR1:CS1048576">
    <cfRule type="expression" dxfId="27" priority="3291">
      <formula>AND(ISNUMBER($CC1),$CC1&lt;&gt;0,SUM(CR1)=0)</formula>
    </cfRule>
    <cfRule type="expression" dxfId="26" priority="3292">
      <formula>AND(OR($C1="15-19",$C1="20-24",$C1="25-29",$C1="30-34",$C1="35-39",$C1="40-44",$C1="45-49",$C1="50-54",$C1="55-59",$C1="60-64",$C1="65+"),CR1&lt;10%,CR1&lt;&gt;"")</formula>
    </cfRule>
  </conditionalFormatting>
  <hyperlinks>
    <hyperlink ref="CC3" location="Cascade!CT:CW" display="Cascade!CT:CW" xr:uid="{CFC22E83-CD81-744A-BD97-81BDFE5732F2}"/>
    <hyperlink ref="CD3" location="PMTCT!AF:AF" display="PMTCT_STAT New Positives (FY23)" xr:uid="{072C5291-7010-704F-BBB9-7097DE99B670}"/>
    <hyperlink ref="CE3" location="PMTCT!AV:AV" display="HTS_TST Post ANC1 New Positives (FY23)" xr:uid="{BD5510F0-19E5-3C41-B8F3-9039D1D2730F}"/>
    <hyperlink ref="CF3" location="TB!Q:Q" display="TB_STAT New Positives (FY22)" xr:uid="{4946A338-D073-E84B-90AE-459B22CC722F}"/>
    <hyperlink ref="CG3" location="VMMC!AC:AC" display="VMMC Tested Positives (FY22)" xr:uid="{9324AD3D-0667-6B41-8A55-485E12745DBA}"/>
    <hyperlink ref="CH3" location="EID!L:L" display="EID!L:L" xr:uid="{DD5860B7-2BBA-D54C-AC3A-9FA1A8C82695}"/>
    <hyperlink ref="CI3" location="HTS!O:O" display="HTS_TST_POS from All Other Modalities (FY23)" xr:uid="{94117302-B331-2E49-A0BD-18496ED310FB}"/>
    <hyperlink ref="AO3" location="EID!V:V" display="PMTCT_HEI_POS Virally Suppressed (FY23)" xr:uid="{72DBFF04-97B7-3548-95A9-48E392DE0703}"/>
  </hyperlinks>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E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4" customWidth="1"/>
    <col min="2" max="2" width="30.83203125" style="26" customWidth="1"/>
    <col min="3" max="3" width="10.83203125" style="26" customWidth="1"/>
    <col min="4" max="4" width="7.83203125" style="26" customWidth="1"/>
    <col min="5" max="5" width="15.5" style="26" hidden="1" customWidth="1"/>
    <col min="6" max="7" width="11.83203125" style="62" customWidth="1"/>
    <col min="8" max="8" width="11.83203125" style="185" customWidth="1"/>
    <col min="9" max="9" width="11.83203125" style="62" customWidth="1"/>
    <col min="10" max="11" width="11.83203125" style="191" customWidth="1"/>
    <col min="12" max="18" width="11.83203125" style="68" customWidth="1"/>
    <col min="19" max="19" width="11.83203125" style="96" customWidth="1"/>
    <col min="20" max="20" width="11.83203125" style="20" customWidth="1"/>
    <col min="21" max="21" width="11.83203125" style="110" customWidth="1"/>
    <col min="22" max="22" width="11.83203125" style="144" customWidth="1"/>
    <col min="23" max="23" width="11.83203125" style="20" customWidth="1"/>
    <col min="24" max="24" width="11.83203125" style="110" customWidth="1"/>
    <col min="25" max="25" width="11.83203125" style="144" customWidth="1"/>
    <col min="26" max="29" width="11.83203125" style="230" customWidth="1"/>
    <col min="30" max="30" width="11.83203125" style="56" customWidth="1"/>
    <col min="31" max="31" width="11.83203125" style="113" customWidth="1"/>
    <col min="32" max="33" width="11.83203125" style="56" customWidth="1"/>
    <col min="34" max="34" width="11.83203125" style="106" customWidth="1"/>
    <col min="35" max="37" width="11.83203125" style="56" customWidth="1"/>
    <col min="38" max="38" width="11.83203125" style="364" customWidth="1"/>
    <col min="39" max="39" width="11.83203125" style="88" customWidth="1"/>
    <col min="40" max="40" width="11.83203125" style="56" customWidth="1"/>
    <col min="41" max="41" width="11.83203125" style="106" customWidth="1"/>
    <col min="42" max="42" width="11.83203125" style="88" customWidth="1"/>
    <col min="43" max="43" width="11.83203125" style="56" customWidth="1"/>
    <col min="44" max="44" width="11.83203125" style="82" customWidth="1"/>
    <col min="45" max="47" width="11.83203125" style="230" customWidth="1"/>
    <col min="48" max="48" width="11.83203125" style="88" customWidth="1"/>
    <col min="49" max="49" width="11.83203125" style="56" customWidth="1"/>
    <col min="50" max="50" width="11.83203125" style="59" customWidth="1"/>
    <col min="51" max="51" width="11.83203125" style="82" customWidth="1"/>
    <col min="52" max="52" width="11.83203125" style="81" customWidth="1"/>
    <col min="53" max="57" width="11.83203125" style="230" customWidth="1"/>
    <col min="58" max="16384" width="10.83203125" style="24"/>
  </cols>
  <sheetData>
    <row r="1" spans="1:57" s="45" customFormat="1" ht="31" customHeight="1" thickBot="1" x14ac:dyDescent="0.35">
      <c r="A1" s="5" t="s">
        <v>74</v>
      </c>
      <c r="C1" s="1"/>
      <c r="D1" s="1"/>
      <c r="E1" s="1"/>
      <c r="F1" s="64" t="s">
        <v>76</v>
      </c>
      <c r="G1" s="79"/>
      <c r="H1" s="184"/>
      <c r="I1" s="79"/>
      <c r="J1" s="19"/>
      <c r="K1" s="19"/>
      <c r="L1" s="64"/>
      <c r="M1" s="64"/>
      <c r="N1" s="64"/>
      <c r="O1" s="64"/>
      <c r="P1" s="64"/>
      <c r="Q1" s="64"/>
      <c r="R1" s="64"/>
      <c r="S1" s="94" t="s">
        <v>30</v>
      </c>
      <c r="T1" s="29"/>
      <c r="U1" s="107"/>
      <c r="V1" s="224" t="s">
        <v>736</v>
      </c>
      <c r="W1" s="29"/>
      <c r="X1" s="107"/>
      <c r="Y1" s="224" t="s">
        <v>31</v>
      </c>
      <c r="Z1" s="226"/>
      <c r="AA1" s="226"/>
      <c r="AB1" s="226"/>
      <c r="AC1" s="226"/>
      <c r="AD1" s="51"/>
      <c r="AE1" s="51"/>
      <c r="AF1" s="51"/>
      <c r="AG1" s="51"/>
      <c r="AH1" s="91" t="s">
        <v>737</v>
      </c>
      <c r="AI1" s="51"/>
      <c r="AJ1" s="51"/>
      <c r="AK1" s="51"/>
      <c r="AL1" s="224" t="s">
        <v>49</v>
      </c>
      <c r="AM1" s="98"/>
      <c r="AN1" s="64"/>
      <c r="AO1" s="94" t="s">
        <v>743</v>
      </c>
      <c r="AP1" s="98"/>
      <c r="AQ1" s="64"/>
      <c r="AR1" s="91" t="s">
        <v>68</v>
      </c>
      <c r="AS1" s="226"/>
      <c r="AT1" s="226"/>
      <c r="AU1" s="226"/>
      <c r="AV1" s="114"/>
      <c r="AW1" s="51"/>
      <c r="AX1" s="51"/>
      <c r="AY1" s="91" t="s">
        <v>585</v>
      </c>
      <c r="AZ1" s="114"/>
      <c r="BA1" s="226"/>
      <c r="BB1" s="226"/>
      <c r="BC1" s="226"/>
      <c r="BD1" s="226"/>
      <c r="BE1" s="226"/>
    </row>
    <row r="2" spans="1:57" s="40" customFormat="1" ht="19" customHeight="1" x14ac:dyDescent="0.25">
      <c r="A2" s="490" t="s">
        <v>1228</v>
      </c>
      <c r="B2" s="487"/>
      <c r="D2" s="2"/>
      <c r="E2" s="2"/>
      <c r="F2" s="78" t="s">
        <v>73</v>
      </c>
      <c r="G2" s="78"/>
      <c r="H2" s="176"/>
      <c r="I2" s="78"/>
      <c r="J2" s="18"/>
      <c r="K2" s="18"/>
      <c r="L2" s="65"/>
      <c r="M2" s="65"/>
      <c r="N2" s="65"/>
      <c r="O2" s="65"/>
      <c r="P2" s="65"/>
      <c r="Q2" s="65"/>
      <c r="R2" s="65"/>
      <c r="S2" s="95" t="s">
        <v>73</v>
      </c>
      <c r="T2" s="18" t="s">
        <v>2</v>
      </c>
      <c r="U2" s="108" t="s">
        <v>3</v>
      </c>
      <c r="V2" s="225" t="s">
        <v>73</v>
      </c>
      <c r="W2" s="18" t="s">
        <v>2</v>
      </c>
      <c r="X2" s="108" t="s">
        <v>3</v>
      </c>
      <c r="Y2" s="225" t="s">
        <v>2</v>
      </c>
      <c r="Z2" s="227"/>
      <c r="AA2" s="227"/>
      <c r="AB2" s="227"/>
      <c r="AC2" s="227"/>
      <c r="AD2" s="52" t="s">
        <v>3</v>
      </c>
      <c r="AE2" s="111"/>
      <c r="AF2" s="52"/>
      <c r="AG2" s="52"/>
      <c r="AH2" s="212" t="s">
        <v>3</v>
      </c>
      <c r="AI2" s="52"/>
      <c r="AJ2" s="52"/>
      <c r="AK2" s="52"/>
      <c r="AL2" s="225" t="s">
        <v>73</v>
      </c>
      <c r="AM2" s="115" t="s">
        <v>3</v>
      </c>
      <c r="AN2" s="52"/>
      <c r="AO2" s="212" t="s">
        <v>3</v>
      </c>
      <c r="AP2" s="115"/>
      <c r="AQ2" s="52"/>
      <c r="AR2" s="92" t="s">
        <v>2</v>
      </c>
      <c r="AS2" s="227"/>
      <c r="AT2" s="227"/>
      <c r="AU2" s="227"/>
      <c r="AV2" s="115" t="s">
        <v>3</v>
      </c>
      <c r="AW2" s="52"/>
      <c r="AX2" s="78"/>
      <c r="AY2" s="92" t="s">
        <v>59</v>
      </c>
      <c r="AZ2" s="138"/>
      <c r="BA2" s="227"/>
      <c r="BB2" s="227"/>
      <c r="BC2" s="227"/>
      <c r="BD2" s="227"/>
      <c r="BE2" s="227"/>
    </row>
    <row r="3" spans="1:57" ht="117" customHeight="1" thickBot="1" x14ac:dyDescent="0.25">
      <c r="A3" s="488"/>
      <c r="B3" s="489"/>
      <c r="D3" s="31"/>
      <c r="E3" s="31"/>
      <c r="F3" s="238" t="s">
        <v>799</v>
      </c>
      <c r="G3" s="238" t="s">
        <v>602</v>
      </c>
      <c r="H3" s="239" t="s">
        <v>777</v>
      </c>
      <c r="I3" s="238" t="s">
        <v>778</v>
      </c>
      <c r="J3" s="240" t="s">
        <v>800</v>
      </c>
      <c r="K3" s="240" t="s">
        <v>1082</v>
      </c>
      <c r="L3" s="123" t="s">
        <v>801</v>
      </c>
      <c r="M3" s="123" t="s">
        <v>747</v>
      </c>
      <c r="N3" s="123" t="s">
        <v>748</v>
      </c>
      <c r="O3" s="123" t="s">
        <v>749</v>
      </c>
      <c r="P3" s="123" t="s">
        <v>750</v>
      </c>
      <c r="Q3" s="123" t="s">
        <v>751</v>
      </c>
      <c r="R3" s="123" t="s">
        <v>752</v>
      </c>
      <c r="S3" s="120" t="s">
        <v>1144</v>
      </c>
      <c r="T3" s="32" t="s">
        <v>259</v>
      </c>
      <c r="U3" s="109" t="s">
        <v>788</v>
      </c>
      <c r="V3" s="315" t="s">
        <v>970</v>
      </c>
      <c r="W3" s="32" t="s">
        <v>786</v>
      </c>
      <c r="X3" s="109" t="s">
        <v>787</v>
      </c>
      <c r="Y3" s="338" t="s">
        <v>789</v>
      </c>
      <c r="Z3" s="228" t="s">
        <v>971</v>
      </c>
      <c r="AA3" s="316" t="s">
        <v>972</v>
      </c>
      <c r="AB3" s="228" t="s">
        <v>1147</v>
      </c>
      <c r="AC3" s="316" t="s">
        <v>1148</v>
      </c>
      <c r="AD3" s="105" t="s">
        <v>1135</v>
      </c>
      <c r="AE3" s="53" t="s">
        <v>1136</v>
      </c>
      <c r="AF3" s="54" t="s">
        <v>1137</v>
      </c>
      <c r="AG3" s="53" t="s">
        <v>1138</v>
      </c>
      <c r="AH3" s="252" t="s">
        <v>735</v>
      </c>
      <c r="AI3" s="53" t="s">
        <v>790</v>
      </c>
      <c r="AJ3" s="53" t="s">
        <v>791</v>
      </c>
      <c r="AK3" s="53" t="s">
        <v>792</v>
      </c>
      <c r="AL3" s="363" t="s">
        <v>832</v>
      </c>
      <c r="AM3" s="141" t="s">
        <v>1139</v>
      </c>
      <c r="AN3" s="53" t="s">
        <v>1140</v>
      </c>
      <c r="AO3" s="252" t="s">
        <v>973</v>
      </c>
      <c r="AP3" s="141" t="s">
        <v>974</v>
      </c>
      <c r="AQ3" s="53" t="s">
        <v>975</v>
      </c>
      <c r="AR3" s="116" t="s">
        <v>976</v>
      </c>
      <c r="AS3" s="365" t="s">
        <v>977</v>
      </c>
      <c r="AT3" s="366" t="s">
        <v>978</v>
      </c>
      <c r="AU3" s="365" t="s">
        <v>832</v>
      </c>
      <c r="AV3" s="371" t="s">
        <v>1141</v>
      </c>
      <c r="AW3" s="53" t="s">
        <v>1142</v>
      </c>
      <c r="AX3" s="368" t="s">
        <v>1143</v>
      </c>
      <c r="AY3" s="237" t="s">
        <v>1218</v>
      </c>
      <c r="AZ3" s="241" t="s">
        <v>793</v>
      </c>
      <c r="BA3" s="242" t="s">
        <v>794</v>
      </c>
      <c r="BB3" s="242" t="s">
        <v>795</v>
      </c>
      <c r="BC3" s="242" t="s">
        <v>796</v>
      </c>
      <c r="BD3" s="242" t="s">
        <v>797</v>
      </c>
      <c r="BE3" s="242" t="s">
        <v>798</v>
      </c>
    </row>
    <row r="4" spans="1:57" x14ac:dyDescent="0.2">
      <c r="B4" s="33"/>
      <c r="C4" s="33"/>
      <c r="D4" s="33" t="s">
        <v>4</v>
      </c>
      <c r="E4" s="33"/>
      <c r="F4" s="73">
        <f>SUBTOTAL(109,F$15:INDEX(F:F,COUNTA($B:$B)+14-COUNTA($B$1:$B$14)))</f>
        <v>0</v>
      </c>
      <c r="G4" s="73">
        <f>SUBTOTAL(109,G$15:INDEX(G:G,COUNTA($B:$B)+14-COUNTA($B$1:$B$14)))</f>
        <v>0</v>
      </c>
      <c r="H4" s="137" t="str">
        <f>IF($F$4=0,"",$G4/$F4)</f>
        <v/>
      </c>
      <c r="I4" s="73">
        <f>SUBTOTAL(109,I$15:INDEX(I:I,COUNTA($B:$B)+14-COUNTA($B$1:$B$14)))</f>
        <v>0</v>
      </c>
      <c r="J4" s="311" t="str">
        <f>IF($G$4=0,"",$I4/$G4)</f>
        <v/>
      </c>
      <c r="K4" s="34"/>
      <c r="L4" s="70">
        <f>SUBTOTAL(109,L$15:INDEX(L:L,COUNTA($B:$B)+14-COUNTA($B$1:$B$14)))</f>
        <v>0</v>
      </c>
      <c r="M4" s="70">
        <f>SUBTOTAL(109,M$15:INDEX(M:M,COUNTA($B:$B)+14-COUNTA($B$1:$B$14)))</f>
        <v>0</v>
      </c>
      <c r="N4" s="70">
        <f>SUBTOTAL(109,N$15:INDEX(N:N,COUNTA($B:$B)+14-COUNTA($B$1:$B$14)))</f>
        <v>0</v>
      </c>
      <c r="O4" s="70">
        <f>SUBTOTAL(109,O$15:INDEX(O:O,COUNTA($B:$B)+14-COUNTA($B$1:$B$14)))</f>
        <v>0</v>
      </c>
      <c r="P4" s="70">
        <f>SUBTOTAL(109,P$15:INDEX(P:P,COUNTA($B:$B)+14-COUNTA($B$1:$B$14)))</f>
        <v>0</v>
      </c>
      <c r="Q4" s="70">
        <f>SUBTOTAL(109,Q$15:INDEX(Q:Q,COUNTA($B:$B)+14-COUNTA($B$1:$B$14)))</f>
        <v>0</v>
      </c>
      <c r="R4" s="70">
        <f>SUBTOTAL(109,R$15:INDEX(R:R,COUNTA($B:$B)+14-COUNTA($B$1:$B$14)))</f>
        <v>0</v>
      </c>
      <c r="S4" s="117">
        <f>SUBTOTAL(109,S$15:INDEX(S:S,COUNTA($B:$B)+14-COUNTA($B$1:$B$14)))</f>
        <v>0</v>
      </c>
      <c r="T4" s="34" t="str">
        <f>IF(SUM($S$4,$L$4)=0,"",$U$4/MIN($S$4,$L$4)-1)</f>
        <v/>
      </c>
      <c r="U4" s="127">
        <f>SUBTOTAL(109,U$15:INDEX(U:U,COUNTA($B:$B)+14-COUNTA($B$1:$B$14)))</f>
        <v>0</v>
      </c>
      <c r="V4" s="143" t="str">
        <f>IF($L$4=0,"",$S$4/$L$4)</f>
        <v/>
      </c>
      <c r="W4" s="34" t="str">
        <f>IF($X$4=0,"",$U$4/$X$4)</f>
        <v/>
      </c>
      <c r="X4" s="127">
        <f>SUBTOTAL(109,X$15:INDEX(X:X,COUNTA($B:$B)+14-COUNTA($B$1:$B$14)))</f>
        <v>0</v>
      </c>
      <c r="Y4" s="143" t="str">
        <f>IF($U$4=0,"",$AD$4/$U$4)</f>
        <v/>
      </c>
      <c r="Z4" s="229"/>
      <c r="AA4" s="229" t="str">
        <f>IF($AD$4=0,"",$AE$4/$AD$4)</f>
        <v/>
      </c>
      <c r="AB4" s="229"/>
      <c r="AC4" s="229" t="str">
        <f>IF($AD$4=0,"",$AF$4/($AD$4-$AE$4))</f>
        <v/>
      </c>
      <c r="AD4" s="70">
        <f>SUBTOTAL(109,AD$15:INDEX(AD:AD,COUNTA($B:$B)+14-COUNTA($B$1:$B$14)))</f>
        <v>0</v>
      </c>
      <c r="AE4" s="112">
        <f>IF(COUNTIF(AE$15:INDEX($AE:$AE,COUNTA($B:$B)+14-COUNTA($B$1:$B$14)),"&lt;0")&gt;0,"RESOLVE NEGATIVES",SUBTOTAL(109,AE$15:INDEX(AE:AE,COUNTA($B:$B)+14-COUNTA($B$1:$B$14))))</f>
        <v>0</v>
      </c>
      <c r="AF4" s="70">
        <f>SUBTOTAL(109,AF$15:INDEX(AF:AF,COUNTA($B:$B)+14-COUNTA($B$1:$B$14)))</f>
        <v>0</v>
      </c>
      <c r="AG4" s="70">
        <f>SUBTOTAL(109,AG$15:INDEX(AG:AG,COUNTA($B:$B)+14-COUNTA($B$1:$B$14)))</f>
        <v>0</v>
      </c>
      <c r="AH4" s="253">
        <f>SUBTOTAL(109,AH$15:INDEX(AH:AH,COUNTA($B:$B)+14-COUNTA($B$1:$B$14)))</f>
        <v>0</v>
      </c>
      <c r="AI4" s="70">
        <f>SUBTOTAL(109,AI$15:INDEX(AI:AI,COUNTA($B:$B)+14-COUNTA($B$1:$B$14)))</f>
        <v>0</v>
      </c>
      <c r="AJ4" s="70">
        <f>SUBTOTAL(109,AJ$15:INDEX(AJ:AJ,COUNTA($B:$B)+14-COUNTA($B$1:$B$14)))</f>
        <v>0</v>
      </c>
      <c r="AK4" s="70">
        <f>SUBTOTAL(109,AK$15:INDEX(AK:AK,COUNTA($B:$B)+14-COUNTA($B$1:$B$14)))</f>
        <v>0</v>
      </c>
      <c r="AL4" s="143" t="str">
        <f>IF($AF$4=0,"",$AN$4/$AF$4)</f>
        <v/>
      </c>
      <c r="AM4" s="118">
        <f>SUBTOTAL(109,AM$15:INDEX(AM:AM,COUNTA($B:$B)+14-COUNTA($B$1:$B$14)))</f>
        <v>0</v>
      </c>
      <c r="AN4" s="70">
        <f>SUBTOTAL(109,AN$15:INDEX(AN:AN,COUNTA($B:$B)+14-COUNTA($B$1:$B$14)))</f>
        <v>0</v>
      </c>
      <c r="AO4" s="253">
        <f>SUBTOTAL(109,AO$15:INDEX(AO:AO,COUNTA($B:$B)+14-COUNTA($B$1:$B$14)))</f>
        <v>0</v>
      </c>
      <c r="AP4" s="118">
        <f>SUBTOTAL(109,AP$15:INDEX(AP:AP,COUNTA($B:$B)+14-COUNTA($B$1:$B$14)))</f>
        <v>0</v>
      </c>
      <c r="AQ4" s="70">
        <f>SUBTOTAL(109,AQ$15:INDEX(AQ:AQ,COUNTA($B:$B)+14-COUNTA($B$1:$B$14)))</f>
        <v>0</v>
      </c>
      <c r="AR4" s="117">
        <f>SUBTOTAL(109,AR$15:INDEX(AR:AR,COUNTA($B:$B)+14-COUNTA($B$1:$B$14)))</f>
        <v>0</v>
      </c>
      <c r="AS4" s="367"/>
      <c r="AT4" s="367" t="str">
        <f>IF($AR$4=0,"",$AV$4/$AR$4)</f>
        <v/>
      </c>
      <c r="AU4" s="367" t="str">
        <f>IF($AV$4=0,"",$AX$4/$AV$4)</f>
        <v/>
      </c>
      <c r="AV4" s="118">
        <f>SUBTOTAL(109,AV$15:INDEX(AV:AV,COUNTA($B:$B)+14-COUNTA($B$1:$B$14)))</f>
        <v>0</v>
      </c>
      <c r="AW4" s="70">
        <f>SUBTOTAL(109,AW$15:INDEX(AW:AW,COUNTA($B:$B)+14-COUNTA($B$1:$B$14)))</f>
        <v>0</v>
      </c>
      <c r="AX4" s="73">
        <f>SUBTOTAL(109,AX$15:INDEX(AX:AX,COUNTA($B:$B)+14-COUNTA($B$1:$B$14)))</f>
        <v>0</v>
      </c>
      <c r="AY4" s="117">
        <f>SUBTOTAL(109,AY$15:INDEX(AY:AY,COUNTA($B:$B)+14-COUNTA($B$1:$B$14)))</f>
        <v>0</v>
      </c>
      <c r="AZ4" s="139">
        <f>SUBTOTAL(109,AZ$15:INDEX(AZ:AZ,COUNTA($B:$B)+14-COUNTA($B$1:$B$14)))</f>
        <v>0</v>
      </c>
      <c r="BA4" s="230" t="str">
        <f>IF($AF4=0,"",$AF4/$AZ4)</f>
        <v/>
      </c>
      <c r="BB4" s="230" t="str">
        <f>IF($AV4=0,"",$AV4/$AZ4)</f>
        <v/>
      </c>
      <c r="BE4" s="230" t="str">
        <f>IF(COUNTIF(BE$15:INDEX(BE:BE,COUNTA($B:$B)+14-COUNTA($B$1:$B$14)),"&lt;0")&gt;0,"Negatives","")</f>
        <v/>
      </c>
    </row>
    <row r="5" spans="1:57" x14ac:dyDescent="0.2">
      <c r="A5" s="24" t="s">
        <v>98</v>
      </c>
      <c r="B5" s="26" t="s">
        <v>98</v>
      </c>
      <c r="C5" s="26" t="s">
        <v>98</v>
      </c>
      <c r="D5" s="26" t="s">
        <v>98</v>
      </c>
      <c r="E5" s="26" t="s">
        <v>98</v>
      </c>
      <c r="F5" s="59" t="s">
        <v>98</v>
      </c>
      <c r="G5" s="59" t="s">
        <v>98</v>
      </c>
      <c r="H5" s="160" t="s">
        <v>98</v>
      </c>
      <c r="I5" s="59" t="s">
        <v>98</v>
      </c>
      <c r="J5" s="20" t="s">
        <v>98</v>
      </c>
      <c r="K5" s="152" t="s">
        <v>98</v>
      </c>
      <c r="L5" s="56" t="s">
        <v>107</v>
      </c>
      <c r="M5" s="56" t="s">
        <v>107</v>
      </c>
      <c r="N5" s="56" t="s">
        <v>107</v>
      </c>
      <c r="O5" s="56" t="s">
        <v>107</v>
      </c>
      <c r="P5" s="56" t="s">
        <v>107</v>
      </c>
      <c r="Q5" s="56" t="s">
        <v>107</v>
      </c>
      <c r="R5" s="56" t="s">
        <v>107</v>
      </c>
      <c r="S5" s="82" t="s">
        <v>109</v>
      </c>
      <c r="T5" s="20" t="s">
        <v>98</v>
      </c>
      <c r="U5" s="56" t="s">
        <v>109</v>
      </c>
      <c r="V5" s="144" t="s">
        <v>98</v>
      </c>
      <c r="W5" s="20" t="s">
        <v>98</v>
      </c>
      <c r="X5" s="56" t="s">
        <v>107</v>
      </c>
      <c r="Y5" s="144" t="s">
        <v>98</v>
      </c>
      <c r="Z5" s="230" t="s">
        <v>98</v>
      </c>
      <c r="AA5" s="230" t="s">
        <v>98</v>
      </c>
      <c r="AB5" s="230" t="s">
        <v>98</v>
      </c>
      <c r="AC5" s="230" t="s">
        <v>98</v>
      </c>
      <c r="AD5" s="56" t="s">
        <v>98</v>
      </c>
      <c r="AE5" s="113" t="s">
        <v>109</v>
      </c>
      <c r="AF5" s="56" t="s">
        <v>109</v>
      </c>
      <c r="AG5" s="56" t="s">
        <v>109</v>
      </c>
      <c r="AH5" s="106" t="s">
        <v>98</v>
      </c>
      <c r="AI5" s="56" t="s">
        <v>107</v>
      </c>
      <c r="AJ5" s="56" t="s">
        <v>107</v>
      </c>
      <c r="AK5" s="56" t="s">
        <v>107</v>
      </c>
      <c r="AL5" s="144" t="s">
        <v>98</v>
      </c>
      <c r="AM5" s="88" t="s">
        <v>109</v>
      </c>
      <c r="AN5" s="56" t="s">
        <v>109</v>
      </c>
      <c r="AO5" s="106" t="s">
        <v>107</v>
      </c>
      <c r="AP5" s="88" t="s">
        <v>107</v>
      </c>
      <c r="AQ5" s="56" t="s">
        <v>107</v>
      </c>
      <c r="AR5" s="82" t="s">
        <v>98</v>
      </c>
      <c r="AS5" s="20" t="s">
        <v>98</v>
      </c>
      <c r="AT5" s="20" t="s">
        <v>98</v>
      </c>
      <c r="AU5" s="20" t="s">
        <v>98</v>
      </c>
      <c r="AV5" s="88" t="s">
        <v>109</v>
      </c>
      <c r="AW5" s="56" t="s">
        <v>109</v>
      </c>
      <c r="AX5" s="59" t="s">
        <v>98</v>
      </c>
      <c r="AY5" s="82" t="s">
        <v>98</v>
      </c>
      <c r="AZ5" s="81" t="s">
        <v>98</v>
      </c>
      <c r="BA5" s="230" t="s">
        <v>98</v>
      </c>
      <c r="BB5" s="230" t="s">
        <v>98</v>
      </c>
      <c r="BC5" s="230" t="s">
        <v>98</v>
      </c>
      <c r="BD5" s="230" t="s">
        <v>98</v>
      </c>
      <c r="BE5" s="230" t="s">
        <v>98</v>
      </c>
    </row>
    <row r="6" spans="1:57" x14ac:dyDescent="0.2">
      <c r="A6" s="24" t="s">
        <v>200</v>
      </c>
      <c r="B6" s="26" t="s">
        <v>200</v>
      </c>
      <c r="C6" s="26" t="s">
        <v>200</v>
      </c>
      <c r="D6" s="26" t="s">
        <v>200</v>
      </c>
      <c r="E6" s="26" t="s">
        <v>200</v>
      </c>
      <c r="F6" s="59" t="s">
        <v>93</v>
      </c>
      <c r="G6" s="59" t="s">
        <v>93</v>
      </c>
      <c r="H6" s="160" t="s">
        <v>93</v>
      </c>
      <c r="I6" s="59" t="s">
        <v>93</v>
      </c>
      <c r="J6" s="20" t="s">
        <v>93</v>
      </c>
      <c r="K6" s="35" t="s">
        <v>93</v>
      </c>
      <c r="L6" s="56" t="s">
        <v>92</v>
      </c>
      <c r="M6" s="56" t="s">
        <v>92</v>
      </c>
      <c r="N6" s="56" t="s">
        <v>92</v>
      </c>
      <c r="O6" s="56" t="s">
        <v>92</v>
      </c>
      <c r="P6" s="56" t="s">
        <v>92</v>
      </c>
      <c r="Q6" s="56" t="s">
        <v>92</v>
      </c>
      <c r="R6" s="56" t="s">
        <v>92</v>
      </c>
      <c r="S6" s="82" t="s">
        <v>110</v>
      </c>
      <c r="T6" s="20" t="s">
        <v>112</v>
      </c>
      <c r="U6" s="56" t="s">
        <v>92</v>
      </c>
      <c r="V6" s="144" t="s">
        <v>93</v>
      </c>
      <c r="W6" s="20" t="s">
        <v>112</v>
      </c>
      <c r="X6" s="56" t="s">
        <v>92</v>
      </c>
      <c r="Y6" s="144" t="s">
        <v>112</v>
      </c>
      <c r="Z6" s="230" t="s">
        <v>111</v>
      </c>
      <c r="AA6" s="230" t="s">
        <v>112</v>
      </c>
      <c r="AB6" s="230" t="s">
        <v>111</v>
      </c>
      <c r="AC6" s="230" t="s">
        <v>112</v>
      </c>
      <c r="AD6" s="56" t="s">
        <v>93</v>
      </c>
      <c r="AE6" s="113" t="s">
        <v>92</v>
      </c>
      <c r="AF6" s="56" t="s">
        <v>92</v>
      </c>
      <c r="AG6" s="56" t="s">
        <v>92</v>
      </c>
      <c r="AH6" s="106" t="s">
        <v>93</v>
      </c>
      <c r="AI6" s="56" t="s">
        <v>92</v>
      </c>
      <c r="AJ6" s="56" t="s">
        <v>92</v>
      </c>
      <c r="AK6" s="56" t="s">
        <v>92</v>
      </c>
      <c r="AL6" s="144" t="s">
        <v>93</v>
      </c>
      <c r="AM6" s="88" t="s">
        <v>92</v>
      </c>
      <c r="AN6" s="56" t="s">
        <v>92</v>
      </c>
      <c r="AO6" s="106" t="s">
        <v>92</v>
      </c>
      <c r="AP6" s="88" t="s">
        <v>92</v>
      </c>
      <c r="AQ6" s="56" t="s">
        <v>92</v>
      </c>
      <c r="AR6" s="82" t="s">
        <v>112</v>
      </c>
      <c r="AS6" s="20" t="s">
        <v>111</v>
      </c>
      <c r="AT6" s="20" t="s">
        <v>112</v>
      </c>
      <c r="AU6" s="20" t="s">
        <v>93</v>
      </c>
      <c r="AV6" s="88" t="s">
        <v>92</v>
      </c>
      <c r="AW6" s="56" t="s">
        <v>92</v>
      </c>
      <c r="AX6" s="59" t="s">
        <v>93</v>
      </c>
      <c r="AY6" s="82" t="s">
        <v>93</v>
      </c>
      <c r="AZ6" s="81" t="s">
        <v>93</v>
      </c>
      <c r="BA6" s="230" t="s">
        <v>93</v>
      </c>
      <c r="BB6" s="230" t="s">
        <v>93</v>
      </c>
      <c r="BC6" s="230" t="s">
        <v>93</v>
      </c>
      <c r="BD6" s="230" t="s">
        <v>93</v>
      </c>
      <c r="BE6" s="230" t="s">
        <v>93</v>
      </c>
    </row>
    <row r="7" spans="1:57" x14ac:dyDescent="0.2">
      <c r="A7" s="24" t="s">
        <v>108</v>
      </c>
      <c r="B7" s="26" t="s">
        <v>108</v>
      </c>
      <c r="C7" s="26" t="s">
        <v>108</v>
      </c>
      <c r="D7" s="26" t="s">
        <v>108</v>
      </c>
      <c r="E7" s="26" t="s">
        <v>108</v>
      </c>
      <c r="F7" s="59" t="s">
        <v>94</v>
      </c>
      <c r="G7" s="59" t="s">
        <v>94</v>
      </c>
      <c r="H7" s="160" t="s">
        <v>95</v>
      </c>
      <c r="I7" s="59" t="s">
        <v>94</v>
      </c>
      <c r="J7" s="20" t="s">
        <v>95</v>
      </c>
      <c r="K7" s="35" t="s">
        <v>95</v>
      </c>
      <c r="L7" s="56" t="s">
        <v>94</v>
      </c>
      <c r="M7" s="56" t="s">
        <v>94</v>
      </c>
      <c r="N7" s="56" t="s">
        <v>94</v>
      </c>
      <c r="O7" s="56" t="s">
        <v>94</v>
      </c>
      <c r="P7" s="56" t="s">
        <v>94</v>
      </c>
      <c r="Q7" s="56" t="s">
        <v>94</v>
      </c>
      <c r="R7" s="56" t="s">
        <v>94</v>
      </c>
      <c r="S7" s="82" t="s">
        <v>94</v>
      </c>
      <c r="T7" s="20" t="s">
        <v>95</v>
      </c>
      <c r="U7" s="56" t="s">
        <v>94</v>
      </c>
      <c r="V7" s="144" t="s">
        <v>95</v>
      </c>
      <c r="W7" s="20" t="s">
        <v>95</v>
      </c>
      <c r="X7" s="56" t="s">
        <v>94</v>
      </c>
      <c r="Y7" s="144" t="s">
        <v>95</v>
      </c>
      <c r="Z7" s="230" t="s">
        <v>95</v>
      </c>
      <c r="AA7" s="230" t="s">
        <v>95</v>
      </c>
      <c r="AB7" s="230" t="s">
        <v>95</v>
      </c>
      <c r="AC7" s="230" t="s">
        <v>95</v>
      </c>
      <c r="AD7" s="56" t="s">
        <v>94</v>
      </c>
      <c r="AE7" s="113" t="s">
        <v>94</v>
      </c>
      <c r="AF7" s="56" t="s">
        <v>94</v>
      </c>
      <c r="AG7" s="56" t="s">
        <v>94</v>
      </c>
      <c r="AH7" s="106" t="s">
        <v>94</v>
      </c>
      <c r="AI7" s="56" t="s">
        <v>94</v>
      </c>
      <c r="AJ7" s="56" t="s">
        <v>94</v>
      </c>
      <c r="AK7" s="56" t="s">
        <v>94</v>
      </c>
      <c r="AL7" s="144" t="s">
        <v>95</v>
      </c>
      <c r="AM7" s="88" t="s">
        <v>94</v>
      </c>
      <c r="AN7" s="56" t="s">
        <v>94</v>
      </c>
      <c r="AO7" s="106" t="s">
        <v>94</v>
      </c>
      <c r="AP7" s="88" t="s">
        <v>94</v>
      </c>
      <c r="AQ7" s="56" t="s">
        <v>94</v>
      </c>
      <c r="AR7" s="82" t="s">
        <v>94</v>
      </c>
      <c r="AS7" s="20" t="s">
        <v>95</v>
      </c>
      <c r="AT7" s="20" t="s">
        <v>95</v>
      </c>
      <c r="AU7" s="20" t="s">
        <v>95</v>
      </c>
      <c r="AV7" s="88" t="s">
        <v>94</v>
      </c>
      <c r="AW7" s="56" t="s">
        <v>94</v>
      </c>
      <c r="AX7" s="59" t="s">
        <v>94</v>
      </c>
      <c r="AY7" s="82" t="s">
        <v>94</v>
      </c>
      <c r="AZ7" s="81" t="s">
        <v>94</v>
      </c>
      <c r="BA7" s="230" t="s">
        <v>95</v>
      </c>
      <c r="BB7" s="230" t="s">
        <v>95</v>
      </c>
      <c r="BC7" s="230" t="s">
        <v>95</v>
      </c>
      <c r="BD7" s="230" t="s">
        <v>95</v>
      </c>
      <c r="BE7" s="230" t="s">
        <v>95</v>
      </c>
    </row>
    <row r="8" spans="1:57" x14ac:dyDescent="0.2">
      <c r="F8" s="59"/>
      <c r="G8" s="59"/>
      <c r="H8" s="160"/>
      <c r="I8" s="59"/>
      <c r="J8" s="20"/>
      <c r="K8" s="35"/>
      <c r="L8" s="272" t="s">
        <v>768</v>
      </c>
      <c r="M8" s="272" t="s">
        <v>769</v>
      </c>
      <c r="N8" s="272" t="s">
        <v>769</v>
      </c>
      <c r="O8" s="272" t="s">
        <v>769</v>
      </c>
      <c r="P8" s="272" t="s">
        <v>770</v>
      </c>
      <c r="Q8" s="272" t="s">
        <v>771</v>
      </c>
      <c r="R8" s="272" t="s">
        <v>771</v>
      </c>
      <c r="S8" s="277" t="s">
        <v>113</v>
      </c>
      <c r="U8" s="272" t="s">
        <v>113</v>
      </c>
      <c r="X8" s="272" t="s">
        <v>768</v>
      </c>
      <c r="AE8" s="287" t="s">
        <v>115</v>
      </c>
      <c r="AF8" s="272" t="s">
        <v>115</v>
      </c>
      <c r="AG8" s="272" t="s">
        <v>115</v>
      </c>
      <c r="AI8" s="272" t="s">
        <v>769</v>
      </c>
      <c r="AJ8" s="272" t="s">
        <v>769</v>
      </c>
      <c r="AK8" s="272" t="s">
        <v>769</v>
      </c>
      <c r="AL8" s="144"/>
      <c r="AM8" s="273" t="s">
        <v>117</v>
      </c>
      <c r="AN8" s="272" t="s">
        <v>117</v>
      </c>
      <c r="AO8" s="274" t="s">
        <v>770</v>
      </c>
      <c r="AP8" s="273" t="s">
        <v>771</v>
      </c>
      <c r="AQ8" s="272" t="s">
        <v>771</v>
      </c>
      <c r="AS8" s="20"/>
      <c r="AT8" s="20"/>
      <c r="AU8" s="20"/>
      <c r="AV8" s="273" t="s">
        <v>765</v>
      </c>
      <c r="AW8" s="272" t="s">
        <v>765</v>
      </c>
    </row>
    <row r="9" spans="1:57" x14ac:dyDescent="0.2">
      <c r="F9" s="59"/>
      <c r="G9" s="59"/>
      <c r="H9" s="160"/>
      <c r="I9" s="59"/>
      <c r="J9" s="20"/>
      <c r="K9" s="35"/>
      <c r="L9" s="272"/>
      <c r="M9" s="272"/>
      <c r="N9" s="272"/>
      <c r="O9" s="272"/>
      <c r="P9" s="272"/>
      <c r="Q9" s="272"/>
      <c r="R9" s="272"/>
      <c r="S9" s="277" t="s">
        <v>114</v>
      </c>
      <c r="U9" s="272" t="s">
        <v>114</v>
      </c>
      <c r="X9" s="272"/>
      <c r="AE9" s="287" t="s">
        <v>116</v>
      </c>
      <c r="AF9" s="272" t="s">
        <v>116</v>
      </c>
      <c r="AG9" s="272" t="s">
        <v>116</v>
      </c>
      <c r="AI9" s="272"/>
      <c r="AJ9" s="272"/>
      <c r="AK9" s="272"/>
      <c r="AL9" s="144"/>
      <c r="AM9" s="273" t="s">
        <v>118</v>
      </c>
      <c r="AN9" s="272" t="s">
        <v>118</v>
      </c>
      <c r="AO9" s="274"/>
      <c r="AP9" s="273"/>
      <c r="AQ9" s="272"/>
      <c r="AS9" s="20"/>
      <c r="AT9" s="20"/>
      <c r="AU9" s="20"/>
      <c r="AV9" s="273" t="s">
        <v>766</v>
      </c>
      <c r="AW9" s="272" t="s">
        <v>766</v>
      </c>
    </row>
    <row r="10" spans="1:57" x14ac:dyDescent="0.2">
      <c r="F10" s="59"/>
      <c r="G10" s="59"/>
      <c r="H10" s="160"/>
      <c r="I10" s="59"/>
      <c r="J10" s="20"/>
      <c r="K10" s="35"/>
      <c r="L10" s="272"/>
      <c r="M10" s="272" t="s">
        <v>101</v>
      </c>
      <c r="N10" s="272" t="s">
        <v>102</v>
      </c>
      <c r="O10" s="272" t="s">
        <v>103</v>
      </c>
      <c r="P10" s="272" t="s">
        <v>104</v>
      </c>
      <c r="Q10" s="272" t="s">
        <v>120</v>
      </c>
      <c r="R10" s="272" t="s">
        <v>119</v>
      </c>
      <c r="S10" s="277"/>
      <c r="U10" s="272"/>
      <c r="X10" s="272"/>
      <c r="AE10" s="287" t="s">
        <v>101</v>
      </c>
      <c r="AF10" s="272" t="s">
        <v>102</v>
      </c>
      <c r="AG10" s="272" t="s">
        <v>103</v>
      </c>
      <c r="AI10" s="272" t="s">
        <v>101</v>
      </c>
      <c r="AJ10" s="272" t="s">
        <v>102</v>
      </c>
      <c r="AK10" s="272" t="s">
        <v>103</v>
      </c>
      <c r="AL10" s="144"/>
      <c r="AM10" s="273" t="s">
        <v>120</v>
      </c>
      <c r="AN10" s="272" t="s">
        <v>119</v>
      </c>
      <c r="AO10" s="274" t="s">
        <v>104</v>
      </c>
      <c r="AP10" s="273" t="s">
        <v>120</v>
      </c>
      <c r="AQ10" s="272" t="s">
        <v>119</v>
      </c>
      <c r="AS10" s="20"/>
      <c r="AT10" s="20"/>
      <c r="AU10" s="20"/>
      <c r="AV10" s="273" t="s">
        <v>104</v>
      </c>
      <c r="AW10" s="272" t="s">
        <v>121</v>
      </c>
    </row>
    <row r="11" spans="1:57" x14ac:dyDescent="0.2">
      <c r="F11" s="59" t="s">
        <v>203</v>
      </c>
      <c r="G11" s="59" t="s">
        <v>203</v>
      </c>
      <c r="H11" s="160" t="s">
        <v>203</v>
      </c>
      <c r="I11" s="59" t="s">
        <v>203</v>
      </c>
      <c r="J11" s="20" t="s">
        <v>203</v>
      </c>
      <c r="K11" s="20" t="s">
        <v>203</v>
      </c>
      <c r="L11" s="56" t="s">
        <v>203</v>
      </c>
      <c r="M11" s="56" t="s">
        <v>203</v>
      </c>
      <c r="N11" s="56" t="s">
        <v>203</v>
      </c>
      <c r="O11" s="56" t="s">
        <v>203</v>
      </c>
      <c r="P11" s="56" t="s">
        <v>203</v>
      </c>
      <c r="Q11" s="56" t="s">
        <v>203</v>
      </c>
      <c r="R11" s="56" t="s">
        <v>203</v>
      </c>
      <c r="S11" s="82" t="s">
        <v>203</v>
      </c>
      <c r="T11" s="20" t="s">
        <v>203</v>
      </c>
      <c r="U11" s="56" t="s">
        <v>203</v>
      </c>
      <c r="V11" s="144" t="s">
        <v>203</v>
      </c>
      <c r="W11" s="20" t="s">
        <v>203</v>
      </c>
      <c r="X11" s="56" t="s">
        <v>203</v>
      </c>
      <c r="Y11" s="144" t="s">
        <v>203</v>
      </c>
      <c r="Z11" s="230" t="s">
        <v>203</v>
      </c>
      <c r="AA11" s="230" t="s">
        <v>203</v>
      </c>
      <c r="AB11" s="230" t="s">
        <v>203</v>
      </c>
      <c r="AC11" s="230" t="s">
        <v>203</v>
      </c>
      <c r="AD11" s="56" t="s">
        <v>203</v>
      </c>
      <c r="AE11" s="113" t="s">
        <v>203</v>
      </c>
      <c r="AF11" s="56" t="s">
        <v>203</v>
      </c>
      <c r="AG11" s="56" t="s">
        <v>203</v>
      </c>
      <c r="AH11" s="106" t="s">
        <v>203</v>
      </c>
      <c r="AI11" s="56" t="s">
        <v>203</v>
      </c>
      <c r="AJ11" s="56" t="s">
        <v>203</v>
      </c>
      <c r="AK11" s="56" t="s">
        <v>203</v>
      </c>
      <c r="AL11" s="144" t="s">
        <v>203</v>
      </c>
      <c r="AM11" s="88" t="s">
        <v>203</v>
      </c>
      <c r="AN11" s="56" t="s">
        <v>203</v>
      </c>
      <c r="AO11" s="106" t="s">
        <v>203</v>
      </c>
      <c r="AP11" s="88" t="s">
        <v>203</v>
      </c>
      <c r="AQ11" s="56" t="s">
        <v>203</v>
      </c>
      <c r="AR11" s="82" t="s">
        <v>203</v>
      </c>
      <c r="AS11" s="20" t="s">
        <v>203</v>
      </c>
      <c r="AT11" s="20" t="s">
        <v>203</v>
      </c>
      <c r="AU11" s="20" t="s">
        <v>203</v>
      </c>
      <c r="AV11" s="88" t="s">
        <v>203</v>
      </c>
      <c r="AW11" s="56" t="s">
        <v>203</v>
      </c>
      <c r="AX11" s="59" t="s">
        <v>203</v>
      </c>
      <c r="AY11" s="82" t="s">
        <v>203</v>
      </c>
      <c r="AZ11" s="81" t="s">
        <v>203</v>
      </c>
      <c r="BA11" s="230" t="s">
        <v>203</v>
      </c>
      <c r="BB11" s="230" t="s">
        <v>203</v>
      </c>
      <c r="BC11" s="230" t="s">
        <v>203</v>
      </c>
      <c r="BD11" s="230" t="s">
        <v>203</v>
      </c>
      <c r="BE11" s="230" t="s">
        <v>203</v>
      </c>
    </row>
    <row r="12" spans="1:57" x14ac:dyDescent="0.2">
      <c r="F12" s="59" t="s">
        <v>685</v>
      </c>
      <c r="G12" s="59" t="s">
        <v>685</v>
      </c>
      <c r="H12" s="160" t="s">
        <v>685</v>
      </c>
      <c r="I12" s="59" t="s">
        <v>685</v>
      </c>
      <c r="J12" s="20" t="s">
        <v>685</v>
      </c>
      <c r="K12" s="20" t="s">
        <v>685</v>
      </c>
      <c r="L12" s="56" t="s">
        <v>685</v>
      </c>
      <c r="M12" s="56" t="s">
        <v>685</v>
      </c>
      <c r="N12" s="56" t="s">
        <v>685</v>
      </c>
      <c r="O12" s="56" t="s">
        <v>685</v>
      </c>
      <c r="P12" s="56" t="s">
        <v>685</v>
      </c>
      <c r="Q12" s="56" t="s">
        <v>685</v>
      </c>
      <c r="R12" s="56" t="s">
        <v>685</v>
      </c>
      <c r="S12" s="82" t="s">
        <v>685</v>
      </c>
      <c r="T12" s="20" t="s">
        <v>685</v>
      </c>
      <c r="U12" s="56" t="s">
        <v>685</v>
      </c>
      <c r="V12" s="144" t="s">
        <v>685</v>
      </c>
      <c r="W12" s="20" t="s">
        <v>685</v>
      </c>
      <c r="X12" s="56" t="s">
        <v>685</v>
      </c>
      <c r="Y12" s="144" t="s">
        <v>685</v>
      </c>
      <c r="Z12" s="230" t="s">
        <v>685</v>
      </c>
      <c r="AA12" s="230" t="s">
        <v>685</v>
      </c>
      <c r="AB12" s="230" t="s">
        <v>685</v>
      </c>
      <c r="AC12" s="230" t="s">
        <v>685</v>
      </c>
      <c r="AD12" s="56" t="s">
        <v>685</v>
      </c>
      <c r="AE12" s="113" t="s">
        <v>685</v>
      </c>
      <c r="AF12" s="56" t="s">
        <v>685</v>
      </c>
      <c r="AG12" s="56" t="s">
        <v>685</v>
      </c>
      <c r="AH12" s="106" t="s">
        <v>685</v>
      </c>
      <c r="AI12" s="56" t="s">
        <v>685</v>
      </c>
      <c r="AJ12" s="56" t="s">
        <v>685</v>
      </c>
      <c r="AK12" s="56" t="s">
        <v>685</v>
      </c>
      <c r="AL12" s="144" t="s">
        <v>685</v>
      </c>
      <c r="AM12" s="88" t="s">
        <v>685</v>
      </c>
      <c r="AN12" s="56" t="s">
        <v>685</v>
      </c>
      <c r="AO12" s="106" t="s">
        <v>685</v>
      </c>
      <c r="AP12" s="88" t="s">
        <v>685</v>
      </c>
      <c r="AQ12" s="56" t="s">
        <v>685</v>
      </c>
      <c r="AR12" s="82" t="s">
        <v>685</v>
      </c>
      <c r="AS12" s="20" t="s">
        <v>685</v>
      </c>
      <c r="AT12" s="20" t="s">
        <v>685</v>
      </c>
      <c r="AU12" s="20" t="s">
        <v>685</v>
      </c>
      <c r="AV12" s="88" t="s">
        <v>685</v>
      </c>
      <c r="AW12" s="56" t="s">
        <v>685</v>
      </c>
      <c r="AX12" s="59" t="s">
        <v>685</v>
      </c>
      <c r="AY12" s="82" t="s">
        <v>685</v>
      </c>
      <c r="AZ12" s="81" t="s">
        <v>685</v>
      </c>
      <c r="BA12" s="230" t="s">
        <v>685</v>
      </c>
      <c r="BB12" s="230" t="s">
        <v>685</v>
      </c>
      <c r="BC12" s="230" t="s">
        <v>685</v>
      </c>
      <c r="BD12" s="230" t="s">
        <v>685</v>
      </c>
      <c r="BE12" s="230" t="s">
        <v>685</v>
      </c>
    </row>
    <row r="13" spans="1:57" x14ac:dyDescent="0.2">
      <c r="F13" s="59"/>
      <c r="G13" s="59"/>
      <c r="H13" s="160"/>
      <c r="I13" s="59"/>
      <c r="J13" s="20"/>
      <c r="K13" s="35"/>
      <c r="L13" s="56"/>
      <c r="M13" s="56"/>
      <c r="N13" s="56"/>
      <c r="O13" s="56"/>
      <c r="P13" s="56"/>
      <c r="Q13" s="56"/>
      <c r="R13" s="56"/>
      <c r="S13" s="82"/>
      <c r="U13" s="56"/>
      <c r="X13" s="56"/>
      <c r="AL13" s="144"/>
      <c r="AS13" s="20"/>
      <c r="AT13" s="20"/>
      <c r="AU13" s="20"/>
    </row>
    <row r="14" spans="1:57" x14ac:dyDescent="0.2">
      <c r="A14" s="36" t="s">
        <v>583</v>
      </c>
      <c r="B14" s="36" t="s">
        <v>5</v>
      </c>
      <c r="C14" s="36" t="s">
        <v>35</v>
      </c>
      <c r="D14" s="36" t="s">
        <v>6</v>
      </c>
      <c r="E14" s="36" t="s">
        <v>75</v>
      </c>
      <c r="F14" s="76" t="s">
        <v>298</v>
      </c>
      <c r="G14" s="76" t="s">
        <v>299</v>
      </c>
      <c r="H14" s="161" t="s">
        <v>301</v>
      </c>
      <c r="I14" s="76" t="s">
        <v>302</v>
      </c>
      <c r="J14" s="192" t="s">
        <v>497</v>
      </c>
      <c r="K14" s="192" t="s">
        <v>1080</v>
      </c>
      <c r="L14" s="155" t="s">
        <v>304</v>
      </c>
      <c r="M14" s="155" t="s">
        <v>305</v>
      </c>
      <c r="N14" s="155" t="s">
        <v>306</v>
      </c>
      <c r="O14" s="155" t="s">
        <v>307</v>
      </c>
      <c r="P14" s="155" t="s">
        <v>308</v>
      </c>
      <c r="Q14" s="155" t="s">
        <v>309</v>
      </c>
      <c r="R14" s="155" t="s">
        <v>310</v>
      </c>
      <c r="S14" s="157" t="s">
        <v>317</v>
      </c>
      <c r="T14" s="361" t="s">
        <v>504</v>
      </c>
      <c r="U14" s="359" t="s">
        <v>318</v>
      </c>
      <c r="V14" s="362" t="s">
        <v>733</v>
      </c>
      <c r="W14" s="361" t="s">
        <v>734</v>
      </c>
      <c r="X14" s="359" t="s">
        <v>731</v>
      </c>
      <c r="Y14" s="362" t="s">
        <v>505</v>
      </c>
      <c r="Z14" s="231" t="s">
        <v>600</v>
      </c>
      <c r="AA14" s="361" t="s">
        <v>506</v>
      </c>
      <c r="AB14" s="192" t="s">
        <v>601</v>
      </c>
      <c r="AC14" s="361" t="s">
        <v>507</v>
      </c>
      <c r="AD14" s="347" t="s">
        <v>741</v>
      </c>
      <c r="AE14" s="359" t="s">
        <v>319</v>
      </c>
      <c r="AF14" s="347" t="s">
        <v>367</v>
      </c>
      <c r="AG14" s="359" t="s">
        <v>368</v>
      </c>
      <c r="AH14" s="360" t="s">
        <v>742</v>
      </c>
      <c r="AI14" s="359" t="s">
        <v>738</v>
      </c>
      <c r="AJ14" s="359" t="s">
        <v>739</v>
      </c>
      <c r="AK14" s="359" t="s">
        <v>740</v>
      </c>
      <c r="AL14" s="317" t="s">
        <v>529</v>
      </c>
      <c r="AM14" s="359" t="s">
        <v>320</v>
      </c>
      <c r="AN14" s="359" t="s">
        <v>754</v>
      </c>
      <c r="AO14" s="360" t="s">
        <v>744</v>
      </c>
      <c r="AP14" s="140" t="s">
        <v>745</v>
      </c>
      <c r="AQ14" s="359" t="s">
        <v>746</v>
      </c>
      <c r="AR14" s="360" t="s">
        <v>508</v>
      </c>
      <c r="AS14" s="192" t="s">
        <v>732</v>
      </c>
      <c r="AT14" s="192" t="s">
        <v>509</v>
      </c>
      <c r="AU14" s="192" t="s">
        <v>510</v>
      </c>
      <c r="AV14" s="347" t="s">
        <v>369</v>
      </c>
      <c r="AW14" s="347" t="s">
        <v>370</v>
      </c>
      <c r="AX14" s="359" t="s">
        <v>511</v>
      </c>
      <c r="AY14" s="360" t="s">
        <v>512</v>
      </c>
      <c r="AZ14" s="140" t="s">
        <v>513</v>
      </c>
      <c r="BA14" s="231" t="s">
        <v>515</v>
      </c>
      <c r="BB14" s="231" t="s">
        <v>514</v>
      </c>
      <c r="BC14" s="231" t="s">
        <v>570</v>
      </c>
      <c r="BD14" s="231" t="s">
        <v>572</v>
      </c>
      <c r="BE14" s="231" t="s">
        <v>575</v>
      </c>
    </row>
    <row r="15" spans="1:57" x14ac:dyDescent="0.2">
      <c r="E15" s="26" t="str">
        <f>B15&amp;"|"&amp;C15&amp;"|"&amp;D15</f>
        <v>||</v>
      </c>
      <c r="F15" s="63" t="str">
        <f>IF(LEFT($B15,4)="_Mil","",_xlfn.IFNA(INDEX(Cascade!$F:$F,MATCH($E15,Cascade!$E:$E,0)),""))</f>
        <v/>
      </c>
      <c r="G15" s="63" t="str">
        <f>IF(LEFT($B15,4)="_Mil","",_xlfn.IFNA(INDEX(Cascade!$H:$H,MATCH($E15,Cascade!$E:$E,0)),""))</f>
        <v/>
      </c>
      <c r="H15" s="160" t="str">
        <f>IF(LEFT($B15,4)="_Mil","",_xlfn.IFNA(INDEX(Cascade!$J:$J,MATCH($E15,Cascade!$E:$E,0)),""))</f>
        <v/>
      </c>
      <c r="I15" s="63" t="str">
        <f>IF(LEFT($B15,4)="_Mil","",_xlfn.IFNA(INDEX(Cascade!$T:$T,MATCH($E15,Cascade!$E:$E,0)),""))</f>
        <v/>
      </c>
      <c r="J15" s="20" t="str">
        <f>IF(LEFT($B15,4)="_Mil","",_xlfn.IFNA(INDEX(Cascade!$BU:$BU,MATCH($E15,Cascade!$E:$E,0)),""))</f>
        <v/>
      </c>
      <c r="K15" s="20" t="str">
        <f>IF(LEFT($B15,4)="_Mil","",_xlfn.IFNA(INDEX(Cascade!$AL:$AL,MATCH($E15,Cascade!$E:$E,0)),""))</f>
        <v/>
      </c>
      <c r="L15" s="68" t="str">
        <f>IF(LEFT($B15,4)="_Mil","",_xlfn.IFNA(ROUND(INDEX(Spectrum!$N:$N,MATCH(RIGHT($B15,13)&amp;"|"&amp;$C15&amp;"|"&amp;$D15&amp;"|"&amp;L$14&amp;"|"&amp;"CY2022Q3",Spectrum!$Q:$Q,0)),0),""))</f>
        <v/>
      </c>
      <c r="M15" s="68" t="str">
        <f>IF(LEFT($B15,4)="_Mil","",_xlfn.IFNA(ROUND(INDEX(Spectrum!$N:$N,MATCH(RIGHT($B15,13)&amp;"|"&amp;$C15&amp;"|"&amp;$D15&amp;"|"&amp;M$14&amp;"|"&amp;"CY2022Q3",Spectrum!$Q:$Q,0)),0),""))</f>
        <v/>
      </c>
      <c r="N15" s="68" t="str">
        <f>IF(LEFT($B15,4)="_Mil","",_xlfn.IFNA(ROUND(INDEX(Spectrum!$N:$N,MATCH(RIGHT($B15,13)&amp;"|"&amp;$C15&amp;"|"&amp;$D15&amp;"|"&amp;N$14&amp;"|"&amp;"CY2022Q3",Spectrum!$Q:$Q,0)),0),""))</f>
        <v/>
      </c>
      <c r="O15" s="68" t="str">
        <f>IF(LEFT($B15,4)="_Mil","",_xlfn.IFNA(ROUND(INDEX(Spectrum!$N:$N,MATCH(RIGHT($B15,13)&amp;"|"&amp;$C15&amp;"|"&amp;$D15&amp;"|"&amp;O$14&amp;"|"&amp;"CY2022Q3",Spectrum!$Q:$Q,0)),0),""))</f>
        <v/>
      </c>
      <c r="P15" s="68" t="str">
        <f>IF(LEFT($B15,4)="_Mil","",_xlfn.IFNA(ROUND(INDEX(Spectrum!$N:$N,MATCH(RIGHT($B15,13)&amp;"|"&amp;$C15&amp;"|"&amp;$D15&amp;"|"&amp;P$14&amp;"|"&amp;"CY2022Q3",Spectrum!$Q:$Q,0)),0),""))</f>
        <v/>
      </c>
      <c r="Q15" s="68" t="str">
        <f>IF(LEFT($B15,4)="_Mil","",_xlfn.IFNA(ROUND(INDEX(Spectrum!$N:$N,MATCH(RIGHT($B15,13)&amp;"|"&amp;$C15&amp;"|"&amp;$D15&amp;"|"&amp;Q$14&amp;"|"&amp;"CY2022Q3",Spectrum!$Q:$Q,0)),0),""))</f>
        <v/>
      </c>
      <c r="R15" s="68" t="str">
        <f>IF(LEFT($B15,4)="_Mil","",_xlfn.IFNA(ROUND(INDEX(Spectrum!$N:$N,MATCH(RIGHT($B15,13)&amp;"|"&amp;$C15&amp;"|"&amp;$D15&amp;"|"&amp;R$14&amp;"|"&amp;"CY2022Q3",Spectrum!$Q:$Q,0)),0),""))</f>
        <v/>
      </c>
      <c r="T15" s="20" t="str">
        <f>IF(SUM($S15)=0,"",0%)</f>
        <v/>
      </c>
      <c r="U15" s="110" t="str">
        <f>IF(SUM($S15)=0,"",ROUND(MIN($S15,$L15)*(1+$T15),0))</f>
        <v/>
      </c>
      <c r="V15" s="144" t="str">
        <f>IF(LEFT($B15,4)="_Mil","",IF(SUM($L15)=0,IF(SUM($S15)=0,"",1),MIN($S15/$L15,1)))</f>
        <v/>
      </c>
      <c r="W15" s="20" t="str">
        <f>$V15</f>
        <v/>
      </c>
      <c r="X15" s="110" t="str">
        <f>IF(OR(SUM($U15)=0,LEFT($B15,4)="_Mil"),"",ROUND($U15/$W15,0))</f>
        <v/>
      </c>
      <c r="Y15" s="144" t="str">
        <f>IF(SUM($S15)=0,"",100%)</f>
        <v/>
      </c>
      <c r="AA15" s="230" t="str">
        <f>IF(SUM($L15,$Z15)=0,"",MAX(IFERROR(SUM($M15)/$L15,0),SUM($Z15)))</f>
        <v/>
      </c>
      <c r="AC15" s="230" t="str">
        <f>IF(SUM($L15,$N15,$AB15)=0,"",MIN(SUM($AB15),IFERROR($N15/(SUM($L15)-SUM($M15)),1)))</f>
        <v/>
      </c>
      <c r="AD15" s="56" t="str">
        <f>IF(SUM($U15)=0,"",ROUND($U15*SUM($Y15),0))</f>
        <v/>
      </c>
      <c r="AE15" s="56" t="str">
        <f>IF(SUM($AD15)=0,"",ROUND($AD15*$AA15,0))</f>
        <v/>
      </c>
      <c r="AF15" s="56" t="str">
        <f>IF(SUM($AD15)=0,"",ROUND(($AD15-SUM($AE15))*$AC15,0))</f>
        <v/>
      </c>
      <c r="AG15" s="56" t="str">
        <f>IF(SUM($AD15)=0,"",ROUND($AD15-SUM($AE15)-SUM($AF15),0))</f>
        <v/>
      </c>
      <c r="AH15" s="106" t="str">
        <f>IF(SUM($X15)=0,"",ROUND($X15*SUM($Y15),0))</f>
        <v/>
      </c>
      <c r="AI15" s="56" t="str">
        <f>IF(SUM($AH15)=0,"",ROUND($AH15*SUM($AA15),0))</f>
        <v/>
      </c>
      <c r="AJ15" s="56" t="str">
        <f>IF(SUM($AH15)=0,"",ROUND(($AH15-SUM($AI15))*SUM($AC15),0))</f>
        <v/>
      </c>
      <c r="AK15" s="56" t="str">
        <f>IF(SUM($AH15)=0,"",ROUND($AH15-SUM($AI15)-SUM($AJ15),0))</f>
        <v/>
      </c>
      <c r="AL15" s="144" t="str">
        <f>IF(SUM($AF15)=0,"",_xlfn.IFNA(INDEX(Cascade!$BC:$BC,MATCH($E15,Cascade!$E:$E,0)),""))</f>
        <v/>
      </c>
      <c r="AM15" s="88" t="str">
        <f>IF(SUM($AE15)=0,"",$AE15)</f>
        <v/>
      </c>
      <c r="AN15" s="56" t="str">
        <f>IF(SUM($AF15)=0,"",IF($AL15="","&lt;- Enter Linkage Rate",ROUND($AF15*$AL15,0)))</f>
        <v/>
      </c>
      <c r="AO15" s="106" t="str">
        <f>IF(SUM($AI15,$AJ15)=0,"",SUM($AI15,$AJ15))</f>
        <v/>
      </c>
      <c r="AP15" s="88" t="str">
        <f>IF(SUM($AI15)=0,"",$AI15)</f>
        <v/>
      </c>
      <c r="AQ15" s="56" t="str">
        <f>IF(SUM($AJ15)=0,"",ROUND($AJ15*SUM($AL15),0))</f>
        <v/>
      </c>
      <c r="AR15" s="82" t="str">
        <f>IF(AND((SUM($U15)-SUM($AE15)-SUM($AF15))=0,SUM($AG15)=0),"",MAX(SUM($U15)-SUM($AE15,$AF15),$AG15))</f>
        <v/>
      </c>
      <c r="AS15" s="20"/>
      <c r="AT15" s="20" t="str">
        <f>IF(SUM($AS15)=0,"",$AS15)</f>
        <v/>
      </c>
      <c r="AU15" s="20" t="str">
        <f>IF(SUM($AR15)=0,"",_xlfn.IFNA(INDEX(Cascade!$BC:$BC,MATCH($E15,Cascade!$E:$E,0)),""))</f>
        <v/>
      </c>
      <c r="AV15" s="88" t="str">
        <f>IF(SUM($AR15)=0,"",ROUND($AR15*$AT15,0))</f>
        <v/>
      </c>
      <c r="AW15" s="56" t="str">
        <f>IF(SUM($AR15)=0,"",$AR15-SUM($AV15))</f>
        <v/>
      </c>
      <c r="AX15" s="59" t="str">
        <f>IF(SUM($AV15)=0,"",ROUND($AV15*$AU15,0))</f>
        <v/>
      </c>
      <c r="AY15" s="82" t="str">
        <f>IF(SUM($AF15,$AE15,$AV15)=0,"",SUM($AF15,$AE15,$AV15))</f>
        <v/>
      </c>
      <c r="AZ15" s="81" t="str">
        <f>_xlfn.IFNA(INDEX(Cascade!$CB:$CB,MATCH($E15,Cascade!$E:$E,0)),"")</f>
        <v/>
      </c>
      <c r="BA15" s="230" t="str">
        <f>IF(SUM($AF15)=0,"",$AF15/SUM($AZ15))</f>
        <v/>
      </c>
      <c r="BB15" s="230" t="str">
        <f>IF(SUM($AV15)=0,"",$AV15/SUM($AZ15))</f>
        <v/>
      </c>
      <c r="BC15" s="230" t="str">
        <f>_xlfn.IFNA(INDEX(Cascade!$CJ:$CJ,MATCH($E15,Cascade!$E:$E,0)),"")</f>
        <v/>
      </c>
      <c r="BD15" s="230" t="str">
        <f>_xlfn.IFNA(INDEX(Cascade!$CM:$CM,MATCH($E15,Cascade!$E:$E,0)),"")</f>
        <v/>
      </c>
      <c r="BE15" s="230" t="str">
        <f>_xlfn.IFNA(INDEX(Cascade!$CP:$CP,MATCH($E15,Cascade!$E:$E,0)),"")</f>
        <v/>
      </c>
    </row>
  </sheetData>
  <mergeCells count="1">
    <mergeCell ref="A2:B3"/>
  </mergeCells>
  <phoneticPr fontId="21" type="noConversion"/>
  <conditionalFormatting sqref="T1:T1048576">
    <cfRule type="expression" dxfId="213" priority="46">
      <formula>AND(ISNUMBER($T1),ROUND($T1,2)&lt;&gt;0)</formula>
    </cfRule>
  </conditionalFormatting>
  <conditionalFormatting sqref="AL1:AL1048576 AU1:AU1048576">
    <cfRule type="expression" dxfId="212" priority="23">
      <formula>AND(ISNUMBER(AL1),ROUND(AL1,2)&lt;0.95)</formula>
    </cfRule>
  </conditionalFormatting>
  <conditionalFormatting sqref="AA1:AA1048576">
    <cfRule type="expression" dxfId="211" priority="48">
      <formula>AND(ISNUMBER(AA1),ROUND(AA1,2)&gt;=0.75)</formula>
    </cfRule>
  </conditionalFormatting>
  <conditionalFormatting sqref="Y1:Y1048576">
    <cfRule type="expression" dxfId="210" priority="14">
      <formula>AND(ISNUMBER($Y1),$Y1&lt;100%)</formula>
    </cfRule>
  </conditionalFormatting>
  <conditionalFormatting sqref="AY1:BE1048576">
    <cfRule type="expression" dxfId="209" priority="7">
      <formula>AND(ROW($BE1)&gt;14,ROUND($BE1,2)&lt;0)</formula>
    </cfRule>
    <cfRule type="expression" dxfId="208" priority="16">
      <formula>AND(ROW($BE1)&gt;14,ISERROR($BE1))</formula>
    </cfRule>
  </conditionalFormatting>
  <conditionalFormatting sqref="AC1:AC1048576">
    <cfRule type="expression" dxfId="207" priority="3">
      <formula>AND(ROW($AA1)&gt;14,SUM($AD1)&gt;0,SUM($AA1)&lt;=0)</formula>
    </cfRule>
    <cfRule type="expression" dxfId="206" priority="4">
      <formula>AND(ROW($AC1)&gt;14,SUM($AD1)&gt;0,SUM($AC1)&lt;=0)</formula>
    </cfRule>
    <cfRule type="expression" dxfId="205" priority="13">
      <formula>AND(ROW($AC1)&gt;14,ROUND($AC1,2)&gt;10%)</formula>
    </cfRule>
  </conditionalFormatting>
  <conditionalFormatting sqref="U1:U1048576">
    <cfRule type="expression" dxfId="204" priority="1282">
      <formula>AND(ROW($U1)&gt;14,ISNUMBER($U1),$S1&gt;$L1)</formula>
    </cfRule>
  </conditionalFormatting>
  <conditionalFormatting sqref="F1:R1048576 V1:X1048576 AH1:AK1048576 AO1:AQ1048576">
    <cfRule type="expression" dxfId="203" priority="2178">
      <formula>AND(ROW(F1)&gt;14,LEFT($B1,4)="_Mil")</formula>
    </cfRule>
  </conditionalFormatting>
  <conditionalFormatting sqref="H1:H1048576 J1:K1048576 V1:W1048576 Y1:AC1048576 AL1:AL1048576 AS1:AU1048576 BA1:BE1048576">
    <cfRule type="expression" dxfId="202" priority="6">
      <formula>AND(ISNUMBER(H1),OR(ROUND(H1,2)&lt;0,ROUND(H1,2)&gt;1))</formula>
    </cfRule>
  </conditionalFormatting>
  <conditionalFormatting sqref="F1:G1048576 I1:I1048576 L1:S1048576 U1:U1048576 X1:X1048576 AD1:AK1048576 AM1:AR1048576 AV1:AZ1048576">
    <cfRule type="expression" dxfId="201" priority="1">
      <formula>AND(ISNUMBER(F1),ROUND(F1,0)&lt;0)</formula>
    </cfRule>
  </conditionalFormatting>
  <conditionalFormatting sqref="AT1:AT1048576">
    <cfRule type="expression" dxfId="200" priority="5">
      <formula>AND(ROW($AT1)&gt;14,SUM($AR1)&gt;0,SUM($AT1)&lt;=0)</formula>
    </cfRule>
  </conditionalFormatting>
  <conditionalFormatting sqref="W1:W1048576">
    <cfRule type="expression" dxfId="199" priority="2">
      <formula>AND(ROW($W1)&gt;14,LEFT($B1,4)&lt;&gt;"_Mil",SUM($U1)&gt;0,SUM($W1)&lt;=0)</formula>
    </cfRule>
  </conditionalFormatting>
  <hyperlinks>
    <hyperlink ref="AV3" location="Cascade!CE:CE" display="Positive (FY23)" xr:uid="{9AC7778E-2E88-7242-BE1A-0032FDF1AA0A}"/>
    <hyperlink ref="AY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BS:BS" display="Host Country Est. ART Coverage (FY22) (%)" xr:uid="{62172621-78AD-F245-A486-21A9FED7A825}"/>
    <hyperlink ref="AZ3" location="Cascade!CB:CB" display="Total HTS_TST_POS (FY23)" xr:uid="{EF1CACDE-E83E-BC49-803E-79E8D75E671B}"/>
    <hyperlink ref="BA3" location="PMTCT!AF:AF" display="Total Positives from PMTCT_STAT ANC1 (FY23) (%)" xr:uid="{237D0CFB-FBAB-3A42-9524-0309C16E980E}"/>
    <hyperlink ref="BB3" location="PMTCT!AV:AV" display="Total Positives from PMTCT Post ANC1 (FY23) (%)" xr:uid="{D680F786-FE9E-564F-8330-479022D7C4BA}"/>
    <hyperlink ref="BC3" location="Cascade!CJ:CJ" display="Total Positives from HTS_INDEX (FY23) (%)" xr:uid="{A440D5C0-3246-D64E-9D9A-125BFE1073A1}"/>
    <hyperlink ref="BD3" location="Cascade!CM:CM" display="Total Positives from TB_STAT (FY23) (%)" xr:uid="{37B73FCD-3AA1-4546-B221-83E509C72600}"/>
    <hyperlink ref="BE3" location="Cascade!CP:CP" display="Total Positives from All Other Modalities (FY23) (%)" xr:uid="{EA06E773-2DB3-0B4D-BA39-4517BD65D120}"/>
    <hyperlink ref="K3" location="Cascade!AL:AL" display="Host Country Est. PopVLS Rate (VLS/PLHIV) (FY22) (%)" xr:uid="{117CCFAC-2256-F346-BBFA-6D9C183041C6}"/>
    <hyperlink ref="AF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1.83203125" style="258" customWidth="1"/>
    <col min="4" max="5" width="11.83203125" style="257" customWidth="1"/>
    <col min="6" max="7" width="11.83203125" style="56" customWidth="1"/>
    <col min="8" max="11" width="11.83203125" style="257" customWidth="1"/>
    <col min="12" max="12" width="11.83203125" style="56" customWidth="1"/>
    <col min="13" max="13" width="11.83203125" style="257" customWidth="1"/>
    <col min="14" max="14" width="11.83203125" style="56" customWidth="1"/>
    <col min="15" max="15" width="11.83203125" style="257" customWidth="1"/>
    <col min="16" max="16" width="11.83203125" style="56" customWidth="1"/>
    <col min="17" max="17" width="11.83203125" style="257" customWidth="1"/>
    <col min="18" max="18" width="11.83203125" style="56" customWidth="1"/>
    <col min="19" max="19" width="11.83203125" style="257" customWidth="1"/>
    <col min="20" max="20" width="11.83203125" style="56" customWidth="1"/>
    <col min="21" max="21" width="11.83203125" style="257" customWidth="1"/>
    <col min="22" max="22" width="11.83203125" style="56" customWidth="1"/>
  </cols>
  <sheetData>
    <row r="1" spans="1:22" s="41" customFormat="1" ht="31" customHeight="1" x14ac:dyDescent="0.3">
      <c r="A1" s="5" t="s">
        <v>34</v>
      </c>
      <c r="B1" s="5"/>
      <c r="C1" s="51" t="s">
        <v>50</v>
      </c>
      <c r="D1" s="29"/>
      <c r="E1" s="27"/>
      <c r="F1" s="51"/>
      <c r="G1" s="51"/>
      <c r="H1" s="226" t="s">
        <v>69</v>
      </c>
      <c r="I1" s="226"/>
      <c r="J1" s="226"/>
      <c r="K1" s="29"/>
      <c r="L1" s="64"/>
      <c r="M1" s="29"/>
      <c r="N1" s="64"/>
      <c r="O1" s="29"/>
      <c r="P1" s="64"/>
      <c r="Q1" s="29"/>
      <c r="R1" s="64"/>
      <c r="S1" s="29"/>
      <c r="T1" s="64"/>
      <c r="U1" s="29"/>
      <c r="V1" s="64"/>
    </row>
    <row r="2" spans="1:22" s="3" customFormat="1" ht="19" x14ac:dyDescent="0.25">
      <c r="A2" s="23"/>
      <c r="B2" s="23"/>
      <c r="C2" s="78" t="s">
        <v>2</v>
      </c>
      <c r="D2" s="18"/>
      <c r="E2" s="18"/>
      <c r="F2" s="65" t="s">
        <v>3</v>
      </c>
      <c r="G2" s="65"/>
      <c r="H2" s="227" t="s">
        <v>2</v>
      </c>
      <c r="I2" s="227"/>
      <c r="J2" s="227"/>
      <c r="K2" s="18"/>
      <c r="L2" s="65"/>
      <c r="M2" s="18"/>
      <c r="N2" s="65"/>
      <c r="O2" s="18"/>
      <c r="P2" s="65"/>
      <c r="Q2" s="18"/>
      <c r="R2" s="65"/>
      <c r="S2" s="18"/>
      <c r="T2" s="65"/>
      <c r="U2" s="18"/>
      <c r="V2" s="65"/>
    </row>
    <row r="3" spans="1:22" s="24" customFormat="1" ht="117" customHeight="1" x14ac:dyDescent="0.2">
      <c r="A3" s="31"/>
      <c r="B3" s="31"/>
      <c r="C3" s="238" t="s">
        <v>1051</v>
      </c>
      <c r="D3" s="32" t="s">
        <v>1052</v>
      </c>
      <c r="E3" s="32" t="s">
        <v>1053</v>
      </c>
      <c r="F3" s="53" t="s">
        <v>980</v>
      </c>
      <c r="G3" s="53" t="s">
        <v>981</v>
      </c>
      <c r="H3" s="363" t="s">
        <v>918</v>
      </c>
      <c r="I3" s="366" t="s">
        <v>919</v>
      </c>
      <c r="J3" s="365" t="s">
        <v>920</v>
      </c>
      <c r="K3" s="375" t="s">
        <v>921</v>
      </c>
      <c r="L3" s="54" t="s">
        <v>983</v>
      </c>
      <c r="M3" s="375" t="s">
        <v>832</v>
      </c>
      <c r="N3" s="54" t="s">
        <v>986</v>
      </c>
      <c r="O3" s="375" t="s">
        <v>982</v>
      </c>
      <c r="P3" s="54" t="s">
        <v>987</v>
      </c>
      <c r="Q3" s="366" t="s">
        <v>1130</v>
      </c>
      <c r="R3" s="306" t="s">
        <v>1133</v>
      </c>
      <c r="S3" s="366" t="s">
        <v>1132</v>
      </c>
      <c r="T3" s="54" t="s">
        <v>984</v>
      </c>
      <c r="U3" s="366" t="s">
        <v>1131</v>
      </c>
      <c r="V3" s="54" t="s">
        <v>985</v>
      </c>
    </row>
    <row r="4" spans="1:22" s="24" customFormat="1" x14ac:dyDescent="0.2">
      <c r="A4" s="33"/>
      <c r="B4" s="33" t="s">
        <v>4</v>
      </c>
      <c r="C4" s="119">
        <f>SUBTOTAL(109,C$15:INDEX(C:C,COUNTA($B:$B)+14-COUNTA($B$1:$B$14)))</f>
        <v>0</v>
      </c>
      <c r="D4" s="34" t="str">
        <f>IF(SUM($C4)=0,"",SUM($F4)/$C4)</f>
        <v/>
      </c>
      <c r="E4" s="34" t="str">
        <f>IF(SUM($C4)=0,"",SUM($F4,$G4)/$C4)</f>
        <v/>
      </c>
      <c r="F4" s="55">
        <f>SUBTOTAL(109,F$15:INDEX(F:F,COUNTA($B:$B)+14-COUNTA($B$1:$B$14)))</f>
        <v>0</v>
      </c>
      <c r="G4" s="55">
        <f>SUBTOTAL(109,G$15:INDEX(G:G,COUNTA($B:$B)+14-COUNTA($B$1:$B$14)))</f>
        <v>0</v>
      </c>
      <c r="H4" s="143"/>
      <c r="I4" s="229"/>
      <c r="J4" s="229"/>
      <c r="K4" s="34"/>
      <c r="L4" s="55">
        <f>SUBTOTAL(109,L$15:INDEX(L:L,COUNTA($B:$B)+14-COUNTA($B$1:$B$14)))</f>
        <v>0</v>
      </c>
      <c r="M4" s="34" t="str">
        <f>IF(SUM($L4)=0,"",SUM($N4)/$L4)</f>
        <v/>
      </c>
      <c r="N4" s="55">
        <f>SUBTOTAL(109,N$15:INDEX(N:N,COUNTA($B:$B)+14-COUNTA($B$1:$B$14)))</f>
        <v>0</v>
      </c>
      <c r="O4" s="34" t="str">
        <f>IF(SUM($N4)=0,"",SUM($P4)/$N4)</f>
        <v/>
      </c>
      <c r="P4" s="55">
        <f>SUBTOTAL(109,P$15:INDEX(P:P,COUNTA($B:$B)+14-COUNTA($B$1:$B$14)))</f>
        <v>0</v>
      </c>
      <c r="Q4" s="34" t="str">
        <f>IF(SUM($N4)=0,"",SUM($R4)/$N4)</f>
        <v/>
      </c>
      <c r="R4" s="67">
        <f>SUBTOTAL(109,R$15:INDEX(R:R,COUNTA($B:$B)+14-COUNTA($B$1:$B$14)))</f>
        <v>0</v>
      </c>
      <c r="S4" s="34" t="str">
        <f>IF(SUM($R4)=0,"",SUM($T4)/$R4)</f>
        <v/>
      </c>
      <c r="T4" s="55">
        <f>SUBTOTAL(109,T$15:INDEX(T:T,COUNTA($B:$B)+14-COUNTA($B$1:$B$14)))</f>
        <v>0</v>
      </c>
      <c r="U4" s="34" t="str">
        <f>IF(SUM($T4)=0,"",SUM($V4)/$T4)</f>
        <v/>
      </c>
      <c r="V4" s="55">
        <f>SUBTOTAL(109,V$15:INDEX(V:V,COUNTA($B:$B)+14-COUNTA($B$1:$B$14)))</f>
        <v>0</v>
      </c>
    </row>
    <row r="5" spans="1:22" s="24" customFormat="1" x14ac:dyDescent="0.2">
      <c r="A5" s="26" t="s">
        <v>98</v>
      </c>
      <c r="B5" s="26" t="s">
        <v>98</v>
      </c>
      <c r="C5" s="59" t="s">
        <v>98</v>
      </c>
      <c r="D5" s="35" t="s">
        <v>98</v>
      </c>
      <c r="E5" s="35" t="s">
        <v>98</v>
      </c>
      <c r="F5" s="56" t="s">
        <v>109</v>
      </c>
      <c r="G5" s="56" t="s">
        <v>109</v>
      </c>
      <c r="H5" s="144" t="s">
        <v>98</v>
      </c>
      <c r="I5" s="230" t="s">
        <v>98</v>
      </c>
      <c r="J5" s="230" t="s">
        <v>98</v>
      </c>
      <c r="K5" s="20" t="s">
        <v>98</v>
      </c>
      <c r="L5" s="56" t="s">
        <v>98</v>
      </c>
      <c r="M5" s="20" t="s">
        <v>98</v>
      </c>
      <c r="N5" s="56" t="s">
        <v>98</v>
      </c>
      <c r="O5" s="20" t="s">
        <v>98</v>
      </c>
      <c r="P5" s="56" t="s">
        <v>98</v>
      </c>
      <c r="Q5" s="266" t="s">
        <v>98</v>
      </c>
      <c r="R5" s="307" t="s">
        <v>98</v>
      </c>
      <c r="S5" s="266" t="s">
        <v>98</v>
      </c>
      <c r="T5" s="56" t="s">
        <v>98</v>
      </c>
      <c r="U5" s="266" t="s">
        <v>98</v>
      </c>
      <c r="V5" s="56" t="s">
        <v>98</v>
      </c>
    </row>
    <row r="6" spans="1:22" s="24" customFormat="1" x14ac:dyDescent="0.2">
      <c r="A6" s="26" t="s">
        <v>200</v>
      </c>
      <c r="B6" s="26" t="s">
        <v>200</v>
      </c>
      <c r="C6" s="59" t="s">
        <v>93</v>
      </c>
      <c r="D6" s="35" t="s">
        <v>112</v>
      </c>
      <c r="E6" s="35" t="s">
        <v>112</v>
      </c>
      <c r="F6" s="56" t="s">
        <v>92</v>
      </c>
      <c r="G6" s="56" t="s">
        <v>92</v>
      </c>
      <c r="H6" s="144" t="s">
        <v>111</v>
      </c>
      <c r="I6" s="230" t="s">
        <v>112</v>
      </c>
      <c r="J6" s="230" t="s">
        <v>111</v>
      </c>
      <c r="K6" s="20" t="s">
        <v>112</v>
      </c>
      <c r="L6" s="56" t="s">
        <v>93</v>
      </c>
      <c r="M6" s="20" t="s">
        <v>112</v>
      </c>
      <c r="N6" s="56" t="s">
        <v>93</v>
      </c>
      <c r="O6" s="20" t="s">
        <v>112</v>
      </c>
      <c r="P6" s="56" t="s">
        <v>93</v>
      </c>
      <c r="Q6" s="266" t="s">
        <v>112</v>
      </c>
      <c r="R6" s="307" t="s">
        <v>93</v>
      </c>
      <c r="S6" s="266" t="s">
        <v>112</v>
      </c>
      <c r="T6" s="56" t="s">
        <v>93</v>
      </c>
      <c r="U6" s="266" t="s">
        <v>112</v>
      </c>
      <c r="V6" s="56" t="s">
        <v>93</v>
      </c>
    </row>
    <row r="7" spans="1:22" s="24" customFormat="1" x14ac:dyDescent="0.2">
      <c r="A7" s="26" t="s">
        <v>108</v>
      </c>
      <c r="B7" s="26" t="s">
        <v>108</v>
      </c>
      <c r="C7" s="59" t="s">
        <v>94</v>
      </c>
      <c r="D7" s="35" t="s">
        <v>95</v>
      </c>
      <c r="E7" s="35" t="s">
        <v>95</v>
      </c>
      <c r="F7" s="56" t="s">
        <v>94</v>
      </c>
      <c r="G7" s="56" t="s">
        <v>94</v>
      </c>
      <c r="H7" s="144" t="s">
        <v>95</v>
      </c>
      <c r="I7" s="230" t="s">
        <v>95</v>
      </c>
      <c r="J7" s="230" t="s">
        <v>95</v>
      </c>
      <c r="K7" s="20" t="s">
        <v>95</v>
      </c>
      <c r="L7" s="56" t="s">
        <v>94</v>
      </c>
      <c r="M7" s="20" t="s">
        <v>95</v>
      </c>
      <c r="N7" s="56" t="s">
        <v>94</v>
      </c>
      <c r="O7" s="20" t="s">
        <v>95</v>
      </c>
      <c r="P7" s="56" t="s">
        <v>94</v>
      </c>
      <c r="Q7" s="266" t="s">
        <v>95</v>
      </c>
      <c r="R7" s="307" t="s">
        <v>94</v>
      </c>
      <c r="S7" s="266" t="s">
        <v>95</v>
      </c>
      <c r="T7" s="56" t="s">
        <v>94</v>
      </c>
      <c r="U7" s="266" t="s">
        <v>95</v>
      </c>
      <c r="V7" s="56" t="s">
        <v>94</v>
      </c>
    </row>
    <row r="8" spans="1:22" s="24" customFormat="1" x14ac:dyDescent="0.2">
      <c r="A8" s="26"/>
      <c r="B8" s="26"/>
      <c r="C8" s="59"/>
      <c r="D8" s="35"/>
      <c r="E8" s="35"/>
      <c r="F8" s="272" t="s">
        <v>122</v>
      </c>
      <c r="G8" s="272" t="s">
        <v>122</v>
      </c>
      <c r="H8" s="144"/>
      <c r="I8" s="230"/>
      <c r="J8" s="230"/>
      <c r="K8" s="20"/>
      <c r="L8" s="56"/>
      <c r="M8" s="20"/>
      <c r="N8" s="56"/>
      <c r="O8" s="20"/>
      <c r="P8" s="56"/>
      <c r="Q8" s="20"/>
      <c r="R8" s="68"/>
      <c r="S8" s="20"/>
      <c r="T8" s="56"/>
      <c r="U8" s="20"/>
      <c r="V8" s="56"/>
    </row>
    <row r="9" spans="1:22" s="24" customFormat="1" x14ac:dyDescent="0.2">
      <c r="A9" s="26"/>
      <c r="B9" s="26"/>
      <c r="C9" s="59"/>
      <c r="D9" s="35"/>
      <c r="E9" s="35"/>
      <c r="F9" s="272" t="s">
        <v>123</v>
      </c>
      <c r="G9" s="272" t="s">
        <v>123</v>
      </c>
      <c r="H9" s="144"/>
      <c r="I9" s="230"/>
      <c r="J9" s="230"/>
      <c r="K9" s="20"/>
      <c r="L9" s="56"/>
      <c r="M9" s="20"/>
      <c r="N9" s="56"/>
      <c r="O9" s="20"/>
      <c r="P9" s="56"/>
      <c r="Q9" s="20"/>
      <c r="R9" s="68"/>
      <c r="S9" s="20"/>
      <c r="T9" s="56"/>
      <c r="U9" s="20"/>
      <c r="V9" s="56"/>
    </row>
    <row r="10" spans="1:22" s="24" customFormat="1" x14ac:dyDescent="0.2">
      <c r="A10" s="26"/>
      <c r="B10" s="26"/>
      <c r="C10" s="59"/>
      <c r="D10" s="35"/>
      <c r="E10" s="35"/>
      <c r="F10" s="272" t="s">
        <v>124</v>
      </c>
      <c r="G10" s="272" t="s">
        <v>125</v>
      </c>
      <c r="H10" s="144"/>
      <c r="I10" s="230"/>
      <c r="J10" s="230"/>
      <c r="K10" s="20"/>
      <c r="L10" s="56"/>
      <c r="M10" s="20"/>
      <c r="N10" s="56"/>
      <c r="O10" s="20"/>
      <c r="P10" s="56"/>
      <c r="Q10" s="20"/>
      <c r="R10" s="68"/>
      <c r="S10" s="20"/>
      <c r="T10" s="56"/>
      <c r="U10" s="20"/>
      <c r="V10" s="56"/>
    </row>
    <row r="11" spans="1:22" s="24" customFormat="1" x14ac:dyDescent="0.2">
      <c r="A11" s="26"/>
      <c r="B11" s="26"/>
      <c r="C11" s="59"/>
      <c r="D11" s="35"/>
      <c r="E11" s="35"/>
      <c r="F11" s="56"/>
      <c r="G11" s="56"/>
      <c r="H11" s="144"/>
      <c r="I11" s="230"/>
      <c r="J11" s="230"/>
      <c r="K11" s="20"/>
      <c r="L11" s="56"/>
      <c r="M11" s="20"/>
      <c r="N11" s="56"/>
      <c r="O11" s="20"/>
      <c r="P11" s="56"/>
      <c r="Q11" s="20"/>
      <c r="R11" s="68"/>
      <c r="S11" s="20"/>
      <c r="T11" s="56"/>
      <c r="U11" s="20"/>
      <c r="V11" s="56"/>
    </row>
    <row r="12" spans="1:22" s="24" customFormat="1" x14ac:dyDescent="0.2">
      <c r="A12" s="26"/>
      <c r="B12" s="26"/>
      <c r="C12" s="59"/>
      <c r="D12" s="35"/>
      <c r="E12" s="35"/>
      <c r="F12" s="56"/>
      <c r="G12" s="56"/>
      <c r="H12" s="144"/>
      <c r="I12" s="230"/>
      <c r="J12" s="230"/>
      <c r="K12" s="20"/>
      <c r="L12" s="56"/>
      <c r="M12" s="20"/>
      <c r="N12" s="56"/>
      <c r="O12" s="20"/>
      <c r="P12" s="56"/>
      <c r="Q12" s="20"/>
      <c r="R12" s="68"/>
      <c r="S12" s="20"/>
      <c r="T12" s="56"/>
      <c r="U12" s="20"/>
      <c r="V12" s="56"/>
    </row>
    <row r="13" spans="1:22" s="24" customFormat="1" x14ac:dyDescent="0.2">
      <c r="A13" s="26"/>
      <c r="B13" s="26"/>
      <c r="C13" s="59"/>
      <c r="D13" s="35"/>
      <c r="E13" s="35"/>
      <c r="F13" s="56"/>
      <c r="G13" s="56"/>
      <c r="H13" s="144"/>
      <c r="I13" s="230"/>
      <c r="J13" s="230"/>
      <c r="K13" s="20"/>
      <c r="L13" s="56"/>
      <c r="M13" s="20"/>
      <c r="N13" s="56"/>
      <c r="O13" s="20"/>
      <c r="P13" s="56"/>
      <c r="Q13" s="20"/>
      <c r="R13" s="68"/>
      <c r="S13" s="20"/>
      <c r="T13" s="56"/>
      <c r="U13" s="20"/>
      <c r="V13" s="56"/>
    </row>
    <row r="14" spans="1:22" s="24" customFormat="1" x14ac:dyDescent="0.2">
      <c r="A14" s="36" t="s">
        <v>583</v>
      </c>
      <c r="B14" s="36" t="s">
        <v>5</v>
      </c>
      <c r="C14" s="76" t="s">
        <v>516</v>
      </c>
      <c r="D14" s="192" t="s">
        <v>517</v>
      </c>
      <c r="E14" s="192" t="s">
        <v>518</v>
      </c>
      <c r="F14" s="155" t="s">
        <v>321</v>
      </c>
      <c r="G14" s="155" t="s">
        <v>322</v>
      </c>
      <c r="H14" s="317" t="s">
        <v>711</v>
      </c>
      <c r="I14" s="231" t="s">
        <v>519</v>
      </c>
      <c r="J14" s="231" t="s">
        <v>712</v>
      </c>
      <c r="K14" s="192" t="s">
        <v>520</v>
      </c>
      <c r="L14" s="155" t="s">
        <v>522</v>
      </c>
      <c r="M14" s="192" t="s">
        <v>521</v>
      </c>
      <c r="N14" s="305" t="s">
        <v>523</v>
      </c>
      <c r="O14" s="192" t="s">
        <v>988</v>
      </c>
      <c r="P14" s="305" t="s">
        <v>967</v>
      </c>
      <c r="Q14" s="192" t="s">
        <v>991</v>
      </c>
      <c r="R14" s="155" t="s">
        <v>1134</v>
      </c>
      <c r="S14" s="192" t="s">
        <v>990</v>
      </c>
      <c r="T14" s="305" t="s">
        <v>969</v>
      </c>
      <c r="U14" s="192" t="s">
        <v>989</v>
      </c>
      <c r="V14" s="305" t="s">
        <v>968</v>
      </c>
    </row>
    <row r="15" spans="1:22" s="24" customFormat="1" x14ac:dyDescent="0.2">
      <c r="A15" s="37"/>
      <c r="B15" s="37"/>
      <c r="C15" s="63">
        <f>SUMIF(PMTCT!$B:$B,$B15,PMTCT!$AY:$AY)</f>
        <v>0</v>
      </c>
      <c r="D15" s="20">
        <v>0.95</v>
      </c>
      <c r="E15" s="20">
        <v>1</v>
      </c>
      <c r="F15" s="56">
        <f>ROUND(SUM($C15)*$D15,0)</f>
        <v>0</v>
      </c>
      <c r="G15" s="56">
        <f>ROUND(SUM($C15)*$E15,0)-SUM($F15)</f>
        <v>0</v>
      </c>
      <c r="H15" s="144"/>
      <c r="I15" s="230" t="str">
        <f>IF(SUM($F15)=0,"",IF($H15="","Enter Positivity Rate",$H15))</f>
        <v/>
      </c>
      <c r="J15" s="230"/>
      <c r="K15" s="20" t="str">
        <f>IF(SUM($G15)=0,"",IF($J15="","Enter Positivity Rate",$J15))</f>
        <v/>
      </c>
      <c r="L15" s="56">
        <f>ROUND(SUM(SUM($F15)*SUM($I15),SUM($G15)*SUM($K15)),0)</f>
        <v>0</v>
      </c>
      <c r="M15" s="20">
        <v>0.95</v>
      </c>
      <c r="N15" s="56">
        <f>ROUND(SUM($L15)*$M15,0)</f>
        <v>0</v>
      </c>
      <c r="O15" s="20">
        <v>0.98</v>
      </c>
      <c r="P15" s="56">
        <f>ROUND(SUM($N15)*$O15,0)</f>
        <v>0</v>
      </c>
      <c r="Q15" s="20">
        <v>0.7</v>
      </c>
      <c r="R15" s="68">
        <f>ROUND(SUM($N15)*$Q15,0)</f>
        <v>0</v>
      </c>
      <c r="S15" s="20">
        <v>0.95</v>
      </c>
      <c r="T15" s="56">
        <f>ROUND(SUM($R15)*$S15,0)</f>
        <v>0</v>
      </c>
      <c r="U15" s="20">
        <v>0.95</v>
      </c>
      <c r="V15" s="56">
        <f>ROUND(SUM($T15)*$U15,0)</f>
        <v>0</v>
      </c>
    </row>
  </sheetData>
  <conditionalFormatting sqref="E1:E1048576 M1:M1048576 S1:S1048576 U1:U1048576">
    <cfRule type="expression" dxfId="198" priority="23">
      <formula>AND(ISNUMBER(E1),ROUND(E1,2)&lt;0.95)</formula>
    </cfRule>
  </conditionalFormatting>
  <conditionalFormatting sqref="D1:D1048576">
    <cfRule type="expression" dxfId="197" priority="22">
      <formula>AND(ISNUMBER(D1),ROUND(D1,2)&lt;0.8)</formula>
    </cfRule>
  </conditionalFormatting>
  <conditionalFormatting sqref="D1:E1048576 H1:K1048576 M1:M1048576 O1:O1048576 Q1:Q1048576 S1:S1048576 U1:U1048576">
    <cfRule type="expression" dxfId="196" priority="5">
      <formula>AND(ISNUMBER(D1),OR(ROUND(D1,2)&gt;1,ROUND(D1,2)&lt;0))</formula>
    </cfRule>
  </conditionalFormatting>
  <conditionalFormatting sqref="K1:K1048576">
    <cfRule type="expression" dxfId="195" priority="1267">
      <formula>AND(SUM(G1)&gt;0,SUM(K1)=0)</formula>
    </cfRule>
  </conditionalFormatting>
  <conditionalFormatting sqref="I1:I1048576">
    <cfRule type="expression" dxfId="194" priority="2151">
      <formula>AND(SUM(F1)&gt;0,SUM(I1)=0)</formula>
    </cfRule>
  </conditionalFormatting>
  <conditionalFormatting sqref="D1:E1048576">
    <cfRule type="expression" dxfId="193" priority="13">
      <formula>AND(ISNUMBER($D1),ROUND($E1,2)&lt;ROUND($D1,2))</formula>
    </cfRule>
  </conditionalFormatting>
  <conditionalFormatting sqref="C1:C1048576 F1:G1048576 L1:L1048576 N1:N1048576 P1:P1048576 R1:R1048576 T1:T1048576 V1:V1048576">
    <cfRule type="expression" dxfId="192" priority="4">
      <formula>AND(ISNUMBER(C1),C1&lt;0)</formula>
    </cfRule>
  </conditionalFormatting>
  <conditionalFormatting sqref="O1:O1048576">
    <cfRule type="expression" dxfId="191" priority="3">
      <formula>AND(ISNUMBER(O1),ROUND(O1,2)&lt;98%)</formula>
    </cfRule>
  </conditionalFormatting>
  <conditionalFormatting sqref="Q1:Q1048576">
    <cfRule type="expression" dxfId="190"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B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59" customWidth="1"/>
    <col min="7" max="7" width="11.83203125" style="20" customWidth="1"/>
    <col min="8" max="8" width="11.83203125" style="56" customWidth="1"/>
    <col min="9" max="9" width="11.83203125" style="96" customWidth="1"/>
    <col min="10" max="14" width="11.83203125" style="230" customWidth="1"/>
    <col min="15" max="18" width="11.83203125" style="56" customWidth="1"/>
    <col min="19" max="19" width="11.83203125" style="144" customWidth="1"/>
    <col min="20" max="20" width="11.83203125" style="88" customWidth="1"/>
    <col min="21" max="21" width="11.83203125" style="56" customWidth="1"/>
    <col min="22" max="22" width="11.83203125" style="82" customWidth="1"/>
    <col min="23" max="28" width="11.83203125" style="20" customWidth="1"/>
    <col min="29" max="16384" width="10.83203125" style="24"/>
  </cols>
  <sheetData>
    <row r="1" spans="1:28" s="41" customFormat="1" ht="31" customHeight="1" thickBot="1" x14ac:dyDescent="0.35">
      <c r="A1" s="5" t="s">
        <v>39</v>
      </c>
      <c r="B1" s="5"/>
      <c r="C1" s="1"/>
      <c r="D1" s="1"/>
      <c r="E1" s="1"/>
      <c r="F1" s="51" t="s">
        <v>16</v>
      </c>
      <c r="G1" s="29"/>
      <c r="H1" s="51"/>
      <c r="I1" s="94" t="s">
        <v>17</v>
      </c>
      <c r="J1" s="226"/>
      <c r="K1" s="226"/>
      <c r="L1" s="226"/>
      <c r="M1" s="226"/>
      <c r="N1" s="226"/>
      <c r="O1" s="51"/>
      <c r="P1" s="51"/>
      <c r="Q1" s="51"/>
      <c r="R1" s="51"/>
      <c r="S1" s="224" t="s">
        <v>18</v>
      </c>
      <c r="T1" s="114"/>
      <c r="U1" s="51"/>
      <c r="V1" s="91" t="s">
        <v>585</v>
      </c>
      <c r="W1" s="19"/>
      <c r="X1" s="19"/>
      <c r="Y1" s="19"/>
      <c r="Z1" s="19"/>
      <c r="AA1" s="19"/>
      <c r="AB1" s="19"/>
    </row>
    <row r="2" spans="1:28" s="40" customFormat="1" ht="20" customHeight="1" x14ac:dyDescent="0.25">
      <c r="A2" s="490" t="s">
        <v>802</v>
      </c>
      <c r="B2" s="487"/>
      <c r="C2" s="2"/>
      <c r="D2" s="2"/>
      <c r="E2" s="2"/>
      <c r="F2" s="57" t="s">
        <v>73</v>
      </c>
      <c r="G2" s="18" t="s">
        <v>2</v>
      </c>
      <c r="H2" s="52" t="s">
        <v>3</v>
      </c>
      <c r="I2" s="95" t="s">
        <v>73</v>
      </c>
      <c r="J2" s="227" t="s">
        <v>2</v>
      </c>
      <c r="K2" s="227"/>
      <c r="L2" s="227"/>
      <c r="M2" s="227"/>
      <c r="N2" s="227"/>
      <c r="O2" s="52" t="s">
        <v>3</v>
      </c>
      <c r="P2" s="52"/>
      <c r="Q2" s="52"/>
      <c r="R2" s="52"/>
      <c r="S2" s="225" t="s">
        <v>2</v>
      </c>
      <c r="T2" s="115" t="s">
        <v>3</v>
      </c>
      <c r="U2" s="52"/>
      <c r="V2" s="92" t="s">
        <v>59</v>
      </c>
      <c r="W2" s="18"/>
      <c r="X2" s="18"/>
      <c r="Y2" s="18"/>
      <c r="Z2" s="18"/>
      <c r="AA2" s="18"/>
      <c r="AB2" s="18"/>
    </row>
    <row r="3" spans="1:28" ht="117" customHeight="1" thickBot="1" x14ac:dyDescent="0.25">
      <c r="A3" s="488"/>
      <c r="B3" s="489"/>
      <c r="C3" s="31"/>
      <c r="D3" s="31"/>
      <c r="E3" s="31"/>
      <c r="F3" s="121" t="s">
        <v>855</v>
      </c>
      <c r="G3" s="32" t="s">
        <v>722</v>
      </c>
      <c r="H3" s="53" t="s">
        <v>803</v>
      </c>
      <c r="I3" s="120" t="s">
        <v>1027</v>
      </c>
      <c r="J3" s="316" t="s">
        <v>804</v>
      </c>
      <c r="K3" s="228" t="s">
        <v>1028</v>
      </c>
      <c r="L3" s="316" t="s">
        <v>992</v>
      </c>
      <c r="M3" s="228" t="s">
        <v>1146</v>
      </c>
      <c r="N3" s="316" t="s">
        <v>1145</v>
      </c>
      <c r="O3" s="105" t="s">
        <v>276</v>
      </c>
      <c r="P3" s="53" t="s">
        <v>28</v>
      </c>
      <c r="Q3" s="54" t="s">
        <v>29</v>
      </c>
      <c r="R3" s="53" t="s">
        <v>27</v>
      </c>
      <c r="S3" s="315" t="s">
        <v>832</v>
      </c>
      <c r="T3" s="141" t="s">
        <v>33</v>
      </c>
      <c r="U3" s="53" t="s">
        <v>32</v>
      </c>
      <c r="V3" s="237" t="s">
        <v>793</v>
      </c>
      <c r="W3" s="240" t="s">
        <v>797</v>
      </c>
      <c r="X3" s="240" t="s">
        <v>796</v>
      </c>
      <c r="Y3" s="240" t="s">
        <v>805</v>
      </c>
      <c r="Z3" s="240" t="s">
        <v>806</v>
      </c>
      <c r="AA3" s="240" t="s">
        <v>807</v>
      </c>
      <c r="AB3" s="240" t="s">
        <v>798</v>
      </c>
    </row>
    <row r="4" spans="1:28" x14ac:dyDescent="0.2">
      <c r="A4" s="33"/>
      <c r="B4" s="33"/>
      <c r="C4" s="33"/>
      <c r="D4" s="33" t="s">
        <v>4</v>
      </c>
      <c r="E4" s="33"/>
      <c r="F4" s="58">
        <f>SUBTOTAL(109,F$15:INDEX(F:F,COUNTA($B:$B)+14-COUNTA($B$1:$B$14)))</f>
        <v>0</v>
      </c>
      <c r="G4" s="34" t="str">
        <f>IF(SUM($F$4)=0,"",SUM($H$4)/SUM($F$4)-1)</f>
        <v/>
      </c>
      <c r="H4" s="55">
        <f>SUBTOTAL(109,H$15:INDEX(H:H,COUNTA($B:$B)+14-COUNTA($B$1:$B$14)))</f>
        <v>0</v>
      </c>
      <c r="I4" s="104">
        <f>SUBTOTAL(109,I$15:INDEX(I:I,COUNTA($B:$B)+14-COUNTA($B$1:$B$14)))</f>
        <v>0</v>
      </c>
      <c r="J4" s="229" t="str">
        <f>IF(SUM($H$4)=0,"",SUM($O$4)/$H$4)</f>
        <v/>
      </c>
      <c r="K4" s="229"/>
      <c r="L4" s="229" t="str">
        <f>IF(SUM($O$4)=0,"",SUM($P$4)/$O$4)</f>
        <v/>
      </c>
      <c r="M4" s="229"/>
      <c r="N4" s="229" t="str">
        <f>IF(SUM($O$4,$P$4)=0,"",SUM($Q$4)/(SUM($O$4)-SUM($P$4)))</f>
        <v/>
      </c>
      <c r="O4" s="55">
        <f>SUBTOTAL(109,O$15:INDEX($O:$O,COUNTA($B:$B)+14-COUNTA($B$1:$B$14)))</f>
        <v>0</v>
      </c>
      <c r="P4" s="55">
        <f>SUBTOTAL(109,P$15:INDEX(P:P,COUNTA($B:$B)+14-COUNTA($B$1:$B$14)))</f>
        <v>0</v>
      </c>
      <c r="Q4" s="55">
        <f>SUBTOTAL(109,Q$15:INDEX(Q:Q,COUNTA($B:$B)+14-COUNTA($B$1:$B$14)))</f>
        <v>0</v>
      </c>
      <c r="R4" s="55">
        <f>SUBTOTAL(109,R$15:INDEX(R:R,COUNTA($B:$B)+14-COUNTA($B$1:$B$14)))</f>
        <v>0</v>
      </c>
      <c r="S4" s="143" t="str">
        <f>IF(SUM($Q$4)=0,"",SUM($U$4)/$Q$4)</f>
        <v/>
      </c>
      <c r="T4" s="158">
        <f>SUBTOTAL(109,T$15:INDEX(T:T,COUNTA($B:$B)+14-COUNTA($B$1:$B$14)))</f>
        <v>0</v>
      </c>
      <c r="U4" s="55">
        <f>SUBTOTAL(109,U$15:INDEX(U:U,COUNTA($B:$B)+14-COUNTA($B$1:$B$14)))</f>
        <v>0</v>
      </c>
      <c r="V4" s="93">
        <f>SUBTOTAL(109,V$15:INDEX(V:V,COUNTA($B:$B)+14-COUNTA($B$1:$B$14)))</f>
        <v>0</v>
      </c>
      <c r="W4" s="34" t="e">
        <f>$Q$4/$V$4</f>
        <v>#DIV/0!</v>
      </c>
      <c r="X4" s="34"/>
      <c r="Y4" s="34"/>
      <c r="Z4" s="34"/>
      <c r="AA4" s="34"/>
      <c r="AB4" s="34" t="str">
        <f>IF(COUNTIF(AB$15:INDEX(AB:AB,COUNTA($B:$B)+14-COUNTA($B$1:$B$14)),"&lt;0")&gt;0,"Negatives","")</f>
        <v/>
      </c>
    </row>
    <row r="5" spans="1:28" ht="16" customHeight="1" x14ac:dyDescent="0.2">
      <c r="A5" s="26" t="s">
        <v>98</v>
      </c>
      <c r="B5" s="26" t="s">
        <v>98</v>
      </c>
      <c r="C5" s="26" t="s">
        <v>98</v>
      </c>
      <c r="D5" s="26" t="s">
        <v>98</v>
      </c>
      <c r="E5" s="26" t="s">
        <v>98</v>
      </c>
      <c r="F5" s="59" t="s">
        <v>109</v>
      </c>
      <c r="G5" s="20" t="s">
        <v>98</v>
      </c>
      <c r="H5" s="56" t="s">
        <v>109</v>
      </c>
      <c r="I5" s="96" t="s">
        <v>109</v>
      </c>
      <c r="J5" s="230" t="s">
        <v>98</v>
      </c>
      <c r="K5" s="230" t="s">
        <v>98</v>
      </c>
      <c r="L5" s="230" t="s">
        <v>98</v>
      </c>
      <c r="M5" s="230" t="s">
        <v>98</v>
      </c>
      <c r="N5" s="230" t="s">
        <v>98</v>
      </c>
      <c r="O5" s="56" t="s">
        <v>98</v>
      </c>
      <c r="P5" s="56" t="s">
        <v>109</v>
      </c>
      <c r="Q5" s="56" t="s">
        <v>109</v>
      </c>
      <c r="R5" s="56" t="s">
        <v>109</v>
      </c>
      <c r="S5" s="144" t="s">
        <v>98</v>
      </c>
      <c r="T5" s="88" t="s">
        <v>109</v>
      </c>
      <c r="U5" s="56" t="s">
        <v>109</v>
      </c>
      <c r="V5" s="82" t="s">
        <v>98</v>
      </c>
      <c r="W5" s="20" t="s">
        <v>98</v>
      </c>
      <c r="X5" s="20" t="s">
        <v>98</v>
      </c>
      <c r="Y5" s="20" t="s">
        <v>98</v>
      </c>
      <c r="Z5" s="20" t="s">
        <v>98</v>
      </c>
      <c r="AA5" s="20" t="s">
        <v>98</v>
      </c>
      <c r="AB5" s="20" t="s">
        <v>98</v>
      </c>
    </row>
    <row r="6" spans="1:28" ht="16" customHeight="1" x14ac:dyDescent="0.2">
      <c r="A6" s="26" t="s">
        <v>200</v>
      </c>
      <c r="B6" s="26" t="s">
        <v>200</v>
      </c>
      <c r="C6" s="26" t="s">
        <v>200</v>
      </c>
      <c r="D6" s="26" t="s">
        <v>200</v>
      </c>
      <c r="E6" s="26" t="s">
        <v>200</v>
      </c>
      <c r="F6" s="59" t="s">
        <v>110</v>
      </c>
      <c r="G6" s="20" t="s">
        <v>112</v>
      </c>
      <c r="H6" s="56" t="s">
        <v>92</v>
      </c>
      <c r="I6" s="96" t="s">
        <v>110</v>
      </c>
      <c r="J6" s="230" t="s">
        <v>112</v>
      </c>
      <c r="K6" s="230" t="s">
        <v>111</v>
      </c>
      <c r="L6" s="230" t="s">
        <v>112</v>
      </c>
      <c r="M6" s="230" t="s">
        <v>111</v>
      </c>
      <c r="N6" s="230" t="s">
        <v>112</v>
      </c>
      <c r="O6" s="56" t="s">
        <v>93</v>
      </c>
      <c r="P6" s="56" t="s">
        <v>92</v>
      </c>
      <c r="Q6" s="56" t="s">
        <v>92</v>
      </c>
      <c r="R6" s="56" t="s">
        <v>92</v>
      </c>
      <c r="S6" s="144" t="s">
        <v>93</v>
      </c>
      <c r="T6" s="88" t="s">
        <v>92</v>
      </c>
      <c r="U6" s="56" t="s">
        <v>92</v>
      </c>
      <c r="V6" s="82" t="s">
        <v>93</v>
      </c>
      <c r="W6" s="20" t="s">
        <v>93</v>
      </c>
      <c r="X6" s="20" t="s">
        <v>93</v>
      </c>
      <c r="Y6" s="20" t="s">
        <v>93</v>
      </c>
      <c r="Z6" s="20" t="s">
        <v>93</v>
      </c>
      <c r="AA6" s="20" t="s">
        <v>93</v>
      </c>
      <c r="AB6" s="20" t="s">
        <v>93</v>
      </c>
    </row>
    <row r="7" spans="1:28" x14ac:dyDescent="0.2">
      <c r="A7" s="26" t="s">
        <v>108</v>
      </c>
      <c r="B7" s="26" t="s">
        <v>108</v>
      </c>
      <c r="C7" s="26" t="s">
        <v>108</v>
      </c>
      <c r="D7" s="26" t="s">
        <v>108</v>
      </c>
      <c r="E7" s="26" t="s">
        <v>108</v>
      </c>
      <c r="F7" s="59" t="s">
        <v>94</v>
      </c>
      <c r="G7" s="20" t="s">
        <v>95</v>
      </c>
      <c r="H7" s="56" t="s">
        <v>94</v>
      </c>
      <c r="I7" s="96" t="s">
        <v>94</v>
      </c>
      <c r="J7" s="230" t="s">
        <v>95</v>
      </c>
      <c r="K7" s="230" t="s">
        <v>95</v>
      </c>
      <c r="L7" s="230" t="s">
        <v>95</v>
      </c>
      <c r="M7" s="230" t="s">
        <v>95</v>
      </c>
      <c r="N7" s="230" t="s">
        <v>95</v>
      </c>
      <c r="O7" s="56" t="s">
        <v>94</v>
      </c>
      <c r="P7" s="56" t="s">
        <v>94</v>
      </c>
      <c r="Q7" s="56" t="s">
        <v>94</v>
      </c>
      <c r="R7" s="56" t="s">
        <v>94</v>
      </c>
      <c r="S7" s="144" t="s">
        <v>95</v>
      </c>
      <c r="T7" s="88" t="s">
        <v>94</v>
      </c>
      <c r="U7" s="56" t="s">
        <v>94</v>
      </c>
      <c r="V7" s="82" t="s">
        <v>94</v>
      </c>
      <c r="W7" s="20" t="s">
        <v>95</v>
      </c>
      <c r="X7" s="20" t="s">
        <v>95</v>
      </c>
      <c r="Y7" s="20" t="s">
        <v>95</v>
      </c>
      <c r="Z7" s="20" t="s">
        <v>95</v>
      </c>
      <c r="AA7" s="20" t="s">
        <v>95</v>
      </c>
      <c r="AB7" s="20" t="s">
        <v>95</v>
      </c>
    </row>
    <row r="8" spans="1:28" x14ac:dyDescent="0.2">
      <c r="F8" s="275" t="s">
        <v>126</v>
      </c>
      <c r="H8" s="272" t="s">
        <v>126</v>
      </c>
      <c r="I8" s="279" t="s">
        <v>128</v>
      </c>
      <c r="P8" s="272" t="s">
        <v>128</v>
      </c>
      <c r="Q8" s="272" t="s">
        <v>128</v>
      </c>
      <c r="R8" s="272" t="s">
        <v>128</v>
      </c>
      <c r="S8" s="294"/>
      <c r="T8" s="273" t="s">
        <v>264</v>
      </c>
      <c r="U8" s="272" t="s">
        <v>264</v>
      </c>
      <c r="V8" s="196"/>
      <c r="W8" s="295"/>
      <c r="X8" s="295"/>
      <c r="Y8" s="295"/>
      <c r="Z8" s="295"/>
      <c r="AA8" s="295"/>
      <c r="AB8" s="295"/>
    </row>
    <row r="9" spans="1:28" x14ac:dyDescent="0.2">
      <c r="F9" s="275" t="s">
        <v>127</v>
      </c>
      <c r="H9" s="272" t="s">
        <v>127</v>
      </c>
      <c r="I9" s="279" t="s">
        <v>129</v>
      </c>
      <c r="P9" s="272" t="s">
        <v>129</v>
      </c>
      <c r="Q9" s="272" t="s">
        <v>129</v>
      </c>
      <c r="R9" s="272" t="s">
        <v>129</v>
      </c>
      <c r="S9" s="294"/>
      <c r="T9" s="273" t="s">
        <v>265</v>
      </c>
      <c r="U9" s="272" t="s">
        <v>265</v>
      </c>
      <c r="V9" s="196"/>
      <c r="W9" s="295"/>
      <c r="X9" s="295"/>
      <c r="Y9" s="295"/>
      <c r="Z9" s="295"/>
      <c r="AA9" s="295"/>
      <c r="AB9" s="295"/>
    </row>
    <row r="10" spans="1:28" x14ac:dyDescent="0.2">
      <c r="F10" s="275"/>
      <c r="H10" s="272"/>
      <c r="I10" s="279" t="s">
        <v>102</v>
      </c>
      <c r="P10" s="272" t="s">
        <v>101</v>
      </c>
      <c r="Q10" s="272" t="s">
        <v>102</v>
      </c>
      <c r="R10" s="272" t="s">
        <v>103</v>
      </c>
      <c r="T10" s="273" t="s">
        <v>120</v>
      </c>
      <c r="U10" s="272" t="s">
        <v>119</v>
      </c>
    </row>
    <row r="11" spans="1:28" x14ac:dyDescent="0.2">
      <c r="F11" s="59" t="s">
        <v>684</v>
      </c>
      <c r="G11" s="20" t="s">
        <v>684</v>
      </c>
      <c r="H11" s="56" t="s">
        <v>684</v>
      </c>
      <c r="I11" s="96" t="s">
        <v>684</v>
      </c>
      <c r="J11" s="230" t="s">
        <v>684</v>
      </c>
      <c r="K11" s="230" t="s">
        <v>684</v>
      </c>
      <c r="L11" s="230" t="s">
        <v>684</v>
      </c>
      <c r="M11" s="230" t="s">
        <v>684</v>
      </c>
      <c r="N11" s="230" t="s">
        <v>684</v>
      </c>
      <c r="O11" s="56" t="s">
        <v>684</v>
      </c>
      <c r="P11" s="56" t="s">
        <v>684</v>
      </c>
      <c r="Q11" s="56" t="s">
        <v>684</v>
      </c>
      <c r="R11" s="56" t="s">
        <v>684</v>
      </c>
      <c r="S11" s="144" t="s">
        <v>684</v>
      </c>
      <c r="T11" s="88" t="s">
        <v>684</v>
      </c>
      <c r="U11" s="56" t="s">
        <v>684</v>
      </c>
      <c r="V11" s="82" t="s">
        <v>684</v>
      </c>
      <c r="W11" s="20" t="s">
        <v>684</v>
      </c>
      <c r="X11" s="20" t="s">
        <v>684</v>
      </c>
      <c r="Y11" s="20" t="s">
        <v>203</v>
      </c>
      <c r="Z11" s="20" t="s">
        <v>203</v>
      </c>
      <c r="AA11" s="20" t="s">
        <v>205</v>
      </c>
      <c r="AB11" s="20" t="s">
        <v>684</v>
      </c>
    </row>
    <row r="12" spans="1:28" x14ac:dyDescent="0.2">
      <c r="F12" s="59" t="s">
        <v>201</v>
      </c>
      <c r="G12" s="20" t="s">
        <v>201</v>
      </c>
      <c r="H12" s="56" t="s">
        <v>201</v>
      </c>
      <c r="I12" s="96" t="s">
        <v>201</v>
      </c>
      <c r="J12" s="230" t="s">
        <v>201</v>
      </c>
      <c r="K12" s="230" t="s">
        <v>201</v>
      </c>
      <c r="L12" s="230" t="s">
        <v>201</v>
      </c>
      <c r="M12" s="230" t="s">
        <v>201</v>
      </c>
      <c r="N12" s="230" t="s">
        <v>201</v>
      </c>
      <c r="O12" s="56" t="s">
        <v>201</v>
      </c>
      <c r="P12" s="56" t="s">
        <v>201</v>
      </c>
      <c r="Q12" s="56" t="s">
        <v>201</v>
      </c>
      <c r="R12" s="56" t="s">
        <v>201</v>
      </c>
      <c r="S12" s="144" t="s">
        <v>201</v>
      </c>
      <c r="T12" s="88" t="s">
        <v>201</v>
      </c>
      <c r="U12" s="56" t="s">
        <v>201</v>
      </c>
      <c r="V12" s="82" t="s">
        <v>201</v>
      </c>
      <c r="W12" s="20" t="s">
        <v>201</v>
      </c>
      <c r="X12" s="20" t="s">
        <v>201</v>
      </c>
      <c r="Y12" s="20" t="s">
        <v>685</v>
      </c>
      <c r="Z12" s="20" t="s">
        <v>685</v>
      </c>
      <c r="AA12" s="20" t="s">
        <v>686</v>
      </c>
      <c r="AB12" s="20" t="s">
        <v>201</v>
      </c>
    </row>
    <row r="14" spans="1:28" x14ac:dyDescent="0.2">
      <c r="A14" s="38" t="s">
        <v>583</v>
      </c>
      <c r="B14" s="38" t="s">
        <v>5</v>
      </c>
      <c r="C14" s="38" t="s">
        <v>35</v>
      </c>
      <c r="D14" s="38" t="s">
        <v>6</v>
      </c>
      <c r="E14" s="38" t="s">
        <v>75</v>
      </c>
      <c r="F14" s="76" t="s">
        <v>323</v>
      </c>
      <c r="G14" s="192" t="s">
        <v>524</v>
      </c>
      <c r="H14" s="155" t="s">
        <v>324</v>
      </c>
      <c r="I14" s="157" t="s">
        <v>325</v>
      </c>
      <c r="J14" s="192" t="s">
        <v>525</v>
      </c>
      <c r="K14" s="192" t="s">
        <v>710</v>
      </c>
      <c r="L14" s="192" t="s">
        <v>526</v>
      </c>
      <c r="M14" s="192" t="s">
        <v>709</v>
      </c>
      <c r="N14" s="192" t="s">
        <v>527</v>
      </c>
      <c r="O14" s="155" t="s">
        <v>528</v>
      </c>
      <c r="P14" s="155" t="s">
        <v>326</v>
      </c>
      <c r="Q14" s="155" t="s">
        <v>365</v>
      </c>
      <c r="R14" s="155" t="s">
        <v>366</v>
      </c>
      <c r="S14" s="317" t="s">
        <v>530</v>
      </c>
      <c r="T14" s="195" t="s">
        <v>327</v>
      </c>
      <c r="U14" s="155" t="s">
        <v>315</v>
      </c>
      <c r="V14" s="157" t="s">
        <v>513</v>
      </c>
      <c r="W14" s="192" t="s">
        <v>572</v>
      </c>
      <c r="X14" s="192" t="s">
        <v>570</v>
      </c>
      <c r="Y14" s="192" t="s">
        <v>515</v>
      </c>
      <c r="Z14" s="192" t="s">
        <v>514</v>
      </c>
      <c r="AA14" s="192" t="s">
        <v>573</v>
      </c>
      <c r="AB14" s="192" t="s">
        <v>575</v>
      </c>
    </row>
    <row r="15" spans="1:28" x14ac:dyDescent="0.2">
      <c r="E15" s="26" t="str">
        <f>B15&amp;"|"&amp;C15&amp;"|"&amp;D15</f>
        <v>||</v>
      </c>
      <c r="G15" s="20">
        <v>0</v>
      </c>
      <c r="H15" s="56">
        <f>ROUND(SUM($F15)*(1+$G15),0)</f>
        <v>0</v>
      </c>
      <c r="J15" s="230">
        <v>1</v>
      </c>
      <c r="L15" s="230" t="str">
        <f>IF(SUM($K15)=0,"",$K15)</f>
        <v/>
      </c>
      <c r="N15" s="230" t="str">
        <f>IF(SUM($M15)=0,"",$M15)</f>
        <v/>
      </c>
      <c r="O15" s="56">
        <f>ROUND($H15*$J15,0)</f>
        <v>0</v>
      </c>
      <c r="P15" s="56">
        <f>IF(SUM($O15)=0,0,ROUND($O15*$L15,0))</f>
        <v>0</v>
      </c>
      <c r="Q15" s="56">
        <f>IF(SUM($O15)=0,0,ROUND(($O15-$P15)*$N15,0))</f>
        <v>0</v>
      </c>
      <c r="R15" s="56">
        <f>IF(SUM($O15)=0,0,$O15-$P15-$Q15)</f>
        <v>0</v>
      </c>
      <c r="S15" s="144" t="str">
        <f>IF(SUM($Q15)=0,"",IFERROR(1/(1/INDEX(Cascade!$BC:$BC,MATCH($E15,Cascade!$E:$E,0))),""))</f>
        <v/>
      </c>
      <c r="T15" s="88">
        <f>$P15</f>
        <v>0</v>
      </c>
      <c r="U15" s="56">
        <f>IF(SUM($Q15)=0,0,ROUND($Q15*$S15,0))</f>
        <v>0</v>
      </c>
      <c r="V15" s="82" t="str">
        <f>_xlfn.IFNA(INDEX(Cascade!$CB:$CB,MATCH($E15,Cascade!$E:$E,0)),"")</f>
        <v/>
      </c>
      <c r="W15" s="20" t="str">
        <f>IF(SUM($Q15)=0,"",$Q15/$V15)</f>
        <v/>
      </c>
      <c r="X15" s="20" t="str">
        <f>_xlfn.IFNA(INDEX(Cascade!$CJ:$CJ,MATCH($E15,Cascade!$E:$E,0)),"")</f>
        <v/>
      </c>
      <c r="Y15" s="20" t="str">
        <f>_xlfn.IFNA(INDEX(Cascade!$CK:$CK,MATCH($E15,Cascade!$E:$E,0)),"")</f>
        <v/>
      </c>
      <c r="Z15" s="20" t="str">
        <f>_xlfn.IFNA(INDEX(Cascade!$CL:$CL,MATCH($E15,Cascade!$E:$E,0)),"")</f>
        <v/>
      </c>
      <c r="AA15" s="20" t="str">
        <f>_xlfn.IFNA(INDEX(Cascade!$CN:$CN,MATCH($E15,Cascade!$E:$E,0)),"")</f>
        <v/>
      </c>
      <c r="AB15" s="20" t="str">
        <f>_xlfn.IFNA(INDEX(Cascade!$CP:$CP,MATCH($E15,Cascade!$E:$E,0)),"")</f>
        <v/>
      </c>
    </row>
  </sheetData>
  <mergeCells count="1">
    <mergeCell ref="A2:B3"/>
  </mergeCells>
  <conditionalFormatting sqref="G1:G1048576">
    <cfRule type="expression" dxfId="189" priority="20">
      <formula>AND(ISNUMBER(G1),G1&lt;&gt;0)</formula>
    </cfRule>
  </conditionalFormatting>
  <conditionalFormatting sqref="Q1:Q1048576">
    <cfRule type="expression" dxfId="188" priority="672">
      <formula>AND(ISNUMBER($Q1),ROUND(SUM($Q1),2)&gt;ROUND(SUM($I1),2))</formula>
    </cfRule>
  </conditionalFormatting>
  <conditionalFormatting sqref="J1:J1048576">
    <cfRule type="expression" dxfId="187" priority="4">
      <formula>AND(ISNUMBER($J1),SUM($J1)&lt;1)</formula>
    </cfRule>
  </conditionalFormatting>
  <conditionalFormatting sqref="S1:S1048576">
    <cfRule type="expression" dxfId="186" priority="687">
      <formula>AND(ISNUMBER(S1),S1&lt;0.95)</formula>
    </cfRule>
  </conditionalFormatting>
  <conditionalFormatting sqref="Y1:Z1048576">
    <cfRule type="expression" dxfId="185" priority="11">
      <formula>AND(ROW(Y1)&gt;14,$B1&lt;&gt;"",$D1&lt;&gt;"Female")</formula>
    </cfRule>
    <cfRule type="expression" dxfId="184" priority="12">
      <formula>AND(ROW(Y1)&gt;14,$B1&lt;&gt;"",OR($C1="&lt;01",$C1="01-04",$C1="05-09"))</formula>
    </cfRule>
  </conditionalFormatting>
  <conditionalFormatting sqref="AA1:AA1048576">
    <cfRule type="expression" dxfId="183" priority="9">
      <formula>AND(ROW(AA1)&gt;14,$B1&lt;&gt;"",OR($C1="&lt;01",$C1="01-04",$C1="05-09",$C1="10-14"))</formula>
    </cfRule>
    <cfRule type="expression" dxfId="182" priority="10">
      <formula>AND(ROW(AA1)&gt;14,$B1&lt;&gt;"",$D1&lt;&gt;"Male")</formula>
    </cfRule>
  </conditionalFormatting>
  <conditionalFormatting sqref="V1:AB1048576">
    <cfRule type="expression" dxfId="181" priority="2">
      <formula>AND(ROW($AB1)&gt;14,ROUND($AB1,2)&lt;0)</formula>
    </cfRule>
    <cfRule type="expression" dxfId="180" priority="8">
      <formula>AND(ROW($AB1)&gt;14,ISERROR($AB1))</formula>
    </cfRule>
  </conditionalFormatting>
  <conditionalFormatting sqref="J1:N1048576 S1:S1048576 W1:AB1048576">
    <cfRule type="expression" dxfId="179" priority="1">
      <formula>AND(ISNUMBER(J1),OR(ROUND(J1,2)&gt;1,ROUND(J1,2)&lt;0))</formula>
    </cfRule>
  </conditionalFormatting>
  <conditionalFormatting sqref="N1:N1048576">
    <cfRule type="expression" dxfId="178" priority="14">
      <formula>AND(ROW($N1)&gt;14,$N1="",SUM($O1)&gt;0)</formula>
    </cfRule>
    <cfRule type="expression" dxfId="177" priority="15">
      <formula>AND(ISNUMBER($N1),SUM($N1)&gt;10%)</formula>
    </cfRule>
  </conditionalFormatting>
  <conditionalFormatting sqref="L1:L1048576">
    <cfRule type="expression" dxfId="176" priority="5">
      <formula>AND(ROW($L1)&gt;14,$L1="",SUM($O1)&gt;0)</formula>
    </cfRule>
    <cfRule type="expression" dxfId="175" priority="7">
      <formula>AND(ISNUMBER($L1),ROUND(SUM($L1),2)&gt;=0.75)</formula>
    </cfRule>
  </conditionalFormatting>
  <conditionalFormatting sqref="F1:F1048576 H1:I1048576 O1:R1048576 T1:U1048576">
    <cfRule type="expression" dxfId="174" priority="3">
      <formula>AND(ISNUMBER(F1),F1&lt;0)</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N:CN" display="Total Positives from VMMC (FY23) (%)" xr:uid="{C15FB732-6CF1-6C44-B544-07BF476A6F31}"/>
    <hyperlink ref="AB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K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7" width="11.83203125" style="56" customWidth="1"/>
    <col min="8" max="8" width="11.83203125" style="314" customWidth="1"/>
    <col min="9" max="9" width="11.83203125" style="56" customWidth="1"/>
    <col min="10" max="11" width="11.83203125" style="314" customWidth="1"/>
    <col min="12" max="12" width="11.83203125" style="88" customWidth="1"/>
    <col min="13" max="13" width="11.83203125" style="56" customWidth="1"/>
    <col min="14" max="15" width="11.83203125" style="20" customWidth="1"/>
    <col min="16" max="17" width="11.83203125" style="68" customWidth="1"/>
    <col min="18" max="18" width="11.83203125" style="106" customWidth="1"/>
    <col min="19" max="19" width="11.83203125" style="59" customWidth="1"/>
    <col min="20" max="26" width="11.83203125" style="191" customWidth="1"/>
    <col min="27" max="30" width="11.83203125" style="56" customWidth="1"/>
    <col min="31" max="31" width="11.83203125" style="376" customWidth="1"/>
    <col min="32" max="32" width="11.83203125" style="56" customWidth="1"/>
    <col min="33" max="33" width="11.83203125" style="82" customWidth="1"/>
    <col min="34" max="34" width="11.83203125" style="230" customWidth="1"/>
    <col min="35" max="37" width="11.83203125" style="255" customWidth="1"/>
    <col min="38" max="16384" width="10.83203125" style="24"/>
  </cols>
  <sheetData>
    <row r="1" spans="1:37" s="41" customFormat="1" ht="31" customHeight="1" thickBot="1" x14ac:dyDescent="0.35">
      <c r="A1" s="5" t="s">
        <v>8</v>
      </c>
      <c r="B1" s="5"/>
      <c r="C1" s="1"/>
      <c r="D1" s="1"/>
      <c r="E1" s="1"/>
      <c r="F1" s="91" t="s">
        <v>45</v>
      </c>
      <c r="G1" s="114"/>
      <c r="H1" s="226"/>
      <c r="I1" s="114"/>
      <c r="J1" s="226"/>
      <c r="K1" s="19"/>
      <c r="L1" s="114"/>
      <c r="M1" s="51"/>
      <c r="N1" s="29"/>
      <c r="O1" s="29"/>
      <c r="P1" s="64"/>
      <c r="Q1" s="64"/>
      <c r="R1" s="91" t="s">
        <v>21</v>
      </c>
      <c r="S1" s="61"/>
      <c r="T1" s="19"/>
      <c r="U1" s="19"/>
      <c r="V1" s="19"/>
      <c r="W1" s="19"/>
      <c r="X1" s="19"/>
      <c r="Y1" s="19"/>
      <c r="Z1" s="19"/>
      <c r="AA1" s="51"/>
      <c r="AB1" s="51"/>
      <c r="AC1" s="51"/>
      <c r="AD1" s="51"/>
      <c r="AE1" s="224" t="s">
        <v>995</v>
      </c>
      <c r="AF1" s="51"/>
      <c r="AG1" s="91" t="s">
        <v>585</v>
      </c>
      <c r="AH1" s="319"/>
      <c r="AI1" s="319"/>
      <c r="AJ1" s="319"/>
      <c r="AK1" s="319"/>
    </row>
    <row r="2" spans="1:37" s="40" customFormat="1" ht="19" customHeight="1" x14ac:dyDescent="0.25">
      <c r="A2" s="490" t="s">
        <v>756</v>
      </c>
      <c r="B2" s="487"/>
      <c r="C2" s="2"/>
      <c r="D2" s="2"/>
      <c r="E2" s="2"/>
      <c r="F2" s="92" t="s">
        <v>73</v>
      </c>
      <c r="G2" s="138"/>
      <c r="H2" s="227"/>
      <c r="I2" s="138"/>
      <c r="J2" s="227"/>
      <c r="K2" s="18"/>
      <c r="L2" s="115"/>
      <c r="M2" s="52"/>
      <c r="N2" s="18"/>
      <c r="O2" s="18" t="s">
        <v>2</v>
      </c>
      <c r="P2" s="65" t="s">
        <v>3</v>
      </c>
      <c r="Q2" s="65"/>
      <c r="R2" s="92" t="s">
        <v>73</v>
      </c>
      <c r="S2" s="57"/>
      <c r="T2" s="18"/>
      <c r="U2" s="18" t="s">
        <v>2</v>
      </c>
      <c r="V2" s="18" t="s">
        <v>1152</v>
      </c>
      <c r="W2" s="18"/>
      <c r="X2" s="18"/>
      <c r="Y2" s="18"/>
      <c r="Z2" s="18"/>
      <c r="AA2" s="52" t="s">
        <v>3</v>
      </c>
      <c r="AB2" s="52"/>
      <c r="AC2" s="52"/>
      <c r="AD2" s="52"/>
      <c r="AE2" s="225" t="s">
        <v>73</v>
      </c>
      <c r="AF2" s="52"/>
      <c r="AG2" s="92" t="s">
        <v>59</v>
      </c>
      <c r="AH2" s="227"/>
      <c r="AI2" s="227"/>
      <c r="AJ2" s="227"/>
      <c r="AK2" s="227"/>
    </row>
    <row r="3" spans="1:37" ht="117" customHeight="1" thickBot="1" x14ac:dyDescent="0.25">
      <c r="A3" s="488"/>
      <c r="B3" s="489"/>
      <c r="C3" s="31"/>
      <c r="D3" s="31"/>
      <c r="E3" s="31"/>
      <c r="F3" s="238" t="s">
        <v>812</v>
      </c>
      <c r="G3" s="238" t="s">
        <v>602</v>
      </c>
      <c r="H3" s="240" t="s">
        <v>777</v>
      </c>
      <c r="I3" s="238" t="s">
        <v>778</v>
      </c>
      <c r="J3" s="240" t="s">
        <v>800</v>
      </c>
      <c r="K3" s="240" t="s">
        <v>1082</v>
      </c>
      <c r="L3" s="194" t="s">
        <v>813</v>
      </c>
      <c r="M3" s="194" t="s">
        <v>814</v>
      </c>
      <c r="N3" s="299" t="s">
        <v>815</v>
      </c>
      <c r="O3" s="32" t="s">
        <v>808</v>
      </c>
      <c r="P3" s="66" t="s">
        <v>809</v>
      </c>
      <c r="Q3" s="66" t="s">
        <v>810</v>
      </c>
      <c r="R3" s="128" t="s">
        <v>1030</v>
      </c>
      <c r="S3" s="121" t="s">
        <v>1029</v>
      </c>
      <c r="T3" s="299" t="s">
        <v>993</v>
      </c>
      <c r="U3" s="187" t="s">
        <v>1151</v>
      </c>
      <c r="V3" s="187" t="s">
        <v>1063</v>
      </c>
      <c r="W3" s="299" t="s">
        <v>1031</v>
      </c>
      <c r="X3" s="187" t="s">
        <v>994</v>
      </c>
      <c r="Y3" s="299" t="s">
        <v>1149</v>
      </c>
      <c r="Z3" s="187" t="s">
        <v>1145</v>
      </c>
      <c r="AA3" s="53" t="s">
        <v>208</v>
      </c>
      <c r="AB3" s="53" t="s">
        <v>272</v>
      </c>
      <c r="AC3" s="54" t="s">
        <v>270</v>
      </c>
      <c r="AD3" s="53" t="s">
        <v>271</v>
      </c>
      <c r="AE3" s="315" t="s">
        <v>832</v>
      </c>
      <c r="AF3" s="53" t="s">
        <v>71</v>
      </c>
      <c r="AG3" s="237" t="s">
        <v>793</v>
      </c>
      <c r="AH3" s="242" t="s">
        <v>811</v>
      </c>
      <c r="AI3" s="242" t="s">
        <v>796</v>
      </c>
      <c r="AJ3" s="242" t="s">
        <v>797</v>
      </c>
      <c r="AK3" s="242" t="s">
        <v>798</v>
      </c>
    </row>
    <row r="4" spans="1:37" x14ac:dyDescent="0.2">
      <c r="A4" s="33"/>
      <c r="B4" s="33"/>
      <c r="C4" s="33"/>
      <c r="D4" s="33" t="s">
        <v>4</v>
      </c>
      <c r="E4" s="33"/>
      <c r="F4" s="58">
        <f>SUBTOTAL(109,F$15:INDEX(F:F,COUNTA($B:$B)+14-COUNTA($B$1:$B$14)))</f>
        <v>0</v>
      </c>
      <c r="G4" s="73">
        <f>SUBTOTAL(109,G$15:INDEX(G:G,COUNTA($B:$B)+14-COUNTA($B$1:$B$14)))</f>
        <v>0</v>
      </c>
      <c r="H4" s="311" t="str">
        <f>IF(SUM($F$4)=0,"",SUM($G$4)/$F$4)</f>
        <v/>
      </c>
      <c r="I4" s="73">
        <f>SUBTOTAL(109,I$15:INDEX(I:I,COUNTA($B:$B)+14-COUNTA($B$1:$B$14)))</f>
        <v>0</v>
      </c>
      <c r="J4" s="311" t="str">
        <f>IF(SUM($G$4)=0,"",SUM($I$4)/$G$4)</f>
        <v/>
      </c>
      <c r="K4" s="34"/>
      <c r="L4" s="158">
        <f>SUBTOTAL(109,L$15:INDEX(L:L,COUNTA($B:$B)+14-COUNTA($B$1:$B$14)))</f>
        <v>0</v>
      </c>
      <c r="M4" s="158">
        <f>SUBTOTAL(109,M$15:INDEX(M:M,COUNTA($B:$B)+14-COUNTA($B$1:$B$14)))</f>
        <v>0</v>
      </c>
      <c r="N4" s="34" t="str">
        <f>IF($F$4=0,"",$M$4/$F$4)</f>
        <v/>
      </c>
      <c r="O4" s="34" t="str">
        <f>IF($F$4=0,"",$P$4/$F$4)</f>
        <v/>
      </c>
      <c r="P4" s="67">
        <f>SUBTOTAL(109,P$15:INDEX(P:P,COUNTA($B:$B)+14-COUNTA($B$1:$B$14)))</f>
        <v>0</v>
      </c>
      <c r="Q4" s="67">
        <f>SUBTOTAL(109,Q$15:INDEX(Q:Q,COUNTA($B:$B)+14-COUNTA($B$1:$B$14)))</f>
        <v>0</v>
      </c>
      <c r="R4" s="93">
        <f>SUBTOTAL(109,R$15:INDEX(R:R,COUNTA($B:$B)+14-COUNTA($B$1:$B$14)))</f>
        <v>0</v>
      </c>
      <c r="S4" s="58">
        <f>SUBTOTAL(109,S$15:INDEX(S:S,COUNTA($B:$B)+14-COUNTA($B$1:$B$14)))</f>
        <v>0</v>
      </c>
      <c r="T4" s="189" t="str">
        <f>IF($L$4=0,"",$S$4/$L$4)</f>
        <v/>
      </c>
      <c r="U4" s="189" t="str">
        <f>IF($Q$4=0,"",$AA$4/$Q$4)</f>
        <v/>
      </c>
      <c r="V4" s="189"/>
      <c r="W4" s="189"/>
      <c r="X4" s="189" t="str">
        <f>IF($AA$4=0,"",$AB$4/$AA$4)</f>
        <v/>
      </c>
      <c r="Y4" s="189"/>
      <c r="Z4" s="189" t="str">
        <f>IF(SUM($AA$4,$AB$4)=0,"",SUM($AC$4)/(SUM($AA$4)-SUM($AB$4)))</f>
        <v/>
      </c>
      <c r="AA4" s="55">
        <f>SUBTOTAL(109,AA$15:INDEX(AA:AA,COUNTA($B:$B)+14-COUNTA($B$1:$B$14)))</f>
        <v>0</v>
      </c>
      <c r="AB4" s="55">
        <f>SUBTOTAL(109,AB$15:INDEX(AB:AB,COUNTA($B:$B)+14-COUNTA($B$1:$B$14)))</f>
        <v>0</v>
      </c>
      <c r="AC4" s="55">
        <f>SUBTOTAL(109,AC$15:INDEX(AC:AC,COUNTA($B:$B)+14-COUNTA($B$1:$B$14)))</f>
        <v>0</v>
      </c>
      <c r="AD4" s="55">
        <f>SUBTOTAL(109,AD$15:INDEX(AD:AD,COUNTA($B:$B)+14-COUNTA($B$1:$B$14)))</f>
        <v>0</v>
      </c>
      <c r="AE4" s="143" t="str">
        <f>IF($AC$4=0,"",$AF$4/$AC$4)</f>
        <v/>
      </c>
      <c r="AF4" s="55">
        <f>SUBTOTAL(109,AF$15:INDEX(AF:AF,COUNTA($B:$B)+14-COUNTA($B$1:$B$14)))</f>
        <v>0</v>
      </c>
      <c r="AG4" s="58">
        <f>SUBTOTAL(109,AG$15:INDEX(AG:AG,COUNTA($B:$B)+14-COUNTA($B$1:$B$14)))</f>
        <v>0</v>
      </c>
      <c r="AH4" s="321" t="e">
        <f>$AC$4/$AG$4</f>
        <v>#DIV/0!</v>
      </c>
      <c r="AI4" s="321"/>
      <c r="AJ4" s="321"/>
      <c r="AK4" s="321" t="str">
        <f>IF(COUNTIF(AK$15:INDEX(AK:AK,COUNTA($B:$B)+14-COUNTA($B$1:$B$14)),"&lt;0")&gt;0,"Negatives","")</f>
        <v/>
      </c>
    </row>
    <row r="5" spans="1:37" x14ac:dyDescent="0.2">
      <c r="A5" s="26" t="s">
        <v>98</v>
      </c>
      <c r="B5" s="26" t="s">
        <v>98</v>
      </c>
      <c r="C5" s="26" t="s">
        <v>98</v>
      </c>
      <c r="D5" s="26" t="s">
        <v>98</v>
      </c>
      <c r="E5" s="26" t="s">
        <v>98</v>
      </c>
      <c r="F5" s="59" t="s">
        <v>98</v>
      </c>
      <c r="G5" s="59" t="s">
        <v>98</v>
      </c>
      <c r="H5" s="20" t="s">
        <v>98</v>
      </c>
      <c r="I5" s="59" t="s">
        <v>98</v>
      </c>
      <c r="J5" s="20" t="s">
        <v>98</v>
      </c>
      <c r="K5" s="152" t="s">
        <v>98</v>
      </c>
      <c r="L5" s="88" t="s">
        <v>107</v>
      </c>
      <c r="M5" s="88" t="s">
        <v>107</v>
      </c>
      <c r="N5" s="20" t="s">
        <v>98</v>
      </c>
      <c r="O5" s="20" t="s">
        <v>98</v>
      </c>
      <c r="P5" s="68" t="s">
        <v>107</v>
      </c>
      <c r="Q5" s="68" t="s">
        <v>107</v>
      </c>
      <c r="R5" s="82" t="s">
        <v>109</v>
      </c>
      <c r="S5" s="59" t="s">
        <v>109</v>
      </c>
      <c r="T5" s="191" t="s">
        <v>98</v>
      </c>
      <c r="U5" s="191" t="s">
        <v>98</v>
      </c>
      <c r="V5" s="191" t="s">
        <v>98</v>
      </c>
      <c r="W5" s="191" t="s">
        <v>98</v>
      </c>
      <c r="X5" s="191" t="s">
        <v>98</v>
      </c>
      <c r="Y5" s="191" t="s">
        <v>98</v>
      </c>
      <c r="Z5" s="191" t="s">
        <v>98</v>
      </c>
      <c r="AA5" s="56" t="s">
        <v>98</v>
      </c>
      <c r="AB5" s="56" t="s">
        <v>109</v>
      </c>
      <c r="AC5" s="56" t="s">
        <v>109</v>
      </c>
      <c r="AD5" s="56" t="s">
        <v>109</v>
      </c>
      <c r="AE5" s="144" t="s">
        <v>98</v>
      </c>
      <c r="AF5" s="56" t="s">
        <v>98</v>
      </c>
      <c r="AG5" s="82" t="s">
        <v>98</v>
      </c>
      <c r="AH5" s="230" t="s">
        <v>98</v>
      </c>
      <c r="AI5" s="255" t="s">
        <v>98</v>
      </c>
      <c r="AJ5" s="255" t="s">
        <v>98</v>
      </c>
      <c r="AK5" s="255" t="s">
        <v>98</v>
      </c>
    </row>
    <row r="6" spans="1:37" x14ac:dyDescent="0.2">
      <c r="A6" s="26" t="s">
        <v>200</v>
      </c>
      <c r="B6" s="26" t="s">
        <v>200</v>
      </c>
      <c r="C6" s="26" t="s">
        <v>200</v>
      </c>
      <c r="D6" s="26" t="s">
        <v>200</v>
      </c>
      <c r="E6" s="26" t="s">
        <v>200</v>
      </c>
      <c r="F6" s="59" t="s">
        <v>93</v>
      </c>
      <c r="G6" s="59" t="s">
        <v>93</v>
      </c>
      <c r="H6" s="20" t="s">
        <v>93</v>
      </c>
      <c r="I6" s="59" t="s">
        <v>93</v>
      </c>
      <c r="J6" s="20" t="s">
        <v>93</v>
      </c>
      <c r="K6" s="35" t="s">
        <v>93</v>
      </c>
      <c r="L6" s="88" t="s">
        <v>92</v>
      </c>
      <c r="M6" s="88" t="s">
        <v>92</v>
      </c>
      <c r="N6" s="20" t="s">
        <v>93</v>
      </c>
      <c r="O6" s="20" t="s">
        <v>112</v>
      </c>
      <c r="P6" s="68" t="s">
        <v>92</v>
      </c>
      <c r="Q6" s="68" t="s">
        <v>92</v>
      </c>
      <c r="R6" s="82" t="s">
        <v>110</v>
      </c>
      <c r="S6" s="59" t="s">
        <v>110</v>
      </c>
      <c r="T6" s="191" t="s">
        <v>93</v>
      </c>
      <c r="U6" s="191" t="s">
        <v>112</v>
      </c>
      <c r="V6" s="191" t="s">
        <v>112</v>
      </c>
      <c r="W6" s="191" t="s">
        <v>111</v>
      </c>
      <c r="X6" s="191" t="s">
        <v>112</v>
      </c>
      <c r="Y6" s="191" t="s">
        <v>111</v>
      </c>
      <c r="Z6" s="191" t="s">
        <v>112</v>
      </c>
      <c r="AA6" s="56" t="s">
        <v>93</v>
      </c>
      <c r="AB6" s="56" t="s">
        <v>92</v>
      </c>
      <c r="AC6" s="56" t="s">
        <v>92</v>
      </c>
      <c r="AD6" s="56" t="s">
        <v>92</v>
      </c>
      <c r="AE6" s="144" t="s">
        <v>93</v>
      </c>
      <c r="AF6" s="56" t="s">
        <v>93</v>
      </c>
      <c r="AG6" s="82" t="s">
        <v>93</v>
      </c>
      <c r="AH6" s="230" t="s">
        <v>93</v>
      </c>
      <c r="AI6" s="255" t="s">
        <v>93</v>
      </c>
      <c r="AJ6" s="255" t="s">
        <v>93</v>
      </c>
      <c r="AK6" s="255" t="s">
        <v>93</v>
      </c>
    </row>
    <row r="7" spans="1:37" x14ac:dyDescent="0.2">
      <c r="A7" s="26" t="s">
        <v>108</v>
      </c>
      <c r="B7" s="26" t="s">
        <v>108</v>
      </c>
      <c r="C7" s="26" t="s">
        <v>108</v>
      </c>
      <c r="D7" s="26" t="s">
        <v>108</v>
      </c>
      <c r="E7" s="26" t="s">
        <v>108</v>
      </c>
      <c r="F7" s="59" t="s">
        <v>94</v>
      </c>
      <c r="G7" s="59" t="s">
        <v>94</v>
      </c>
      <c r="H7" s="20" t="s">
        <v>95</v>
      </c>
      <c r="I7" s="59" t="s">
        <v>94</v>
      </c>
      <c r="J7" s="20" t="s">
        <v>95</v>
      </c>
      <c r="K7" s="35" t="s">
        <v>95</v>
      </c>
      <c r="L7" s="88" t="s">
        <v>94</v>
      </c>
      <c r="M7" s="88" t="s">
        <v>94</v>
      </c>
      <c r="N7" s="20" t="s">
        <v>95</v>
      </c>
      <c r="O7" s="20" t="s">
        <v>95</v>
      </c>
      <c r="P7" s="68" t="s">
        <v>94</v>
      </c>
      <c r="Q7" s="68" t="s">
        <v>94</v>
      </c>
      <c r="R7" s="82" t="s">
        <v>94</v>
      </c>
      <c r="S7" s="59" t="s">
        <v>94</v>
      </c>
      <c r="T7" s="191" t="s">
        <v>95</v>
      </c>
      <c r="U7" s="191" t="s">
        <v>95</v>
      </c>
      <c r="V7" s="191" t="s">
        <v>95</v>
      </c>
      <c r="W7" s="191" t="s">
        <v>95</v>
      </c>
      <c r="X7" s="191" t="s">
        <v>95</v>
      </c>
      <c r="Y7" s="191" t="s">
        <v>95</v>
      </c>
      <c r="Z7" s="191" t="s">
        <v>95</v>
      </c>
      <c r="AA7" s="56" t="s">
        <v>94</v>
      </c>
      <c r="AB7" s="56" t="s">
        <v>94</v>
      </c>
      <c r="AC7" s="56" t="s">
        <v>94</v>
      </c>
      <c r="AD7" s="56" t="s">
        <v>94</v>
      </c>
      <c r="AE7" s="144" t="s">
        <v>95</v>
      </c>
      <c r="AF7" s="56" t="s">
        <v>94</v>
      </c>
      <c r="AG7" s="82" t="s">
        <v>94</v>
      </c>
      <c r="AH7" s="230" t="s">
        <v>95</v>
      </c>
      <c r="AI7" s="255" t="s">
        <v>95</v>
      </c>
      <c r="AJ7" s="255" t="s">
        <v>95</v>
      </c>
      <c r="AK7" s="255" t="s">
        <v>95</v>
      </c>
    </row>
    <row r="8" spans="1:37" x14ac:dyDescent="0.2">
      <c r="F8" s="59"/>
      <c r="G8" s="59"/>
      <c r="H8" s="20"/>
      <c r="I8" s="59"/>
      <c r="J8" s="20"/>
      <c r="K8" s="35"/>
      <c r="L8" s="273" t="s">
        <v>130</v>
      </c>
      <c r="M8" s="273" t="s">
        <v>131</v>
      </c>
      <c r="P8" s="276" t="s">
        <v>131</v>
      </c>
      <c r="Q8" s="276" t="s">
        <v>130</v>
      </c>
      <c r="R8" s="277" t="s">
        <v>597</v>
      </c>
      <c r="S8" s="275" t="s">
        <v>132</v>
      </c>
      <c r="AB8" s="272" t="s">
        <v>132</v>
      </c>
      <c r="AC8" s="272" t="s">
        <v>132</v>
      </c>
      <c r="AD8" s="272" t="s">
        <v>132</v>
      </c>
      <c r="AE8" s="144"/>
    </row>
    <row r="9" spans="1:37" x14ac:dyDescent="0.2">
      <c r="F9" s="59"/>
      <c r="G9" s="59"/>
      <c r="H9" s="20"/>
      <c r="I9" s="59"/>
      <c r="J9" s="20"/>
      <c r="K9" s="35"/>
      <c r="L9" s="273"/>
      <c r="M9" s="273"/>
      <c r="P9" s="276"/>
      <c r="Q9" s="276"/>
      <c r="R9" s="277" t="s">
        <v>598</v>
      </c>
      <c r="S9" s="275" t="s">
        <v>133</v>
      </c>
      <c r="AB9" s="272" t="s">
        <v>133</v>
      </c>
      <c r="AC9" s="272" t="s">
        <v>133</v>
      </c>
      <c r="AD9" s="272" t="s">
        <v>133</v>
      </c>
      <c r="AE9" s="144"/>
    </row>
    <row r="10" spans="1:37" x14ac:dyDescent="0.2">
      <c r="F10" s="59"/>
      <c r="G10" s="59"/>
      <c r="H10" s="20"/>
      <c r="I10" s="59"/>
      <c r="J10" s="20"/>
      <c r="K10" s="35"/>
      <c r="L10" s="273"/>
      <c r="M10" s="273"/>
      <c r="P10" s="276"/>
      <c r="Q10" s="276"/>
      <c r="R10" s="277"/>
      <c r="S10" s="275"/>
      <c r="AB10" s="272" t="s">
        <v>134</v>
      </c>
      <c r="AC10" s="272" t="s">
        <v>104</v>
      </c>
      <c r="AD10" s="272" t="s">
        <v>121</v>
      </c>
      <c r="AE10" s="144"/>
    </row>
    <row r="11" spans="1:37" x14ac:dyDescent="0.2">
      <c r="F11" s="59" t="s">
        <v>205</v>
      </c>
      <c r="G11" s="59" t="s">
        <v>205</v>
      </c>
      <c r="H11" s="20" t="s">
        <v>205</v>
      </c>
      <c r="I11" s="59" t="s">
        <v>205</v>
      </c>
      <c r="J11" s="20" t="s">
        <v>205</v>
      </c>
      <c r="K11" s="20" t="s">
        <v>205</v>
      </c>
      <c r="L11" s="88" t="s">
        <v>205</v>
      </c>
      <c r="M11" s="88" t="s">
        <v>205</v>
      </c>
      <c r="N11" s="20" t="s">
        <v>205</v>
      </c>
      <c r="O11" s="35" t="s">
        <v>205</v>
      </c>
      <c r="P11" s="68" t="s">
        <v>205</v>
      </c>
      <c r="Q11" s="68" t="s">
        <v>205</v>
      </c>
      <c r="R11" s="82" t="s">
        <v>205</v>
      </c>
      <c r="S11" s="59" t="s">
        <v>205</v>
      </c>
      <c r="T11" s="191" t="s">
        <v>205</v>
      </c>
      <c r="U11" s="191" t="s">
        <v>205</v>
      </c>
      <c r="V11" s="191" t="s">
        <v>205</v>
      </c>
      <c r="W11" s="191" t="s">
        <v>205</v>
      </c>
      <c r="X11" s="191" t="s">
        <v>205</v>
      </c>
      <c r="Y11" s="191" t="s">
        <v>205</v>
      </c>
      <c r="Z11" s="191" t="s">
        <v>205</v>
      </c>
      <c r="AA11" s="56" t="s">
        <v>205</v>
      </c>
      <c r="AB11" s="56" t="s">
        <v>205</v>
      </c>
      <c r="AC11" s="56" t="s">
        <v>205</v>
      </c>
      <c r="AD11" s="56" t="s">
        <v>205</v>
      </c>
      <c r="AE11" s="301" t="s">
        <v>205</v>
      </c>
      <c r="AF11" s="56" t="s">
        <v>205</v>
      </c>
      <c r="AG11" s="82" t="s">
        <v>205</v>
      </c>
      <c r="AH11" s="230" t="s">
        <v>205</v>
      </c>
      <c r="AI11" s="255" t="s">
        <v>205</v>
      </c>
      <c r="AJ11" s="255" t="s">
        <v>205</v>
      </c>
      <c r="AK11" s="255" t="s">
        <v>205</v>
      </c>
    </row>
    <row r="12" spans="1:37" x14ac:dyDescent="0.2">
      <c r="F12" s="59" t="s">
        <v>686</v>
      </c>
      <c r="G12" s="59" t="s">
        <v>686</v>
      </c>
      <c r="H12" s="20" t="s">
        <v>686</v>
      </c>
      <c r="I12" s="59" t="s">
        <v>686</v>
      </c>
      <c r="J12" s="20" t="s">
        <v>686</v>
      </c>
      <c r="K12" s="20" t="s">
        <v>686</v>
      </c>
      <c r="L12" s="88" t="s">
        <v>686</v>
      </c>
      <c r="M12" s="88" t="s">
        <v>686</v>
      </c>
      <c r="N12" s="20" t="s">
        <v>686</v>
      </c>
      <c r="O12" s="20" t="s">
        <v>686</v>
      </c>
      <c r="P12" s="68" t="s">
        <v>686</v>
      </c>
      <c r="Q12" s="68" t="s">
        <v>686</v>
      </c>
      <c r="R12" s="82" t="s">
        <v>686</v>
      </c>
      <c r="S12" s="59" t="s">
        <v>686</v>
      </c>
      <c r="T12" s="191" t="s">
        <v>686</v>
      </c>
      <c r="U12" s="191" t="s">
        <v>686</v>
      </c>
      <c r="V12" s="191" t="s">
        <v>686</v>
      </c>
      <c r="W12" s="191" t="s">
        <v>686</v>
      </c>
      <c r="X12" s="191" t="s">
        <v>686</v>
      </c>
      <c r="Y12" s="191" t="s">
        <v>686</v>
      </c>
      <c r="Z12" s="191" t="s">
        <v>686</v>
      </c>
      <c r="AA12" s="56" t="s">
        <v>686</v>
      </c>
      <c r="AB12" s="56" t="s">
        <v>686</v>
      </c>
      <c r="AC12" s="56" t="s">
        <v>686</v>
      </c>
      <c r="AD12" s="56" t="s">
        <v>686</v>
      </c>
      <c r="AE12" s="144" t="s">
        <v>686</v>
      </c>
      <c r="AF12" s="56" t="s">
        <v>686</v>
      </c>
      <c r="AG12" s="82" t="s">
        <v>686</v>
      </c>
      <c r="AH12" s="230" t="s">
        <v>686</v>
      </c>
      <c r="AI12" s="255" t="s">
        <v>686</v>
      </c>
      <c r="AJ12" s="255" t="s">
        <v>686</v>
      </c>
      <c r="AK12" s="255" t="s">
        <v>686</v>
      </c>
    </row>
    <row r="13" spans="1:37" x14ac:dyDescent="0.2">
      <c r="F13" s="59"/>
      <c r="G13" s="59"/>
      <c r="H13" s="20"/>
      <c r="I13" s="59"/>
      <c r="J13" s="20"/>
      <c r="K13" s="35"/>
      <c r="M13" s="88"/>
      <c r="R13" s="82"/>
      <c r="AE13" s="144"/>
    </row>
    <row r="14" spans="1:37" x14ac:dyDescent="0.2">
      <c r="A14" s="36" t="s">
        <v>583</v>
      </c>
      <c r="B14" s="36" t="s">
        <v>5</v>
      </c>
      <c r="C14" s="36" t="s">
        <v>35</v>
      </c>
      <c r="D14" s="36" t="s">
        <v>6</v>
      </c>
      <c r="E14" s="36" t="s">
        <v>75</v>
      </c>
      <c r="F14" s="76" t="s">
        <v>298</v>
      </c>
      <c r="G14" s="76" t="s">
        <v>299</v>
      </c>
      <c r="H14" s="192" t="s">
        <v>301</v>
      </c>
      <c r="I14" s="76" t="s">
        <v>302</v>
      </c>
      <c r="J14" s="192" t="s">
        <v>497</v>
      </c>
      <c r="K14" s="192" t="s">
        <v>1080</v>
      </c>
      <c r="L14" s="195" t="s">
        <v>329</v>
      </c>
      <c r="M14" s="195" t="s">
        <v>330</v>
      </c>
      <c r="N14" s="192" t="s">
        <v>538</v>
      </c>
      <c r="O14" s="192" t="s">
        <v>537</v>
      </c>
      <c r="P14" s="155" t="s">
        <v>332</v>
      </c>
      <c r="Q14" s="155" t="s">
        <v>331</v>
      </c>
      <c r="R14" s="157" t="s">
        <v>694</v>
      </c>
      <c r="S14" s="76" t="s">
        <v>695</v>
      </c>
      <c r="T14" s="192" t="s">
        <v>584</v>
      </c>
      <c r="U14" s="192" t="s">
        <v>536</v>
      </c>
      <c r="V14" s="192" t="s">
        <v>723</v>
      </c>
      <c r="W14" s="192" t="s">
        <v>707</v>
      </c>
      <c r="X14" s="192" t="s">
        <v>531</v>
      </c>
      <c r="Y14" s="192" t="s">
        <v>708</v>
      </c>
      <c r="Z14" s="192" t="s">
        <v>533</v>
      </c>
      <c r="AA14" s="155" t="s">
        <v>532</v>
      </c>
      <c r="AB14" s="155" t="s">
        <v>328</v>
      </c>
      <c r="AC14" s="155" t="s">
        <v>371</v>
      </c>
      <c r="AD14" s="155" t="s">
        <v>372</v>
      </c>
      <c r="AE14" s="317" t="s">
        <v>534</v>
      </c>
      <c r="AF14" s="155" t="s">
        <v>535</v>
      </c>
      <c r="AG14" s="157" t="s">
        <v>513</v>
      </c>
      <c r="AH14" s="231" t="s">
        <v>573</v>
      </c>
      <c r="AI14" s="231" t="s">
        <v>570</v>
      </c>
      <c r="AJ14" s="231" t="s">
        <v>572</v>
      </c>
      <c r="AK14" s="231" t="s">
        <v>575</v>
      </c>
    </row>
    <row r="15" spans="1:37" x14ac:dyDescent="0.2">
      <c r="E15" s="26" t="str">
        <f>B15&amp;"|"&amp;C15&amp;"|"&amp;D15</f>
        <v>||</v>
      </c>
      <c r="F15" s="63" t="str">
        <f>IF(LEFT($B15,4)="_Mil","",_xlfn.IFNA(INDEX(Cascade!$F:$F,MATCH($E15,Cascade!$E:$E,0)),""))</f>
        <v/>
      </c>
      <c r="G15" s="63" t="str">
        <f>IF(LEFT($B15,4)="_Mil","",_xlfn.IFNA(INDEX(Cascade!$H:$H,MATCH($E15,Cascade!$E:$E,0)),""))</f>
        <v/>
      </c>
      <c r="H15" s="20" t="str">
        <f>IF(LEFT($B15,4)="_Mil","",_xlfn.IFNA(INDEX(Cascade!$J:$J,MATCH($E15,Cascade!$E:$E,0)),""))</f>
        <v/>
      </c>
      <c r="I15" s="63" t="str">
        <f>IF(LEFT($B15,4)="_Mil","",_xlfn.IFNA(INDEX(Cascade!$T:$T,MATCH($E15,Cascade!$E:$E,0)),""))</f>
        <v/>
      </c>
      <c r="J15" s="20" t="str">
        <f>IF(LEFT($B15,4)="_Mil","",_xlfn.IFNA(INDEX(Cascade!$BU:$BU,MATCH($E15,Cascade!$E:$E,0)),""))</f>
        <v/>
      </c>
      <c r="K15" s="20" t="str">
        <f>IF(LEFT($B15,4)="_Mil","",_xlfn.IFNA(INDEX(Cascade!$AL:$AL,MATCH($E15,Cascade!$E:$E,0)),""))</f>
        <v/>
      </c>
      <c r="L15" s="88" t="str">
        <f>IF(LEFT($B15,4)="_Mil","",_xlfn.IFNA(ROUND(INDEX(Spectrum!$N:$N,MATCH(RIGHT($B15,13)&amp;"|"&amp;$C15&amp;"|"&amp;$D15&amp;"|"&amp;L$14&amp;"|"&amp;"CY2022Q3",Spectrum!$Q:$Q,0)),0),""))</f>
        <v/>
      </c>
      <c r="M15" s="88" t="str">
        <f>IF(LEFT($B15,4)="_Mil","",_xlfn.IFNA(ROUND(INDEX(Spectrum!$N:$N,MATCH(RIGHT($B15,13)&amp;"|"&amp;$C15&amp;"|"&amp;$D15&amp;"|"&amp;M$14&amp;"|"&amp;"CY2022Q3",Spectrum!$Q:$Q,0)),0),""))</f>
        <v/>
      </c>
      <c r="N15" s="20" t="str">
        <f>IF(OR(LEFT($B15,4)="_Mil",SUM($F15)=0),"",SUM($M15)/$F15)</f>
        <v/>
      </c>
      <c r="O15" s="20" t="str">
        <f>IF(OR(LEFT($B15,4)="_Mil",SUM($F15)=0),"",80%)</f>
        <v/>
      </c>
      <c r="P15" s="68" t="str">
        <f>IF(OR(LEFT($B15,4)="_Mil",SUM($F15)=0),"",ROUND(SUM($F15)*$O15,0))</f>
        <v/>
      </c>
      <c r="Q15" s="68" t="str">
        <f>IF(OR(LEFT($B15,4)="_Mil",SUM($P15)=0),"",ROUND(MAX($P15-SUM($M15),0),0))</f>
        <v/>
      </c>
      <c r="T15" s="20">
        <f>IF(LEFT($B15,4)="_Mil","",IF(SUM($S15)=0,0,IF(SUM($L15)=0,1,$S15/$L15)))</f>
        <v>0</v>
      </c>
      <c r="U15" s="20">
        <f>IF(LEFT($B15,4)="_Mil","",$T15)</f>
        <v>0</v>
      </c>
      <c r="V15" s="20" t="str">
        <f>IF(LEFT($B15,4)="_Mil",0,"")</f>
        <v/>
      </c>
      <c r="W15" s="20"/>
      <c r="X15" s="20" t="str">
        <f>IF($W15="","",$W15)</f>
        <v/>
      </c>
      <c r="Y15" s="20"/>
      <c r="Z15" s="20" t="str">
        <f>IF($Y15="","",$Y15)</f>
        <v/>
      </c>
      <c r="AA15" s="56">
        <f>IF(LEFT($B15,4)="_Mil",ROUND(SUM($S15)*(1+$V15),0),IF(SUM($Q15)=0,0,ROUND(SUM($Q15)*$U15,0)))</f>
        <v>0</v>
      </c>
      <c r="AB15" s="56">
        <f>IF(SUM($AA15)=0,0,ROUND(SUM($AA15)*$X15,0))</f>
        <v>0</v>
      </c>
      <c r="AC15" s="56">
        <f>IF(SUM($AA15)=0,0,ROUND(($AA15-SUM($AB15))*$Z15,0))</f>
        <v>0</v>
      </c>
      <c r="AD15" s="56">
        <f>IF(SUM($AA15)=0,0,$AA15-SUM($AB15)-SUM($AC15))</f>
        <v>0</v>
      </c>
      <c r="AE15" s="144" t="str">
        <f>IF(SUM($AC15)=0,"",_xlfn.IFNA(INDEX(Cascade!$BC:$BC,MATCH($E15,Cascade!$E:$E,0)),""))</f>
        <v/>
      </c>
      <c r="AF15" s="56">
        <f>IF(SUM($AC15)=0,0,ROUND($AC15*$AE15,0))</f>
        <v>0</v>
      </c>
      <c r="AG15" s="82" t="str">
        <f>_xlfn.IFNA(INDEX(Cascade!$CB:$CB,MATCH($E15,Cascade!$E:$E,0)),"")</f>
        <v/>
      </c>
      <c r="AH15" s="230" t="str">
        <f>IF(SUM($AC15)=0,"",$AC15/$AG15)</f>
        <v/>
      </c>
      <c r="AI15" s="230" t="str">
        <f>_xlfn.IFNA(INDEX(Cascade!$CJ:$CJ,MATCH($E15,Cascade!$E:$E,0)),"")</f>
        <v/>
      </c>
      <c r="AJ15" s="230" t="str">
        <f>_xlfn.IFNA(INDEX(Cascade!$CM:$CM,MATCH($E15,Cascade!$E:$E,0)),"")</f>
        <v/>
      </c>
      <c r="AK15" s="230" t="str">
        <f>_xlfn.IFNA(INDEX(Cascade!$CP:$CP,MATCH($E15,Cascade!$E:$E,0)),"")</f>
        <v/>
      </c>
    </row>
  </sheetData>
  <mergeCells count="1">
    <mergeCell ref="A2:B3"/>
  </mergeCells>
  <conditionalFormatting sqref="O1:O1048576">
    <cfRule type="expression" dxfId="173" priority="17">
      <formula>AND(ISNUMBER($O1),OR(ROUND($O1,2)&lt;0.8,ROUND($O1,2)&gt;1))</formula>
    </cfRule>
  </conditionalFormatting>
  <conditionalFormatting sqref="Z1:Z1048576">
    <cfRule type="expression" dxfId="172" priority="6">
      <formula>AND(ROW($Z1)&gt;14,$Z1="",SUM($AA1)&gt;0)</formula>
    </cfRule>
    <cfRule type="expression" dxfId="171" priority="7">
      <formula>AND(ROW($Z1)&gt;14,ROUND(SUM($Z1),2)&gt;0.01)</formula>
    </cfRule>
  </conditionalFormatting>
  <conditionalFormatting sqref="AG1:AK1048576">
    <cfRule type="expression" dxfId="170" priority="4">
      <formula>AND(ISNUMBER($AK1),ROUND($AK1,2)&lt;0)</formula>
    </cfRule>
    <cfRule type="expression" dxfId="169" priority="19">
      <formula>AND(ISNUMBER($AK1),ISERROR($AK1))</formula>
    </cfRule>
  </conditionalFormatting>
  <conditionalFormatting sqref="P1:P1048576">
    <cfRule type="expression" dxfId="168" priority="11">
      <formula>AND(ISNUMBER($P1),$P1&lt;$M1)</formula>
    </cfRule>
  </conditionalFormatting>
  <conditionalFormatting sqref="V1:V1048576">
    <cfRule type="expression" dxfId="167" priority="20">
      <formula>AND(ROW($V1)&gt;14,$E1&lt;&gt;"",LEFT($B1,4)&lt;&gt;"_Mil")</formula>
    </cfRule>
  </conditionalFormatting>
  <conditionalFormatting sqref="AE1:AE1048576">
    <cfRule type="expression" dxfId="166" priority="2164">
      <formula>AND(ISNUMBER($AE1),ROUND($AE1,2)&lt;95%)</formula>
    </cfRule>
  </conditionalFormatting>
  <conditionalFormatting sqref="L1:M1048576">
    <cfRule type="expression" dxfId="165" priority="27">
      <formula>AND(ISNUMBER($L1),ISNUMBER($M1),$M1&lt;$L1)</formula>
    </cfRule>
  </conditionalFormatting>
  <conditionalFormatting sqref="F1:Q1048576 T1:U1048576">
    <cfRule type="expression" dxfId="164" priority="16">
      <formula>LEFT($B1,4)="_Mil"</formula>
    </cfRule>
  </conditionalFormatting>
  <conditionalFormatting sqref="X1:X1048576">
    <cfRule type="expression" dxfId="163" priority="5">
      <formula>AND(ROW($X1)&gt;14,$X1="",SUM($AA1)&gt;0)</formula>
    </cfRule>
  </conditionalFormatting>
  <conditionalFormatting sqref="F1:G1048576 I1:I1048576 L1:M1048576 P1:S1048576 AA1:AD1048576 AF1:AG1048576">
    <cfRule type="expression" dxfId="162" priority="2">
      <formula>AND(ISNUMBER(F1),ROUND(F1,0)&lt;0)</formula>
    </cfRule>
  </conditionalFormatting>
  <conditionalFormatting sqref="H1:H1048576 J1:K1048576 N1:O1048576 T1:U1048576 W1:Z1048576 AE1:AE1048576 AH1:AK1048576">
    <cfRule type="expression" dxfId="161" priority="1">
      <formula>AND(ISNUMBER(H1),OR(ROUND(H1,2)&lt;0,ROUND(H1,2)&gt;1))</formula>
    </cfRule>
  </conditionalFormatting>
  <hyperlinks>
    <hyperlink ref="F3" location="Cascade!F:F" display="Host Country Est. Male Population (FY21)" xr:uid="{C6A99DFC-4F48-404C-9B66-D9590F47A2D3}"/>
    <hyperlink ref="AC3" location="Cascade!CG:CG" display="HIV Positive" xr:uid="{2DCD329B-B29F-704E-8461-36B4301F077A}"/>
    <hyperlink ref="G3" location="Cascade!H:H" display="Host Country Est. PLHIV (FY21)" xr:uid="{2930CCBC-8F45-954A-9C4B-E82145674BB9}"/>
    <hyperlink ref="H3" location="Cascade!J:J" display="Host Country Est. HIV Prevalence (FY21) (%)" xr:uid="{5289F01F-A702-2040-B8A4-F3E42F6D1A29}"/>
    <hyperlink ref="I3" location="Cascade!T:T" display="Host Country Est. TX_CURR_SUBNAT (FY22)" xr:uid="{0B9E2838-E36E-914B-ABB2-4D62A487F4F9}"/>
    <hyperlink ref="J3" location="Cascade!BS:BS" display="Host Country Est. ART Coverage (FY22) (%)" xr:uid="{A7D90546-FC05-1942-88B3-F73371278897}"/>
    <hyperlink ref="AG3" location="Cascade!CB:CB" display="Total HTS_TST_POS (FY23)" xr:uid="{54DA9148-5100-4B4B-9121-6C351B2AE8A1}"/>
    <hyperlink ref="AH3" location="VMMC!AC:AC" display="Total Positives from VMMC_CIRC (FY23) (%)" xr:uid="{823FE536-9720-0B41-B603-761E70AF5F5E}"/>
    <hyperlink ref="AI3" location="Cascade!CJ:CJ" display="Total Positives from HTS_INDEX (FY23) (%)" xr:uid="{51CE2F45-E9AC-8943-8F4A-61132094AC48}"/>
    <hyperlink ref="AJ3" location="Cascade!CM:CM" display="Total Positives from TB_STAT (FY23) (%)" xr:uid="{89FDD463-524F-4745-993F-7C848E2A4A01}"/>
    <hyperlink ref="AK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106" customWidth="1"/>
    <col min="6" max="6" width="11.83203125" style="56" customWidth="1"/>
    <col min="7" max="7" width="11.83203125" style="180" customWidth="1"/>
    <col min="8" max="8" width="11.83203125" style="378" customWidth="1"/>
    <col min="9" max="9" width="11.83203125" style="56" customWidth="1"/>
    <col min="10" max="10" width="11.83203125" style="378" customWidth="1"/>
    <col min="11" max="11" width="11.83203125" style="56" customWidth="1"/>
    <col min="12" max="12" width="11.83203125" style="378" customWidth="1"/>
    <col min="13" max="13" width="11.83203125" style="56" customWidth="1"/>
    <col min="14" max="14" width="11.83203125" style="378" customWidth="1"/>
    <col min="15" max="15" width="11.83203125" style="258" customWidth="1"/>
    <col min="16" max="17" width="11.83203125" style="56" customWidth="1"/>
    <col min="18" max="18" width="11.83203125" style="378" customWidth="1"/>
    <col min="19" max="21" width="11.83203125" style="257" customWidth="1"/>
    <col min="22" max="22" width="11.83203125" style="56" customWidth="1"/>
    <col min="23" max="23" width="11.83203125" style="381" customWidth="1"/>
    <col min="24" max="24" width="11.83203125" style="257" customWidth="1"/>
    <col min="25" max="25" width="11.83203125" style="56" customWidth="1"/>
    <col min="26" max="26" width="11.83203125" style="381" customWidth="1"/>
    <col min="27" max="27" width="11.83203125" style="56" customWidth="1"/>
    <col min="28" max="28" width="11.83203125" style="381" customWidth="1"/>
    <col min="29" max="32" width="11.83203125" style="258" customWidth="1"/>
    <col min="33" max="34" width="11.83203125" style="257" customWidth="1"/>
    <col min="35" max="36" width="11.83203125" style="56" customWidth="1"/>
    <col min="37" max="37" width="11.83203125" style="381" customWidth="1"/>
    <col min="38" max="38" width="11.83203125" style="56" customWidth="1"/>
    <col min="39" max="39" width="11.83203125" style="378" customWidth="1"/>
    <col min="40" max="40" width="11.83203125" style="56" customWidth="1"/>
  </cols>
  <sheetData>
    <row r="1" spans="1:40" s="41" customFormat="1" ht="31" customHeight="1" x14ac:dyDescent="0.3">
      <c r="A1" s="5" t="s">
        <v>477</v>
      </c>
      <c r="B1" s="5"/>
      <c r="C1" s="1"/>
      <c r="D1" s="1"/>
      <c r="E1" s="91" t="s">
        <v>43</v>
      </c>
      <c r="F1" s="51"/>
      <c r="G1" s="382"/>
      <c r="H1" s="91" t="s">
        <v>886</v>
      </c>
      <c r="I1" s="51"/>
      <c r="J1" s="91" t="s">
        <v>24</v>
      </c>
      <c r="K1" s="51"/>
      <c r="L1" s="91" t="s">
        <v>22</v>
      </c>
      <c r="M1" s="64"/>
      <c r="N1" s="91" t="s">
        <v>0</v>
      </c>
      <c r="O1" s="79"/>
      <c r="P1" s="51"/>
      <c r="Q1" s="51"/>
      <c r="R1" s="91" t="s">
        <v>1</v>
      </c>
      <c r="S1" s="372"/>
      <c r="T1" s="19"/>
      <c r="U1" s="19"/>
      <c r="V1" s="51"/>
      <c r="W1" s="224" t="s">
        <v>52</v>
      </c>
      <c r="X1" s="19"/>
      <c r="Y1" s="51"/>
      <c r="Z1" s="224" t="s">
        <v>51</v>
      </c>
      <c r="AA1" s="51"/>
      <c r="AB1" s="224" t="s">
        <v>248</v>
      </c>
      <c r="AC1" s="61"/>
      <c r="AD1" s="61"/>
      <c r="AE1" s="61"/>
      <c r="AF1" s="61"/>
      <c r="AG1" s="29"/>
      <c r="AH1" s="29"/>
      <c r="AI1" s="51"/>
      <c r="AJ1" s="51"/>
      <c r="AK1" s="224" t="s">
        <v>206</v>
      </c>
      <c r="AL1" s="51"/>
      <c r="AM1" s="91" t="s">
        <v>246</v>
      </c>
      <c r="AN1" s="51"/>
    </row>
    <row r="2" spans="1:40" s="40" customFormat="1" ht="19" x14ac:dyDescent="0.25">
      <c r="A2" s="2"/>
      <c r="B2" s="2"/>
      <c r="C2" s="2"/>
      <c r="D2" s="2"/>
      <c r="E2" s="212" t="s">
        <v>42</v>
      </c>
      <c r="F2" s="52"/>
      <c r="G2" s="177"/>
      <c r="H2" s="92" t="s">
        <v>73</v>
      </c>
      <c r="I2" s="52" t="s">
        <v>3</v>
      </c>
      <c r="J2" s="95" t="s">
        <v>73</v>
      </c>
      <c r="K2" s="52" t="s">
        <v>3</v>
      </c>
      <c r="L2" s="95" t="s">
        <v>73</v>
      </c>
      <c r="M2" s="65" t="s">
        <v>3</v>
      </c>
      <c r="N2" s="95" t="s">
        <v>73</v>
      </c>
      <c r="O2" s="78"/>
      <c r="P2" s="52" t="s">
        <v>3</v>
      </c>
      <c r="Q2" s="65"/>
      <c r="R2" s="95" t="s">
        <v>73</v>
      </c>
      <c r="S2" s="227" t="s">
        <v>2</v>
      </c>
      <c r="T2" s="18"/>
      <c r="U2" s="18"/>
      <c r="V2" s="52" t="s">
        <v>3</v>
      </c>
      <c r="W2" s="225" t="s">
        <v>2</v>
      </c>
      <c r="X2" s="18"/>
      <c r="Y2" s="52" t="s">
        <v>3</v>
      </c>
      <c r="Z2" s="225" t="s">
        <v>2</v>
      </c>
      <c r="AA2" s="52" t="s">
        <v>3</v>
      </c>
      <c r="AB2" s="225" t="s">
        <v>2</v>
      </c>
      <c r="AC2" s="57"/>
      <c r="AD2" s="57"/>
      <c r="AE2" s="57"/>
      <c r="AF2" s="57"/>
      <c r="AG2" s="18"/>
      <c r="AH2" s="18"/>
      <c r="AI2" s="52" t="s">
        <v>3</v>
      </c>
      <c r="AJ2" s="52"/>
      <c r="AK2" s="225" t="s">
        <v>2</v>
      </c>
      <c r="AL2" s="52" t="s">
        <v>3</v>
      </c>
      <c r="AM2" s="92" t="s">
        <v>73</v>
      </c>
      <c r="AN2" s="52" t="s">
        <v>3</v>
      </c>
    </row>
    <row r="3" spans="1:40" s="46" customFormat="1" ht="117" customHeight="1" x14ac:dyDescent="0.2">
      <c r="A3"/>
      <c r="B3"/>
      <c r="C3"/>
      <c r="D3" s="47"/>
      <c r="E3" s="217" t="s">
        <v>839</v>
      </c>
      <c r="F3" s="122" t="s">
        <v>840</v>
      </c>
      <c r="G3" s="178" t="s">
        <v>777</v>
      </c>
      <c r="H3" s="128" t="s">
        <v>888</v>
      </c>
      <c r="I3" s="122" t="s">
        <v>895</v>
      </c>
      <c r="J3" s="213" t="s">
        <v>889</v>
      </c>
      <c r="K3" s="122" t="s">
        <v>816</v>
      </c>
      <c r="L3" s="204" t="s">
        <v>890</v>
      </c>
      <c r="M3" s="123" t="s">
        <v>817</v>
      </c>
      <c r="N3" s="204" t="s">
        <v>894</v>
      </c>
      <c r="O3" s="130" t="s">
        <v>891</v>
      </c>
      <c r="P3" s="122" t="s">
        <v>818</v>
      </c>
      <c r="Q3" s="66" t="s">
        <v>819</v>
      </c>
      <c r="R3" s="204" t="s">
        <v>892</v>
      </c>
      <c r="S3" s="256" t="s">
        <v>820</v>
      </c>
      <c r="T3" s="187" t="s">
        <v>821</v>
      </c>
      <c r="U3" s="187" t="s">
        <v>822</v>
      </c>
      <c r="V3" s="122" t="s">
        <v>823</v>
      </c>
      <c r="W3" s="379" t="s">
        <v>824</v>
      </c>
      <c r="X3" s="313" t="s">
        <v>825</v>
      </c>
      <c r="Y3" s="122" t="s">
        <v>826</v>
      </c>
      <c r="Z3" s="379" t="s">
        <v>827</v>
      </c>
      <c r="AA3" s="122" t="s">
        <v>828</v>
      </c>
      <c r="AB3" s="338" t="s">
        <v>829</v>
      </c>
      <c r="AC3" s="121" t="s">
        <v>830</v>
      </c>
      <c r="AD3" s="121" t="s">
        <v>831</v>
      </c>
      <c r="AE3" s="121" t="s">
        <v>996</v>
      </c>
      <c r="AF3" s="121" t="s">
        <v>997</v>
      </c>
      <c r="AG3" s="187" t="s">
        <v>832</v>
      </c>
      <c r="AH3" s="187" t="s">
        <v>833</v>
      </c>
      <c r="AI3" s="122" t="s">
        <v>834</v>
      </c>
      <c r="AJ3" s="122" t="s">
        <v>835</v>
      </c>
      <c r="AK3" s="330" t="s">
        <v>836</v>
      </c>
      <c r="AL3" s="53" t="s">
        <v>837</v>
      </c>
      <c r="AM3" s="128" t="s">
        <v>893</v>
      </c>
      <c r="AN3" s="122" t="s">
        <v>838</v>
      </c>
    </row>
    <row r="4" spans="1:40" s="46" customFormat="1" x14ac:dyDescent="0.2">
      <c r="A4" s="49"/>
      <c r="B4" s="49"/>
      <c r="C4" s="49" t="s">
        <v>4</v>
      </c>
      <c r="D4" s="49"/>
      <c r="E4" s="214">
        <f>SUBTOTAL(109,E$15:INDEX(E:E,COUNTA($B:$B)+14-COUNTA($B$1:$B$14)))</f>
        <v>0</v>
      </c>
      <c r="F4" s="55">
        <f>SUBTOTAL(109,F$15:INDEX(F:F,COUNTA($B:$B)+14-COUNTA($B$1:$B$14)))</f>
        <v>0</v>
      </c>
      <c r="G4" s="179" t="str">
        <f>IF($E$4=0,"",$F$4/$E$4)</f>
        <v/>
      </c>
      <c r="H4" s="93">
        <f>SUBTOTAL(109,H$15:INDEX(H:H,COUNTA($B:$B)+14-COUNTA($B$1:$B$14)))</f>
        <v>0</v>
      </c>
      <c r="I4" s="55">
        <f>SUBTOTAL(109,I$15:INDEX(I:I,COUNTA($B:$B)+14-COUNTA($B$1:$B$14)))</f>
        <v>0</v>
      </c>
      <c r="J4" s="214">
        <f>SUBTOTAL(109,J$15:INDEX(J:J,COUNTA($B:$B)+14-COUNTA($B$1:$B$14)))</f>
        <v>0</v>
      </c>
      <c r="K4" s="55">
        <f>SUBTOTAL(109,K$15:INDEX(K:K,COUNTA($B:$B)+14-COUNTA($B$1:$B$14)))</f>
        <v>0</v>
      </c>
      <c r="L4" s="214">
        <f>SUBTOTAL(109,L$15:INDEX(L:L,COUNTA($B:$B)+14-COUNTA($B$1:$B$14)))</f>
        <v>0</v>
      </c>
      <c r="M4" s="55">
        <f>SUBTOTAL(109,M$15:INDEX(M:M,COUNTA($B:$B)+14-COUNTA($B$1:$B$14)))</f>
        <v>0</v>
      </c>
      <c r="N4" s="205">
        <f>SUBTOTAL(109,N$15:INDEX(N:N,COUNTA($B:$B)+14-COUNTA($B$1:$B$14)))</f>
        <v>0</v>
      </c>
      <c r="O4" s="202">
        <f>SUBTOTAL(109,O$15:INDEX(O:O,COUNTA($B:$B)+14-COUNTA($B$1:$B$14)))</f>
        <v>0</v>
      </c>
      <c r="P4" s="55">
        <f>SUBTOTAL(109,P$15:INDEX(P:P,COUNTA($B:$B)+14-COUNTA($B$1:$B$14)))</f>
        <v>0</v>
      </c>
      <c r="Q4" s="55">
        <f>SUBTOTAL(109,Q$15:INDEX(Q:Q,COUNTA($B:$B)+14-COUNTA($B$1:$B$14)))</f>
        <v>0</v>
      </c>
      <c r="R4" s="216">
        <f>SUBTOTAL(109,R$15:INDEX(R:R,COUNTA($B:$B)+14-COUNTA($B$1:$B$14)))</f>
        <v>0</v>
      </c>
      <c r="S4" s="321" t="str">
        <f>IF($Q$4=0,"",$V$4/$Q$4)</f>
        <v/>
      </c>
      <c r="T4" s="189"/>
      <c r="U4" s="189"/>
      <c r="V4" s="55">
        <f>SUBTOTAL(109,V$15:INDEX(V:V,COUNTA($B:$B)+14-COUNTA($B$1:$B$14)))</f>
        <v>0</v>
      </c>
      <c r="W4" s="380"/>
      <c r="X4" s="189"/>
      <c r="Y4" s="55">
        <f>SUBTOTAL(109,Y$15:INDEX(Y:Y,COUNTA($B:$B)+14-COUNTA($B$1:$B$14)))</f>
        <v>0</v>
      </c>
      <c r="Z4" s="380" t="str">
        <f>IF($Y$4=0,"",$AA$4/$Y$4)</f>
        <v/>
      </c>
      <c r="AA4" s="55">
        <f>SUBTOTAL(109,AA$15:INDEX(AA:AA,COUNTA($B:$B)+14-COUNTA($B$1:$B$14)))</f>
        <v>0</v>
      </c>
      <c r="AB4" s="143" t="str">
        <f>IF($V$4=0,"",$AC$4/$V$4)</f>
        <v/>
      </c>
      <c r="AC4" s="58">
        <f>SUBTOTAL(109,AC$15:INDEX(AC:AC,COUNTA($B:$B)+14-COUNTA($B$1:$B$14)))</f>
        <v>0</v>
      </c>
      <c r="AD4" s="58">
        <f>SUBTOTAL(109,AD$15:INDEX(AD:AD,COUNTA($B:$B)+14-COUNTA($B$1:$B$14)))</f>
        <v>0</v>
      </c>
      <c r="AE4" s="58">
        <f>SUBTOTAL(109,AE$15:INDEX(AE:AE,COUNTA($B:$B)+14-COUNTA($B$1:$B$14)))</f>
        <v>0</v>
      </c>
      <c r="AF4" s="58">
        <f>SUBTOTAL(109,AF$15:INDEX(AF:AF,COUNTA($B:$B)+14-COUNTA($B$1:$B$14)))</f>
        <v>0</v>
      </c>
      <c r="AG4" s="189" t="str">
        <f>IF($AI$4=0,"",$V$4/$AI$4)</f>
        <v/>
      </c>
      <c r="AH4" s="189" t="str">
        <f>IF(SUM($AI$4,$AJ$4)=0,"",$AI$4/SUM($AI$4,$AJ$4))</f>
        <v/>
      </c>
      <c r="AI4" s="55">
        <f>SUBTOTAL(109,AI$15:INDEX(AI:AI,COUNTA($B:$B)+14-COUNTA($B$1:$B$14)))</f>
        <v>0</v>
      </c>
      <c r="AJ4" s="55">
        <f>SUBTOTAL(109,AJ$15:INDEX(AJ:AJ,COUNTA($B:$B)+14-COUNTA($B$1:$B$14)))</f>
        <v>0</v>
      </c>
      <c r="AK4" s="380" t="str">
        <f>IF($AI$4=0,"",$AL$4/$AI$4)</f>
        <v/>
      </c>
      <c r="AL4" s="55">
        <f>SUBTOTAL(109,AL$15:INDEX(AL:AL,COUNTA($B:$B)+14-COUNTA($B$1:$B$14)))</f>
        <v>0</v>
      </c>
      <c r="AM4" s="93">
        <f>SUBTOTAL(109,AM$15:INDEX(AM:AM,COUNTA($B:$B)+14-COUNTA($B$1:$B$14)))</f>
        <v>0</v>
      </c>
      <c r="AN4" s="55">
        <f>SUBTOTAL(109,AN$15:INDEX(AN:AN,COUNTA($B:$B)+14-COUNTA($B$1:$B$14)))</f>
        <v>0</v>
      </c>
    </row>
    <row r="5" spans="1:40" s="46" customFormat="1" x14ac:dyDescent="0.2">
      <c r="A5" s="50" t="s">
        <v>98</v>
      </c>
      <c r="B5" s="50" t="s">
        <v>98</v>
      </c>
      <c r="C5" s="50" t="s">
        <v>98</v>
      </c>
      <c r="D5" s="50" t="s">
        <v>98</v>
      </c>
      <c r="E5" s="106" t="s">
        <v>106</v>
      </c>
      <c r="F5" s="56" t="s">
        <v>106</v>
      </c>
      <c r="G5" s="182" t="s">
        <v>106</v>
      </c>
      <c r="H5" s="82" t="s">
        <v>109</v>
      </c>
      <c r="I5" s="56" t="s">
        <v>109</v>
      </c>
      <c r="J5" s="215" t="s">
        <v>109</v>
      </c>
      <c r="K5" s="56" t="s">
        <v>109</v>
      </c>
      <c r="L5" s="215" t="s">
        <v>109</v>
      </c>
      <c r="M5" s="68" t="s">
        <v>109</v>
      </c>
      <c r="N5" s="206" t="s">
        <v>109</v>
      </c>
      <c r="O5" s="62" t="s">
        <v>109</v>
      </c>
      <c r="P5" s="56" t="s">
        <v>109</v>
      </c>
      <c r="Q5" s="56" t="s">
        <v>98</v>
      </c>
      <c r="R5" s="215" t="s">
        <v>109</v>
      </c>
      <c r="S5" s="255" t="s">
        <v>98</v>
      </c>
      <c r="T5" s="191" t="s">
        <v>98</v>
      </c>
      <c r="U5" s="191" t="s">
        <v>98</v>
      </c>
      <c r="V5" s="56" t="s">
        <v>109</v>
      </c>
      <c r="W5" s="376" t="s">
        <v>98</v>
      </c>
      <c r="X5" s="191" t="s">
        <v>98</v>
      </c>
      <c r="Y5" s="56" t="s">
        <v>109</v>
      </c>
      <c r="Z5" s="376" t="s">
        <v>98</v>
      </c>
      <c r="AA5" s="56" t="s">
        <v>109</v>
      </c>
      <c r="AB5" s="144" t="s">
        <v>98</v>
      </c>
      <c r="AC5" s="59" t="s">
        <v>98</v>
      </c>
      <c r="AD5" s="59" t="s">
        <v>98</v>
      </c>
      <c r="AE5" s="59" t="s">
        <v>109</v>
      </c>
      <c r="AF5" s="59" t="s">
        <v>109</v>
      </c>
      <c r="AG5" s="191" t="s">
        <v>98</v>
      </c>
      <c r="AH5" s="191" t="s">
        <v>98</v>
      </c>
      <c r="AI5" s="56" t="s">
        <v>109</v>
      </c>
      <c r="AJ5" s="56" t="s">
        <v>109</v>
      </c>
      <c r="AK5" s="376" t="s">
        <v>98</v>
      </c>
      <c r="AL5" s="56" t="s">
        <v>109</v>
      </c>
      <c r="AM5" s="82" t="s">
        <v>109</v>
      </c>
      <c r="AN5" s="56" t="s">
        <v>109</v>
      </c>
    </row>
    <row r="6" spans="1:40" s="46" customFormat="1" x14ac:dyDescent="0.2">
      <c r="A6" s="50" t="s">
        <v>200</v>
      </c>
      <c r="B6" s="50" t="s">
        <v>200</v>
      </c>
      <c r="C6" s="50" t="s">
        <v>200</v>
      </c>
      <c r="D6" s="50" t="s">
        <v>200</v>
      </c>
      <c r="E6" s="106" t="s">
        <v>92</v>
      </c>
      <c r="F6" s="56" t="s">
        <v>92</v>
      </c>
      <c r="G6" s="182" t="s">
        <v>92</v>
      </c>
      <c r="H6" s="82" t="s">
        <v>110</v>
      </c>
      <c r="I6" s="56" t="s">
        <v>92</v>
      </c>
      <c r="J6" s="215" t="s">
        <v>110</v>
      </c>
      <c r="K6" s="56" t="s">
        <v>92</v>
      </c>
      <c r="L6" s="215" t="s">
        <v>110</v>
      </c>
      <c r="M6" s="68" t="s">
        <v>92</v>
      </c>
      <c r="N6" s="206" t="s">
        <v>110</v>
      </c>
      <c r="O6" s="62" t="s">
        <v>110</v>
      </c>
      <c r="P6" s="56" t="s">
        <v>92</v>
      </c>
      <c r="Q6" s="56" t="s">
        <v>93</v>
      </c>
      <c r="R6" s="215" t="s">
        <v>110</v>
      </c>
      <c r="S6" s="255" t="s">
        <v>112</v>
      </c>
      <c r="T6" s="191" t="s">
        <v>112</v>
      </c>
      <c r="U6" s="191" t="s">
        <v>112</v>
      </c>
      <c r="V6" s="56" t="s">
        <v>92</v>
      </c>
      <c r="W6" s="376" t="s">
        <v>112</v>
      </c>
      <c r="X6" s="191" t="s">
        <v>112</v>
      </c>
      <c r="Y6" s="56" t="s">
        <v>92</v>
      </c>
      <c r="Z6" s="376" t="s">
        <v>112</v>
      </c>
      <c r="AA6" s="56" t="s">
        <v>92</v>
      </c>
      <c r="AB6" s="144" t="s">
        <v>93</v>
      </c>
      <c r="AC6" s="59" t="s">
        <v>93</v>
      </c>
      <c r="AD6" s="59" t="s">
        <v>93</v>
      </c>
      <c r="AE6" s="59" t="s">
        <v>110</v>
      </c>
      <c r="AF6" s="59" t="s">
        <v>110</v>
      </c>
      <c r="AG6" s="191" t="s">
        <v>112</v>
      </c>
      <c r="AH6" s="191" t="s">
        <v>112</v>
      </c>
      <c r="AI6" s="56" t="s">
        <v>92</v>
      </c>
      <c r="AJ6" s="56" t="s">
        <v>92</v>
      </c>
      <c r="AK6" s="376" t="s">
        <v>112</v>
      </c>
      <c r="AL6" s="56" t="s">
        <v>92</v>
      </c>
      <c r="AM6" s="82" t="s">
        <v>110</v>
      </c>
      <c r="AN6" s="56" t="s">
        <v>92</v>
      </c>
    </row>
    <row r="7" spans="1:40" s="46" customFormat="1" x14ac:dyDescent="0.2">
      <c r="A7" s="50" t="s">
        <v>108</v>
      </c>
      <c r="B7" s="50" t="s">
        <v>108</v>
      </c>
      <c r="C7" s="50" t="s">
        <v>108</v>
      </c>
      <c r="D7" s="50" t="s">
        <v>108</v>
      </c>
      <c r="E7" s="106" t="s">
        <v>94</v>
      </c>
      <c r="F7" s="56" t="s">
        <v>94</v>
      </c>
      <c r="G7" s="182" t="s">
        <v>95</v>
      </c>
      <c r="H7" s="82" t="s">
        <v>94</v>
      </c>
      <c r="I7" s="56" t="s">
        <v>94</v>
      </c>
      <c r="J7" s="215" t="s">
        <v>94</v>
      </c>
      <c r="K7" s="56" t="s">
        <v>94</v>
      </c>
      <c r="L7" s="215" t="s">
        <v>94</v>
      </c>
      <c r="M7" s="68" t="s">
        <v>94</v>
      </c>
      <c r="N7" s="206" t="s">
        <v>94</v>
      </c>
      <c r="O7" s="62" t="s">
        <v>94</v>
      </c>
      <c r="P7" s="56" t="s">
        <v>94</v>
      </c>
      <c r="Q7" s="56" t="s">
        <v>94</v>
      </c>
      <c r="R7" s="215" t="s">
        <v>94</v>
      </c>
      <c r="S7" s="255" t="s">
        <v>95</v>
      </c>
      <c r="T7" s="191" t="s">
        <v>95</v>
      </c>
      <c r="U7" s="191" t="s">
        <v>95</v>
      </c>
      <c r="V7" s="56" t="s">
        <v>94</v>
      </c>
      <c r="W7" s="376" t="s">
        <v>95</v>
      </c>
      <c r="X7" s="191" t="s">
        <v>95</v>
      </c>
      <c r="Y7" s="56" t="s">
        <v>94</v>
      </c>
      <c r="Z7" s="376" t="s">
        <v>95</v>
      </c>
      <c r="AA7" s="56" t="s">
        <v>94</v>
      </c>
      <c r="AB7" s="144" t="s">
        <v>95</v>
      </c>
      <c r="AC7" s="59" t="s">
        <v>94</v>
      </c>
      <c r="AD7" s="59" t="s">
        <v>94</v>
      </c>
      <c r="AE7" s="59" t="s">
        <v>94</v>
      </c>
      <c r="AF7" s="59" t="s">
        <v>94</v>
      </c>
      <c r="AG7" s="191" t="s">
        <v>95</v>
      </c>
      <c r="AH7" s="191" t="s">
        <v>95</v>
      </c>
      <c r="AI7" s="56" t="s">
        <v>94</v>
      </c>
      <c r="AJ7" s="56" t="s">
        <v>94</v>
      </c>
      <c r="AK7" s="376" t="s">
        <v>95</v>
      </c>
      <c r="AL7" s="56" t="s">
        <v>94</v>
      </c>
      <c r="AM7" s="82" t="s">
        <v>94</v>
      </c>
      <c r="AN7" s="56" t="s">
        <v>94</v>
      </c>
    </row>
    <row r="8" spans="1:40" s="46" customFormat="1" x14ac:dyDescent="0.2">
      <c r="A8" s="50"/>
      <c r="B8" s="50"/>
      <c r="C8" s="50"/>
      <c r="D8" s="50"/>
      <c r="E8" s="274" t="s">
        <v>176</v>
      </c>
      <c r="F8" s="272" t="s">
        <v>285</v>
      </c>
      <c r="G8" s="383" t="s">
        <v>286</v>
      </c>
      <c r="H8" s="277" t="s">
        <v>186</v>
      </c>
      <c r="I8" s="272" t="s">
        <v>1041</v>
      </c>
      <c r="J8" s="282" t="s">
        <v>188</v>
      </c>
      <c r="K8" s="272" t="s">
        <v>188</v>
      </c>
      <c r="L8" s="282" t="s">
        <v>177</v>
      </c>
      <c r="M8" s="276" t="s">
        <v>177</v>
      </c>
      <c r="N8" s="278" t="s">
        <v>763</v>
      </c>
      <c r="O8" s="283" t="s">
        <v>255</v>
      </c>
      <c r="P8" s="272" t="s">
        <v>255</v>
      </c>
      <c r="Q8" s="56"/>
      <c r="R8" s="282" t="s">
        <v>184</v>
      </c>
      <c r="S8" s="255"/>
      <c r="T8" s="191"/>
      <c r="U8" s="191"/>
      <c r="V8" s="272" t="s">
        <v>184</v>
      </c>
      <c r="W8" s="376"/>
      <c r="X8" s="191"/>
      <c r="Y8" s="272" t="s">
        <v>251</v>
      </c>
      <c r="Z8" s="376"/>
      <c r="AA8" s="272" t="s">
        <v>250</v>
      </c>
      <c r="AB8" s="144"/>
      <c r="AC8" s="59"/>
      <c r="AD8" s="59"/>
      <c r="AE8" s="275" t="s">
        <v>182</v>
      </c>
      <c r="AF8" s="275" t="s">
        <v>182</v>
      </c>
      <c r="AG8" s="191"/>
      <c r="AH8" s="191"/>
      <c r="AI8" s="272" t="s">
        <v>182</v>
      </c>
      <c r="AJ8" s="272" t="s">
        <v>182</v>
      </c>
      <c r="AK8" s="376"/>
      <c r="AL8" s="272" t="s">
        <v>247</v>
      </c>
      <c r="AM8" s="284" t="s">
        <v>269</v>
      </c>
      <c r="AN8" s="272" t="s">
        <v>269</v>
      </c>
    </row>
    <row r="9" spans="1:40" s="46" customFormat="1" x14ac:dyDescent="0.2">
      <c r="A9" s="50"/>
      <c r="B9" s="50"/>
      <c r="C9" s="50"/>
      <c r="D9" s="50"/>
      <c r="E9" s="274"/>
      <c r="F9" s="272"/>
      <c r="G9" s="383"/>
      <c r="H9" s="277" t="s">
        <v>187</v>
      </c>
      <c r="I9" s="272" t="s">
        <v>1042</v>
      </c>
      <c r="J9" s="282" t="s">
        <v>189</v>
      </c>
      <c r="K9" s="272" t="s">
        <v>189</v>
      </c>
      <c r="L9" s="282" t="s">
        <v>178</v>
      </c>
      <c r="M9" s="276" t="s">
        <v>178</v>
      </c>
      <c r="N9" s="278" t="s">
        <v>764</v>
      </c>
      <c r="O9" s="283" t="s">
        <v>256</v>
      </c>
      <c r="P9" s="272" t="s">
        <v>256</v>
      </c>
      <c r="Q9" s="56"/>
      <c r="R9" s="282" t="s">
        <v>185</v>
      </c>
      <c r="S9" s="255"/>
      <c r="T9" s="191"/>
      <c r="U9" s="191"/>
      <c r="V9" s="272" t="s">
        <v>185</v>
      </c>
      <c r="W9" s="376"/>
      <c r="X9" s="191"/>
      <c r="Y9" s="272" t="s">
        <v>252</v>
      </c>
      <c r="Z9" s="376"/>
      <c r="AA9" s="272" t="s">
        <v>249</v>
      </c>
      <c r="AB9" s="144"/>
      <c r="AC9" s="59"/>
      <c r="AD9" s="59"/>
      <c r="AE9" s="275" t="s">
        <v>183</v>
      </c>
      <c r="AF9" s="275" t="s">
        <v>183</v>
      </c>
      <c r="AG9" s="191"/>
      <c r="AH9" s="191"/>
      <c r="AI9" s="272" t="s">
        <v>183</v>
      </c>
      <c r="AJ9" s="272" t="s">
        <v>183</v>
      </c>
      <c r="AK9" s="376"/>
      <c r="AL9" s="272" t="s">
        <v>288</v>
      </c>
      <c r="AM9" s="284" t="s">
        <v>268</v>
      </c>
      <c r="AN9" s="272" t="s">
        <v>268</v>
      </c>
    </row>
    <row r="10" spans="1:40" s="46" customFormat="1" x14ac:dyDescent="0.2">
      <c r="A10" s="50"/>
      <c r="B10" s="50"/>
      <c r="C10" s="50"/>
      <c r="D10" s="50"/>
      <c r="E10" s="274"/>
      <c r="F10" s="272" t="s">
        <v>104</v>
      </c>
      <c r="G10" s="383" t="s">
        <v>104</v>
      </c>
      <c r="H10" s="277"/>
      <c r="I10" s="272"/>
      <c r="J10" s="282"/>
      <c r="K10" s="272"/>
      <c r="L10" s="282"/>
      <c r="M10" s="276"/>
      <c r="N10" s="278" t="s">
        <v>104</v>
      </c>
      <c r="O10" s="283" t="s">
        <v>104</v>
      </c>
      <c r="P10" s="272" t="s">
        <v>104</v>
      </c>
      <c r="Q10" s="56"/>
      <c r="R10" s="282" t="s">
        <v>104</v>
      </c>
      <c r="S10" s="255"/>
      <c r="T10" s="191"/>
      <c r="U10" s="191"/>
      <c r="V10" s="272" t="s">
        <v>104</v>
      </c>
      <c r="W10" s="376"/>
      <c r="X10" s="191"/>
      <c r="Y10" s="272" t="s">
        <v>104</v>
      </c>
      <c r="Z10" s="376"/>
      <c r="AA10" s="272" t="s">
        <v>104</v>
      </c>
      <c r="AB10" s="144"/>
      <c r="AC10" s="59"/>
      <c r="AD10" s="59"/>
      <c r="AE10" s="275" t="s">
        <v>104</v>
      </c>
      <c r="AF10" s="275" t="s">
        <v>121</v>
      </c>
      <c r="AG10" s="191"/>
      <c r="AH10" s="191"/>
      <c r="AI10" s="272" t="s">
        <v>104</v>
      </c>
      <c r="AJ10" s="272" t="s">
        <v>121</v>
      </c>
      <c r="AK10" s="376"/>
      <c r="AL10" s="272" t="s">
        <v>104</v>
      </c>
      <c r="AM10" s="284"/>
      <c r="AN10" s="272"/>
    </row>
    <row r="11" spans="1:40" s="46" customFormat="1" x14ac:dyDescent="0.2">
      <c r="A11" s="50"/>
      <c r="B11" s="50"/>
      <c r="C11" s="50"/>
      <c r="D11" s="50"/>
      <c r="E11" s="106"/>
      <c r="F11" s="103"/>
      <c r="G11" s="384"/>
      <c r="H11" s="82"/>
      <c r="I11" s="56"/>
      <c r="J11" s="215"/>
      <c r="K11" s="56"/>
      <c r="L11" s="215"/>
      <c r="M11" s="197"/>
      <c r="N11" s="207"/>
      <c r="O11" s="203"/>
      <c r="P11" s="56"/>
      <c r="Q11" s="56"/>
      <c r="R11" s="215"/>
      <c r="S11" s="255"/>
      <c r="T11" s="191"/>
      <c r="U11" s="191"/>
      <c r="V11" s="56"/>
      <c r="W11" s="376"/>
      <c r="X11" s="191"/>
      <c r="Y11" s="56"/>
      <c r="Z11" s="376"/>
      <c r="AA11" s="56"/>
      <c r="AB11" s="144"/>
      <c r="AC11" s="59"/>
      <c r="AD11" s="59"/>
      <c r="AE11" s="59"/>
      <c r="AF11" s="59"/>
      <c r="AG11" s="191"/>
      <c r="AH11" s="191"/>
      <c r="AI11" s="56"/>
      <c r="AJ11" s="56"/>
      <c r="AK11" s="376"/>
      <c r="AL11" s="56"/>
      <c r="AM11" s="82"/>
      <c r="AN11" s="56"/>
    </row>
    <row r="12" spans="1:40" s="46" customFormat="1" x14ac:dyDescent="0.2">
      <c r="A12" s="50"/>
      <c r="B12" s="50"/>
      <c r="C12" s="50"/>
      <c r="D12" s="50"/>
      <c r="E12" s="106"/>
      <c r="F12" s="56"/>
      <c r="G12" s="182"/>
      <c r="H12" s="82"/>
      <c r="I12" s="56"/>
      <c r="J12" s="215"/>
      <c r="K12" s="56"/>
      <c r="L12" s="215"/>
      <c r="M12" s="68"/>
      <c r="N12" s="206"/>
      <c r="O12" s="62"/>
      <c r="P12" s="56"/>
      <c r="Q12" s="56"/>
      <c r="R12" s="215"/>
      <c r="S12" s="255"/>
      <c r="T12" s="191"/>
      <c r="U12" s="191"/>
      <c r="V12" s="56"/>
      <c r="W12" s="376"/>
      <c r="X12" s="191"/>
      <c r="Y12" s="56"/>
      <c r="Z12" s="376"/>
      <c r="AA12" s="56"/>
      <c r="AB12" s="144"/>
      <c r="AC12" s="59"/>
      <c r="AD12" s="59"/>
      <c r="AE12" s="59"/>
      <c r="AF12" s="59"/>
      <c r="AG12" s="191"/>
      <c r="AH12" s="191"/>
      <c r="AI12" s="56"/>
      <c r="AJ12" s="56"/>
      <c r="AK12" s="376"/>
      <c r="AL12" s="56"/>
      <c r="AM12" s="82"/>
      <c r="AN12" s="56"/>
    </row>
    <row r="13" spans="1:40" s="46" customFormat="1" x14ac:dyDescent="0.2">
      <c r="A13" s="50"/>
      <c r="B13" s="50"/>
      <c r="C13" s="50"/>
      <c r="D13" s="50"/>
      <c r="E13" s="106" t="s">
        <v>693</v>
      </c>
      <c r="F13" s="56" t="s">
        <v>693</v>
      </c>
      <c r="G13" s="182" t="s">
        <v>693</v>
      </c>
      <c r="H13" s="82" t="s">
        <v>693</v>
      </c>
      <c r="I13" s="56" t="s">
        <v>693</v>
      </c>
      <c r="J13" s="215" t="s">
        <v>693</v>
      </c>
      <c r="K13" s="56" t="s">
        <v>693</v>
      </c>
      <c r="L13" s="215" t="s">
        <v>693</v>
      </c>
      <c r="M13" s="56" t="s">
        <v>693</v>
      </c>
      <c r="N13" s="206" t="s">
        <v>693</v>
      </c>
      <c r="O13" s="62" t="s">
        <v>693</v>
      </c>
      <c r="P13" s="56" t="s">
        <v>693</v>
      </c>
      <c r="Q13" s="56" t="s">
        <v>693</v>
      </c>
      <c r="R13" s="215" t="s">
        <v>693</v>
      </c>
      <c r="S13" s="255" t="s">
        <v>693</v>
      </c>
      <c r="T13" s="191" t="s">
        <v>693</v>
      </c>
      <c r="U13" s="191" t="s">
        <v>693</v>
      </c>
      <c r="V13" s="56" t="s">
        <v>693</v>
      </c>
      <c r="W13" s="376" t="s">
        <v>693</v>
      </c>
      <c r="X13" s="191" t="s">
        <v>693</v>
      </c>
      <c r="Y13" s="56" t="s">
        <v>693</v>
      </c>
      <c r="Z13" s="376" t="s">
        <v>693</v>
      </c>
      <c r="AA13" s="56" t="s">
        <v>693</v>
      </c>
      <c r="AB13" s="144" t="s">
        <v>693</v>
      </c>
      <c r="AC13" s="59" t="s">
        <v>693</v>
      </c>
      <c r="AD13" s="59" t="s">
        <v>693</v>
      </c>
      <c r="AE13" s="59" t="s">
        <v>693</v>
      </c>
      <c r="AF13" s="59" t="s">
        <v>693</v>
      </c>
      <c r="AG13" s="191" t="s">
        <v>693</v>
      </c>
      <c r="AH13" s="191" t="s">
        <v>693</v>
      </c>
      <c r="AI13" s="56" t="s">
        <v>693</v>
      </c>
      <c r="AJ13" s="56" t="s">
        <v>693</v>
      </c>
      <c r="AK13" s="376" t="s">
        <v>693</v>
      </c>
      <c r="AL13" s="56" t="s">
        <v>693</v>
      </c>
      <c r="AM13" s="82" t="s">
        <v>693</v>
      </c>
      <c r="AN13" s="56" t="s">
        <v>693</v>
      </c>
    </row>
    <row r="14" spans="1:40" s="46" customFormat="1" x14ac:dyDescent="0.2">
      <c r="A14" s="36" t="s">
        <v>583</v>
      </c>
      <c r="B14" s="36" t="s">
        <v>5</v>
      </c>
      <c r="C14" s="36" t="s">
        <v>72</v>
      </c>
      <c r="D14" s="36" t="s">
        <v>75</v>
      </c>
      <c r="E14" s="232" t="s">
        <v>773</v>
      </c>
      <c r="F14" s="155" t="s">
        <v>774</v>
      </c>
      <c r="G14" s="181" t="s">
        <v>775</v>
      </c>
      <c r="H14" s="157" t="s">
        <v>459</v>
      </c>
      <c r="I14" s="155" t="s">
        <v>896</v>
      </c>
      <c r="J14" s="157" t="s">
        <v>460</v>
      </c>
      <c r="K14" s="155" t="s">
        <v>461</v>
      </c>
      <c r="L14" s="157" t="s">
        <v>442</v>
      </c>
      <c r="M14" s="155" t="s">
        <v>443</v>
      </c>
      <c r="N14" s="157" t="s">
        <v>610</v>
      </c>
      <c r="O14" s="76" t="s">
        <v>611</v>
      </c>
      <c r="P14" s="155" t="s">
        <v>453</v>
      </c>
      <c r="Q14" s="155" t="s">
        <v>612</v>
      </c>
      <c r="R14" s="157" t="s">
        <v>451</v>
      </c>
      <c r="S14" s="231" t="s">
        <v>613</v>
      </c>
      <c r="T14" s="192" t="s">
        <v>615</v>
      </c>
      <c r="U14" s="192" t="s">
        <v>614</v>
      </c>
      <c r="V14" s="155" t="s">
        <v>452</v>
      </c>
      <c r="W14" s="317" t="s">
        <v>454</v>
      </c>
      <c r="X14" s="192" t="s">
        <v>455</v>
      </c>
      <c r="Y14" s="155" t="s">
        <v>456</v>
      </c>
      <c r="Z14" s="317" t="s">
        <v>457</v>
      </c>
      <c r="AA14" s="155" t="s">
        <v>458</v>
      </c>
      <c r="AB14" s="317" t="s">
        <v>616</v>
      </c>
      <c r="AC14" s="76" t="s">
        <v>617</v>
      </c>
      <c r="AD14" s="76" t="s">
        <v>618</v>
      </c>
      <c r="AE14" s="76" t="s">
        <v>729</v>
      </c>
      <c r="AF14" s="76" t="s">
        <v>730</v>
      </c>
      <c r="AG14" s="192" t="s">
        <v>619</v>
      </c>
      <c r="AH14" s="192" t="s">
        <v>620</v>
      </c>
      <c r="AI14" s="155" t="s">
        <v>446</v>
      </c>
      <c r="AJ14" s="155" t="s">
        <v>447</v>
      </c>
      <c r="AK14" s="317" t="s">
        <v>448</v>
      </c>
      <c r="AL14" s="155" t="s">
        <v>449</v>
      </c>
      <c r="AM14" s="157" t="s">
        <v>609</v>
      </c>
      <c r="AN14" s="155" t="s">
        <v>450</v>
      </c>
    </row>
    <row r="15" spans="1:40" s="24" customFormat="1" x14ac:dyDescent="0.2">
      <c r="A15" s="37"/>
      <c r="B15" s="37"/>
      <c r="C15" s="37"/>
      <c r="D15" s="37" t="str">
        <f>B15&amp;"|"&amp;C15</f>
        <v>|</v>
      </c>
      <c r="E15" s="106"/>
      <c r="F15" s="56"/>
      <c r="G15" s="182"/>
      <c r="H15" s="82"/>
      <c r="I15" s="56"/>
      <c r="J15" s="82"/>
      <c r="K15" s="56"/>
      <c r="L15" s="106"/>
      <c r="M15" s="68"/>
      <c r="N15" s="96"/>
      <c r="O15" s="63"/>
      <c r="P15" s="56"/>
      <c r="Q15" s="68" t="str">
        <f>IF(SUM($O15,$P15)=0,"",$P15-$O15)</f>
        <v/>
      </c>
      <c r="R15" s="96"/>
      <c r="S15" s="230">
        <v>1</v>
      </c>
      <c r="T15" s="20">
        <v>0.98</v>
      </c>
      <c r="U15" s="20">
        <v>0.98</v>
      </c>
      <c r="V15" s="56" t="str">
        <f>IF(SUM($P15)=0,"",ROUND(($P15-($O15*$T15))/$U15,0))</f>
        <v/>
      </c>
      <c r="W15" s="146">
        <v>0.7</v>
      </c>
      <c r="X15" s="39">
        <v>0.95</v>
      </c>
      <c r="Y15" s="56" t="str">
        <f>IF(SUM($V15,$O15)=0,"",ROUND(($V15*$W15+$O15)*$X15,0))</f>
        <v/>
      </c>
      <c r="Z15" s="146">
        <v>0.95</v>
      </c>
      <c r="AA15" s="56" t="str">
        <f>IF(SUM($Y15)=0,"",ROUND($Y15*$Z15,0))</f>
        <v/>
      </c>
      <c r="AB15" s="144">
        <v>0</v>
      </c>
      <c r="AC15" s="59" t="str">
        <f>IF(OR(SUM($V15)=0,SUM($AB15)=0),"",ROUND($V15*$AB15,0))</f>
        <v/>
      </c>
      <c r="AD15" s="59" t="str">
        <f>IF(SUM($V15)=0,"",$V15-SUM($AC15))</f>
        <v/>
      </c>
      <c r="AE15" s="59"/>
      <c r="AF15" s="59"/>
      <c r="AG15" s="20">
        <v>0.95</v>
      </c>
      <c r="AH15" s="20"/>
      <c r="AI15" s="56" t="str">
        <f>IF(SUM($AD15)=0,"",ROUND($AD15/$AG15,0))</f>
        <v/>
      </c>
      <c r="AJ15" s="56" t="str">
        <f>IF(SUM($AI15)=0,"",ROUND($AI15/$AH15-$AI15,0))</f>
        <v/>
      </c>
      <c r="AK15" s="144">
        <v>1</v>
      </c>
      <c r="AL15" s="56" t="str">
        <f>IF(SUM($AI15)=0,"",ROUND($AI15*$AK15,0))</f>
        <v/>
      </c>
      <c r="AM15" s="82"/>
      <c r="AN15" s="56"/>
    </row>
  </sheetData>
  <conditionalFormatting sqref="X1:X1048576 Z1:Z1048576">
    <cfRule type="expression" dxfId="160" priority="32">
      <formula>AND(ISNUMBER($Z1),SUM($Y1)&gt;0,ROUND(SUM($Z1),2)&lt;95%)</formula>
    </cfRule>
  </conditionalFormatting>
  <conditionalFormatting sqref="AK1:AK1048576">
    <cfRule type="expression" dxfId="159" priority="30">
      <formula>AND(ISNUMBER($AK1),SUM($AI1)&gt;0,ROUND(SUM($AK1),2)&lt;1)</formula>
    </cfRule>
  </conditionalFormatting>
  <conditionalFormatting sqref="E1:G1048576">
    <cfRule type="expression" dxfId="158" priority="17">
      <formula>LEFT($B1,4)="_Mil"</formula>
    </cfRule>
  </conditionalFormatting>
  <conditionalFormatting sqref="W1:W1048576">
    <cfRule type="expression" dxfId="157" priority="11">
      <formula>AND(ISNUMBER($W1),ROUND(SUM($V1),0)&gt;0,ROUND(SUM($W1),2)&lt;70%)</formula>
    </cfRule>
  </conditionalFormatting>
  <conditionalFormatting sqref="AG1:AG1048576">
    <cfRule type="expression" dxfId="156" priority="10">
      <formula>AND(ISNUMBER($AG1),ROUND(SUM($V1),0)&gt;0,ROUND(SUM($AG1),2)&lt;95%)</formula>
    </cfRule>
  </conditionalFormatting>
  <conditionalFormatting sqref="U1:U1048576">
    <cfRule type="expression" dxfId="155" priority="8">
      <formula>AND(ISNUMBER($U1),SUM($V1)&gt;0,ROUND(SUM($U1),2)&lt;98%)</formula>
    </cfRule>
  </conditionalFormatting>
  <conditionalFormatting sqref="S1:S1048576">
    <cfRule type="expression" dxfId="154" priority="4">
      <formula>AND(ISNUMBER($S1),ROUND(SUM($S1),2)&lt;100%)</formula>
    </cfRule>
  </conditionalFormatting>
  <conditionalFormatting sqref="AB1:AB1048576">
    <cfRule type="expression" dxfId="153" priority="5">
      <formula>AND(ISNUMBER($AB1),ROUND(SUM($V1),0)&gt;0,ROUND(SUM($AB1),2)&gt;0)</formula>
    </cfRule>
  </conditionalFormatting>
  <conditionalFormatting sqref="E1:F1048576 H1:R1048576 V1:V1048576 Y1:Y1048576 AA1:AA1048576 AC1:AF1048576 AI1:AJ1048576 AL1:AN1048576">
    <cfRule type="expression" dxfId="152" priority="2">
      <formula>AND(ISNUMBER(E1),ROUND(E1,0)&lt;0)</formula>
    </cfRule>
  </conditionalFormatting>
  <conditionalFormatting sqref="G1:G1048576 S1:U1048576 W1:X1048576 Z1:Z1048576 AB1:AB1048576 AG1:AH1048576 AK1:AK1048576">
    <cfRule type="expression" dxfId="151" priority="1">
      <formula>AND(ISNUMBER(G1),OR(ROUND(G1,2)&lt;0,ROUND(G1,2)&gt;1))</formula>
    </cfRule>
  </conditionalFormatting>
  <conditionalFormatting sqref="T1:T1048576">
    <cfRule type="expression" dxfId="150"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C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377" customWidth="1"/>
    <col min="7" max="15" width="11.83203125" customWidth="1"/>
    <col min="16" max="16" width="11.83203125" style="377" customWidth="1"/>
    <col min="17" max="33" width="11.83203125" customWidth="1"/>
    <col min="34" max="34" width="11.83203125" style="377" customWidth="1"/>
    <col min="35" max="36" width="11.83203125" customWidth="1"/>
    <col min="37" max="37" width="11.83203125" style="377" customWidth="1"/>
    <col min="38" max="39" width="11.83203125" customWidth="1"/>
    <col min="40" max="40" width="11.83203125" style="377" customWidth="1"/>
    <col min="41" max="42" width="11.83203125" customWidth="1"/>
    <col min="43" max="43" width="11.83203125" style="377" customWidth="1"/>
    <col min="44" max="45" width="11.83203125" customWidth="1"/>
    <col min="46" max="46" width="11.83203125" style="377" customWidth="1"/>
    <col min="47" max="48" width="11.83203125" customWidth="1"/>
    <col min="49" max="49" width="11.83203125" style="377" customWidth="1"/>
    <col min="50" max="51" width="11.83203125" customWidth="1"/>
    <col min="52" max="52" width="11.83203125" style="377" customWidth="1"/>
    <col min="53" max="54" width="11.83203125" customWidth="1"/>
    <col min="55" max="55" width="11.83203125" style="377" customWidth="1"/>
    <col min="56" max="57" width="11.83203125" customWidth="1"/>
    <col min="58" max="58" width="11.83203125" style="377" customWidth="1"/>
    <col min="59" max="60" width="11.83203125" customWidth="1"/>
    <col min="61" max="61" width="11.83203125" style="377" customWidth="1"/>
    <col min="62" max="63" width="11.83203125" customWidth="1"/>
    <col min="64" max="64" width="11.83203125" style="377" customWidth="1"/>
    <col min="65" max="66" width="11.83203125" customWidth="1"/>
    <col min="67" max="67" width="11.83203125" style="377" customWidth="1"/>
    <col min="68" max="78" width="11.83203125" customWidth="1"/>
    <col min="79" max="79" width="11.83203125" style="377" customWidth="1"/>
    <col min="80" max="81" width="11.83203125" customWidth="1"/>
  </cols>
  <sheetData>
    <row r="1" spans="1:81" s="41" customFormat="1" ht="31" customHeight="1" thickBot="1" x14ac:dyDescent="0.35">
      <c r="A1" s="5" t="s">
        <v>10</v>
      </c>
      <c r="B1" s="5"/>
      <c r="C1" s="1"/>
      <c r="D1" s="1"/>
      <c r="E1" s="1"/>
      <c r="F1" s="224" t="s">
        <v>599</v>
      </c>
      <c r="G1" s="319"/>
      <c r="H1" s="114"/>
      <c r="I1" s="114"/>
      <c r="J1" s="114"/>
      <c r="K1" s="114"/>
      <c r="L1" s="114"/>
      <c r="M1" s="114"/>
      <c r="N1" s="114"/>
      <c r="O1" s="114"/>
      <c r="P1" s="224" t="s">
        <v>58</v>
      </c>
      <c r="Q1" s="226"/>
      <c r="R1" s="226"/>
      <c r="S1" s="226"/>
      <c r="T1" s="226"/>
      <c r="U1" s="226"/>
      <c r="V1" s="29"/>
      <c r="W1" s="29"/>
      <c r="X1" s="29"/>
      <c r="Y1" s="29"/>
      <c r="Z1" s="29"/>
      <c r="AA1" s="29"/>
      <c r="AB1" s="29"/>
      <c r="AC1" s="29"/>
      <c r="AD1" s="226"/>
      <c r="AE1" s="226"/>
      <c r="AF1" s="29"/>
      <c r="AG1" s="29"/>
      <c r="AH1" s="224" t="s">
        <v>62</v>
      </c>
      <c r="AI1" s="51"/>
      <c r="AJ1" s="51"/>
      <c r="AK1" s="224" t="s">
        <v>64</v>
      </c>
      <c r="AL1" s="51"/>
      <c r="AM1" s="51"/>
      <c r="AN1" s="224" t="s">
        <v>63</v>
      </c>
      <c r="AO1" s="51"/>
      <c r="AP1" s="51"/>
      <c r="AQ1" s="224" t="s">
        <v>65</v>
      </c>
      <c r="AR1" s="51"/>
      <c r="AS1" s="51"/>
      <c r="AT1" s="224" t="s">
        <v>61</v>
      </c>
      <c r="AU1" s="51"/>
      <c r="AV1" s="51"/>
      <c r="AW1" s="224" t="s">
        <v>67</v>
      </c>
      <c r="AX1" s="51"/>
      <c r="AY1" s="51"/>
      <c r="AZ1" s="224" t="s">
        <v>66</v>
      </c>
      <c r="BA1" s="51"/>
      <c r="BB1" s="51"/>
      <c r="BC1" s="224" t="s">
        <v>914</v>
      </c>
      <c r="BD1" s="51"/>
      <c r="BE1" s="51"/>
      <c r="BF1" s="224" t="s">
        <v>54</v>
      </c>
      <c r="BG1" s="51"/>
      <c r="BH1" s="51"/>
      <c r="BI1" s="224" t="s">
        <v>910</v>
      </c>
      <c r="BJ1" s="51"/>
      <c r="BK1" s="51"/>
      <c r="BL1" s="224" t="s">
        <v>60</v>
      </c>
      <c r="BM1" s="51"/>
      <c r="BN1" s="51"/>
      <c r="BO1" s="94" t="s">
        <v>254</v>
      </c>
      <c r="BP1" s="98"/>
      <c r="BQ1" s="98"/>
      <c r="BR1" s="98"/>
      <c r="BS1" s="98"/>
      <c r="BT1" s="98"/>
      <c r="BU1" s="98"/>
      <c r="BV1" s="98"/>
      <c r="BW1" s="98"/>
      <c r="BX1" s="98"/>
      <c r="BY1" s="98"/>
      <c r="BZ1" s="19"/>
      <c r="CA1" s="94" t="s">
        <v>53</v>
      </c>
      <c r="CB1" s="29"/>
      <c r="CC1" s="51"/>
    </row>
    <row r="2" spans="1:81" s="40" customFormat="1" ht="19" customHeight="1" x14ac:dyDescent="0.25">
      <c r="A2" s="490" t="s">
        <v>761</v>
      </c>
      <c r="B2" s="487"/>
      <c r="C2" s="2"/>
      <c r="D2" s="2"/>
      <c r="E2" s="2"/>
      <c r="F2" s="225" t="s">
        <v>73</v>
      </c>
      <c r="G2" s="227"/>
      <c r="H2" s="138"/>
      <c r="I2" s="138"/>
      <c r="J2" s="138"/>
      <c r="K2" s="138"/>
      <c r="L2" s="138"/>
      <c r="M2" s="138"/>
      <c r="N2" s="138"/>
      <c r="O2" s="138"/>
      <c r="P2" s="225" t="s">
        <v>73</v>
      </c>
      <c r="Q2" s="227"/>
      <c r="R2" s="227"/>
      <c r="S2" s="227"/>
      <c r="T2" s="227"/>
      <c r="U2" s="227"/>
      <c r="V2" s="18" t="s">
        <v>2</v>
      </c>
      <c r="W2" s="18"/>
      <c r="X2" s="18"/>
      <c r="Y2" s="18"/>
      <c r="Z2" s="18"/>
      <c r="AA2" s="18"/>
      <c r="AB2" s="18"/>
      <c r="AC2" s="18"/>
      <c r="AD2" s="227"/>
      <c r="AE2" s="227"/>
      <c r="AF2" s="18"/>
      <c r="AG2" s="18" t="s">
        <v>59</v>
      </c>
      <c r="AH2" s="225" t="s">
        <v>2</v>
      </c>
      <c r="AI2" s="52" t="s">
        <v>3</v>
      </c>
      <c r="AJ2" s="52"/>
      <c r="AK2" s="225" t="s">
        <v>2</v>
      </c>
      <c r="AL2" s="52" t="s">
        <v>3</v>
      </c>
      <c r="AM2" s="52"/>
      <c r="AN2" s="225" t="s">
        <v>2</v>
      </c>
      <c r="AO2" s="52" t="s">
        <v>3</v>
      </c>
      <c r="AP2" s="52"/>
      <c r="AQ2" s="225" t="s">
        <v>2</v>
      </c>
      <c r="AR2" s="52" t="s">
        <v>3</v>
      </c>
      <c r="AS2" s="52"/>
      <c r="AT2" s="225" t="s">
        <v>2</v>
      </c>
      <c r="AU2" s="52" t="s">
        <v>3</v>
      </c>
      <c r="AV2" s="52"/>
      <c r="AW2" s="225" t="s">
        <v>2</v>
      </c>
      <c r="AX2" s="52" t="s">
        <v>3</v>
      </c>
      <c r="AY2" s="52"/>
      <c r="AZ2" s="225" t="s">
        <v>2</v>
      </c>
      <c r="BA2" s="52" t="s">
        <v>3</v>
      </c>
      <c r="BB2" s="52"/>
      <c r="BC2" s="225" t="s">
        <v>2</v>
      </c>
      <c r="BD2" s="52" t="s">
        <v>3</v>
      </c>
      <c r="BE2" s="52"/>
      <c r="BF2" s="225" t="s">
        <v>2</v>
      </c>
      <c r="BG2" s="52" t="s">
        <v>3</v>
      </c>
      <c r="BH2" s="52"/>
      <c r="BI2" s="225" t="s">
        <v>2</v>
      </c>
      <c r="BJ2" s="52" t="s">
        <v>3</v>
      </c>
      <c r="BK2" s="52"/>
      <c r="BL2" s="225" t="s">
        <v>2</v>
      </c>
      <c r="BM2" s="52" t="s">
        <v>3</v>
      </c>
      <c r="BN2" s="52"/>
      <c r="BO2" s="95" t="s">
        <v>59</v>
      </c>
      <c r="BP2" s="251"/>
      <c r="BQ2" s="99"/>
      <c r="BR2" s="99" t="s">
        <v>73</v>
      </c>
      <c r="BS2" s="99"/>
      <c r="BT2" s="99"/>
      <c r="BU2" s="99"/>
      <c r="BV2" s="99"/>
      <c r="BW2" s="99"/>
      <c r="BX2" s="251" t="s">
        <v>3</v>
      </c>
      <c r="BY2" s="251"/>
      <c r="BZ2" s="18"/>
      <c r="CA2" s="92" t="s">
        <v>73</v>
      </c>
      <c r="CB2" s="18" t="s">
        <v>2</v>
      </c>
      <c r="CC2" s="52" t="s">
        <v>3</v>
      </c>
    </row>
    <row r="3" spans="1:81" s="24" customFormat="1" ht="117" customHeight="1" thickBot="1" x14ac:dyDescent="0.25">
      <c r="A3" s="488"/>
      <c r="B3" s="489"/>
      <c r="C3" s="31"/>
      <c r="D3" s="31"/>
      <c r="E3" s="31"/>
      <c r="F3" s="243" t="s">
        <v>800</v>
      </c>
      <c r="G3" s="242" t="s">
        <v>1082</v>
      </c>
      <c r="H3" s="241" t="s">
        <v>793</v>
      </c>
      <c r="I3" s="241" t="s">
        <v>1004</v>
      </c>
      <c r="J3" s="241" t="s">
        <v>1005</v>
      </c>
      <c r="K3" s="241" t="s">
        <v>841</v>
      </c>
      <c r="L3" s="241" t="s">
        <v>842</v>
      </c>
      <c r="M3" s="241" t="s">
        <v>843</v>
      </c>
      <c r="N3" s="241" t="s">
        <v>844</v>
      </c>
      <c r="O3" s="241" t="s">
        <v>845</v>
      </c>
      <c r="P3" s="243" t="s">
        <v>783</v>
      </c>
      <c r="Q3" s="242" t="s">
        <v>782</v>
      </c>
      <c r="R3" s="242" t="s">
        <v>727</v>
      </c>
      <c r="S3" s="242" t="s">
        <v>726</v>
      </c>
      <c r="T3" s="242" t="s">
        <v>725</v>
      </c>
      <c r="U3" s="242" t="s">
        <v>724</v>
      </c>
      <c r="V3" s="244" t="s">
        <v>83</v>
      </c>
      <c r="W3" s="244" t="s">
        <v>85</v>
      </c>
      <c r="X3" s="244" t="s">
        <v>84</v>
      </c>
      <c r="Y3" s="244" t="s">
        <v>86</v>
      </c>
      <c r="Z3" s="244" t="s">
        <v>82</v>
      </c>
      <c r="AA3" s="244" t="s">
        <v>88</v>
      </c>
      <c r="AB3" s="244" t="s">
        <v>87</v>
      </c>
      <c r="AC3" s="244" t="s">
        <v>998</v>
      </c>
      <c r="AD3" s="245" t="s">
        <v>80</v>
      </c>
      <c r="AE3" s="245" t="s">
        <v>999</v>
      </c>
      <c r="AF3" s="244" t="s">
        <v>81</v>
      </c>
      <c r="AG3" s="335" t="s">
        <v>89</v>
      </c>
      <c r="AH3" s="338" t="s">
        <v>55</v>
      </c>
      <c r="AI3" s="54" t="s">
        <v>56</v>
      </c>
      <c r="AJ3" s="53" t="s">
        <v>57</v>
      </c>
      <c r="AK3" s="338" t="s">
        <v>55</v>
      </c>
      <c r="AL3" s="54" t="s">
        <v>56</v>
      </c>
      <c r="AM3" s="53" t="s">
        <v>57</v>
      </c>
      <c r="AN3" s="338" t="s">
        <v>55</v>
      </c>
      <c r="AO3" s="54" t="s">
        <v>56</v>
      </c>
      <c r="AP3" s="53" t="s">
        <v>57</v>
      </c>
      <c r="AQ3" s="338" t="s">
        <v>55</v>
      </c>
      <c r="AR3" s="54" t="s">
        <v>56</v>
      </c>
      <c r="AS3" s="53" t="s">
        <v>57</v>
      </c>
      <c r="AT3" s="338" t="s">
        <v>55</v>
      </c>
      <c r="AU3" s="54" t="s">
        <v>56</v>
      </c>
      <c r="AV3" s="53" t="s">
        <v>57</v>
      </c>
      <c r="AW3" s="338" t="s">
        <v>55</v>
      </c>
      <c r="AX3" s="54" t="s">
        <v>56</v>
      </c>
      <c r="AY3" s="53" t="s">
        <v>57</v>
      </c>
      <c r="AZ3" s="338" t="s">
        <v>55</v>
      </c>
      <c r="BA3" s="54" t="s">
        <v>56</v>
      </c>
      <c r="BB3" s="53" t="s">
        <v>57</v>
      </c>
      <c r="BC3" s="338" t="s">
        <v>55</v>
      </c>
      <c r="BD3" s="54" t="s">
        <v>56</v>
      </c>
      <c r="BE3" s="53" t="s">
        <v>57</v>
      </c>
      <c r="BF3" s="338" t="s">
        <v>55</v>
      </c>
      <c r="BG3" s="54" t="s">
        <v>56</v>
      </c>
      <c r="BH3" s="53" t="s">
        <v>57</v>
      </c>
      <c r="BI3" s="338" t="s">
        <v>55</v>
      </c>
      <c r="BJ3" s="54" t="s">
        <v>56</v>
      </c>
      <c r="BK3" s="53" t="s">
        <v>57</v>
      </c>
      <c r="BL3" s="338" t="s">
        <v>55</v>
      </c>
      <c r="BM3" s="54" t="s">
        <v>56</v>
      </c>
      <c r="BN3" s="53" t="s">
        <v>57</v>
      </c>
      <c r="BO3" s="237" t="s">
        <v>1062</v>
      </c>
      <c r="BP3" s="235" t="s">
        <v>1009</v>
      </c>
      <c r="BQ3" s="100" t="s">
        <v>263</v>
      </c>
      <c r="BR3" s="241" t="s">
        <v>1002</v>
      </c>
      <c r="BS3" s="241" t="s">
        <v>1003</v>
      </c>
      <c r="BT3" s="241" t="s">
        <v>846</v>
      </c>
      <c r="BU3" s="241" t="s">
        <v>847</v>
      </c>
      <c r="BV3" s="241" t="s">
        <v>848</v>
      </c>
      <c r="BW3" s="241" t="s">
        <v>849</v>
      </c>
      <c r="BX3" s="235" t="s">
        <v>1061</v>
      </c>
      <c r="BY3" s="235" t="s">
        <v>1060</v>
      </c>
      <c r="BZ3" s="335" t="s">
        <v>1059</v>
      </c>
      <c r="CA3" s="128" t="s">
        <v>1032</v>
      </c>
      <c r="CB3" s="32" t="s">
        <v>260</v>
      </c>
      <c r="CC3" s="53" t="s">
        <v>850</v>
      </c>
    </row>
    <row r="4" spans="1:81" s="24" customFormat="1" x14ac:dyDescent="0.2">
      <c r="A4" s="33"/>
      <c r="B4" s="33"/>
      <c r="C4" s="33"/>
      <c r="D4" s="33" t="s">
        <v>4</v>
      </c>
      <c r="E4" s="33"/>
      <c r="F4" s="143"/>
      <c r="G4" s="229"/>
      <c r="H4" s="101">
        <f>SUBTOTAL(109,H$15:INDEX(H:H,COUNTA($B:$B)+14-COUNTA($B$1:$B$14)))</f>
        <v>0</v>
      </c>
      <c r="I4" s="101">
        <f>SUBTOTAL(109,I$15:INDEX(I:I,COUNTA($B:$B)+14-COUNTA($B$1:$B$14)))</f>
        <v>0</v>
      </c>
      <c r="J4" s="101">
        <f>SUBTOTAL(109,J$15:INDEX(J:J,COUNTA($B:$B)+14-COUNTA($B$1:$B$14)))</f>
        <v>0</v>
      </c>
      <c r="K4" s="101">
        <f>SUBTOTAL(109,K$15:INDEX(K:K,COUNTA($B:$B)+14-COUNTA($B$1:$B$14)))</f>
        <v>0</v>
      </c>
      <c r="L4" s="101">
        <f>SUBTOTAL(109,L$15:INDEX(L:L,COUNTA($B:$B)+14-COUNTA($B$1:$B$14)))</f>
        <v>0</v>
      </c>
      <c r="M4" s="101">
        <f>SUBTOTAL(109,M$15:INDEX(M:M,COUNTA($B:$B)+14-COUNTA($B$1:$B$14)))</f>
        <v>0</v>
      </c>
      <c r="N4" s="101">
        <f>SUBTOTAL(109,N$15:INDEX(N:N,COUNTA($B:$B)+14-COUNTA($B$1:$B$14)))</f>
        <v>0</v>
      </c>
      <c r="O4" s="101">
        <f>SUBTOTAL(109,O$15:INDEX(O:O,COUNTA($B:$B)+14-COUNTA($B$1:$B$14)))</f>
        <v>0</v>
      </c>
      <c r="P4" s="143" t="str">
        <f>IF(OR(SUM($I$4)=0,SUM($H$4)=0),"",SUM($I$4)/SUM($H$4))</f>
        <v/>
      </c>
      <c r="Q4" s="229" t="str">
        <f>IF(OR(SUM($J$4)=0,SUM($H$4)=0),"",SUM($J$4)/SUM($H$4))</f>
        <v/>
      </c>
      <c r="R4" s="229" t="str">
        <f>IF(OR(SUM($H$4)=0,SUM($K$4)=0),"",SUM($K$4)/SUM($H$4))</f>
        <v/>
      </c>
      <c r="S4" s="229" t="str">
        <f>IF(OR(SUM($H$4)=0,SUM($L$4)=0),"",SUM($L$4)/SUM($H$4))</f>
        <v/>
      </c>
      <c r="T4" s="229" t="str">
        <f>IF(OR(SUM($H$4)=0,SUM($M$4)=0),"",SUM($M$4)/SUM($H$4))</f>
        <v/>
      </c>
      <c r="U4" s="229" t="str">
        <f>IF(OR(SUM($H$4)=0,SUM($N$4)=0),"",SUM($N$4)/SUM($H$4))</f>
        <v/>
      </c>
      <c r="V4" s="34" t="str">
        <f>IF(OR(SUM($H$4)=0,SUM($AI$4)=0),"",SUM($AI$4)/SUM($H$4))</f>
        <v/>
      </c>
      <c r="W4" s="34" t="str">
        <f>IF(OR(SUM($H$4)=0,SUM($AL$4)=0),"",SUM($AL$4)/SUM($H$4))</f>
        <v/>
      </c>
      <c r="X4" s="34" t="str">
        <f>IF(OR(SUM($H$4)=0,SUM($AO$4)=0),"",SUM($AO$4)/SUM($H$4))</f>
        <v/>
      </c>
      <c r="Y4" s="34" t="str">
        <f>IF(OR(SUM($H$4)=0,SUM($AR$4)=0),"",SUM($AR$4)/SUM($H$4))</f>
        <v/>
      </c>
      <c r="Z4" s="34" t="str">
        <f>IF(OR(SUM($H$4)=0,SUM($AU$4)=0),"",SUM($AU$4)/SUM($H$4))</f>
        <v/>
      </c>
      <c r="AA4" s="34" t="str">
        <f>IF(OR(SUM($H$4)=0,SUM($AX$4)=0),"",SUM($AX$4)/SUM($H$4))</f>
        <v/>
      </c>
      <c r="AB4" s="34" t="str">
        <f>IF(OR(SUM($H$4)=0,SUM($BA$4)=0),"",SUM($BA$4)/SUM($H$4))</f>
        <v/>
      </c>
      <c r="AC4" s="34" t="str">
        <f>IF(OR(SUM($H$4)=0,SUM($BD$4)=0),"",SUM($BD$4)/SUM($H$4))</f>
        <v/>
      </c>
      <c r="AD4" s="229" t="str">
        <f>IF(OR(SUM($H$4)=0,SUM($BG$4)=0),"",SUM($BG$4)/SUM($H$4))</f>
        <v/>
      </c>
      <c r="AE4" s="229" t="str">
        <f>IF(OR(SUM($H$4)=0,SUM($BJ$4)=0),"",SUM($BJ$4)/SUM($H$4))</f>
        <v/>
      </c>
      <c r="AF4" s="34" t="str">
        <f>IF(OR(SUM($H$4)=0,SUM($BM$4)=0),"",SUM($BM$4)/SUM($H$4))</f>
        <v/>
      </c>
      <c r="AG4" s="34">
        <f>SUM($P4:$AF4)</f>
        <v>0</v>
      </c>
      <c r="AH4" s="143" t="str">
        <f>IF(SUM(AI4:AJ4)=0,"",AI4/(SUM(AI4:AJ4)))</f>
        <v/>
      </c>
      <c r="AI4" s="55">
        <f>SUBTOTAL(109,AI$15:INDEX(AI:AI,COUNTA($B:$B)+14-COUNTA($B$1:$B$14)))</f>
        <v>0</v>
      </c>
      <c r="AJ4" s="55">
        <f>SUBTOTAL(109,AJ$15:INDEX(AJ:AJ,COUNTA($B:$B)+14-COUNTA($B$1:$B$14)))</f>
        <v>0</v>
      </c>
      <c r="AK4" s="143" t="str">
        <f>IF(SUM(AL4:AM4)=0,"",AL4/(SUM(AL4:AM4)))</f>
        <v/>
      </c>
      <c r="AL4" s="55">
        <f>SUBTOTAL(109,AL$15:INDEX(AL:AL,COUNTA($B:$B)+14-COUNTA($B$1:$B$14)))</f>
        <v>0</v>
      </c>
      <c r="AM4" s="55">
        <f>SUBTOTAL(109,AM$15:INDEX(AM:AM,COUNTA($B:$B)+14-COUNTA($B$1:$B$14)))</f>
        <v>0</v>
      </c>
      <c r="AN4" s="143" t="str">
        <f>IF(SUM(AO4:AP4)=0,"",AO4/(SUM(AO4:AP4)))</f>
        <v/>
      </c>
      <c r="AO4" s="55">
        <f>SUBTOTAL(109,AO$15:INDEX(AO:AO,COUNTA($B:$B)+14-COUNTA($B$1:$B$14)))</f>
        <v>0</v>
      </c>
      <c r="AP4" s="55">
        <f>SUBTOTAL(109,AP$15:INDEX(AP:AP,COUNTA($B:$B)+14-COUNTA($B$1:$B$14)))</f>
        <v>0</v>
      </c>
      <c r="AQ4" s="143" t="str">
        <f>IF(SUM(AR4:AS4)=0,"",AR4/(SUM(AR4:AS4)))</f>
        <v/>
      </c>
      <c r="AR4" s="55">
        <f>SUBTOTAL(109,AR$15:INDEX(AR:AR,COUNTA($B:$B)+14-COUNTA($B$1:$B$14)))</f>
        <v>0</v>
      </c>
      <c r="AS4" s="55">
        <f>SUBTOTAL(109,AS$15:INDEX(AS:AS,COUNTA($B:$B)+14-COUNTA($B$1:$B$14)))</f>
        <v>0</v>
      </c>
      <c r="AT4" s="143" t="str">
        <f>IF(SUM(AU4:AV4)=0,"",AU4/(SUM(AU4:AV4)))</f>
        <v/>
      </c>
      <c r="AU4" s="55">
        <f>SUBTOTAL(109,AU$15:INDEX(AU:AU,COUNTA($B:$B)+14-COUNTA($B$1:$B$14)))</f>
        <v>0</v>
      </c>
      <c r="AV4" s="55">
        <f>SUBTOTAL(109,AV$15:INDEX(AV:AV,COUNTA($B:$B)+14-COUNTA($B$1:$B$14)))</f>
        <v>0</v>
      </c>
      <c r="AW4" s="143" t="str">
        <f>IF(SUM(AX4:AY4)=0,"",AX4/(SUM(AX4:AY4)))</f>
        <v/>
      </c>
      <c r="AX4" s="55">
        <f>SUBTOTAL(109,AX$15:INDEX(AX:AX,COUNTA($B:$B)+14-COUNTA($B$1:$B$14)))</f>
        <v>0</v>
      </c>
      <c r="AY4" s="55">
        <f>SUBTOTAL(109,AY$15:INDEX(AY:AY,COUNTA($B:$B)+14-COUNTA($B$1:$B$14)))</f>
        <v>0</v>
      </c>
      <c r="AZ4" s="143" t="str">
        <f>IF(SUM(BA4:BB4)=0,"",BA4/(SUM(BA4:BB4)))</f>
        <v/>
      </c>
      <c r="BA4" s="55">
        <f>SUBTOTAL(109,BA$15:INDEX(BA:BA,COUNTA($B:$B)+14-COUNTA($B$1:$B$14)))</f>
        <v>0</v>
      </c>
      <c r="BB4" s="55">
        <f>SUBTOTAL(109,BB$15:INDEX(BB:BB,COUNTA($B:$B)+14-COUNTA($B$1:$B$14)))</f>
        <v>0</v>
      </c>
      <c r="BC4" s="143" t="str">
        <f>IF(SUM(BD4:BE4)=0,"",BD4/(SUM(BD4:BE4)))</f>
        <v/>
      </c>
      <c r="BD4" s="55">
        <f>SUBTOTAL(109,BD$15:INDEX(BD:BD,COUNTA($B:$B)+14-COUNTA($B$1:$B$14)))</f>
        <v>0</v>
      </c>
      <c r="BE4" s="55">
        <f>SUBTOTAL(109,BE$15:INDEX(BE:BE,COUNTA($B:$B)+14-COUNTA($B$1:$B$14)))</f>
        <v>0</v>
      </c>
      <c r="BF4" s="143" t="str">
        <f>IF(SUM(BG4:BH4)=0,"",BG4/(SUM(BG4:BH4)))</f>
        <v/>
      </c>
      <c r="BG4" s="55">
        <f>SUBTOTAL(109,BG$15:INDEX(BG:BG,COUNTA($B:$B)+14-COUNTA($B$1:$B$14)))</f>
        <v>0</v>
      </c>
      <c r="BH4" s="55">
        <f>SUBTOTAL(109,BH$15:INDEX(BH:BH,COUNTA($B:$B)+14-COUNTA($B$1:$B$14)))</f>
        <v>0</v>
      </c>
      <c r="BI4" s="143" t="str">
        <f>IF(SUM(BJ4:BK4)=0,"",BJ4/(SUM(BJ4:BK4)))</f>
        <v/>
      </c>
      <c r="BJ4" s="55">
        <f>SUBTOTAL(109,BJ$15:INDEX(BJ:BJ,COUNTA($B:$B)+14-COUNTA($B$1:$B$14)))</f>
        <v>0</v>
      </c>
      <c r="BK4" s="55">
        <f>SUBTOTAL(109,BK$15:INDEX(BK:BK,COUNTA($B:$B)+14-COUNTA($B$1:$B$14)))</f>
        <v>0</v>
      </c>
      <c r="BL4" s="143" t="str">
        <f>IF(SUM(BM4:BN4)=0,"",BM4/(SUM(BM4:BN4)))</f>
        <v/>
      </c>
      <c r="BM4" s="55">
        <f>SUBTOTAL(109,BM$15:INDEX(BM:BM,COUNTA($B:$B)+14-COUNTA($B$1:$B$14)))</f>
        <v>0</v>
      </c>
      <c r="BN4" s="55">
        <f>SUBTOTAL(109,BN$15:INDEX(BN:BN,COUNTA($B:$B)+14-COUNTA($B$1:$B$14)))</f>
        <v>0</v>
      </c>
      <c r="BO4" s="93">
        <f>SUBTOTAL(109,BO$15:INDEX(BO:BO,COUNTA($B:$B)+14-COUNTA($B$1:$B$14)))</f>
        <v>0</v>
      </c>
      <c r="BP4" s="158">
        <f>SUBTOTAL(109,BP$15:INDEX(BP:BP,COUNTA($B:$B)+14-COUNTA($B$1:$B$14)))</f>
        <v>0</v>
      </c>
      <c r="BQ4" s="101">
        <f>SUBTOTAL(109,BQ$15:INDEX(BQ:BQ,COUNTA($B:$B)+14-COUNTA($B$1:$B$14)))</f>
        <v>0</v>
      </c>
      <c r="BR4" s="101">
        <f>SUBTOTAL(109,BR$15:INDEX(BR:BR,COUNTA($B:$B)+14-COUNTA($B$1:$B$14)))</f>
        <v>0</v>
      </c>
      <c r="BS4" s="101">
        <f>SUBTOTAL(109,BS$15:INDEX(BS:BS,COUNTA($B:$B)+14-COUNTA($B$1:$B$14)))</f>
        <v>0</v>
      </c>
      <c r="BT4" s="101">
        <f>SUBTOTAL(109,BT$15:INDEX(BT:BT,COUNTA($B:$B)+14-COUNTA($B$1:$B$14)))</f>
        <v>0</v>
      </c>
      <c r="BU4" s="101">
        <f>SUBTOTAL(109,BU$15:INDEX(BU:BU,COUNTA($B:$B)+14-COUNTA($B$1:$B$14)))</f>
        <v>0</v>
      </c>
      <c r="BV4" s="101">
        <f>SUBTOTAL(109,BV$15:INDEX(BV:BV,COUNTA($B:$B)+14-COUNTA($B$1:$B$14)))</f>
        <v>0</v>
      </c>
      <c r="BW4" s="101">
        <f>SUBTOTAL(109,BW$15:INDEX(BW:BW,COUNTA($B:$B)+14-COUNTA($B$1:$B$14)))</f>
        <v>0</v>
      </c>
      <c r="BX4" s="158">
        <f>SUBTOTAL(109,BX$15:INDEX(BX:BX,COUNTA($B:$B)+14-COUNTA($B$1:$B$14)))</f>
        <v>0</v>
      </c>
      <c r="BY4" s="55">
        <f>SUBTOTAL(109,BY$15:INDEX(BY:BY,COUNTA($B:$B)+14-COUNTA($B$1:$B$14)))</f>
        <v>0</v>
      </c>
      <c r="BZ4" s="34" t="str">
        <f>IF($BY$4=0,"",$BP$4/$BY$4)</f>
        <v/>
      </c>
      <c r="CA4" s="93">
        <f>SUBTOTAL(109,CA$15:INDEX(CA:CA,COUNTA($B:$B)+14-COUNTA($B$1:$B$14)))</f>
        <v>0</v>
      </c>
      <c r="CB4" s="34" t="str">
        <f>IF($CA$4=0,"",$CC$4/$CA$4-1)</f>
        <v/>
      </c>
      <c r="CC4" s="55">
        <f>SUBTOTAL(109,CC$15:INDEX(CC:CC,COUNTA($B:$B)+14-COUNTA($B$1:$B$14)))</f>
        <v>0</v>
      </c>
    </row>
    <row r="5" spans="1:81" s="24" customFormat="1" x14ac:dyDescent="0.2">
      <c r="A5" s="26" t="s">
        <v>98</v>
      </c>
      <c r="B5" s="26" t="s">
        <v>98</v>
      </c>
      <c r="C5" s="26" t="s">
        <v>98</v>
      </c>
      <c r="D5" s="26" t="s">
        <v>98</v>
      </c>
      <c r="E5" s="26" t="s">
        <v>98</v>
      </c>
      <c r="F5" s="144" t="s">
        <v>98</v>
      </c>
      <c r="G5" s="152" t="s">
        <v>98</v>
      </c>
      <c r="H5" s="81" t="s">
        <v>98</v>
      </c>
      <c r="I5" s="81" t="s">
        <v>98</v>
      </c>
      <c r="J5" s="81" t="s">
        <v>98</v>
      </c>
      <c r="K5" s="81" t="s">
        <v>98</v>
      </c>
      <c r="L5" s="81" t="s">
        <v>98</v>
      </c>
      <c r="M5" s="81" t="s">
        <v>98</v>
      </c>
      <c r="N5" s="81" t="s">
        <v>98</v>
      </c>
      <c r="O5" s="81" t="s">
        <v>98</v>
      </c>
      <c r="P5" s="144" t="s">
        <v>98</v>
      </c>
      <c r="Q5" s="20" t="s">
        <v>98</v>
      </c>
      <c r="R5" s="230" t="s">
        <v>98</v>
      </c>
      <c r="S5" s="20" t="s">
        <v>98</v>
      </c>
      <c r="T5" s="20" t="s">
        <v>98</v>
      </c>
      <c r="U5" s="20" t="s">
        <v>98</v>
      </c>
      <c r="V5" s="20" t="s">
        <v>98</v>
      </c>
      <c r="W5" s="20" t="s">
        <v>98</v>
      </c>
      <c r="X5" s="20" t="s">
        <v>98</v>
      </c>
      <c r="Y5" s="20" t="s">
        <v>98</v>
      </c>
      <c r="Z5" s="20" t="s">
        <v>98</v>
      </c>
      <c r="AA5" s="20" t="s">
        <v>98</v>
      </c>
      <c r="AB5" s="20" t="s">
        <v>98</v>
      </c>
      <c r="AC5" s="20" t="s">
        <v>98</v>
      </c>
      <c r="AD5" s="20" t="s">
        <v>98</v>
      </c>
      <c r="AE5" s="20" t="s">
        <v>98</v>
      </c>
      <c r="AF5" s="20" t="s">
        <v>98</v>
      </c>
      <c r="AG5" s="20" t="s">
        <v>98</v>
      </c>
      <c r="AH5" s="144" t="s">
        <v>98</v>
      </c>
      <c r="AI5" s="56" t="s">
        <v>109</v>
      </c>
      <c r="AJ5" s="56" t="s">
        <v>109</v>
      </c>
      <c r="AK5" s="144" t="s">
        <v>98</v>
      </c>
      <c r="AL5" s="56" t="s">
        <v>109</v>
      </c>
      <c r="AM5" s="56" t="s">
        <v>109</v>
      </c>
      <c r="AN5" s="144" t="s">
        <v>98</v>
      </c>
      <c r="AO5" s="56" t="s">
        <v>109</v>
      </c>
      <c r="AP5" s="56" t="s">
        <v>109</v>
      </c>
      <c r="AQ5" s="144" t="s">
        <v>98</v>
      </c>
      <c r="AR5" s="56" t="s">
        <v>109</v>
      </c>
      <c r="AS5" s="56" t="s">
        <v>109</v>
      </c>
      <c r="AT5" s="144" t="s">
        <v>98</v>
      </c>
      <c r="AU5" s="56" t="s">
        <v>109</v>
      </c>
      <c r="AV5" s="56" t="s">
        <v>109</v>
      </c>
      <c r="AW5" s="144" t="s">
        <v>98</v>
      </c>
      <c r="AX5" s="56" t="s">
        <v>109</v>
      </c>
      <c r="AY5" s="56" t="s">
        <v>109</v>
      </c>
      <c r="AZ5" s="144" t="s">
        <v>98</v>
      </c>
      <c r="BA5" s="56" t="s">
        <v>109</v>
      </c>
      <c r="BB5" s="56" t="s">
        <v>109</v>
      </c>
      <c r="BC5" s="144" t="s">
        <v>98</v>
      </c>
      <c r="BD5" s="56" t="s">
        <v>109</v>
      </c>
      <c r="BE5" s="56" t="s">
        <v>109</v>
      </c>
      <c r="BF5" s="144" t="s">
        <v>98</v>
      </c>
      <c r="BG5" s="56" t="s">
        <v>109</v>
      </c>
      <c r="BH5" s="56" t="s">
        <v>109</v>
      </c>
      <c r="BI5" s="144" t="s">
        <v>98</v>
      </c>
      <c r="BJ5" s="56" t="s">
        <v>109</v>
      </c>
      <c r="BK5" s="56" t="s">
        <v>109</v>
      </c>
      <c r="BL5" s="144" t="s">
        <v>98</v>
      </c>
      <c r="BM5" s="56" t="s">
        <v>109</v>
      </c>
      <c r="BN5" s="56" t="s">
        <v>109</v>
      </c>
      <c r="BO5" s="82" t="s">
        <v>98</v>
      </c>
      <c r="BP5" s="88" t="s">
        <v>98</v>
      </c>
      <c r="BQ5" s="81" t="s">
        <v>98</v>
      </c>
      <c r="BR5" s="81" t="s">
        <v>98</v>
      </c>
      <c r="BS5" s="81" t="s">
        <v>98</v>
      </c>
      <c r="BT5" s="81" t="s">
        <v>98</v>
      </c>
      <c r="BU5" s="81" t="s">
        <v>98</v>
      </c>
      <c r="BV5" s="81" t="s">
        <v>98</v>
      </c>
      <c r="BW5" s="81" t="s">
        <v>98</v>
      </c>
      <c r="BX5" s="88" t="s">
        <v>98</v>
      </c>
      <c r="BY5" s="56" t="s">
        <v>98</v>
      </c>
      <c r="BZ5" s="20" t="s">
        <v>98</v>
      </c>
      <c r="CA5" s="82" t="s">
        <v>109</v>
      </c>
      <c r="CB5" s="20" t="s">
        <v>98</v>
      </c>
      <c r="CC5" s="56" t="s">
        <v>109</v>
      </c>
    </row>
    <row r="6" spans="1:81" s="24" customFormat="1" x14ac:dyDescent="0.2">
      <c r="A6" s="26" t="s">
        <v>200</v>
      </c>
      <c r="B6" s="26" t="s">
        <v>200</v>
      </c>
      <c r="C6" s="26" t="s">
        <v>200</v>
      </c>
      <c r="D6" s="26" t="s">
        <v>200</v>
      </c>
      <c r="E6" s="26" t="s">
        <v>200</v>
      </c>
      <c r="F6" s="144" t="s">
        <v>93</v>
      </c>
      <c r="G6" s="152" t="s">
        <v>93</v>
      </c>
      <c r="H6" s="81" t="s">
        <v>93</v>
      </c>
      <c r="I6" s="81" t="s">
        <v>93</v>
      </c>
      <c r="J6" s="81" t="s">
        <v>93</v>
      </c>
      <c r="K6" s="81" t="s">
        <v>93</v>
      </c>
      <c r="L6" s="81" t="s">
        <v>93</v>
      </c>
      <c r="M6" s="81" t="s">
        <v>93</v>
      </c>
      <c r="N6" s="81" t="s">
        <v>93</v>
      </c>
      <c r="O6" s="81" t="s">
        <v>93</v>
      </c>
      <c r="P6" s="144" t="s">
        <v>93</v>
      </c>
      <c r="Q6" s="20" t="s">
        <v>93</v>
      </c>
      <c r="R6" s="230" t="s">
        <v>93</v>
      </c>
      <c r="S6" s="20" t="s">
        <v>93</v>
      </c>
      <c r="T6" s="20" t="s">
        <v>93</v>
      </c>
      <c r="U6" s="20" t="s">
        <v>93</v>
      </c>
      <c r="V6" s="20" t="s">
        <v>111</v>
      </c>
      <c r="W6" s="20" t="s">
        <v>111</v>
      </c>
      <c r="X6" s="20" t="s">
        <v>111</v>
      </c>
      <c r="Y6" s="20" t="s">
        <v>111</v>
      </c>
      <c r="Z6" s="20" t="s">
        <v>111</v>
      </c>
      <c r="AA6" s="20" t="s">
        <v>111</v>
      </c>
      <c r="AB6" s="20" t="s">
        <v>111</v>
      </c>
      <c r="AC6" s="20" t="s">
        <v>93</v>
      </c>
      <c r="AD6" s="20" t="s">
        <v>111</v>
      </c>
      <c r="AE6" s="20" t="s">
        <v>93</v>
      </c>
      <c r="AF6" s="20" t="s">
        <v>111</v>
      </c>
      <c r="AG6" s="20" t="s">
        <v>93</v>
      </c>
      <c r="AH6" s="144" t="s">
        <v>111</v>
      </c>
      <c r="AI6" s="56" t="s">
        <v>92</v>
      </c>
      <c r="AJ6" s="56" t="s">
        <v>92</v>
      </c>
      <c r="AK6" s="144" t="s">
        <v>111</v>
      </c>
      <c r="AL6" s="56" t="s">
        <v>92</v>
      </c>
      <c r="AM6" s="56" t="s">
        <v>92</v>
      </c>
      <c r="AN6" s="144" t="s">
        <v>111</v>
      </c>
      <c r="AO6" s="56" t="s">
        <v>92</v>
      </c>
      <c r="AP6" s="56" t="s">
        <v>92</v>
      </c>
      <c r="AQ6" s="144" t="s">
        <v>111</v>
      </c>
      <c r="AR6" s="56" t="s">
        <v>92</v>
      </c>
      <c r="AS6" s="56" t="s">
        <v>92</v>
      </c>
      <c r="AT6" s="144" t="s">
        <v>111</v>
      </c>
      <c r="AU6" s="56" t="s">
        <v>92</v>
      </c>
      <c r="AV6" s="56" t="s">
        <v>92</v>
      </c>
      <c r="AW6" s="144" t="s">
        <v>111</v>
      </c>
      <c r="AX6" s="56" t="s">
        <v>92</v>
      </c>
      <c r="AY6" s="56" t="s">
        <v>92</v>
      </c>
      <c r="AZ6" s="144" t="s">
        <v>111</v>
      </c>
      <c r="BA6" s="56" t="s">
        <v>92</v>
      </c>
      <c r="BB6" s="56" t="s">
        <v>92</v>
      </c>
      <c r="BC6" s="144" t="s">
        <v>112</v>
      </c>
      <c r="BD6" s="56" t="s">
        <v>92</v>
      </c>
      <c r="BE6" s="56" t="s">
        <v>92</v>
      </c>
      <c r="BF6" s="144" t="s">
        <v>111</v>
      </c>
      <c r="BG6" s="56" t="s">
        <v>92</v>
      </c>
      <c r="BH6" s="56" t="s">
        <v>92</v>
      </c>
      <c r="BI6" s="144" t="s">
        <v>112</v>
      </c>
      <c r="BJ6" s="56" t="s">
        <v>92</v>
      </c>
      <c r="BK6" s="56" t="s">
        <v>92</v>
      </c>
      <c r="BL6" s="144" t="s">
        <v>111</v>
      </c>
      <c r="BM6" s="56" t="s">
        <v>92</v>
      </c>
      <c r="BN6" s="56" t="s">
        <v>92</v>
      </c>
      <c r="BO6" s="82" t="s">
        <v>93</v>
      </c>
      <c r="BP6" s="88" t="s">
        <v>93</v>
      </c>
      <c r="BQ6" s="81" t="s">
        <v>93</v>
      </c>
      <c r="BR6" s="81" t="s">
        <v>93</v>
      </c>
      <c r="BS6" s="81" t="s">
        <v>93</v>
      </c>
      <c r="BT6" s="81" t="s">
        <v>93</v>
      </c>
      <c r="BU6" s="81" t="s">
        <v>93</v>
      </c>
      <c r="BV6" s="81" t="s">
        <v>93</v>
      </c>
      <c r="BW6" s="81" t="s">
        <v>93</v>
      </c>
      <c r="BX6" s="88" t="s">
        <v>93</v>
      </c>
      <c r="BY6" s="56" t="s">
        <v>93</v>
      </c>
      <c r="BZ6" s="20" t="s">
        <v>93</v>
      </c>
      <c r="CA6" s="82" t="s">
        <v>110</v>
      </c>
      <c r="CB6" s="20" t="s">
        <v>112</v>
      </c>
      <c r="CC6" s="56" t="s">
        <v>92</v>
      </c>
    </row>
    <row r="7" spans="1:81" s="24" customFormat="1" x14ac:dyDescent="0.2">
      <c r="A7" s="26" t="s">
        <v>108</v>
      </c>
      <c r="B7" s="26" t="s">
        <v>108</v>
      </c>
      <c r="C7" s="26" t="s">
        <v>108</v>
      </c>
      <c r="D7" s="26" t="s">
        <v>108</v>
      </c>
      <c r="E7" s="26" t="s">
        <v>108</v>
      </c>
      <c r="F7" s="144" t="s">
        <v>95</v>
      </c>
      <c r="G7" s="152" t="s">
        <v>95</v>
      </c>
      <c r="H7" s="81" t="s">
        <v>94</v>
      </c>
      <c r="I7" s="81" t="s">
        <v>94</v>
      </c>
      <c r="J7" s="81" t="s">
        <v>94</v>
      </c>
      <c r="K7" s="81" t="s">
        <v>94</v>
      </c>
      <c r="L7" s="81" t="s">
        <v>94</v>
      </c>
      <c r="M7" s="81" t="s">
        <v>94</v>
      </c>
      <c r="N7" s="81" t="s">
        <v>94</v>
      </c>
      <c r="O7" s="81" t="s">
        <v>94</v>
      </c>
      <c r="P7" s="144" t="s">
        <v>95</v>
      </c>
      <c r="Q7" s="20" t="s">
        <v>95</v>
      </c>
      <c r="R7" s="230" t="s">
        <v>95</v>
      </c>
      <c r="S7" s="20" t="s">
        <v>95</v>
      </c>
      <c r="T7" s="20" t="s">
        <v>95</v>
      </c>
      <c r="U7" s="20" t="s">
        <v>95</v>
      </c>
      <c r="V7" s="20" t="s">
        <v>95</v>
      </c>
      <c r="W7" s="20" t="s">
        <v>95</v>
      </c>
      <c r="X7" s="20" t="s">
        <v>95</v>
      </c>
      <c r="Y7" s="20" t="s">
        <v>95</v>
      </c>
      <c r="Z7" s="20" t="s">
        <v>95</v>
      </c>
      <c r="AA7" s="20" t="s">
        <v>95</v>
      </c>
      <c r="AB7" s="20" t="s">
        <v>95</v>
      </c>
      <c r="AC7" s="20" t="s">
        <v>95</v>
      </c>
      <c r="AD7" s="20" t="s">
        <v>95</v>
      </c>
      <c r="AE7" s="20" t="s">
        <v>95</v>
      </c>
      <c r="AF7" s="20" t="s">
        <v>95</v>
      </c>
      <c r="AG7" s="20" t="s">
        <v>95</v>
      </c>
      <c r="AH7" s="144" t="s">
        <v>95</v>
      </c>
      <c r="AI7" s="56" t="s">
        <v>94</v>
      </c>
      <c r="AJ7" s="56" t="s">
        <v>94</v>
      </c>
      <c r="AK7" s="144" t="s">
        <v>95</v>
      </c>
      <c r="AL7" s="56" t="s">
        <v>94</v>
      </c>
      <c r="AM7" s="56" t="s">
        <v>94</v>
      </c>
      <c r="AN7" s="144" t="s">
        <v>95</v>
      </c>
      <c r="AO7" s="56" t="s">
        <v>94</v>
      </c>
      <c r="AP7" s="56" t="s">
        <v>94</v>
      </c>
      <c r="AQ7" s="144" t="s">
        <v>95</v>
      </c>
      <c r="AR7" s="56" t="s">
        <v>94</v>
      </c>
      <c r="AS7" s="56" t="s">
        <v>94</v>
      </c>
      <c r="AT7" s="144" t="s">
        <v>95</v>
      </c>
      <c r="AU7" s="56" t="s">
        <v>94</v>
      </c>
      <c r="AV7" s="56" t="s">
        <v>94</v>
      </c>
      <c r="AW7" s="144" t="s">
        <v>95</v>
      </c>
      <c r="AX7" s="56" t="s">
        <v>94</v>
      </c>
      <c r="AY7" s="56" t="s">
        <v>94</v>
      </c>
      <c r="AZ7" s="144" t="s">
        <v>95</v>
      </c>
      <c r="BA7" s="56" t="s">
        <v>94</v>
      </c>
      <c r="BB7" s="56" t="s">
        <v>94</v>
      </c>
      <c r="BC7" s="144" t="s">
        <v>95</v>
      </c>
      <c r="BD7" s="56" t="s">
        <v>94</v>
      </c>
      <c r="BE7" s="56" t="s">
        <v>94</v>
      </c>
      <c r="BF7" s="144" t="s">
        <v>95</v>
      </c>
      <c r="BG7" s="56" t="s">
        <v>94</v>
      </c>
      <c r="BH7" s="56" t="s">
        <v>94</v>
      </c>
      <c r="BI7" s="144" t="s">
        <v>95</v>
      </c>
      <c r="BJ7" s="56" t="s">
        <v>94</v>
      </c>
      <c r="BK7" s="56" t="s">
        <v>94</v>
      </c>
      <c r="BL7" s="144" t="s">
        <v>95</v>
      </c>
      <c r="BM7" s="56" t="s">
        <v>94</v>
      </c>
      <c r="BN7" s="56" t="s">
        <v>94</v>
      </c>
      <c r="BO7" s="82" t="s">
        <v>94</v>
      </c>
      <c r="BP7" s="88" t="s">
        <v>94</v>
      </c>
      <c r="BQ7" s="81" t="s">
        <v>94</v>
      </c>
      <c r="BR7" s="81" t="s">
        <v>94</v>
      </c>
      <c r="BS7" s="81" t="s">
        <v>94</v>
      </c>
      <c r="BT7" s="81" t="s">
        <v>94</v>
      </c>
      <c r="BU7" s="81" t="s">
        <v>94</v>
      </c>
      <c r="BV7" s="81" t="s">
        <v>94</v>
      </c>
      <c r="BW7" s="81" t="s">
        <v>94</v>
      </c>
      <c r="BX7" s="88" t="s">
        <v>94</v>
      </c>
      <c r="BY7" s="56" t="s">
        <v>94</v>
      </c>
      <c r="BZ7" s="20" t="s">
        <v>95</v>
      </c>
      <c r="CA7" s="82" t="s">
        <v>94</v>
      </c>
      <c r="CB7" s="20" t="s">
        <v>95</v>
      </c>
      <c r="CC7" s="56" t="s">
        <v>94</v>
      </c>
    </row>
    <row r="8" spans="1:81" s="24" customFormat="1" x14ac:dyDescent="0.2">
      <c r="A8" s="26"/>
      <c r="B8" s="26"/>
      <c r="C8" s="26"/>
      <c r="D8" s="26"/>
      <c r="E8" s="26"/>
      <c r="F8" s="144"/>
      <c r="G8" s="152"/>
      <c r="H8" s="81"/>
      <c r="I8" s="81"/>
      <c r="J8" s="81"/>
      <c r="K8" s="81"/>
      <c r="L8" s="81"/>
      <c r="M8" s="81"/>
      <c r="N8" s="81"/>
      <c r="O8" s="81"/>
      <c r="P8" s="144"/>
      <c r="Q8" s="20"/>
      <c r="R8" s="230"/>
      <c r="S8" s="20"/>
      <c r="T8" s="20"/>
      <c r="U8" s="20"/>
      <c r="V8" s="20"/>
      <c r="W8" s="20"/>
      <c r="X8" s="20"/>
      <c r="Y8" s="20"/>
      <c r="Z8" s="20"/>
      <c r="AA8" s="20"/>
      <c r="AB8" s="20"/>
      <c r="AC8" s="20"/>
      <c r="AD8" s="20"/>
      <c r="AE8" s="20"/>
      <c r="AF8" s="20"/>
      <c r="AG8" s="20"/>
      <c r="AH8" s="144"/>
      <c r="AI8" s="272" t="s">
        <v>154</v>
      </c>
      <c r="AJ8" s="272" t="s">
        <v>154</v>
      </c>
      <c r="AK8" s="294"/>
      <c r="AL8" s="272" t="s">
        <v>158</v>
      </c>
      <c r="AM8" s="272" t="s">
        <v>158</v>
      </c>
      <c r="AN8" s="294"/>
      <c r="AO8" s="272" t="s">
        <v>156</v>
      </c>
      <c r="AP8" s="272" t="s">
        <v>156</v>
      </c>
      <c r="AQ8" s="144"/>
      <c r="AR8" s="272" t="s">
        <v>160</v>
      </c>
      <c r="AS8" s="272" t="s">
        <v>160</v>
      </c>
      <c r="AT8" s="294"/>
      <c r="AU8" s="272" t="s">
        <v>152</v>
      </c>
      <c r="AV8" s="272" t="s">
        <v>152</v>
      </c>
      <c r="AW8" s="294"/>
      <c r="AX8" s="272" t="s">
        <v>164</v>
      </c>
      <c r="AY8" s="272" t="s">
        <v>164</v>
      </c>
      <c r="AZ8" s="294"/>
      <c r="BA8" s="272" t="s">
        <v>162</v>
      </c>
      <c r="BB8" s="272" t="s">
        <v>162</v>
      </c>
      <c r="BC8" s="144"/>
      <c r="BD8" s="272" t="s">
        <v>1043</v>
      </c>
      <c r="BE8" s="272" t="s">
        <v>1043</v>
      </c>
      <c r="BF8" s="144"/>
      <c r="BG8" s="272" t="s">
        <v>148</v>
      </c>
      <c r="BH8" s="272" t="s">
        <v>148</v>
      </c>
      <c r="BI8" s="144"/>
      <c r="BJ8" s="272" t="s">
        <v>1045</v>
      </c>
      <c r="BK8" s="272" t="s">
        <v>1045</v>
      </c>
      <c r="BL8" s="144"/>
      <c r="BM8" s="272" t="s">
        <v>150</v>
      </c>
      <c r="BN8" s="272" t="s">
        <v>150</v>
      </c>
      <c r="BO8" s="82"/>
      <c r="BP8" s="88"/>
      <c r="BQ8" s="81"/>
      <c r="BR8" s="81"/>
      <c r="BS8" s="81"/>
      <c r="BT8" s="81"/>
      <c r="BU8" s="81"/>
      <c r="BV8" s="81"/>
      <c r="BW8" s="81"/>
      <c r="BX8" s="88"/>
      <c r="BY8" s="56"/>
      <c r="BZ8" s="20"/>
      <c r="CA8" s="281" t="s">
        <v>266</v>
      </c>
      <c r="CB8" s="20"/>
      <c r="CC8" s="272" t="s">
        <v>266</v>
      </c>
    </row>
    <row r="9" spans="1:81" s="24" customFormat="1" x14ac:dyDescent="0.2">
      <c r="A9" s="26"/>
      <c r="B9" s="26"/>
      <c r="C9" s="26"/>
      <c r="D9" s="26"/>
      <c r="E9" s="26"/>
      <c r="F9" s="144"/>
      <c r="G9" s="152"/>
      <c r="H9" s="81"/>
      <c r="I9" s="81"/>
      <c r="J9" s="81"/>
      <c r="K9" s="81"/>
      <c r="L9" s="81"/>
      <c r="M9" s="81"/>
      <c r="N9" s="81"/>
      <c r="O9" s="81"/>
      <c r="P9" s="144"/>
      <c r="Q9" s="20"/>
      <c r="R9" s="230"/>
      <c r="S9" s="20"/>
      <c r="T9" s="20"/>
      <c r="U9" s="20"/>
      <c r="V9" s="20"/>
      <c r="W9" s="20"/>
      <c r="X9" s="20"/>
      <c r="Y9" s="20"/>
      <c r="Z9" s="20"/>
      <c r="AA9" s="20"/>
      <c r="AB9" s="20"/>
      <c r="AC9" s="20"/>
      <c r="AD9" s="20"/>
      <c r="AE9" s="20"/>
      <c r="AF9" s="20"/>
      <c r="AG9" s="20"/>
      <c r="AH9" s="144"/>
      <c r="AI9" s="272" t="s">
        <v>155</v>
      </c>
      <c r="AJ9" s="272" t="s">
        <v>155</v>
      </c>
      <c r="AK9" s="294"/>
      <c r="AL9" s="272" t="s">
        <v>159</v>
      </c>
      <c r="AM9" s="272" t="s">
        <v>159</v>
      </c>
      <c r="AN9" s="294"/>
      <c r="AO9" s="272" t="s">
        <v>157</v>
      </c>
      <c r="AP9" s="272" t="s">
        <v>157</v>
      </c>
      <c r="AQ9" s="144"/>
      <c r="AR9" s="272" t="s">
        <v>161</v>
      </c>
      <c r="AS9" s="272" t="s">
        <v>161</v>
      </c>
      <c r="AT9" s="294"/>
      <c r="AU9" s="272" t="s">
        <v>153</v>
      </c>
      <c r="AV9" s="272" t="s">
        <v>153</v>
      </c>
      <c r="AW9" s="294"/>
      <c r="AX9" s="272" t="s">
        <v>165</v>
      </c>
      <c r="AY9" s="272" t="s">
        <v>165</v>
      </c>
      <c r="AZ9" s="294"/>
      <c r="BA9" s="272" t="s">
        <v>163</v>
      </c>
      <c r="BB9" s="272" t="s">
        <v>163</v>
      </c>
      <c r="BC9" s="144"/>
      <c r="BD9" s="272" t="s">
        <v>1044</v>
      </c>
      <c r="BE9" s="272" t="s">
        <v>1044</v>
      </c>
      <c r="BF9" s="144"/>
      <c r="BG9" s="272" t="s">
        <v>149</v>
      </c>
      <c r="BH9" s="272" t="s">
        <v>149</v>
      </c>
      <c r="BI9" s="144"/>
      <c r="BJ9" s="272" t="s">
        <v>1046</v>
      </c>
      <c r="BK9" s="272" t="s">
        <v>1046</v>
      </c>
      <c r="BL9" s="144"/>
      <c r="BM9" s="272" t="s">
        <v>151</v>
      </c>
      <c r="BN9" s="272" t="s">
        <v>151</v>
      </c>
      <c r="BO9" s="82"/>
      <c r="BP9" s="88"/>
      <c r="BQ9" s="81"/>
      <c r="BR9" s="81"/>
      <c r="BS9" s="81"/>
      <c r="BT9" s="81"/>
      <c r="BU9" s="81"/>
      <c r="BV9" s="81"/>
      <c r="BW9" s="81"/>
      <c r="BX9" s="88"/>
      <c r="BY9" s="56"/>
      <c r="BZ9" s="20"/>
      <c r="CA9" s="281" t="s">
        <v>267</v>
      </c>
      <c r="CB9" s="20"/>
      <c r="CC9" s="272" t="s">
        <v>267</v>
      </c>
    </row>
    <row r="10" spans="1:81" s="24" customFormat="1" x14ac:dyDescent="0.2">
      <c r="A10" s="26"/>
      <c r="B10" s="26"/>
      <c r="C10" s="26"/>
      <c r="D10" s="26"/>
      <c r="E10" s="26"/>
      <c r="F10" s="144"/>
      <c r="G10" s="152"/>
      <c r="H10" s="81"/>
      <c r="I10" s="81"/>
      <c r="J10" s="81"/>
      <c r="K10" s="81"/>
      <c r="L10" s="81"/>
      <c r="M10" s="81"/>
      <c r="N10" s="81"/>
      <c r="O10" s="81"/>
      <c r="P10" s="144"/>
      <c r="Q10" s="20"/>
      <c r="R10" s="230"/>
      <c r="S10" s="20"/>
      <c r="T10" s="20"/>
      <c r="U10" s="20"/>
      <c r="V10" s="20"/>
      <c r="W10" s="20"/>
      <c r="X10" s="20"/>
      <c r="Y10" s="20"/>
      <c r="Z10" s="20"/>
      <c r="AA10" s="20"/>
      <c r="AB10" s="20"/>
      <c r="AC10" s="20"/>
      <c r="AD10" s="20"/>
      <c r="AE10" s="20"/>
      <c r="AF10" s="20"/>
      <c r="AG10" s="20"/>
      <c r="AH10" s="144"/>
      <c r="AI10" s="272" t="s">
        <v>104</v>
      </c>
      <c r="AJ10" s="272" t="s">
        <v>121</v>
      </c>
      <c r="AK10" s="294"/>
      <c r="AL10" s="272" t="s">
        <v>104</v>
      </c>
      <c r="AM10" s="272" t="s">
        <v>121</v>
      </c>
      <c r="AN10" s="294"/>
      <c r="AO10" s="272" t="s">
        <v>104</v>
      </c>
      <c r="AP10" s="272" t="s">
        <v>121</v>
      </c>
      <c r="AQ10" s="144"/>
      <c r="AR10" s="272" t="s">
        <v>104</v>
      </c>
      <c r="AS10" s="272" t="s">
        <v>121</v>
      </c>
      <c r="AT10" s="294"/>
      <c r="AU10" s="272" t="s">
        <v>104</v>
      </c>
      <c r="AV10" s="272" t="s">
        <v>121</v>
      </c>
      <c r="AW10" s="294"/>
      <c r="AX10" s="272" t="s">
        <v>104</v>
      </c>
      <c r="AY10" s="272" t="s">
        <v>121</v>
      </c>
      <c r="AZ10" s="294"/>
      <c r="BA10" s="272" t="s">
        <v>104</v>
      </c>
      <c r="BB10" s="272" t="s">
        <v>121</v>
      </c>
      <c r="BC10" s="144"/>
      <c r="BD10" s="272" t="s">
        <v>104</v>
      </c>
      <c r="BE10" s="272" t="s">
        <v>121</v>
      </c>
      <c r="BF10" s="144"/>
      <c r="BG10" s="272" t="s">
        <v>104</v>
      </c>
      <c r="BH10" s="272" t="s">
        <v>121</v>
      </c>
      <c r="BI10" s="144"/>
      <c r="BJ10" s="272" t="s">
        <v>104</v>
      </c>
      <c r="BK10" s="272" t="s">
        <v>121</v>
      </c>
      <c r="BL10" s="144"/>
      <c r="BM10" s="272" t="s">
        <v>104</v>
      </c>
      <c r="BN10" s="272" t="s">
        <v>121</v>
      </c>
      <c r="BO10" s="82"/>
      <c r="BP10" s="88"/>
      <c r="BQ10" s="81"/>
      <c r="BR10" s="81"/>
      <c r="BS10" s="81"/>
      <c r="BT10" s="81"/>
      <c r="BU10" s="81"/>
      <c r="BV10" s="81"/>
      <c r="BW10" s="81"/>
      <c r="BX10" s="88"/>
      <c r="BY10" s="56"/>
      <c r="BZ10" s="20"/>
      <c r="CA10" s="277"/>
      <c r="CB10" s="20"/>
      <c r="CC10" s="272"/>
    </row>
    <row r="11" spans="1:81" s="24" customFormat="1" x14ac:dyDescent="0.2">
      <c r="A11" s="26"/>
      <c r="B11" s="26"/>
      <c r="C11" s="26"/>
      <c r="D11" s="26"/>
      <c r="E11" s="26"/>
      <c r="F11" s="144" t="s">
        <v>1024</v>
      </c>
      <c r="G11" s="230" t="s">
        <v>205</v>
      </c>
      <c r="H11" s="81" t="s">
        <v>1024</v>
      </c>
      <c r="I11" s="81" t="s">
        <v>1024</v>
      </c>
      <c r="J11" s="81" t="s">
        <v>1024</v>
      </c>
      <c r="K11" s="81" t="s">
        <v>1025</v>
      </c>
      <c r="L11" s="81" t="s">
        <v>1025</v>
      </c>
      <c r="M11" s="81" t="s">
        <v>1024</v>
      </c>
      <c r="N11" s="81" t="s">
        <v>1026</v>
      </c>
      <c r="O11" s="81" t="s">
        <v>1024</v>
      </c>
      <c r="P11" s="144" t="s">
        <v>1024</v>
      </c>
      <c r="Q11" s="20" t="s">
        <v>1024</v>
      </c>
      <c r="R11" s="230" t="s">
        <v>1025</v>
      </c>
      <c r="S11" s="20" t="s">
        <v>1025</v>
      </c>
      <c r="T11" s="20" t="s">
        <v>1024</v>
      </c>
      <c r="U11" s="20" t="s">
        <v>1026</v>
      </c>
      <c r="V11" s="20" t="s">
        <v>1024</v>
      </c>
      <c r="W11" s="20" t="s">
        <v>687</v>
      </c>
      <c r="X11" s="20" t="s">
        <v>687</v>
      </c>
      <c r="Y11" s="20" t="s">
        <v>1024</v>
      </c>
      <c r="Z11" s="20" t="s">
        <v>1024</v>
      </c>
      <c r="AA11" s="20" t="s">
        <v>1024</v>
      </c>
      <c r="AB11" s="20" t="s">
        <v>1024</v>
      </c>
      <c r="AC11" s="20" t="s">
        <v>1024</v>
      </c>
      <c r="AD11" s="20" t="s">
        <v>1024</v>
      </c>
      <c r="AE11" s="20" t="s">
        <v>1024</v>
      </c>
      <c r="AF11" s="20" t="s">
        <v>1024</v>
      </c>
      <c r="AG11" s="20" t="s">
        <v>1024</v>
      </c>
      <c r="AH11" s="144" t="s">
        <v>1024</v>
      </c>
      <c r="AI11" s="56" t="s">
        <v>1024</v>
      </c>
      <c r="AJ11" s="56" t="s">
        <v>1024</v>
      </c>
      <c r="AK11" s="144" t="s">
        <v>687</v>
      </c>
      <c r="AL11" s="97" t="s">
        <v>687</v>
      </c>
      <c r="AM11" s="97" t="s">
        <v>687</v>
      </c>
      <c r="AN11" s="144" t="s">
        <v>687</v>
      </c>
      <c r="AO11" s="97" t="s">
        <v>687</v>
      </c>
      <c r="AP11" s="97" t="s">
        <v>687</v>
      </c>
      <c r="AQ11" s="144" t="s">
        <v>1024</v>
      </c>
      <c r="AR11" s="56" t="s">
        <v>1024</v>
      </c>
      <c r="AS11" s="56" t="s">
        <v>1024</v>
      </c>
      <c r="AT11" s="144" t="s">
        <v>1024</v>
      </c>
      <c r="AU11" s="56" t="s">
        <v>1024</v>
      </c>
      <c r="AV11" s="56" t="s">
        <v>1024</v>
      </c>
      <c r="AW11" s="144" t="s">
        <v>1024</v>
      </c>
      <c r="AX11" s="56" t="s">
        <v>1024</v>
      </c>
      <c r="AY11" s="56" t="s">
        <v>1024</v>
      </c>
      <c r="AZ11" s="144" t="s">
        <v>1024</v>
      </c>
      <c r="BA11" s="56" t="s">
        <v>1024</v>
      </c>
      <c r="BB11" s="56" t="s">
        <v>1024</v>
      </c>
      <c r="BC11" s="144" t="s">
        <v>1024</v>
      </c>
      <c r="BD11" s="56" t="s">
        <v>1024</v>
      </c>
      <c r="BE11" s="56" t="s">
        <v>1024</v>
      </c>
      <c r="BF11" s="144" t="s">
        <v>1024</v>
      </c>
      <c r="BG11" s="56" t="s">
        <v>1024</v>
      </c>
      <c r="BH11" s="56" t="s">
        <v>1024</v>
      </c>
      <c r="BI11" s="144" t="s">
        <v>1024</v>
      </c>
      <c r="BJ11" s="56" t="s">
        <v>1024</v>
      </c>
      <c r="BK11" s="56" t="s">
        <v>1024</v>
      </c>
      <c r="BL11" s="144" t="s">
        <v>1024</v>
      </c>
      <c r="BM11" s="56" t="s">
        <v>1024</v>
      </c>
      <c r="BN11" s="56" t="s">
        <v>1024</v>
      </c>
      <c r="BO11" s="82" t="s">
        <v>1024</v>
      </c>
      <c r="BP11" s="88" t="s">
        <v>1024</v>
      </c>
      <c r="BQ11" s="81" t="s">
        <v>1024</v>
      </c>
      <c r="BR11" s="81" t="s">
        <v>1024</v>
      </c>
      <c r="BS11" s="81" t="s">
        <v>1024</v>
      </c>
      <c r="BT11" s="81" t="s">
        <v>1025</v>
      </c>
      <c r="BU11" s="81" t="s">
        <v>1025</v>
      </c>
      <c r="BV11" s="81" t="s">
        <v>1024</v>
      </c>
      <c r="BW11" s="81" t="s">
        <v>1026</v>
      </c>
      <c r="BX11" s="88" t="s">
        <v>1024</v>
      </c>
      <c r="BY11" s="56" t="s">
        <v>1024</v>
      </c>
      <c r="BZ11" s="20" t="s">
        <v>1024</v>
      </c>
      <c r="CA11" s="82" t="s">
        <v>1025</v>
      </c>
      <c r="CB11" s="20" t="s">
        <v>1025</v>
      </c>
      <c r="CC11" s="56" t="s">
        <v>1025</v>
      </c>
    </row>
    <row r="12" spans="1:81" s="24" customFormat="1" x14ac:dyDescent="0.2">
      <c r="A12" s="26"/>
      <c r="B12" s="26"/>
      <c r="C12" s="26"/>
      <c r="D12" s="26"/>
      <c r="E12" s="26"/>
      <c r="F12" s="144" t="s">
        <v>201</v>
      </c>
      <c r="G12" s="230" t="s">
        <v>686</v>
      </c>
      <c r="H12" s="81" t="s">
        <v>201</v>
      </c>
      <c r="I12" s="81" t="s">
        <v>201</v>
      </c>
      <c r="J12" s="81" t="s">
        <v>201</v>
      </c>
      <c r="K12" s="81" t="s">
        <v>685</v>
      </c>
      <c r="L12" s="81" t="s">
        <v>685</v>
      </c>
      <c r="M12" s="81" t="s">
        <v>201</v>
      </c>
      <c r="N12" s="81" t="s">
        <v>686</v>
      </c>
      <c r="O12" s="81" t="s">
        <v>201</v>
      </c>
      <c r="P12" s="144" t="s">
        <v>201</v>
      </c>
      <c r="Q12" s="20" t="s">
        <v>201</v>
      </c>
      <c r="R12" s="230" t="s">
        <v>685</v>
      </c>
      <c r="S12" s="20" t="s">
        <v>685</v>
      </c>
      <c r="T12" s="20" t="s">
        <v>201</v>
      </c>
      <c r="U12" s="20" t="s">
        <v>686</v>
      </c>
      <c r="V12" s="20" t="s">
        <v>201</v>
      </c>
      <c r="W12" s="20" t="s">
        <v>201</v>
      </c>
      <c r="X12" s="20" t="s">
        <v>201</v>
      </c>
      <c r="Y12" s="20" t="s">
        <v>201</v>
      </c>
      <c r="Z12" s="20" t="s">
        <v>201</v>
      </c>
      <c r="AA12" s="20" t="s">
        <v>201</v>
      </c>
      <c r="AB12" s="20" t="s">
        <v>201</v>
      </c>
      <c r="AC12" s="20" t="s">
        <v>201</v>
      </c>
      <c r="AD12" s="20" t="s">
        <v>201</v>
      </c>
      <c r="AE12" s="20" t="s">
        <v>201</v>
      </c>
      <c r="AF12" s="20" t="s">
        <v>201</v>
      </c>
      <c r="AG12" s="20" t="s">
        <v>201</v>
      </c>
      <c r="AH12" s="144" t="s">
        <v>201</v>
      </c>
      <c r="AI12" s="56" t="s">
        <v>201</v>
      </c>
      <c r="AJ12" s="56" t="s">
        <v>201</v>
      </c>
      <c r="AK12" s="144" t="s">
        <v>201</v>
      </c>
      <c r="AL12" s="56" t="s">
        <v>201</v>
      </c>
      <c r="AM12" s="56" t="s">
        <v>201</v>
      </c>
      <c r="AN12" s="144" t="s">
        <v>201</v>
      </c>
      <c r="AO12" s="56" t="s">
        <v>201</v>
      </c>
      <c r="AP12" s="56" t="s">
        <v>201</v>
      </c>
      <c r="AQ12" s="144" t="s">
        <v>201</v>
      </c>
      <c r="AR12" s="56" t="s">
        <v>201</v>
      </c>
      <c r="AS12" s="56" t="s">
        <v>201</v>
      </c>
      <c r="AT12" s="144" t="s">
        <v>201</v>
      </c>
      <c r="AU12" s="56" t="s">
        <v>201</v>
      </c>
      <c r="AV12" s="56" t="s">
        <v>201</v>
      </c>
      <c r="AW12" s="144" t="s">
        <v>201</v>
      </c>
      <c r="AX12" s="56" t="s">
        <v>201</v>
      </c>
      <c r="AY12" s="56" t="s">
        <v>201</v>
      </c>
      <c r="AZ12" s="144" t="s">
        <v>201</v>
      </c>
      <c r="BA12" s="56" t="s">
        <v>201</v>
      </c>
      <c r="BB12" s="56" t="s">
        <v>201</v>
      </c>
      <c r="BC12" s="144" t="s">
        <v>201</v>
      </c>
      <c r="BD12" s="56" t="s">
        <v>201</v>
      </c>
      <c r="BE12" s="56" t="s">
        <v>201</v>
      </c>
      <c r="BF12" s="144" t="s">
        <v>201</v>
      </c>
      <c r="BG12" s="56" t="s">
        <v>201</v>
      </c>
      <c r="BH12" s="56" t="s">
        <v>201</v>
      </c>
      <c r="BI12" s="144" t="s">
        <v>201</v>
      </c>
      <c r="BJ12" s="56" t="s">
        <v>201</v>
      </c>
      <c r="BK12" s="56" t="s">
        <v>201</v>
      </c>
      <c r="BL12" s="144" t="s">
        <v>201</v>
      </c>
      <c r="BM12" s="56" t="s">
        <v>201</v>
      </c>
      <c r="BN12" s="56" t="s">
        <v>201</v>
      </c>
      <c r="BO12" s="82" t="s">
        <v>201</v>
      </c>
      <c r="BP12" s="88" t="s">
        <v>201</v>
      </c>
      <c r="BQ12" s="81" t="s">
        <v>201</v>
      </c>
      <c r="BR12" s="81" t="s">
        <v>201</v>
      </c>
      <c r="BS12" s="81" t="s">
        <v>201</v>
      </c>
      <c r="BT12" s="81" t="s">
        <v>685</v>
      </c>
      <c r="BU12" s="81" t="s">
        <v>685</v>
      </c>
      <c r="BV12" s="81" t="s">
        <v>201</v>
      </c>
      <c r="BW12" s="81" t="s">
        <v>686</v>
      </c>
      <c r="BX12" s="88" t="s">
        <v>201</v>
      </c>
      <c r="BY12" s="56" t="s">
        <v>201</v>
      </c>
      <c r="BZ12" s="20" t="s">
        <v>201</v>
      </c>
      <c r="CA12" s="82" t="s">
        <v>201</v>
      </c>
      <c r="CB12" s="20" t="s">
        <v>201</v>
      </c>
      <c r="CC12" s="56" t="s">
        <v>201</v>
      </c>
    </row>
    <row r="13" spans="1:81" s="24" customFormat="1" x14ac:dyDescent="0.2">
      <c r="A13" s="26"/>
      <c r="B13" s="26"/>
      <c r="C13" s="26"/>
      <c r="D13" s="26"/>
      <c r="E13" s="26"/>
      <c r="F13" s="144"/>
      <c r="G13" s="152"/>
      <c r="H13" s="81"/>
      <c r="I13" s="81"/>
      <c r="J13" s="81"/>
      <c r="K13" s="81"/>
      <c r="L13" s="81"/>
      <c r="M13" s="81"/>
      <c r="N13" s="81"/>
      <c r="O13" s="81"/>
      <c r="P13" s="144"/>
      <c r="Q13" s="20"/>
      <c r="R13" s="230"/>
      <c r="S13" s="20"/>
      <c r="T13" s="20"/>
      <c r="U13" s="20"/>
      <c r="V13" s="20"/>
      <c r="W13" s="20"/>
      <c r="X13" s="20"/>
      <c r="Y13" s="20"/>
      <c r="Z13" s="20"/>
      <c r="AA13" s="20"/>
      <c r="AB13" s="20"/>
      <c r="AC13" s="20"/>
      <c r="AD13" s="20"/>
      <c r="AE13" s="20"/>
      <c r="AF13" s="20"/>
      <c r="AG13" s="20"/>
      <c r="AH13" s="144"/>
      <c r="AI13" s="56"/>
      <c r="AJ13" s="56"/>
      <c r="AK13" s="144"/>
      <c r="AL13" s="56"/>
      <c r="AM13" s="56"/>
      <c r="AN13" s="144"/>
      <c r="AO13" s="56"/>
      <c r="AP13" s="56"/>
      <c r="AQ13" s="144"/>
      <c r="AR13" s="56"/>
      <c r="AS13" s="56"/>
      <c r="AT13" s="144"/>
      <c r="AU13" s="56"/>
      <c r="AV13" s="56"/>
      <c r="AW13" s="144"/>
      <c r="AX13" s="56"/>
      <c r="AY13" s="56"/>
      <c r="AZ13" s="144"/>
      <c r="BA13" s="56"/>
      <c r="BB13" s="56"/>
      <c r="BC13" s="144"/>
      <c r="BD13" s="56"/>
      <c r="BE13" s="56"/>
      <c r="BF13" s="144"/>
      <c r="BG13" s="56"/>
      <c r="BH13" s="56"/>
      <c r="BI13" s="144"/>
      <c r="BJ13" s="56"/>
      <c r="BK13" s="56"/>
      <c r="BL13" s="144"/>
      <c r="BM13" s="56"/>
      <c r="BN13" s="56"/>
      <c r="BO13" s="82"/>
      <c r="BP13" s="88"/>
      <c r="BQ13" s="81"/>
      <c r="BR13" s="81"/>
      <c r="BS13" s="81"/>
      <c r="BT13" s="81"/>
      <c r="BU13" s="81"/>
      <c r="BV13" s="81"/>
      <c r="BW13" s="81"/>
      <c r="BX13" s="88"/>
      <c r="BY13" s="56"/>
      <c r="BZ13" s="20"/>
      <c r="CA13" s="82"/>
      <c r="CB13" s="20"/>
      <c r="CC13" s="56"/>
    </row>
    <row r="14" spans="1:81" s="24" customFormat="1" x14ac:dyDescent="0.2">
      <c r="A14" s="36" t="s">
        <v>583</v>
      </c>
      <c r="B14" s="36" t="s">
        <v>5</v>
      </c>
      <c r="C14" s="38" t="s">
        <v>35</v>
      </c>
      <c r="D14" s="38" t="s">
        <v>6</v>
      </c>
      <c r="E14" s="38" t="s">
        <v>75</v>
      </c>
      <c r="F14" s="317" t="s">
        <v>497</v>
      </c>
      <c r="G14" s="231" t="s">
        <v>1080</v>
      </c>
      <c r="H14" s="159" t="s">
        <v>513</v>
      </c>
      <c r="I14" s="159" t="s">
        <v>336</v>
      </c>
      <c r="J14" s="159" t="s">
        <v>338</v>
      </c>
      <c r="K14" s="159" t="s">
        <v>367</v>
      </c>
      <c r="L14" s="159" t="s">
        <v>369</v>
      </c>
      <c r="M14" s="159" t="s">
        <v>365</v>
      </c>
      <c r="N14" s="159" t="s">
        <v>371</v>
      </c>
      <c r="O14" s="159" t="s">
        <v>569</v>
      </c>
      <c r="P14" s="317" t="s">
        <v>340</v>
      </c>
      <c r="Q14" s="192" t="s">
        <v>341</v>
      </c>
      <c r="R14" s="192" t="s">
        <v>346</v>
      </c>
      <c r="S14" s="192" t="s">
        <v>347</v>
      </c>
      <c r="T14" s="192" t="s">
        <v>345</v>
      </c>
      <c r="U14" s="192" t="s">
        <v>348</v>
      </c>
      <c r="V14" s="192" t="s">
        <v>342</v>
      </c>
      <c r="W14" s="192" t="s">
        <v>343</v>
      </c>
      <c r="X14" s="192" t="s">
        <v>344</v>
      </c>
      <c r="Y14" s="192" t="s">
        <v>349</v>
      </c>
      <c r="Z14" s="192" t="s">
        <v>350</v>
      </c>
      <c r="AA14" s="192" t="s">
        <v>351</v>
      </c>
      <c r="AB14" s="192" t="s">
        <v>352</v>
      </c>
      <c r="AC14" s="192" t="s">
        <v>905</v>
      </c>
      <c r="AD14" s="192" t="s">
        <v>353</v>
      </c>
      <c r="AE14" s="192" t="s">
        <v>1000</v>
      </c>
      <c r="AF14" s="192" t="s">
        <v>354</v>
      </c>
      <c r="AG14" s="192" t="s">
        <v>355</v>
      </c>
      <c r="AH14" s="317" t="s">
        <v>356</v>
      </c>
      <c r="AI14" s="76" t="s">
        <v>357</v>
      </c>
      <c r="AJ14" s="155" t="s">
        <v>358</v>
      </c>
      <c r="AK14" s="317" t="s">
        <v>359</v>
      </c>
      <c r="AL14" s="76" t="s">
        <v>360</v>
      </c>
      <c r="AM14" s="155" t="s">
        <v>361</v>
      </c>
      <c r="AN14" s="317" t="s">
        <v>362</v>
      </c>
      <c r="AO14" s="76" t="s">
        <v>363</v>
      </c>
      <c r="AP14" s="155" t="s">
        <v>364</v>
      </c>
      <c r="AQ14" s="317" t="s">
        <v>373</v>
      </c>
      <c r="AR14" s="76" t="s">
        <v>374</v>
      </c>
      <c r="AS14" s="155" t="s">
        <v>375</v>
      </c>
      <c r="AT14" s="317" t="s">
        <v>376</v>
      </c>
      <c r="AU14" s="76" t="s">
        <v>377</v>
      </c>
      <c r="AV14" s="155" t="s">
        <v>378</v>
      </c>
      <c r="AW14" s="317" t="s">
        <v>379</v>
      </c>
      <c r="AX14" s="76" t="s">
        <v>380</v>
      </c>
      <c r="AY14" s="155" t="s">
        <v>381</v>
      </c>
      <c r="AZ14" s="317" t="s">
        <v>382</v>
      </c>
      <c r="BA14" s="76" t="s">
        <v>383</v>
      </c>
      <c r="BB14" s="155" t="s">
        <v>384</v>
      </c>
      <c r="BC14" s="317" t="s">
        <v>1001</v>
      </c>
      <c r="BD14" s="76" t="s">
        <v>906</v>
      </c>
      <c r="BE14" s="155" t="s">
        <v>907</v>
      </c>
      <c r="BF14" s="317" t="s">
        <v>385</v>
      </c>
      <c r="BG14" s="76" t="s">
        <v>386</v>
      </c>
      <c r="BH14" s="155" t="s">
        <v>387</v>
      </c>
      <c r="BI14" s="317" t="s">
        <v>911</v>
      </c>
      <c r="BJ14" s="76" t="s">
        <v>912</v>
      </c>
      <c r="BK14" s="155" t="s">
        <v>913</v>
      </c>
      <c r="BL14" s="317" t="s">
        <v>388</v>
      </c>
      <c r="BM14" s="76" t="s">
        <v>389</v>
      </c>
      <c r="BN14" s="155" t="s">
        <v>390</v>
      </c>
      <c r="BO14" s="157" t="s">
        <v>391</v>
      </c>
      <c r="BP14" s="155" t="s">
        <v>392</v>
      </c>
      <c r="BQ14" s="76" t="s">
        <v>393</v>
      </c>
      <c r="BR14" s="76" t="s">
        <v>337</v>
      </c>
      <c r="BS14" s="76" t="s">
        <v>339</v>
      </c>
      <c r="BT14" s="76" t="s">
        <v>368</v>
      </c>
      <c r="BU14" s="76" t="s">
        <v>370</v>
      </c>
      <c r="BV14" s="76" t="s">
        <v>366</v>
      </c>
      <c r="BW14" s="76" t="s">
        <v>372</v>
      </c>
      <c r="BX14" s="155" t="s">
        <v>394</v>
      </c>
      <c r="BY14" s="155" t="s">
        <v>395</v>
      </c>
      <c r="BZ14" s="192" t="s">
        <v>396</v>
      </c>
      <c r="CA14" s="157" t="s">
        <v>696</v>
      </c>
      <c r="CB14" s="192" t="s">
        <v>397</v>
      </c>
      <c r="CC14" s="155" t="s">
        <v>398</v>
      </c>
    </row>
    <row r="15" spans="1:81" s="24" customFormat="1" x14ac:dyDescent="0.2">
      <c r="A15" s="26"/>
      <c r="B15" s="26"/>
      <c r="C15" s="26"/>
      <c r="D15" s="26"/>
      <c r="E15" s="26" t="str">
        <f>B15&amp;"|"&amp;C15&amp;"|"&amp;D15</f>
        <v>||</v>
      </c>
      <c r="F15" s="144" t="str" cm="1">
        <f t="array" ref="F15">IFERROR(1/(1/IF($C15="50+",SUM(SUMIFS(Cascade!$BU:$BU,Cascade!$B:$B,$B15,Cascade!$C:$C,{"50-54","55-59","60-64","65+"},Cascade!$D:$D,$D15)),INDEX(Cascade!$BU:$BU,MATCH($E15,Cascade!$E:$E,0)))),"")</f>
        <v/>
      </c>
      <c r="G15" s="230" t="str" cm="1">
        <f t="array" ref="G15">IFERROR(1/(1/IF($C15="50+",SUM(SUMIFS(Cascade!$AL:$AL,Cascade!$B:$B,$B15,Cascade!$C:$C,{"50-54","55-59","60-64","65+"},Cascade!$D:$D,$D15)),INDEX(Cascade!$AL:$AL,MATCH($E15,Cascade!$E:$E,0)))),"")</f>
        <v/>
      </c>
      <c r="H15" s="102" t="str" cm="1">
        <f t="array" ref="H15">IFERROR(1/(1/IF($C15="50+",SUM(SUMIFS(Cascade!$CB:$CB,Cascade!$B:$B,$B15,Cascade!$C:$C,{"50-54","55-59","60-64","65+"},Cascade!$D:$D,$D15)),INDEX(Cascade!$CB:$CB,MATCH($E15,Cascade!$E:$E,0)))),"")</f>
        <v/>
      </c>
      <c r="I15" s="102" t="str" cm="1">
        <f t="array" ref="I15">IFERROR(1/(1/IF($C15="50+",SUM(SUMIFS(Cascade!$CT:$CT,Cascade!$B:$B,$B15,Cascade!$C:$C,{"50-54","55-59","60-64","65+"},Cascade!$D:$D,$D15)),INDEX(Cascade!$CT:$CT,MATCH($E15,Cascade!$E:$E,0)))),"")</f>
        <v/>
      </c>
      <c r="J15" s="102" t="str" cm="1">
        <f t="array" ref="J15">IFERROR(1/(1/IF($C15="50+",SUM(SUMIFS(Cascade!$CV:$CV,Cascade!$B:$B,$B15,Cascade!$C:$C,{"50-54","55-59","60-64","65+"},Cascade!$D:$D,$D15)),INDEX(Cascade!$CV:$CV,MATCH($E15,Cascade!$E:$E,0)))),"")</f>
        <v/>
      </c>
      <c r="K15" s="102" t="str" cm="1">
        <f t="array" ref="K15">IFERROR(1/(1/IF($C15="50+",SUM(SUMIFS(PMTCT!$AF:$AF,PMTCT!$B:$B,$B15,PMTCT!$C:$C,{"50-54","55-59","60-64","65+"},PMTCT!$D:$D,$D15)),INDEX(PMTCT!$AF:$AF,MATCH($E15,PMTCT!$E:$E,0)))),"")</f>
        <v/>
      </c>
      <c r="L15" s="102" t="str" cm="1">
        <f t="array" ref="L15">IFERROR(1/(1/IF($C15="50+",SUM(SUMIFS(PMTCT!$AV:$AV,PMTCT!$B:$B,$B15,PMTCT!$C:$C,{"50-54","55-59","60-64","65+"},PMTCT!$D:$D,$D15)),INDEX(PMTCT!$AV:$AV,MATCH($E15,PMTCT!$E:$E,0)))),"")</f>
        <v/>
      </c>
      <c r="M15" s="102" t="str" cm="1">
        <f t="array" ref="M15">IFERROR(1/(1/IF($C15="50+",SUM(SUMIFS(TB!$Q:$Q,TB!$B:$B,$B15,TB!$C:$C,{"50-54","55-59","60-64","65+"},TB!$D:$D,$D15)),INDEX(TB!$Q:$Q,MATCH($E15,TB!$E:$E,0)))),"")</f>
        <v/>
      </c>
      <c r="N15" s="102" t="str" cm="1">
        <f t="array" ref="N15">IFERROR(1/(1/IF($C15="50+",SUM(SUMIFS(VMMC!$AC:$AC,VMMC!$B:$B,$B15,VMMC!$C:$C,{"50-54","55-59","60-64","65+"},VMMC!$D:$D,$D15)),INDEX(VMMC!$AC:$AC,MATCH($E15,VMMC!$E:$E,0)))),"")</f>
        <v/>
      </c>
      <c r="O15" s="102" t="str" cm="1">
        <f t="array" ref="O15">IFERROR(1/(1/IF($C15="50+",SUM(SUMIFS(Cascade!$CI:$CI,Cascade!$B:$B,$B15,Cascade!$C:$C,{"50-54","55-59","60-64","65+"},Cascade!$D:$D,$D15)),INDEX(Cascade!$CI:$CI,MATCH($E15,Cascade!$E:$E,0)))),"")</f>
        <v/>
      </c>
      <c r="P15" s="144" t="str">
        <f>IF(OR(SUM($I15)=0,SUM($H15)=0),"",SUM($I15)/SUM($H15))</f>
        <v/>
      </c>
      <c r="Q15" s="230" t="str">
        <f>IF(OR(SUM($J15)=0,SUM($H15)=0),"",SUM($J15)/SUM($H15))</f>
        <v/>
      </c>
      <c r="R15" s="230" t="str">
        <f>IF(OR(SUM($H15)=0,SUM($K15)=0),"",SUM($K15)/SUM($H15))</f>
        <v/>
      </c>
      <c r="S15" s="230" t="str">
        <f>IF(OR(SUM($H15)=0,SUM($L15)=0),"",SUM($L15)/SUM($H15))</f>
        <v/>
      </c>
      <c r="T15" s="230" t="str">
        <f>IF(OR(SUM($H15)=0,SUM($M15)=0),"",SUM($M15)/SUM($H15))</f>
        <v/>
      </c>
      <c r="U15" s="230" t="str">
        <f>IF(OR(SUM($H15)=0,SUM($N15)=0),"",SUM($N15)/SUM($H15))</f>
        <v/>
      </c>
      <c r="V15" s="20"/>
      <c r="W15" s="20"/>
      <c r="X15" s="20"/>
      <c r="Y15" s="20"/>
      <c r="Z15" s="20"/>
      <c r="AA15" s="20"/>
      <c r="AB15" s="20"/>
      <c r="AC15" s="20"/>
      <c r="AD15" s="20"/>
      <c r="AE15" s="20"/>
      <c r="AF15" s="20"/>
      <c r="AG15" s="20" t="str">
        <f>IF(SUM($H15)=0,"",SUM($P15:$AF15))</f>
        <v/>
      </c>
      <c r="AH15" s="144"/>
      <c r="AI15" s="56" t="str">
        <f>IF(OR(SUM($V15)=0,SUM($H15)=0),"",ROUND($H15*$V15,0))</f>
        <v/>
      </c>
      <c r="AJ15" s="56" t="str">
        <f>IF($AI15="","",IF(SUM($AH15)=0,"ENTER VALID YIELD!",ROUND($AI15/$AH15,0)-$AI15))</f>
        <v/>
      </c>
      <c r="AK15" s="144"/>
      <c r="AL15" s="56" t="str">
        <f>IF(OR(SUM($W15)=0,SUM($H15)=0),"",ROUND($H15*$W15,0))</f>
        <v/>
      </c>
      <c r="AM15" s="56" t="str">
        <f>IF($AL15="","",IF(SUM($AK15)=0,"ENTER VALID YIELD!",ROUND($AL15/$AK15,0)-$AL15))</f>
        <v/>
      </c>
      <c r="AN15" s="144"/>
      <c r="AO15" s="56" t="str">
        <f>IF(OR(SUM($X15)=0,SUM($H15)=0),"",ROUND($H15*$X15,0))</f>
        <v/>
      </c>
      <c r="AP15" s="56" t="str">
        <f>IF($AO15="","",IF(SUM($AN15)=0,"ENTER VALID YIELD!",ROUND($AO15/$AN15,0)-$AO15))</f>
        <v/>
      </c>
      <c r="AQ15" s="144"/>
      <c r="AR15" s="56" t="str">
        <f>IF(OR(SUM($Y15)=0,SUM($H15)=0),"",ROUND($H15*$Y15,0))</f>
        <v/>
      </c>
      <c r="AS15" s="56" t="str">
        <f>IF($AR15="","",IF(SUM($AQ15)=0,"ENTER VALID YIELD!",ROUND($AR15/$AQ15,0)-$AR15))</f>
        <v/>
      </c>
      <c r="AT15" s="144"/>
      <c r="AU15" s="56" t="str">
        <f>IF(OR(SUM($Z15)=0,SUM($H15)=0),"",ROUND($H15*$Z15,0))</f>
        <v/>
      </c>
      <c r="AV15" s="56" t="str">
        <f>IF($AU15="","",IF(SUM($AT15)=0,"ENTER VALID YIELD!",ROUND($AU15/$AT15,0)-$AU15))</f>
        <v/>
      </c>
      <c r="AW15" s="144"/>
      <c r="AX15" s="56" t="str">
        <f>IF(OR(SUM($AA15)=0,SUM($H15)=0),"",ROUND($H15*$AA15,0))</f>
        <v/>
      </c>
      <c r="AY15" s="56" t="str">
        <f>IF($AX15="","",IF(SUM($AW15)=0,"ENTER VALID YIELD!",ROUND($AX15/$AW15,0)-$AX15))</f>
        <v/>
      </c>
      <c r="AZ15" s="144"/>
      <c r="BA15" s="56" t="str">
        <f>IF(OR(SUM($AB15)=0,SUM($H15)=0),"",ROUND($H15*$AB15,0))</f>
        <v/>
      </c>
      <c r="BB15" s="56" t="str">
        <f>IF($BA15="","",IF(SUM($AZ15)=0,"ENTER VALID YIELD!",ROUND($BA15/$AZ15,0)-$BA15))</f>
        <v/>
      </c>
      <c r="BC15" s="144" t="str">
        <f>IF(OR(SUM($H15)=0,SUM($AC15)=0),"",5%)</f>
        <v/>
      </c>
      <c r="BD15" s="56" t="str">
        <f>IF(OR(SUM($AC15)=0,SUM($H15)=0),"",ROUND($H15*$AC15,0))</f>
        <v/>
      </c>
      <c r="BE15" s="56" t="str">
        <f>IF($BD15="","",IF(SUM($BC15)=0,"ENTER VALID YIELD!",ROUND($BD15/$BC15,0)-$BD15))</f>
        <v/>
      </c>
      <c r="BF15" s="144"/>
      <c r="BG15" s="56" t="str">
        <f>IF(OR(SUM($AD15)=0,SUM($H15)=0),"",ROUND($H15*$AD15,0))</f>
        <v/>
      </c>
      <c r="BH15" s="56" t="str">
        <f>IF($BG15="","",IF(SUM($BF15)=0,"ENTER VALID YIELD!",ROUND($BG15/$BF15,0)-$BG15))</f>
        <v/>
      </c>
      <c r="BI15" s="144" t="str">
        <f>IF(OR(SUM($H15)=0,SUM($AE15)=0),"",5%)</f>
        <v/>
      </c>
      <c r="BJ15" s="56" t="str">
        <f>IF(OR(SUM($AE15)=0,SUM($H15)=0),"",ROUND($H15*$AE15,0))</f>
        <v/>
      </c>
      <c r="BK15" s="56" t="str">
        <f>IF($BJ15="","",IF(SUM($BI15)=0,"ENTER VALID YIELD!",ROUND($BJ15/$BI15,0)-$BJ15))</f>
        <v/>
      </c>
      <c r="BL15" s="144"/>
      <c r="BM15" s="56" t="str">
        <f>IF(OR(SUM($AF15)=0,SUM($H15)=0),"",ROUND($H15*$AF15,0))</f>
        <v/>
      </c>
      <c r="BN15" s="56" t="str">
        <f>IF($BM15="","",IF(SUM($BL15)=0,"ENTER VALID YIELD!",ROUND($BM15/$BL15,0)-$BM15))</f>
        <v/>
      </c>
      <c r="BO15" s="96" t="str">
        <f>IF(SUM($H15)=0,"",$H15)</f>
        <v/>
      </c>
      <c r="BP15" s="199" t="str">
        <f>IF(SUM($H15)=0,"",SUM($I15:$N15,$AI15,$AL15,$AO15,$AR15,$AU15,$AX15,$BA15,$BD15,$BG15,$BJ15,$BM15))</f>
        <v/>
      </c>
      <c r="BQ15" s="102" t="str">
        <f>IF(AND(SUM($BP15)=0,SUM($BO15)=0),"",SUM($BP15)-SUM($BO15))</f>
        <v/>
      </c>
      <c r="BR15" s="102" t="str" cm="1">
        <f t="array" ref="BR15">IFERROR(1/(1/IF($C15="50+",SUM(SUMIFS(Cascade!$CU:$CU,Cascade!$B:$B,$B15,Cascade!$C:$C,{"50-54","55-59","60-64","65+"},Cascade!$D:$D,$D15)),INDEX(Cascade!$CU:$CU,MATCH($E15,Cascade!$E:$E,0)))),"")</f>
        <v/>
      </c>
      <c r="BS15" s="102" t="str" cm="1">
        <f t="array" ref="BS15">IFERROR(1/(1/IF($C15="50+",SUM(SUMIFS(Cascade!$CW:$CW,Cascade!$B:$B,$B15,Cascade!$C:$C,{"50-54","55-59","60-64","65+"},Cascade!$D:$D,$D15)),INDEX(Cascade!$CW:$CW,MATCH($E15,Cascade!$E:$E,0)))),"")</f>
        <v/>
      </c>
      <c r="BT15" s="102" t="str" cm="1">
        <f t="array" ref="BT15">IFERROR(1/(1/IF($C15="50+",SUM(SUMIFS(PMTCT!$AG:$AG,PMTCT!$B:$B,$B15,PMTCT!$C:$C,{"50-54","55-59","60-64","65+"},PMTCT!$D:$D,$D15)),INDEX(PMTCT!$AG:$AG,MATCH($E15,PMTCT!$E:$E,0)))),"")</f>
        <v/>
      </c>
      <c r="BU15" s="102" t="str" cm="1">
        <f t="array" ref="BU15">IFERROR(1/(1/IF($C15="50+",SUM(SUMIFS(PMTCT!$AW:$AW,PMTCT!$B:$B,$B15,PMTCT!$C:$C,{"50-54","55-59","60-64","65+"},PMTCT!$D:$D,$D15)),INDEX(PMTCT!$AW:$AW,MATCH($E15,PMTCT!$E:$E,0)))),"")</f>
        <v/>
      </c>
      <c r="BV15" s="102" t="str" cm="1">
        <f t="array" ref="BV15">IFERROR(1/(1/IF($C15="50+",SUM(SUMIFS(TB!$R:$R,TB!$B:$B,$B15,TB!$C:$C,{"50-54","55-59","60-64","65+"},TB!$D:$D,$D15)),INDEX(TB!$R:$R,MATCH($E15,TB!$E:$E,0)))),"")</f>
        <v/>
      </c>
      <c r="BW15" s="102" t="str" cm="1">
        <f t="array" ref="BW15">IFERROR(1/(1/IF($C15="50+",SUM(SUMIFS(VMMC!$AD:$AD,VMMC!$B:$B,$B15,VMMC!$C:$C,{"50-54","55-59","60-64","65+"},VMMC!$D:$D,$D15)),INDEX(VMMC!$AD:$AD,MATCH($E15,VMMC!$E:$E,0)))),"")</f>
        <v/>
      </c>
      <c r="BX15" s="199" t="str">
        <f>IFERROR(1/(1/SUM($AJ15,$AM15,$AP15,$AS15,$AV15,$AY15,$BB15,$BE15,$BH15,$BK15,$BN15,$BR15:$BW15)),"")</f>
        <v/>
      </c>
      <c r="BY15" s="199" t="str">
        <f>IFERROR(1/(1/SUM($BX15,$BP15)),"")</f>
        <v/>
      </c>
      <c r="BZ15" s="20" t="str">
        <f>IF(AND(SUM($BP15)=0,SUM($BY15)=0),"",$BP15/$BY15)</f>
        <v/>
      </c>
      <c r="CA15" s="82"/>
      <c r="CB15" s="20" t="str">
        <f>IF(OR($C15="01-04",$C15="05-09",SUM($CA15)=0),"",0%)</f>
        <v/>
      </c>
      <c r="CC15" s="56" t="str">
        <f>IF(OR($C15="01-04",$C15="05-09",SUM($CA15)=0),"",ROUND($CA15*(1+$CB15),0))</f>
        <v/>
      </c>
    </row>
  </sheetData>
  <mergeCells count="1">
    <mergeCell ref="A2:B3"/>
  </mergeCells>
  <conditionalFormatting sqref="N1:N1048576 U1:U1048576 BW1:BW1048576">
    <cfRule type="expression" dxfId="149" priority="25">
      <formula>OR($D1="Female",$C1="01-04",$C1="05-09",$C1="10-14")</formula>
    </cfRule>
  </conditionalFormatting>
  <conditionalFormatting sqref="W1:X1048576 AK1:AP1048576">
    <cfRule type="expression" dxfId="148" priority="355">
      <formula>AND(ROW(W1)&gt;14,$B1&lt;&gt;"",$C1&lt;&gt;"01-04")</formula>
    </cfRule>
  </conditionalFormatting>
  <conditionalFormatting sqref="CA1:CC1048576">
    <cfRule type="expression" dxfId="147" priority="197">
      <formula>OR($C1="01-04",$C1="05-09")</formula>
    </cfRule>
  </conditionalFormatting>
  <conditionalFormatting sqref="K1:L1048576 R1:S1048576 BT1:BU1048576">
    <cfRule type="expression" dxfId="146" priority="34">
      <formula>OR($D1="Male",$C1="01-04",$C1="05-09")</formula>
    </cfRule>
  </conditionalFormatting>
  <conditionalFormatting sqref="BQ1:BQ1048576">
    <cfRule type="expression" dxfId="145" priority="680">
      <formula>AND(ISNUMBER($BQ1),ROUND(SUM($BQ1),0)&lt;&gt;0)</formula>
    </cfRule>
  </conditionalFormatting>
  <conditionalFormatting sqref="AH1:AH1048576 AQ1:AQ1048576 AT1:AT1048576 AW1:AW1048576 AZ1:AZ1048576">
    <cfRule type="expression" dxfId="144" priority="30">
      <formula>AND(ISNUMBER(AH1),OR(AND($F1&gt;=0.7,ROUND(AH1,2)&lt;0.1),AND($F1&lt;0.7,ROUND(AH1,2)&lt;0.05)))</formula>
    </cfRule>
  </conditionalFormatting>
  <conditionalFormatting sqref="AJ1:AJ1048576 AM1:AM1048576 AP1:AP1048576 AS1:AS1048576 AV1:AV1048576 AY1:AY1048576 BB1:BB1048576 BH1:BH1048576 BN1:BN1048576 BK1:BK1048576 BE1:BE1048576">
    <cfRule type="containsText" dxfId="143" priority="26" operator="containsText" text="ENTER YIELD!">
      <formula>NOT(ISERROR(SEARCH("ENTER YIELD!",AJ1)))</formula>
    </cfRule>
  </conditionalFormatting>
  <conditionalFormatting sqref="AF1:AF1048576">
    <cfRule type="expression" dxfId="142" priority="2165">
      <formula>AND(ISNUMBER($AF1),ROUND(SUM($F1),2)&gt;=80%,(SUM($H1)*SUM($AF1))&gt;0)</formula>
    </cfRule>
  </conditionalFormatting>
  <conditionalFormatting sqref="P1:AG1048576">
    <cfRule type="expression" dxfId="141" priority="2168">
      <formula>AND(ISNUMBER($AG1),ROUND($AG1,2)&lt;&gt;1,ROUND($H1,0)&lt;&gt;0)</formula>
    </cfRule>
  </conditionalFormatting>
  <conditionalFormatting sqref="BM1:BN1048576">
    <cfRule type="expression" dxfId="140" priority="2170">
      <formula>AND(ISNUMBER(BM1),SUM($F1)&gt;=80%,SUM(BM1)&gt;0)</formula>
    </cfRule>
  </conditionalFormatting>
  <conditionalFormatting sqref="F1:G1048576">
    <cfRule type="expression" dxfId="139" priority="5">
      <formula>LEFT($B1,4)="_Mil"</formula>
    </cfRule>
  </conditionalFormatting>
  <conditionalFormatting sqref="F1:G1048576 P1:AH1048576 AK1:AK1048576 AN1:AN1048576 AQ1:AQ1048576 AT1:AT1048576 AW1:AW1048576 AZ1:AZ1048576 BC1:BC1048576 BF1:BF1048576 BI1:BI1048576 BL1:BL1048576 BZ1:BZ1048576">
    <cfRule type="expression" dxfId="138" priority="2">
      <formula>AND(ISNUMBER(F1),OR(ROUND(F1,2)&lt;0,ROUND(F1,2)&gt;1))</formula>
    </cfRule>
  </conditionalFormatting>
  <conditionalFormatting sqref="H1:O1048576 AI1:AJ1048576 AL1:AM1048576 AO1:AP1048576 AR1:AS1048576 AU1:AV1048576 AX1:AY1048576 BA1:BB1048576 BD1:BE1048576 BG1:BH1048576 BJ1:BK1048576 BM1:BY1048576 CA1:CA1048576 CC1:CC1048576">
    <cfRule type="expression" dxfId="137" priority="1">
      <formula>AND(ISNUMBER(H1),ROUND(H1,0)&lt;0)</formula>
    </cfRule>
  </conditionalFormatting>
  <hyperlinks>
    <hyperlink ref="AD3" location="HTS!BG:BG" display="Community - Mobile (%)" xr:uid="{E006FFAE-7A20-8446-BB9D-C5A63ED5CBAE}"/>
    <hyperlink ref="AF3" location="HTS!BM:BM" display="Community - Other (%)" xr:uid="{7A0718ED-A870-5F4A-982F-22250833ED99}"/>
    <hyperlink ref="Z3" location="HTS!AU:AU" display="Facility - Emergency (%)" xr:uid="{F8868817-83DA-1041-91DD-0FC127E99A1C}"/>
    <hyperlink ref="V3" location="HTS!AI:AI" display="Facility - Inpatient (%)" xr:uid="{BED9E3C6-D94E-C84E-AEAC-BAD225ACA845}"/>
    <hyperlink ref="X3" location="HTS!AO:AO" display="Facility - Malnutrition (%)" xr:uid="{5F946879-2C14-D84E-8357-DCB4BEBFB4BC}"/>
    <hyperlink ref="W3" location="HTS!AL:AL" display="Facility - Pediatric (%)" xr:uid="{F80E706B-39B3-EA45-82C1-8666C2766CD2}"/>
    <hyperlink ref="AB3" location="HTS!BA:BA" display="Facility - VCT (%)" xr:uid="{96AFECA4-8D1E-9143-A4C2-035297061790}"/>
    <hyperlink ref="AA3" location="HTS!AX:AX" display="Facility - Other PITC (%)" xr:uid="{A6056D15-DE6D-9D43-9343-4416F177D27E}"/>
    <hyperlink ref="BG3" location="HTS!AD:AD" display="Positive" xr:uid="{B6561B91-32AC-4E43-909B-006C5857E9D3}"/>
    <hyperlink ref="BM3" location="HTS!AF:AF" display="Positive" xr:uid="{36F19663-692F-0B4E-A735-36B1A8B45174}"/>
    <hyperlink ref="AU3" location="HTS!Z:Z" display="Positive" xr:uid="{5F925F42-4472-D64A-B673-9242301DC80B}"/>
    <hyperlink ref="AI3" location="HTS!V:V" display="Positive" xr:uid="{003D86B2-AF8B-624F-9954-688700C762C2}"/>
    <hyperlink ref="AO3" location="HTS!X:X" display="Positive" xr:uid="{88A42BDB-93F0-9746-9973-917FE3E855C9}"/>
    <hyperlink ref="AL3" location="HTS!W:W" display="Positive" xr:uid="{4049DBE9-CA62-B941-8D1D-8B88D1F03D55}"/>
    <hyperlink ref="AR3" location="HTS!Y:Y" display="Positive" xr:uid="{A6D67445-60DB-7B4D-BE45-D8028AC6C038}"/>
    <hyperlink ref="BA3" location="HTS!AB:AB" display="Positive" xr:uid="{47D345C0-E172-384E-9A54-1662548C7E60}"/>
    <hyperlink ref="AX3" location="HTS!AA:AA" display="Positive" xr:uid="{3BC8C9A7-8313-D648-B559-71BED3A00FD5}"/>
    <hyperlink ref="Q3" location="HTS!J:J" display="HTS_INDEX_FAC: Positive (%)" xr:uid="{1FD13CB4-2815-714C-9E0D-BFA34EC9A074}"/>
    <hyperlink ref="Y3" location="HTS!AR:AR" display="Facility - STI Clinic (%)" xr:uid="{43C8E104-EDFB-E34B-97AD-5266A520E66C}"/>
    <hyperlink ref="P3" location="HTS!I:I" display="HTS_INDEX_COM: Positive (%)" xr:uid="{2BA35798-2920-0047-9263-AE9138D115BC}"/>
    <hyperlink ref="BO3" location="HTS!H:H" display="Original HTS_TST_POS (FY23)" xr:uid="{7CF79D4A-82ED-0A43-A4E4-43F4ED251182}"/>
    <hyperlink ref="T3" location="HTS!M:M" display="TB_STAT: New Positive (%)" xr:uid="{18C28BD3-FAC2-974A-A3D5-9CF1B26C23FA}"/>
    <hyperlink ref="S3" location="HTS!L:L" display="HTS_TST PMTCT Post ANC1: Positive (%)" xr:uid="{F1FC89C1-DC5F-B840-AAF9-44A1F4477F09}"/>
    <hyperlink ref="U3" location="HTS!N:N" display="VMMC_CIRC: HIV Positive (%)" xr:uid="{B1FE978A-966A-8843-8592-43CD0B9E86E3}"/>
    <hyperlink ref="F3" location="Cascade!BS:BS" display="Host Country Est. ART Coverage (FY22) (%)" xr:uid="{62E0A0AF-20D9-6845-8B29-307EB64A2270}"/>
    <hyperlink ref="H3" location="Cascade!CB:CB" display="Total HTS_TST_POS (FY23)" xr:uid="{4F5D648D-D7C2-5348-BC20-3F43FA74D673}"/>
    <hyperlink ref="I3" location="Cascade!CT:CT" display="HTS_INDEX Community Positives (FY23)" xr:uid="{F10D394A-A559-CD44-A6BB-3657FE272021}"/>
    <hyperlink ref="K3" location="PMTCT!AF:AF" display="PMTCT_STAT New Positives (FY23)" xr:uid="{812A1C32-C461-DA45-A52E-F20D4356FFAA}"/>
    <hyperlink ref="L3" location="PMTCT!AV:AV" display="HTS_TST Post ANC1 New Positives (FY23)" xr:uid="{D8D811EC-2ACC-F544-8B0B-9B3CA11DE028}"/>
    <hyperlink ref="M3" location="TB!Q:Q" display="TB_STAT New Positives (FY23)" xr:uid="{E57FF0A3-0CCA-514F-A80D-BBE50EC0318F}"/>
    <hyperlink ref="N3" location="VMMC!AC:AC" display="VMMC_CIRC New Positives (FY23)" xr:uid="{844A055A-478B-6640-9164-F1EA9117BE57}"/>
    <hyperlink ref="O3" location="Cascade!CI:CI" display="HTS_TST_POS from All Other Modalities (FY23)" xr:uid="{C5277E53-10C0-2243-A9D4-1D88FF90A312}"/>
    <hyperlink ref="BT3" location="PMTCT!AG:AG" display="PMTCT_STAT New Negatives (FY23)" xr:uid="{59410773-B3DC-854C-945D-B45072CA61F7}"/>
    <hyperlink ref="BU3" location="PMTCT!AW:AW" display="HTS_TST Post ANC1 Negatives (FY23)" xr:uid="{C61C3228-0418-F04A-A70D-6531131C0C12}"/>
    <hyperlink ref="BV3" location="TB!R:R" display="TB_STAT New Negatives (FY22)" xr:uid="{86527BC9-57C0-1640-BE6B-CB6BEA15D2D3}"/>
    <hyperlink ref="BW3" location="VMMC!AD:AD" display="VMMC_CIRC Negatives (FY22)" xr:uid="{3AD47724-6BB1-D148-BE45-144B25A52781}"/>
    <hyperlink ref="J3" location="Cascade!CV:CV" display="HTS_INDEX Facility Positives (FY23)" xr:uid="{F530B28A-AF9A-CF45-8C43-7C26547A0809}"/>
    <hyperlink ref="BR3" location="Cascade!CU:CU" display="HTS_INDEX Community New Negatives (FY23)" xr:uid="{7614C962-EB54-114D-8144-33CC1CCC8A19}"/>
    <hyperlink ref="BS3" location="Cascade!CW:CW" display="HTS_INDEX Facility New Negatives (FY23)" xr:uid="{9F773D86-C36C-D14F-AD2D-78557CF866D2}"/>
    <hyperlink ref="G3" location="Cascade!AL:AL" display="Host Country Est. PopVLS Rate (VLS/PLHIV) (FY22) (%)" xr:uid="{F30F0EE7-FFA9-BF42-AF25-EB64195A4AA3}"/>
    <hyperlink ref="R3" location="HTS!K:K" display="PMTCT_STAT: New Positive (%)" xr:uid="{92A92D18-3020-A74B-ACBE-46783EF61EC0}"/>
    <hyperlink ref="BD3" location="HTS!AC:AC" display="Positive" xr:uid="{0268EFB4-1FE0-9648-AF9F-08E2D9DE337E}"/>
    <hyperlink ref="BJ3" location="HTS!AE:AE" display="Positive" xr:uid="{B454ED51-6EC1-7B42-9E3A-5E8EDC3280D5}"/>
    <hyperlink ref="AC3" location="HTS!BD:BD" display="Facility - SNS (%)" xr:uid="{9C6B8EB4-E4CD-324E-A7F8-FFA83D1EE966}"/>
    <hyperlink ref="AE3" location="HTS!BJ:BJ" display="Community - SNS (%)" xr:uid="{84A2FAC0-0B4D-F443-89ED-C6285FAEB9CA}"/>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K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96" customWidth="1"/>
    <col min="7" max="8" width="11.83203125" style="63" customWidth="1"/>
    <col min="9" max="10" width="11.83203125" style="20" customWidth="1"/>
    <col min="11" max="11" width="11.83203125" style="56" customWidth="1"/>
    <col min="12" max="16384" width="10.83203125" style="24"/>
  </cols>
  <sheetData>
    <row r="1" spans="1:11" s="41" customFormat="1" ht="31" customHeight="1" thickBot="1" x14ac:dyDescent="0.35">
      <c r="A1" s="5" t="s">
        <v>7</v>
      </c>
      <c r="B1" s="5"/>
      <c r="C1" s="1"/>
      <c r="D1" s="1"/>
      <c r="E1" s="1"/>
      <c r="F1" s="94" t="s">
        <v>15</v>
      </c>
      <c r="G1" s="64"/>
      <c r="H1" s="64"/>
      <c r="I1" s="29"/>
      <c r="J1" s="29"/>
      <c r="K1" s="51"/>
    </row>
    <row r="2" spans="1:11" s="40" customFormat="1" ht="19" customHeight="1" x14ac:dyDescent="0.25">
      <c r="A2" s="490" t="s">
        <v>755</v>
      </c>
      <c r="B2" s="487"/>
      <c r="C2" s="2"/>
      <c r="D2" s="2"/>
      <c r="E2" s="2"/>
      <c r="F2" s="95" t="s">
        <v>73</v>
      </c>
      <c r="G2" s="78"/>
      <c r="H2" s="78"/>
      <c r="I2" s="18"/>
      <c r="J2" s="18" t="s">
        <v>2</v>
      </c>
      <c r="K2" s="52" t="s">
        <v>3</v>
      </c>
    </row>
    <row r="3" spans="1:11" ht="117" customHeight="1" thickBot="1" x14ac:dyDescent="0.25">
      <c r="A3" s="488"/>
      <c r="B3" s="489"/>
      <c r="C3" s="31"/>
      <c r="D3" s="31"/>
      <c r="E3" s="31"/>
      <c r="F3" s="128" t="s">
        <v>1064</v>
      </c>
      <c r="G3" s="121" t="s">
        <v>1065</v>
      </c>
      <c r="H3" s="238" t="s">
        <v>780</v>
      </c>
      <c r="I3" s="385" t="s">
        <v>854</v>
      </c>
      <c r="J3" s="32" t="s">
        <v>1008</v>
      </c>
      <c r="K3" s="53" t="s">
        <v>853</v>
      </c>
    </row>
    <row r="4" spans="1:11" x14ac:dyDescent="0.2">
      <c r="A4" s="33"/>
      <c r="B4" s="33"/>
      <c r="C4" s="33"/>
      <c r="D4" s="33" t="s">
        <v>4</v>
      </c>
      <c r="E4" s="33"/>
      <c r="F4" s="93">
        <f>SUBTOTAL(109,F$15:INDEX(F:F,COUNTA($B:$B)+14-COUNTA($B$1:$B$14)))</f>
        <v>0</v>
      </c>
      <c r="G4" s="58">
        <f>SUBTOTAL(109,G$15:INDEX(G:G,COUNTA($B:$B)+14-COUNTA($B$1:$B$14)))</f>
        <v>0</v>
      </c>
      <c r="H4" s="58">
        <f>SUBTOTAL(109,H$15:INDEX(H:H,COUNTA($B:$B)+14-COUNTA($B$1:$B$14)))</f>
        <v>0</v>
      </c>
      <c r="I4" s="34"/>
      <c r="J4" s="34" t="str">
        <f>IF($I$4=0,"",$K$4/$I$4)</f>
        <v/>
      </c>
      <c r="K4" s="55">
        <f>SUBTOTAL(109,K$15:INDEX(K:K,COUNTA($B:$B)+14-COUNTA($B$1:$B$14)))</f>
        <v>0</v>
      </c>
    </row>
    <row r="5" spans="1:11" x14ac:dyDescent="0.2">
      <c r="A5" s="26" t="s">
        <v>98</v>
      </c>
      <c r="B5" s="26" t="s">
        <v>98</v>
      </c>
      <c r="C5" s="26" t="s">
        <v>98</v>
      </c>
      <c r="D5" s="26" t="s">
        <v>98</v>
      </c>
      <c r="E5" s="26" t="s">
        <v>98</v>
      </c>
      <c r="F5" s="96" t="s">
        <v>109</v>
      </c>
      <c r="G5" s="63" t="s">
        <v>109</v>
      </c>
      <c r="H5" s="63" t="s">
        <v>98</v>
      </c>
      <c r="I5" s="20" t="s">
        <v>98</v>
      </c>
      <c r="J5" s="20" t="s">
        <v>98</v>
      </c>
      <c r="K5" s="56" t="s">
        <v>109</v>
      </c>
    </row>
    <row r="6" spans="1:11" x14ac:dyDescent="0.2">
      <c r="A6" s="26" t="s">
        <v>200</v>
      </c>
      <c r="B6" s="26" t="s">
        <v>200</v>
      </c>
      <c r="C6" s="26" t="s">
        <v>200</v>
      </c>
      <c r="D6" s="26" t="s">
        <v>200</v>
      </c>
      <c r="E6" s="26" t="s">
        <v>200</v>
      </c>
      <c r="F6" s="96" t="s">
        <v>110</v>
      </c>
      <c r="G6" s="63" t="s">
        <v>110</v>
      </c>
      <c r="H6" s="63" t="s">
        <v>93</v>
      </c>
      <c r="I6" s="20" t="s">
        <v>111</v>
      </c>
      <c r="J6" s="20" t="s">
        <v>112</v>
      </c>
      <c r="K6" s="56" t="s">
        <v>92</v>
      </c>
    </row>
    <row r="7" spans="1:11" x14ac:dyDescent="0.2">
      <c r="A7" s="26" t="s">
        <v>108</v>
      </c>
      <c r="B7" s="26" t="s">
        <v>108</v>
      </c>
      <c r="C7" s="26" t="s">
        <v>108</v>
      </c>
      <c r="D7" s="26" t="s">
        <v>108</v>
      </c>
      <c r="E7" s="26" t="s">
        <v>108</v>
      </c>
      <c r="F7" s="96" t="s">
        <v>94</v>
      </c>
      <c r="G7" s="63" t="s">
        <v>94</v>
      </c>
      <c r="H7" s="63" t="s">
        <v>94</v>
      </c>
      <c r="I7" s="20" t="s">
        <v>95</v>
      </c>
      <c r="J7" s="20" t="s">
        <v>95</v>
      </c>
      <c r="K7" s="56" t="s">
        <v>94</v>
      </c>
    </row>
    <row r="8" spans="1:11" x14ac:dyDescent="0.2">
      <c r="F8" s="279" t="s">
        <v>478</v>
      </c>
      <c r="G8" s="275" t="s">
        <v>142</v>
      </c>
      <c r="K8" s="272" t="s">
        <v>142</v>
      </c>
    </row>
    <row r="9" spans="1:11" x14ac:dyDescent="0.2">
      <c r="F9" s="279" t="s">
        <v>479</v>
      </c>
      <c r="G9" s="275" t="s">
        <v>143</v>
      </c>
      <c r="K9" s="272" t="s">
        <v>143</v>
      </c>
    </row>
    <row r="10" spans="1:11" x14ac:dyDescent="0.2">
      <c r="F10" s="277" t="s">
        <v>104</v>
      </c>
      <c r="G10" s="275" t="s">
        <v>104</v>
      </c>
      <c r="K10" s="272" t="s">
        <v>104</v>
      </c>
    </row>
    <row r="11" spans="1:11" x14ac:dyDescent="0.2">
      <c r="F11" s="96" t="s">
        <v>204</v>
      </c>
      <c r="G11" s="63" t="s">
        <v>204</v>
      </c>
      <c r="H11" s="63" t="s">
        <v>204</v>
      </c>
      <c r="I11" s="20" t="s">
        <v>204</v>
      </c>
      <c r="J11" s="20" t="s">
        <v>204</v>
      </c>
      <c r="K11" s="56" t="s">
        <v>204</v>
      </c>
    </row>
    <row r="12" spans="1:11" x14ac:dyDescent="0.2">
      <c r="F12" s="96" t="s">
        <v>685</v>
      </c>
      <c r="G12" s="63" t="s">
        <v>685</v>
      </c>
      <c r="H12" s="63" t="s">
        <v>685</v>
      </c>
      <c r="I12" s="20" t="s">
        <v>685</v>
      </c>
      <c r="J12" s="20" t="s">
        <v>685</v>
      </c>
      <c r="K12" s="56" t="s">
        <v>685</v>
      </c>
    </row>
    <row r="14" spans="1:11" x14ac:dyDescent="0.2">
      <c r="A14" s="36" t="s">
        <v>583</v>
      </c>
      <c r="B14" s="36" t="s">
        <v>5</v>
      </c>
      <c r="C14" s="36" t="s">
        <v>35</v>
      </c>
      <c r="D14" s="36" t="s">
        <v>6</v>
      </c>
      <c r="E14" s="36" t="s">
        <v>75</v>
      </c>
      <c r="F14" s="157" t="s">
        <v>539</v>
      </c>
      <c r="G14" s="76" t="s">
        <v>540</v>
      </c>
      <c r="H14" s="76" t="s">
        <v>313</v>
      </c>
      <c r="I14" s="192" t="s">
        <v>541</v>
      </c>
      <c r="J14" s="192" t="s">
        <v>542</v>
      </c>
      <c r="K14" s="155" t="s">
        <v>399</v>
      </c>
    </row>
    <row r="15" spans="1:11" x14ac:dyDescent="0.2">
      <c r="E15" s="26" t="str">
        <f>B15&amp;"|"&amp;C15&amp;"|"&amp;D15</f>
        <v>||</v>
      </c>
      <c r="H15" s="63" t="str">
        <f>IFERROR(1/(1/INDEX(Cascade!$BQ:$BQ,MATCH($E15,Cascade!$E:$E,0))),"")</f>
        <v/>
      </c>
      <c r="J15" s="20">
        <v>0.5</v>
      </c>
      <c r="K15" s="56" t="str">
        <f>IF(SUM($H15)=0,"",ROUND($J15*$H15,0))</f>
        <v/>
      </c>
    </row>
  </sheetData>
  <mergeCells count="1">
    <mergeCell ref="A2:B3"/>
  </mergeCells>
  <conditionalFormatting sqref="J1:J1048576">
    <cfRule type="expression" dxfId="136" priority="6">
      <formula>AND(ISNUMBER($J1),ROUND($J1,2)&lt;0.5)</formula>
    </cfRule>
  </conditionalFormatting>
  <conditionalFormatting sqref="I1:J1048576">
    <cfRule type="expression" dxfId="135" priority="2">
      <formula>AND(ISNUMBER(I1),OR(ROUND(I1,2)&gt;1,ROUND(I1,2)&lt;0))</formula>
    </cfRule>
  </conditionalFormatting>
  <conditionalFormatting sqref="F1:H1048576 K1:K1048576">
    <cfRule type="expression" dxfId="134" priority="1">
      <formula>AND(ISNUMBER(A1),ROUND(A1,0)&lt;0)</formula>
    </cfRule>
  </conditionalFormatting>
  <hyperlinks>
    <hyperlink ref="H3" location="Cascade!BQ:BQ" display="TX_CURR (FY23)" xr:uid="{C5312933-D9B2-F74B-8895-8CDF64C56415}"/>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4" customWidth="1"/>
    <col min="2" max="2" width="30.83203125" style="26" customWidth="1"/>
    <col min="3" max="3" width="10.83203125" style="26" customWidth="1"/>
    <col min="4" max="4" width="7.83203125" style="26" customWidth="1"/>
    <col min="5" max="5" width="11.83203125" style="28" hidden="1" customWidth="1"/>
    <col min="6" max="6" width="11.83203125" style="144" customWidth="1"/>
    <col min="7" max="7" width="11.83203125" style="56" customWidth="1"/>
    <col min="8" max="8" width="11.83203125" style="144" customWidth="1"/>
    <col min="9" max="9" width="11.83203125" style="56" customWidth="1"/>
    <col min="10" max="10" width="11.83203125" style="144" customWidth="1"/>
    <col min="11" max="11" width="11.83203125" style="56" customWidth="1"/>
    <col min="12" max="12" width="11.83203125" style="144" customWidth="1"/>
    <col min="13" max="13" width="11.83203125" style="56" customWidth="1"/>
    <col min="14" max="14" width="11.83203125" style="144" customWidth="1"/>
    <col min="15" max="15" width="11.83203125" style="56" customWidth="1"/>
    <col min="16" max="16" width="11.83203125" style="144" customWidth="1"/>
    <col min="17" max="17" width="11.83203125" style="56" customWidth="1"/>
    <col min="18" max="18" width="11.83203125" style="144" customWidth="1"/>
    <col min="19" max="19" width="11.83203125" style="56" customWidth="1"/>
    <col min="20" max="20" width="11.83203125" style="144" customWidth="1"/>
    <col min="21" max="21" width="11.83203125" style="56" customWidth="1"/>
    <col min="22" max="22" width="11.83203125" style="144" customWidth="1"/>
    <col min="23" max="23" width="11.83203125" style="56" customWidth="1"/>
    <col min="24" max="24" width="11.83203125" style="144" customWidth="1"/>
    <col min="25" max="25" width="11.83203125" style="56" customWidth="1"/>
    <col min="26" max="26" width="11.83203125" style="144" customWidth="1"/>
    <col min="27" max="27" width="11.83203125" style="56" customWidth="1"/>
    <col min="28" max="28" width="11.83203125" style="144" customWidth="1"/>
    <col min="29" max="29" width="11.83203125" style="56" customWidth="1"/>
    <col min="30" max="30" width="11.83203125" style="144" customWidth="1"/>
    <col min="31" max="31" width="11.83203125" style="56" customWidth="1"/>
    <col min="32" max="32" width="11.83203125" style="144" customWidth="1"/>
    <col min="33" max="33" width="11.83203125" style="56" customWidth="1"/>
    <col min="34" max="34" width="11.83203125" style="144" customWidth="1"/>
    <col min="35" max="35" width="11.83203125" style="56" customWidth="1"/>
    <col min="36" max="36" width="11.83203125" style="96" customWidth="1"/>
    <col min="37" max="37" width="11.83203125" style="249" customWidth="1"/>
    <col min="38" max="38" width="11.83203125" style="230" customWidth="1"/>
    <col min="39" max="16384" width="10.83203125" style="24"/>
  </cols>
  <sheetData>
    <row r="1" spans="1:38" s="41" customFormat="1" ht="31" customHeight="1" x14ac:dyDescent="0.3">
      <c r="A1" s="236" t="s">
        <v>206</v>
      </c>
      <c r="B1" s="5"/>
      <c r="C1" s="1"/>
      <c r="D1" s="1"/>
      <c r="E1" s="267"/>
      <c r="F1" s="224" t="s">
        <v>216</v>
      </c>
      <c r="G1" s="51"/>
      <c r="H1" s="224" t="s">
        <v>217</v>
      </c>
      <c r="I1" s="51"/>
      <c r="J1" s="224" t="s">
        <v>218</v>
      </c>
      <c r="K1" s="51"/>
      <c r="L1" s="224" t="s">
        <v>219</v>
      </c>
      <c r="M1" s="51"/>
      <c r="N1" s="224" t="s">
        <v>215</v>
      </c>
      <c r="O1" s="51"/>
      <c r="P1" s="224" t="s">
        <v>214</v>
      </c>
      <c r="Q1" s="51"/>
      <c r="R1" s="224" t="s">
        <v>62</v>
      </c>
      <c r="S1" s="51"/>
      <c r="T1" s="224" t="s">
        <v>65</v>
      </c>
      <c r="U1" s="51"/>
      <c r="V1" s="224" t="s">
        <v>61</v>
      </c>
      <c r="W1" s="51"/>
      <c r="X1" s="224" t="s">
        <v>67</v>
      </c>
      <c r="Y1" s="51"/>
      <c r="Z1" s="224" t="s">
        <v>66</v>
      </c>
      <c r="AA1" s="51"/>
      <c r="AB1" s="224" t="s">
        <v>914</v>
      </c>
      <c r="AC1" s="51"/>
      <c r="AD1" s="224" t="s">
        <v>54</v>
      </c>
      <c r="AE1" s="51"/>
      <c r="AF1" s="224" t="s">
        <v>910</v>
      </c>
      <c r="AG1" s="51"/>
      <c r="AH1" s="224" t="s">
        <v>60</v>
      </c>
      <c r="AI1" s="51"/>
      <c r="AJ1" s="94" t="s">
        <v>253</v>
      </c>
      <c r="AK1" s="302"/>
      <c r="AL1" s="226"/>
    </row>
    <row r="2" spans="1:38" s="40" customFormat="1" ht="19" x14ac:dyDescent="0.25">
      <c r="B2" s="2"/>
      <c r="C2" s="2"/>
      <c r="D2" s="2"/>
      <c r="E2" s="268"/>
      <c r="F2" s="225" t="s">
        <v>2</v>
      </c>
      <c r="G2" s="52" t="s">
        <v>3</v>
      </c>
      <c r="H2" s="225" t="s">
        <v>2</v>
      </c>
      <c r="I2" s="52" t="s">
        <v>3</v>
      </c>
      <c r="J2" s="225" t="s">
        <v>2</v>
      </c>
      <c r="K2" s="52" t="s">
        <v>3</v>
      </c>
      <c r="L2" s="225" t="s">
        <v>2</v>
      </c>
      <c r="M2" s="52" t="s">
        <v>3</v>
      </c>
      <c r="N2" s="225" t="s">
        <v>2</v>
      </c>
      <c r="O2" s="52" t="s">
        <v>3</v>
      </c>
      <c r="P2" s="225" t="s">
        <v>2</v>
      </c>
      <c r="Q2" s="52" t="s">
        <v>3</v>
      </c>
      <c r="R2" s="225" t="s">
        <v>2</v>
      </c>
      <c r="S2" s="52" t="s">
        <v>3</v>
      </c>
      <c r="T2" s="225" t="s">
        <v>2</v>
      </c>
      <c r="U2" s="52" t="s">
        <v>3</v>
      </c>
      <c r="V2" s="225" t="s">
        <v>2</v>
      </c>
      <c r="W2" s="52" t="s">
        <v>3</v>
      </c>
      <c r="X2" s="225" t="s">
        <v>2</v>
      </c>
      <c r="Y2" s="52" t="s">
        <v>3</v>
      </c>
      <c r="Z2" s="225" t="s">
        <v>2</v>
      </c>
      <c r="AA2" s="52" t="s">
        <v>3</v>
      </c>
      <c r="AB2" s="225" t="s">
        <v>2</v>
      </c>
      <c r="AC2" s="52" t="s">
        <v>3</v>
      </c>
      <c r="AD2" s="225" t="s">
        <v>2</v>
      </c>
      <c r="AE2" s="52" t="s">
        <v>3</v>
      </c>
      <c r="AF2" s="225" t="s">
        <v>2</v>
      </c>
      <c r="AG2" s="52" t="s">
        <v>3</v>
      </c>
      <c r="AH2" s="225" t="s">
        <v>2</v>
      </c>
      <c r="AI2" s="52" t="s">
        <v>3</v>
      </c>
      <c r="AJ2" s="95" t="s">
        <v>59</v>
      </c>
      <c r="AK2" s="99"/>
      <c r="AL2" s="227"/>
    </row>
    <row r="3" spans="1:38" ht="117" customHeight="1" x14ac:dyDescent="0.2">
      <c r="B3"/>
      <c r="C3"/>
      <c r="D3" s="31"/>
      <c r="E3" s="269"/>
      <c r="F3" s="246" t="s">
        <v>207</v>
      </c>
      <c r="G3" s="53" t="s">
        <v>213</v>
      </c>
      <c r="H3" s="246" t="s">
        <v>207</v>
      </c>
      <c r="I3" s="53" t="s">
        <v>213</v>
      </c>
      <c r="J3" s="246" t="s">
        <v>207</v>
      </c>
      <c r="K3" s="53" t="s">
        <v>213</v>
      </c>
      <c r="L3" s="246" t="s">
        <v>207</v>
      </c>
      <c r="M3" s="53" t="s">
        <v>213</v>
      </c>
      <c r="N3" s="246" t="s">
        <v>207</v>
      </c>
      <c r="O3" s="53" t="s">
        <v>213</v>
      </c>
      <c r="P3" s="246" t="s">
        <v>207</v>
      </c>
      <c r="Q3" s="53" t="s">
        <v>213</v>
      </c>
      <c r="R3" s="246" t="s">
        <v>207</v>
      </c>
      <c r="S3" s="53" t="s">
        <v>213</v>
      </c>
      <c r="T3" s="246" t="s">
        <v>207</v>
      </c>
      <c r="U3" s="53" t="s">
        <v>213</v>
      </c>
      <c r="V3" s="246" t="s">
        <v>207</v>
      </c>
      <c r="W3" s="53" t="s">
        <v>213</v>
      </c>
      <c r="X3" s="246" t="s">
        <v>207</v>
      </c>
      <c r="Y3" s="53" t="s">
        <v>213</v>
      </c>
      <c r="Z3" s="246" t="s">
        <v>207</v>
      </c>
      <c r="AA3" s="53" t="s">
        <v>213</v>
      </c>
      <c r="AB3" s="246" t="s">
        <v>207</v>
      </c>
      <c r="AC3" s="53" t="s">
        <v>213</v>
      </c>
      <c r="AD3" s="246" t="s">
        <v>207</v>
      </c>
      <c r="AE3" s="53" t="s">
        <v>213</v>
      </c>
      <c r="AF3" s="246" t="s">
        <v>207</v>
      </c>
      <c r="AG3" s="53" t="s">
        <v>213</v>
      </c>
      <c r="AH3" s="246" t="s">
        <v>207</v>
      </c>
      <c r="AI3" s="53" t="s">
        <v>213</v>
      </c>
      <c r="AJ3" s="120" t="s">
        <v>1067</v>
      </c>
      <c r="AK3" s="370" t="s">
        <v>1009</v>
      </c>
      <c r="AL3" s="228" t="s">
        <v>1066</v>
      </c>
    </row>
    <row r="4" spans="1:38" x14ac:dyDescent="0.2">
      <c r="B4" s="33"/>
      <c r="C4" s="33"/>
      <c r="D4" s="33" t="s">
        <v>4</v>
      </c>
      <c r="E4" s="270"/>
      <c r="F4" s="143"/>
      <c r="G4" s="55">
        <f>SUBTOTAL(109,G$15:INDEX(G:G,COUNTA($B:$B)+14-COUNTA($B$1:$B$14)))</f>
        <v>0</v>
      </c>
      <c r="H4" s="143"/>
      <c r="I4" s="55">
        <f>SUBTOTAL(109,I$15:INDEX(I:I,COUNTA($B:$B)+14-COUNTA($B$1:$B$14)))</f>
        <v>0</v>
      </c>
      <c r="J4" s="143"/>
      <c r="K4" s="55">
        <f>SUBTOTAL(109,K$15:INDEX(K:K,COUNTA($B:$B)+14-COUNTA($B$1:$B$14)))</f>
        <v>0</v>
      </c>
      <c r="L4" s="143"/>
      <c r="M4" s="55">
        <f>SUBTOTAL(109,M$15:INDEX(M:M,COUNTA($B:$B)+14-COUNTA($B$1:$B$14)))</f>
        <v>0</v>
      </c>
      <c r="N4" s="143"/>
      <c r="O4" s="55">
        <f>SUBTOTAL(109,O$15:INDEX(O:O,COUNTA($B:$B)+14-COUNTA($B$1:$B$14)))</f>
        <v>0</v>
      </c>
      <c r="P4" s="143"/>
      <c r="Q4" s="55">
        <f>SUBTOTAL(109,Q$15:INDEX(Q:Q,COUNTA($B:$B)+14-COUNTA($B$1:$B$14)))</f>
        <v>0</v>
      </c>
      <c r="R4" s="143"/>
      <c r="S4" s="55">
        <f>SUBTOTAL(109,S$15:INDEX(S:S,COUNTA($B:$B)+14-COUNTA($B$1:$B$14)))</f>
        <v>0</v>
      </c>
      <c r="T4" s="143"/>
      <c r="U4" s="55">
        <f>SUBTOTAL(109,U$15:INDEX(U:U,COUNTA($B:$B)+14-COUNTA($B$1:$B$14)))</f>
        <v>0</v>
      </c>
      <c r="V4" s="143"/>
      <c r="W4" s="55">
        <f>SUBTOTAL(109,W$15:INDEX(W:W,COUNTA($B:$B)+14-COUNTA($B$1:$B$14)))</f>
        <v>0</v>
      </c>
      <c r="X4" s="143"/>
      <c r="Y4" s="55">
        <f>SUBTOTAL(109,Y$15:INDEX(Y:Y,COUNTA($B:$B)+14-COUNTA($B$1:$B$14)))</f>
        <v>0</v>
      </c>
      <c r="Z4" s="143"/>
      <c r="AA4" s="55">
        <f>SUBTOTAL(109,AA$15:INDEX(AA:AA,COUNTA($B:$B)+14-COUNTA($B$1:$B$14)))</f>
        <v>0</v>
      </c>
      <c r="AB4" s="143"/>
      <c r="AC4" s="55">
        <f>SUBTOTAL(109,AC$15:INDEX(AC:AC,COUNTA($B:$B)+14-COUNTA($B$1:$B$14)))</f>
        <v>0</v>
      </c>
      <c r="AD4" s="143"/>
      <c r="AE4" s="55">
        <f>SUBTOTAL(109,AE$15:INDEX(AE:AE,COUNTA($B:$B)+14-COUNTA($B$1:$B$14)))</f>
        <v>0</v>
      </c>
      <c r="AF4" s="143"/>
      <c r="AG4" s="55">
        <f>SUBTOTAL(109,AG$15:INDEX(AG:AG,COUNTA($B:$B)+14-COUNTA($B$1:$B$14)))</f>
        <v>0</v>
      </c>
      <c r="AH4" s="143"/>
      <c r="AI4" s="55">
        <f>SUBTOTAL(109,AI$15:INDEX(AI:AI,COUNTA($B:$B)+14-COUNTA($B$1:$B$14)))</f>
        <v>0</v>
      </c>
      <c r="AJ4" s="93">
        <f>SUBTOTAL(109,AJ$15:INDEX(AJ:AJ,COUNTA($B:$B)+14-COUNTA($B$1:$B$14)))</f>
        <v>0</v>
      </c>
      <c r="AK4" s="101">
        <f>SUBTOTAL(109,AK$15:INDEX(AK:AK,COUNTA($B:$B)+14-COUNTA($B$1:$B$14)))</f>
        <v>0</v>
      </c>
      <c r="AL4" s="229" t="str">
        <f>IF(SUM($AK4)=0,"",$AJ4/$AK4)</f>
        <v/>
      </c>
    </row>
    <row r="5" spans="1:38" x14ac:dyDescent="0.2">
      <c r="A5" s="24" t="s">
        <v>98</v>
      </c>
      <c r="B5" s="26" t="s">
        <v>98</v>
      </c>
      <c r="C5" s="26" t="s">
        <v>98</v>
      </c>
      <c r="D5" s="26" t="s">
        <v>98</v>
      </c>
      <c r="E5" s="28" t="s">
        <v>98</v>
      </c>
      <c r="F5" s="144" t="s">
        <v>98</v>
      </c>
      <c r="G5" s="56" t="s">
        <v>109</v>
      </c>
      <c r="H5" s="144" t="s">
        <v>98</v>
      </c>
      <c r="I5" s="56" t="s">
        <v>109</v>
      </c>
      <c r="J5" s="144" t="s">
        <v>98</v>
      </c>
      <c r="K5" s="56" t="s">
        <v>109</v>
      </c>
      <c r="L5" s="144" t="s">
        <v>98</v>
      </c>
      <c r="M5" s="56" t="s">
        <v>109</v>
      </c>
      <c r="N5" s="144" t="s">
        <v>98</v>
      </c>
      <c r="O5" s="56" t="s">
        <v>109</v>
      </c>
      <c r="P5" s="144" t="s">
        <v>98</v>
      </c>
      <c r="Q5" s="56" t="s">
        <v>109</v>
      </c>
      <c r="R5" s="144" t="s">
        <v>98</v>
      </c>
      <c r="S5" s="56" t="s">
        <v>109</v>
      </c>
      <c r="T5" s="144" t="s">
        <v>98</v>
      </c>
      <c r="U5" s="56" t="s">
        <v>109</v>
      </c>
      <c r="V5" s="144" t="s">
        <v>98</v>
      </c>
      <c r="W5" s="56" t="s">
        <v>109</v>
      </c>
      <c r="X5" s="144" t="s">
        <v>98</v>
      </c>
      <c r="Y5" s="56" t="s">
        <v>109</v>
      </c>
      <c r="Z5" s="144" t="s">
        <v>98</v>
      </c>
      <c r="AA5" s="56" t="s">
        <v>109</v>
      </c>
      <c r="AB5" s="144" t="s">
        <v>98</v>
      </c>
      <c r="AC5" s="56" t="s">
        <v>109</v>
      </c>
      <c r="AD5" s="144" t="s">
        <v>98</v>
      </c>
      <c r="AE5" s="56" t="s">
        <v>109</v>
      </c>
      <c r="AF5" s="144" t="s">
        <v>98</v>
      </c>
      <c r="AG5" s="56" t="s">
        <v>109</v>
      </c>
      <c r="AH5" s="144" t="s">
        <v>98</v>
      </c>
      <c r="AI5" s="56" t="s">
        <v>109</v>
      </c>
      <c r="AJ5" s="82" t="s">
        <v>98</v>
      </c>
      <c r="AK5" s="59" t="s">
        <v>98</v>
      </c>
      <c r="AL5" s="20" t="s">
        <v>98</v>
      </c>
    </row>
    <row r="6" spans="1:38" x14ac:dyDescent="0.2">
      <c r="A6" s="24" t="s">
        <v>200</v>
      </c>
      <c r="B6" s="26" t="s">
        <v>200</v>
      </c>
      <c r="C6" s="26" t="s">
        <v>200</v>
      </c>
      <c r="D6" s="26" t="s">
        <v>200</v>
      </c>
      <c r="E6" s="28" t="s">
        <v>200</v>
      </c>
      <c r="F6" s="144" t="s">
        <v>112</v>
      </c>
      <c r="G6" s="56" t="s">
        <v>92</v>
      </c>
      <c r="H6" s="144" t="s">
        <v>112</v>
      </c>
      <c r="I6" s="56" t="s">
        <v>92</v>
      </c>
      <c r="J6" s="144" t="s">
        <v>112</v>
      </c>
      <c r="K6" s="56" t="s">
        <v>92</v>
      </c>
      <c r="L6" s="144" t="s">
        <v>112</v>
      </c>
      <c r="M6" s="56" t="s">
        <v>92</v>
      </c>
      <c r="N6" s="144" t="s">
        <v>112</v>
      </c>
      <c r="O6" s="56" t="s">
        <v>92</v>
      </c>
      <c r="P6" s="144" t="s">
        <v>112</v>
      </c>
      <c r="Q6" s="56" t="s">
        <v>92</v>
      </c>
      <c r="R6" s="144" t="s">
        <v>112</v>
      </c>
      <c r="S6" s="56" t="s">
        <v>92</v>
      </c>
      <c r="T6" s="144" t="s">
        <v>112</v>
      </c>
      <c r="U6" s="56" t="s">
        <v>92</v>
      </c>
      <c r="V6" s="144" t="s">
        <v>112</v>
      </c>
      <c r="W6" s="56" t="s">
        <v>92</v>
      </c>
      <c r="X6" s="144" t="s">
        <v>112</v>
      </c>
      <c r="Y6" s="56" t="s">
        <v>92</v>
      </c>
      <c r="Z6" s="144" t="s">
        <v>112</v>
      </c>
      <c r="AA6" s="56" t="s">
        <v>92</v>
      </c>
      <c r="AB6" s="144" t="s">
        <v>112</v>
      </c>
      <c r="AC6" s="56" t="s">
        <v>92</v>
      </c>
      <c r="AD6" s="144" t="s">
        <v>112</v>
      </c>
      <c r="AE6" s="56" t="s">
        <v>92</v>
      </c>
      <c r="AF6" s="144" t="s">
        <v>112</v>
      </c>
      <c r="AG6" s="56" t="s">
        <v>92</v>
      </c>
      <c r="AH6" s="144" t="s">
        <v>112</v>
      </c>
      <c r="AI6" s="56" t="s">
        <v>92</v>
      </c>
      <c r="AJ6" s="82" t="s">
        <v>93</v>
      </c>
      <c r="AK6" s="59" t="s">
        <v>93</v>
      </c>
      <c r="AL6" s="20" t="s">
        <v>93</v>
      </c>
    </row>
    <row r="7" spans="1:38" x14ac:dyDescent="0.2">
      <c r="A7" s="24" t="s">
        <v>108</v>
      </c>
      <c r="B7" s="26" t="s">
        <v>108</v>
      </c>
      <c r="C7" s="26" t="s">
        <v>108</v>
      </c>
      <c r="D7" s="26" t="s">
        <v>108</v>
      </c>
      <c r="E7" s="28" t="s">
        <v>108</v>
      </c>
      <c r="F7" s="144" t="s">
        <v>95</v>
      </c>
      <c r="G7" s="56" t="s">
        <v>94</v>
      </c>
      <c r="H7" s="144" t="s">
        <v>95</v>
      </c>
      <c r="I7" s="56" t="s">
        <v>94</v>
      </c>
      <c r="J7" s="144" t="s">
        <v>95</v>
      </c>
      <c r="K7" s="56" t="s">
        <v>94</v>
      </c>
      <c r="L7" s="144" t="s">
        <v>95</v>
      </c>
      <c r="M7" s="56" t="s">
        <v>94</v>
      </c>
      <c r="N7" s="144" t="s">
        <v>95</v>
      </c>
      <c r="O7" s="56" t="s">
        <v>94</v>
      </c>
      <c r="P7" s="144" t="s">
        <v>95</v>
      </c>
      <c r="Q7" s="56" t="s">
        <v>94</v>
      </c>
      <c r="R7" s="144" t="s">
        <v>95</v>
      </c>
      <c r="S7" s="56" t="s">
        <v>94</v>
      </c>
      <c r="T7" s="144" t="s">
        <v>95</v>
      </c>
      <c r="U7" s="56" t="s">
        <v>94</v>
      </c>
      <c r="V7" s="144" t="s">
        <v>95</v>
      </c>
      <c r="W7" s="56" t="s">
        <v>94</v>
      </c>
      <c r="X7" s="144" t="s">
        <v>95</v>
      </c>
      <c r="Y7" s="56" t="s">
        <v>94</v>
      </c>
      <c r="Z7" s="144" t="s">
        <v>95</v>
      </c>
      <c r="AA7" s="56" t="s">
        <v>94</v>
      </c>
      <c r="AB7" s="144" t="s">
        <v>95</v>
      </c>
      <c r="AC7" s="56" t="s">
        <v>94</v>
      </c>
      <c r="AD7" s="144" t="s">
        <v>95</v>
      </c>
      <c r="AE7" s="56" t="s">
        <v>94</v>
      </c>
      <c r="AF7" s="144" t="s">
        <v>95</v>
      </c>
      <c r="AG7" s="56" t="s">
        <v>94</v>
      </c>
      <c r="AH7" s="144" t="s">
        <v>95</v>
      </c>
      <c r="AI7" s="56" t="s">
        <v>94</v>
      </c>
      <c r="AJ7" s="82" t="s">
        <v>94</v>
      </c>
      <c r="AK7" s="59" t="s">
        <v>94</v>
      </c>
      <c r="AL7" s="20" t="s">
        <v>95</v>
      </c>
    </row>
    <row r="8" spans="1:38" s="291" customFormat="1" x14ac:dyDescent="0.2">
      <c r="B8" s="292"/>
      <c r="C8" s="292"/>
      <c r="D8" s="292"/>
      <c r="E8" s="293"/>
      <c r="F8" s="294"/>
      <c r="G8" s="272" t="s">
        <v>224</v>
      </c>
      <c r="H8" s="294"/>
      <c r="I8" s="272" t="s">
        <v>225</v>
      </c>
      <c r="J8" s="294"/>
      <c r="K8" s="272" t="s">
        <v>227</v>
      </c>
      <c r="L8" s="294"/>
      <c r="M8" s="272" t="s">
        <v>229</v>
      </c>
      <c r="N8" s="294"/>
      <c r="O8" s="272" t="s">
        <v>231</v>
      </c>
      <c r="P8" s="294"/>
      <c r="Q8" s="272" t="s">
        <v>221</v>
      </c>
      <c r="R8" s="294"/>
      <c r="S8" s="386" t="s">
        <v>223</v>
      </c>
      <c r="T8" s="294"/>
      <c r="U8" s="272" t="s">
        <v>226</v>
      </c>
      <c r="V8" s="294"/>
      <c r="W8" s="272" t="s">
        <v>222</v>
      </c>
      <c r="X8" s="294"/>
      <c r="Y8" s="272" t="s">
        <v>230</v>
      </c>
      <c r="Z8" s="294"/>
      <c r="AA8" s="272" t="s">
        <v>228</v>
      </c>
      <c r="AB8" s="294"/>
      <c r="AC8" s="272" t="s">
        <v>1047</v>
      </c>
      <c r="AD8" s="294"/>
      <c r="AE8" s="272" t="s">
        <v>232</v>
      </c>
      <c r="AF8" s="294"/>
      <c r="AG8" s="272" t="s">
        <v>1049</v>
      </c>
      <c r="AH8" s="294"/>
      <c r="AI8" s="272" t="s">
        <v>233</v>
      </c>
      <c r="AJ8" s="196"/>
      <c r="AK8" s="156"/>
      <c r="AL8" s="295"/>
    </row>
    <row r="9" spans="1:38" s="291" customFormat="1" x14ac:dyDescent="0.2">
      <c r="B9" s="292"/>
      <c r="C9" s="292"/>
      <c r="D9" s="292"/>
      <c r="E9" s="293"/>
      <c r="F9" s="294"/>
      <c r="G9" s="272" t="s">
        <v>236</v>
      </c>
      <c r="H9" s="294"/>
      <c r="I9" s="272" t="s">
        <v>237</v>
      </c>
      <c r="J9" s="294"/>
      <c r="K9" s="272" t="s">
        <v>239</v>
      </c>
      <c r="L9" s="294"/>
      <c r="M9" s="272" t="s">
        <v>241</v>
      </c>
      <c r="N9" s="294"/>
      <c r="O9" s="272" t="s">
        <v>243</v>
      </c>
      <c r="P9" s="294"/>
      <c r="Q9" s="272" t="s">
        <v>220</v>
      </c>
      <c r="R9" s="294"/>
      <c r="S9" s="272" t="s">
        <v>235</v>
      </c>
      <c r="T9" s="294"/>
      <c r="U9" s="272" t="s">
        <v>238</v>
      </c>
      <c r="V9" s="294"/>
      <c r="W9" s="272" t="s">
        <v>234</v>
      </c>
      <c r="X9" s="294"/>
      <c r="Y9" s="272" t="s">
        <v>242</v>
      </c>
      <c r="Z9" s="294"/>
      <c r="AA9" s="272" t="s">
        <v>240</v>
      </c>
      <c r="AB9" s="294"/>
      <c r="AC9" s="272" t="s">
        <v>1048</v>
      </c>
      <c r="AD9" s="294"/>
      <c r="AE9" s="272" t="s">
        <v>244</v>
      </c>
      <c r="AF9" s="294"/>
      <c r="AG9" s="272" t="s">
        <v>1050</v>
      </c>
      <c r="AH9" s="294"/>
      <c r="AI9" s="272" t="s">
        <v>245</v>
      </c>
      <c r="AJ9" s="196"/>
      <c r="AK9" s="156"/>
      <c r="AL9" s="295"/>
    </row>
    <row r="10" spans="1:38" s="291" customFormat="1" x14ac:dyDescent="0.2">
      <c r="B10" s="292"/>
      <c r="C10" s="292"/>
      <c r="D10" s="292"/>
      <c r="E10" s="293"/>
      <c r="F10" s="294"/>
      <c r="G10" s="272" t="s">
        <v>104</v>
      </c>
      <c r="H10" s="294"/>
      <c r="I10" s="272" t="s">
        <v>104</v>
      </c>
      <c r="J10" s="294"/>
      <c r="K10" s="272" t="s">
        <v>104</v>
      </c>
      <c r="L10" s="294"/>
      <c r="M10" s="272" t="s">
        <v>104</v>
      </c>
      <c r="N10" s="294"/>
      <c r="O10" s="272" t="s">
        <v>104</v>
      </c>
      <c r="P10" s="294"/>
      <c r="Q10" s="272" t="s">
        <v>104</v>
      </c>
      <c r="R10" s="294"/>
      <c r="S10" s="272" t="s">
        <v>104</v>
      </c>
      <c r="T10" s="294"/>
      <c r="U10" s="272" t="s">
        <v>104</v>
      </c>
      <c r="V10" s="294"/>
      <c r="W10" s="272" t="s">
        <v>104</v>
      </c>
      <c r="X10" s="294"/>
      <c r="Y10" s="272" t="s">
        <v>104</v>
      </c>
      <c r="Z10" s="294"/>
      <c r="AA10" s="272" t="s">
        <v>104</v>
      </c>
      <c r="AB10" s="294"/>
      <c r="AC10" s="272" t="s">
        <v>104</v>
      </c>
      <c r="AD10" s="294"/>
      <c r="AE10" s="272" t="s">
        <v>104</v>
      </c>
      <c r="AF10" s="294"/>
      <c r="AG10" s="272" t="s">
        <v>104</v>
      </c>
      <c r="AH10" s="294"/>
      <c r="AI10" s="272" t="s">
        <v>104</v>
      </c>
      <c r="AJ10" s="196"/>
      <c r="AK10" s="156"/>
      <c r="AL10" s="295"/>
    </row>
    <row r="11" spans="1:38" x14ac:dyDescent="0.2">
      <c r="F11" s="144" t="s">
        <v>1026</v>
      </c>
      <c r="G11" s="56" t="s">
        <v>1026</v>
      </c>
      <c r="H11" s="144" t="s">
        <v>1026</v>
      </c>
      <c r="I11" s="56" t="s">
        <v>1026</v>
      </c>
      <c r="J11" s="144" t="s">
        <v>1026</v>
      </c>
      <c r="K11" s="56" t="s">
        <v>1026</v>
      </c>
      <c r="L11" s="144" t="s">
        <v>1026</v>
      </c>
      <c r="M11" s="56" t="s">
        <v>1026</v>
      </c>
      <c r="N11" s="144" t="s">
        <v>1026</v>
      </c>
      <c r="O11" s="56" t="s">
        <v>1026</v>
      </c>
      <c r="P11" s="144" t="s">
        <v>1026</v>
      </c>
      <c r="Q11" s="56" t="s">
        <v>1026</v>
      </c>
      <c r="R11" s="144" t="s">
        <v>1026</v>
      </c>
      <c r="S11" s="56" t="s">
        <v>1026</v>
      </c>
      <c r="T11" s="144" t="s">
        <v>1026</v>
      </c>
      <c r="U11" s="56" t="s">
        <v>1026</v>
      </c>
      <c r="V11" s="144" t="s">
        <v>1026</v>
      </c>
      <c r="W11" s="56" t="s">
        <v>1026</v>
      </c>
      <c r="X11" s="144" t="s">
        <v>1026</v>
      </c>
      <c r="Y11" s="56" t="s">
        <v>1026</v>
      </c>
      <c r="Z11" s="144" t="s">
        <v>1026</v>
      </c>
      <c r="AA11" s="56" t="s">
        <v>1026</v>
      </c>
      <c r="AB11" s="144" t="s">
        <v>1026</v>
      </c>
      <c r="AC11" s="56" t="s">
        <v>1026</v>
      </c>
      <c r="AD11" s="144" t="s">
        <v>1026</v>
      </c>
      <c r="AE11" s="56" t="s">
        <v>1026</v>
      </c>
      <c r="AF11" s="144" t="s">
        <v>1026</v>
      </c>
      <c r="AG11" s="56" t="s">
        <v>1026</v>
      </c>
      <c r="AH11" s="144" t="s">
        <v>1026</v>
      </c>
      <c r="AI11" s="56" t="s">
        <v>1026</v>
      </c>
      <c r="AJ11" s="82" t="s">
        <v>1026</v>
      </c>
      <c r="AK11" s="59" t="s">
        <v>1026</v>
      </c>
      <c r="AL11" s="20" t="s">
        <v>1026</v>
      </c>
    </row>
    <row r="12" spans="1:38" x14ac:dyDescent="0.2">
      <c r="F12" s="144" t="s">
        <v>685</v>
      </c>
      <c r="G12" s="56" t="s">
        <v>685</v>
      </c>
      <c r="H12" s="144" t="s">
        <v>685</v>
      </c>
      <c r="I12" s="56" t="s">
        <v>685</v>
      </c>
      <c r="J12" s="144" t="s">
        <v>201</v>
      </c>
      <c r="K12" s="56" t="s">
        <v>201</v>
      </c>
      <c r="L12" s="144" t="s">
        <v>686</v>
      </c>
      <c r="M12" s="56" t="s">
        <v>686</v>
      </c>
      <c r="N12" s="144" t="s">
        <v>201</v>
      </c>
      <c r="O12" s="56" t="s">
        <v>201</v>
      </c>
      <c r="P12" s="144" t="s">
        <v>201</v>
      </c>
      <c r="Q12" s="56" t="s">
        <v>201</v>
      </c>
      <c r="R12" s="144" t="s">
        <v>201</v>
      </c>
      <c r="S12" s="56" t="s">
        <v>201</v>
      </c>
      <c r="T12" s="144" t="s">
        <v>201</v>
      </c>
      <c r="U12" s="56" t="s">
        <v>201</v>
      </c>
      <c r="V12" s="144" t="s">
        <v>201</v>
      </c>
      <c r="W12" s="56" t="s">
        <v>201</v>
      </c>
      <c r="X12" s="144" t="s">
        <v>201</v>
      </c>
      <c r="Y12" s="56" t="s">
        <v>201</v>
      </c>
      <c r="Z12" s="144" t="s">
        <v>201</v>
      </c>
      <c r="AA12" s="56" t="s">
        <v>201</v>
      </c>
      <c r="AB12" s="144" t="s">
        <v>201</v>
      </c>
      <c r="AC12" s="56" t="s">
        <v>201</v>
      </c>
      <c r="AD12" s="144" t="s">
        <v>201</v>
      </c>
      <c r="AE12" s="56" t="s">
        <v>201</v>
      </c>
      <c r="AF12" s="144" t="s">
        <v>201</v>
      </c>
      <c r="AG12" s="56" t="s">
        <v>201</v>
      </c>
      <c r="AH12" s="144" t="s">
        <v>201</v>
      </c>
      <c r="AI12" s="56" t="s">
        <v>201</v>
      </c>
      <c r="AJ12" s="82" t="s">
        <v>201</v>
      </c>
      <c r="AK12" s="59" t="s">
        <v>201</v>
      </c>
      <c r="AL12" s="20" t="s">
        <v>201</v>
      </c>
    </row>
    <row r="13" spans="1:38" x14ac:dyDescent="0.2">
      <c r="AJ13" s="82"/>
      <c r="AK13" s="59"/>
      <c r="AL13" s="20"/>
    </row>
    <row r="14" spans="1:38" x14ac:dyDescent="0.2">
      <c r="A14" s="36" t="s">
        <v>583</v>
      </c>
      <c r="B14" s="36" t="s">
        <v>5</v>
      </c>
      <c r="C14" s="38" t="s">
        <v>35</v>
      </c>
      <c r="D14" s="38" t="s">
        <v>6</v>
      </c>
      <c r="E14" s="271" t="s">
        <v>75</v>
      </c>
      <c r="F14" s="317" t="s">
        <v>543</v>
      </c>
      <c r="G14" s="155" t="s">
        <v>544</v>
      </c>
      <c r="H14" s="317" t="s">
        <v>408</v>
      </c>
      <c r="I14" s="155" t="s">
        <v>409</v>
      </c>
      <c r="J14" s="317" t="s">
        <v>406</v>
      </c>
      <c r="K14" s="155" t="s">
        <v>407</v>
      </c>
      <c r="L14" s="317" t="s">
        <v>410</v>
      </c>
      <c r="M14" s="155" t="s">
        <v>411</v>
      </c>
      <c r="N14" s="317" t="s">
        <v>400</v>
      </c>
      <c r="O14" s="155" t="s">
        <v>401</v>
      </c>
      <c r="P14" s="317" t="s">
        <v>402</v>
      </c>
      <c r="Q14" s="155" t="s">
        <v>403</v>
      </c>
      <c r="R14" s="317" t="s">
        <v>404</v>
      </c>
      <c r="S14" s="155" t="s">
        <v>405</v>
      </c>
      <c r="T14" s="317" t="s">
        <v>412</v>
      </c>
      <c r="U14" s="155" t="s">
        <v>413</v>
      </c>
      <c r="V14" s="317" t="s">
        <v>414</v>
      </c>
      <c r="W14" s="155" t="s">
        <v>415</v>
      </c>
      <c r="X14" s="317" t="s">
        <v>416</v>
      </c>
      <c r="Y14" s="155" t="s">
        <v>417</v>
      </c>
      <c r="Z14" s="317" t="s">
        <v>418</v>
      </c>
      <c r="AA14" s="155" t="s">
        <v>419</v>
      </c>
      <c r="AB14" s="317" t="s">
        <v>908</v>
      </c>
      <c r="AC14" s="155" t="s">
        <v>909</v>
      </c>
      <c r="AD14" s="317" t="s">
        <v>420</v>
      </c>
      <c r="AE14" s="155" t="s">
        <v>421</v>
      </c>
      <c r="AF14" s="317" t="s">
        <v>915</v>
      </c>
      <c r="AG14" s="155" t="s">
        <v>916</v>
      </c>
      <c r="AH14" s="317" t="s">
        <v>422</v>
      </c>
      <c r="AI14" s="155" t="s">
        <v>423</v>
      </c>
      <c r="AJ14" s="157" t="s">
        <v>424</v>
      </c>
      <c r="AK14" s="76" t="s">
        <v>392</v>
      </c>
      <c r="AL14" s="192" t="s">
        <v>545</v>
      </c>
    </row>
    <row r="15" spans="1:38" x14ac:dyDescent="0.2">
      <c r="E15" s="28" t="str">
        <f>$B15&amp;"|"&amp;$C15&amp;"|"&amp;$D15</f>
        <v>||</v>
      </c>
      <c r="F15" s="144" t="str">
        <f>IF($D15="Female",100%,"")</f>
        <v/>
      </c>
      <c r="G15" s="56" t="str" cm="1">
        <f t="array" ref="G15">IFERROR(ROUND($F15*IF($C15="50+",SUM(SUMIFS(PMTCT!$AF:$AF,PMTCT!$B:$B,$B15,PMTCT!$C:$C,{"50-54","55-59","60-64","65+"},PMTCT!$D:$D,$D15)),INDEX(PMTCT!$AF:$AF,MATCH($E15,PMTCT!$E:$E,0))),0),"")</f>
        <v/>
      </c>
      <c r="H15" s="144" t="str">
        <f>IF($D15="Female",100%,"")</f>
        <v/>
      </c>
      <c r="I15" s="56" t="str" cm="1">
        <f t="array" ref="I15">IFERROR(ROUND($H15*IF($C15="50+",SUM(SUMIFS(PMTCT!$AV:$AV,PMTCT!$B:$B,$B15,PMTCT!$C:$C,{"50-54","55-59","60-64","65+"},PMTCT!$D:$D,$D15)),INDEX(PMTCT!$AV:$AV,MATCH($E15,PMTCT!$E:$E,0))),0),"")</f>
        <v/>
      </c>
      <c r="J15" s="144">
        <v>1</v>
      </c>
      <c r="K15" s="56" cm="1">
        <f t="array" ref="K15">IFERROR(ROUND($J15*IF($C15="50+",SUM(SUMIFS(TB!$Q:$Q,TB!$B:$B,$B15,TB!$C:$C,{"50-54","55-59","60-64","65+"},TB!$D:$D,$D15)),INDEX(TB!$Q:$Q,MATCH($E15,TB!$E:$E,0))),0),"")</f>
        <v>0</v>
      </c>
      <c r="L15" s="144" t="str">
        <f>IF($D15="Male",100%,"")</f>
        <v/>
      </c>
      <c r="M15" s="71" t="str" cm="1">
        <f t="array" ref="M15">IFERROR(ROUND($L14*IF($C14="50+",SUM(SUMIFS(VMMC!$AC:$AC,VMMC!$B:$B,$B14,VMMC!$C:$C,{"50-54","55-59","60-64","65+"},VMMC!$D:$D,$D14)),INDEX(VMMC!$AC:$AC,MATCH($E14,VMMC!$E:$E,0))),0),"")</f>
        <v/>
      </c>
      <c r="N15" s="144">
        <v>1</v>
      </c>
      <c r="O15" s="56" t="str" cm="1">
        <f t="array" ref="O15">IFERROR(ROUND($N15*IF($C15="50+",SUM(SUMIFS(Cascade!$CT:$CT,Cascade!$B:$B,$B15,Cascade!$C:$C,{"50-54","55-59","60-64","65+"},Cascade!$D:$D,$D15)),INDEX(Cascade!$CT:$CT,MATCH($E15,Cascade!$E:$E,0))),0),"")</f>
        <v/>
      </c>
      <c r="P15" s="144">
        <v>1</v>
      </c>
      <c r="Q15" s="56" t="str" cm="1">
        <f t="array" ref="Q15">IFERROR(ROUND($P15*IF($C15="50+",SUM(SUMIFS(Cascade!$CV:$CV,Cascade!$B:$B,$B15,Cascade!$C:$C,{"50-54","55-59","60-64","65+"},Cascade!$D:$D,$D15)),INDEX(Cascade!$CV:$CV,MATCH($E15,Cascade!$E:$E,0))),0),"")</f>
        <v/>
      </c>
      <c r="R15" s="144">
        <v>1</v>
      </c>
      <c r="S15" s="56" t="str">
        <f>IFERROR(ROUND($R15*INDEX(HTS!$AI:$AI,MATCH($E15,HTS!$E:$E,0)),0),"")</f>
        <v/>
      </c>
      <c r="T15" s="144">
        <v>1</v>
      </c>
      <c r="U15" s="56" t="str">
        <f>IFERROR(ROUND($T15*INDEX(HTS!$AR:$AR,MATCH($E15,HTS!$E:$E,0)),0),"")</f>
        <v/>
      </c>
      <c r="V15" s="144">
        <v>1</v>
      </c>
      <c r="W15" s="56" t="str">
        <f>IFERROR(ROUND($V15*INDEX(HTS!$AU:$AU,MATCH($E15,HTS!$E:$E,0)),0),"")</f>
        <v/>
      </c>
      <c r="X15" s="144">
        <v>1</v>
      </c>
      <c r="Y15" s="56" t="str">
        <f>IFERROR(ROUND($X15*INDEX(HTS!$AX:$AX,MATCH($E15,HTS!$E:$E,0)),0),"")</f>
        <v/>
      </c>
      <c r="Z15" s="144">
        <v>1</v>
      </c>
      <c r="AA15" s="56" t="str">
        <f>IFERROR(ROUND($Z15*INDEX(HTS!$BA:$BA,MATCH($E15,HTS!$E:$E,0)),0),"")</f>
        <v/>
      </c>
      <c r="AB15" s="144">
        <v>1</v>
      </c>
      <c r="AC15" s="56" t="str">
        <f>IFERROR(ROUND($AB15*INDEX(HTS!$BD:$BD,MATCH($E15,HTS!$E:$E,0)),0),"")</f>
        <v/>
      </c>
      <c r="AD15" s="144">
        <v>1</v>
      </c>
      <c r="AE15" s="56" t="str">
        <f>IFERROR(ROUND($AD15*INDEX(HTS!$BG:$BG,MATCH($E15,HTS!$E:$E,0)),0),"")</f>
        <v/>
      </c>
      <c r="AF15" s="144">
        <v>1</v>
      </c>
      <c r="AG15" s="56" t="str">
        <f>IFERROR(ROUND($AF15*INDEX(HTS!$BJ:$BJ,MATCH($E15,HTS!$E:$E,0)),0),"")</f>
        <v/>
      </c>
      <c r="AH15" s="144">
        <v>1</v>
      </c>
      <c r="AI15" s="56" t="str">
        <f>IFERROR(ROUND($AH15*INDEX(HTS!$BM:$BM,MATCH($E15,HTS!$E:$E,0)),0),"")</f>
        <v/>
      </c>
      <c r="AJ15" s="96">
        <f>SUM($G15,$I15,$K15,$M15,$O15,$Q15,$S15,$U15,$W15,$Y15,$AA15,$AC15,$AE15,$AG15,$AI15)</f>
        <v>0</v>
      </c>
      <c r="AK15" s="249" t="str">
        <f>INDEX(HTS!$BP:$BP,MATCH($E15,HTS!$E:$E,0))</f>
        <v/>
      </c>
      <c r="AL15" s="230" t="str">
        <f>IF(SUM($AK15)=0,"",$AJ15/$AK15)</f>
        <v/>
      </c>
    </row>
    <row r="16" spans="1:38" x14ac:dyDescent="0.2">
      <c r="M16" s="71"/>
    </row>
  </sheetData>
  <conditionalFormatting sqref="F1:I1048576">
    <cfRule type="expression" dxfId="133" priority="6">
      <formula>$D1="Male"</formula>
    </cfRule>
  </conditionalFormatting>
  <conditionalFormatting sqref="L1:M1048576">
    <cfRule type="expression" dxfId="132" priority="9">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131" priority="2">
      <formula>AND(ISNUMBER(F1),OR(ROUND(F1,2)&gt;1,ROUND(F1,2)&lt;0))</formula>
    </cfRule>
    <cfRule type="expression" dxfId="130" priority="4">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129" priority="1">
      <formula>AND(ISNUMBER(G1),ROUND(G1,0)&lt;0)</formula>
    </cfRule>
  </conditionalFormatting>
  <hyperlinks>
    <hyperlink ref="J3" location="TB!Q:Q" display="% of Positives" xr:uid="{C240581F-0312-414F-99B5-7DC0EEDCE2D4}"/>
    <hyperlink ref="R3" location="HTS!AI:AI" display="% of Positives" xr:uid="{BCB03ADB-EB0F-9449-B4AD-8CCCC65196F5}"/>
    <hyperlink ref="P3" location="Cascade!CV:CV" display="% of Positives" xr:uid="{F5E990DE-DF37-E84A-B2EC-94F34D61814F}"/>
    <hyperlink ref="N3" location="Cascade!CT:CT" display="% of Positives" xr:uid="{8E652247-ECD7-3148-9B98-BE20BACDD9E8}"/>
    <hyperlink ref="F3" location="PMTCT!AF:AF" display="% of Positives" xr:uid="{F2B49097-C594-1242-BE6B-4FE63474113E}"/>
    <hyperlink ref="H3" location="PMTCT!AV:AV" display="% of Positives" xr:uid="{564F8A9F-7394-CC4D-8071-B2C639592C77}"/>
    <hyperlink ref="L3" location="VMMC!AC:AC" display="% of Positives" xr:uid="{475FB800-421E-EC40-BC04-9B9751E0C7DD}"/>
    <hyperlink ref="T3" location="HTS!AR:AR" display="% of Positives" xr:uid="{FD6CB84C-216C-654C-BB3E-E6A97699BD36}"/>
    <hyperlink ref="V3" location="HTS!AU:AU" display="% of Positives" xr:uid="{96FA7DA2-6B7F-E045-AB77-26040986DF71}"/>
    <hyperlink ref="X3" location="HTS!AX:AX" display="% of Positives" xr:uid="{BF7AE90C-BE91-3747-B0FE-18CFAFCA5903}"/>
    <hyperlink ref="Z3" location="HTS!BA:BA" display="% of Positives" xr:uid="{F60E015E-CE75-8F41-BA1B-C29B78A260DE}"/>
    <hyperlink ref="AD3" location="HTS!BG:BG" display="% of Positives" xr:uid="{20E22653-A2B8-F54C-8011-D998703856A1}"/>
    <hyperlink ref="AH3" location="HTS!BM:BM" display="% of Positives" xr:uid="{94ACC59F-8D64-8345-AB6E-13194DAC8C67}"/>
    <hyperlink ref="AK3" location="HTS!BP:BP" display="Final HTS_TST_POS (FY23)" xr:uid="{0E85C024-3561-CF4E-9219-3D965CFB99EF}"/>
    <hyperlink ref="AF3" location="HTS!BJ:BJ" display="% of Positives" xr:uid="{DA0A7933-ED09-FA43-85EA-CBB3FC01514D}"/>
    <hyperlink ref="AB3" location="HTS!BD:BD" display="% of Positives" xr:uid="{C9C1977D-B4BA-D94C-8FED-05182F234A59}"/>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82" customWidth="1"/>
    <col min="7" max="7" width="11.83203125" style="59" customWidth="1"/>
    <col min="8" max="11" width="11.83203125" style="20" customWidth="1"/>
    <col min="12" max="15" width="11.83203125" style="56" customWidth="1"/>
    <col min="16" max="16" width="11.83203125" style="82" customWidth="1"/>
    <col min="17" max="17" width="11.83203125" style="81" customWidth="1"/>
    <col min="18" max="18" width="11.83203125" style="59" customWidth="1"/>
    <col min="19" max="19" width="11.83203125" style="230" customWidth="1"/>
    <col min="20" max="20" width="11.83203125" style="102" customWidth="1"/>
    <col min="21" max="21" width="11.83203125" style="230" customWidth="1"/>
    <col min="22" max="22" width="11.83203125" style="20" customWidth="1"/>
    <col min="23" max="24" width="11.83203125" style="56" customWidth="1"/>
    <col min="25" max="25" width="11.83203125" style="144" customWidth="1"/>
    <col min="26" max="27" width="11.83203125" style="56" customWidth="1"/>
    <col min="28" max="29" width="11.83203125" style="20" customWidth="1"/>
    <col min="30" max="16384" width="10.83203125" style="24"/>
  </cols>
  <sheetData>
    <row r="1" spans="1:29" s="41" customFormat="1" ht="31" customHeight="1" x14ac:dyDescent="0.3">
      <c r="A1" s="5" t="s">
        <v>90</v>
      </c>
      <c r="B1" s="5"/>
      <c r="C1" s="1"/>
      <c r="D1" s="1"/>
      <c r="E1" s="1"/>
      <c r="F1" s="91" t="s">
        <v>19</v>
      </c>
      <c r="G1" s="61"/>
      <c r="H1" s="29"/>
      <c r="I1" s="29"/>
      <c r="J1" s="29"/>
      <c r="K1" s="29"/>
      <c r="L1" s="51"/>
      <c r="M1" s="51"/>
      <c r="N1" s="51"/>
      <c r="O1" s="51"/>
      <c r="P1" s="91" t="s">
        <v>20</v>
      </c>
      <c r="Q1" s="98"/>
      <c r="R1" s="64"/>
      <c r="S1" s="226"/>
      <c r="T1" s="98"/>
      <c r="U1" s="226"/>
      <c r="V1" s="29"/>
      <c r="W1" s="51"/>
      <c r="X1" s="51"/>
      <c r="Y1" s="224" t="s">
        <v>41</v>
      </c>
      <c r="Z1" s="51"/>
      <c r="AA1" s="51"/>
      <c r="AB1" s="19"/>
      <c r="AC1" s="19"/>
    </row>
    <row r="2" spans="1:29" s="40" customFormat="1" ht="19" x14ac:dyDescent="0.25">
      <c r="A2" s="2"/>
      <c r="B2" s="2"/>
      <c r="C2" s="2"/>
      <c r="D2" s="2"/>
      <c r="E2" s="2"/>
      <c r="F2" s="92" t="s">
        <v>73</v>
      </c>
      <c r="G2" s="57"/>
      <c r="H2" s="18" t="s">
        <v>2</v>
      </c>
      <c r="I2" s="18"/>
      <c r="J2" s="18"/>
      <c r="K2" s="18"/>
      <c r="L2" s="52" t="s">
        <v>3</v>
      </c>
      <c r="M2" s="52"/>
      <c r="N2" s="52"/>
      <c r="O2" s="52"/>
      <c r="P2" s="92" t="s">
        <v>73</v>
      </c>
      <c r="Q2" s="99"/>
      <c r="R2" s="78"/>
      <c r="S2" s="227"/>
      <c r="T2" s="99"/>
      <c r="U2" s="227" t="s">
        <v>2</v>
      </c>
      <c r="V2" s="18"/>
      <c r="W2" s="52" t="s">
        <v>3</v>
      </c>
      <c r="X2" s="52"/>
      <c r="Y2" s="225" t="s">
        <v>2</v>
      </c>
      <c r="Z2" s="52" t="s">
        <v>3</v>
      </c>
      <c r="AA2" s="52"/>
      <c r="AB2" s="18" t="s">
        <v>73</v>
      </c>
      <c r="AC2" s="18"/>
    </row>
    <row r="3" spans="1:29" ht="117" customHeight="1" x14ac:dyDescent="0.2">
      <c r="A3" s="31"/>
      <c r="B3" s="31"/>
      <c r="C3" s="31"/>
      <c r="D3" s="31"/>
      <c r="E3" s="31"/>
      <c r="F3" s="237" t="s">
        <v>779</v>
      </c>
      <c r="G3" s="238" t="s">
        <v>1010</v>
      </c>
      <c r="H3" s="32" t="s">
        <v>1058</v>
      </c>
      <c r="I3" s="32" t="s">
        <v>1057</v>
      </c>
      <c r="J3" s="32" t="s">
        <v>1056</v>
      </c>
      <c r="K3" s="32" t="s">
        <v>1055</v>
      </c>
      <c r="L3" s="53" t="s">
        <v>91</v>
      </c>
      <c r="M3" s="53" t="s">
        <v>36</v>
      </c>
      <c r="N3" s="53" t="s">
        <v>37</v>
      </c>
      <c r="O3" s="53" t="s">
        <v>40</v>
      </c>
      <c r="P3" s="128" t="s">
        <v>1153</v>
      </c>
      <c r="Q3" s="100" t="s">
        <v>1155</v>
      </c>
      <c r="R3" s="129" t="s">
        <v>1156</v>
      </c>
      <c r="S3" s="316" t="s">
        <v>1219</v>
      </c>
      <c r="T3" s="100" t="s">
        <v>1184</v>
      </c>
      <c r="U3" s="316" t="s">
        <v>1226</v>
      </c>
      <c r="V3" s="32" t="s">
        <v>1227</v>
      </c>
      <c r="W3" s="53" t="s">
        <v>32</v>
      </c>
      <c r="X3" s="53" t="s">
        <v>33</v>
      </c>
      <c r="Y3" s="338" t="s">
        <v>1054</v>
      </c>
      <c r="Z3" s="53" t="s">
        <v>32</v>
      </c>
      <c r="AA3" s="53" t="s">
        <v>33</v>
      </c>
      <c r="AB3" s="335" t="s">
        <v>261</v>
      </c>
      <c r="AC3" s="335" t="s">
        <v>262</v>
      </c>
    </row>
    <row r="4" spans="1:29" x14ac:dyDescent="0.2">
      <c r="A4" s="33"/>
      <c r="B4" s="33"/>
      <c r="C4" s="33"/>
      <c r="D4" s="33" t="s">
        <v>4</v>
      </c>
      <c r="E4" s="33"/>
      <c r="F4" s="93">
        <f>SUBTOTAL(109,F$15:INDEX(F:F,COUNTA($B:$B)+14-COUNTA($B$1:$B$14)))</f>
        <v>0</v>
      </c>
      <c r="G4" s="58">
        <f>SUBTOTAL(109,G$15:INDEX(G:G,COUNTA($B:$B)+14-COUNTA($B$1:$B$14)))</f>
        <v>0</v>
      </c>
      <c r="H4" s="34" t="str">
        <f>IF(SUM($F$4)=0,"",SUM($L$4,$M$4)/$F$4)</f>
        <v/>
      </c>
      <c r="I4" s="34" t="str">
        <f>IF(SUM($G$4)=0,"",SUM($N$4,$O$4)/$G$4)</f>
        <v/>
      </c>
      <c r="J4" s="34" t="str">
        <f>IF(SUM($L$4,$M$4)=0,"",$L$4/SUM($L$4,$M$4))</f>
        <v/>
      </c>
      <c r="K4" s="34" t="str">
        <f>IF(SUM($N$4,$O$4)=0,"",$N$4/SUM($N$4,$O$4))</f>
        <v/>
      </c>
      <c r="L4" s="55">
        <f>SUBTOTAL(109,L$15:INDEX(L:L,COUNTA($B:$B)+14-COUNTA($B$1:$B$14)))</f>
        <v>0</v>
      </c>
      <c r="M4" s="55">
        <f>SUBTOTAL(109,M$15:INDEX(M:M,COUNTA($B:$B)+14-COUNTA($B$1:$B$14)))</f>
        <v>0</v>
      </c>
      <c r="N4" s="55">
        <f>SUBTOTAL(109,N$15:INDEX(N:N,COUNTA($B:$B)+14-COUNTA($B$1:$B$14)))</f>
        <v>0</v>
      </c>
      <c r="O4" s="55">
        <f>SUBTOTAL(109,O$15:INDEX(O:O,COUNTA($B:$B)+14-COUNTA($B$1:$B$14)))</f>
        <v>0</v>
      </c>
      <c r="P4" s="93">
        <f>SUBTOTAL(109,P$15:INDEX(P:P,COUNTA($B:$B)+14-COUNTA($B$1:$B$14)))</f>
        <v>0</v>
      </c>
      <c r="Q4" s="101">
        <f>SUBTOTAL(109,Q$15:INDEX(Q:Q,COUNTA($B:$B)+14-COUNTA($B$1:$B$14)))</f>
        <v>0</v>
      </c>
      <c r="R4" s="58">
        <f>SUBTOTAL(109,R$15:INDEX(R:R,COUNTA($B:$B)+14-COUNTA($B$1:$B$14)))</f>
        <v>0</v>
      </c>
      <c r="S4" s="229" t="str">
        <f>IF(SUM($G4)=0,"",MIN(SUM($P4,$Q4,$R4)/$G4,1))</f>
        <v/>
      </c>
      <c r="T4" s="300">
        <f>SUBTOTAL(109,T$15:INDEX(T:T,COUNTA($B:$B)+14-COUNTA($B$1:$B$14)))</f>
        <v>0</v>
      </c>
      <c r="U4" s="229" t="str">
        <f>IF(SUM($M$4)=0,"",$W$4/$M$4)</f>
        <v/>
      </c>
      <c r="V4" s="34" t="str">
        <f>IF(SUM($O$4)=0,"",$X$4/$T$4)</f>
        <v/>
      </c>
      <c r="W4" s="55">
        <f>SUBTOTAL(109,W$15:INDEX(W:W,COUNTA($B:$B)+14-COUNTA($B$1:$B$14)))</f>
        <v>0</v>
      </c>
      <c r="X4" s="55">
        <f>SUBTOTAL(109,X$15:INDEX(X:X,COUNTA($B:$B)+14-COUNTA($B$1:$B$14)))</f>
        <v>0</v>
      </c>
      <c r="Y4" s="143" t="str">
        <f>IF(SUM($W$4,$X$4)=0,"",SUM($Z$4,$AA$4)/SUM($W$4,$X$4))</f>
        <v/>
      </c>
      <c r="Z4" s="55">
        <f>SUBTOTAL(109,Z$15:INDEX(Z:Z,COUNTA($B:$B)+14-COUNTA($B$1:$B$14)))</f>
        <v>0</v>
      </c>
      <c r="AA4" s="55">
        <f>SUBTOTAL(109,AA$15:INDEX(AA:AA,COUNTA($B:$B)+14-COUNTA($B$1:$B$14)))</f>
        <v>0</v>
      </c>
      <c r="AB4" s="34" t="str">
        <f>IF(SUM($Q4)=0,"",(SUM($Z4)-$Q4)/$Q4)</f>
        <v/>
      </c>
      <c r="AC4" s="34" t="str">
        <f>IF(SUM($R4)=0,"",(SUM($AA4)-$R4)/$R4)</f>
        <v/>
      </c>
    </row>
    <row r="5" spans="1:29" x14ac:dyDescent="0.2">
      <c r="A5" s="26" t="s">
        <v>98</v>
      </c>
      <c r="B5" s="26" t="s">
        <v>98</v>
      </c>
      <c r="C5" s="26" t="s">
        <v>98</v>
      </c>
      <c r="D5" s="26" t="s">
        <v>98</v>
      </c>
      <c r="E5" s="26" t="s">
        <v>98</v>
      </c>
      <c r="F5" s="82" t="s">
        <v>98</v>
      </c>
      <c r="G5" s="59" t="s">
        <v>98</v>
      </c>
      <c r="H5" s="20" t="s">
        <v>98</v>
      </c>
      <c r="I5" s="20" t="s">
        <v>98</v>
      </c>
      <c r="J5" s="20" t="s">
        <v>98</v>
      </c>
      <c r="K5" s="20" t="s">
        <v>98</v>
      </c>
      <c r="L5" s="56" t="s">
        <v>109</v>
      </c>
      <c r="M5" s="56" t="s">
        <v>109</v>
      </c>
      <c r="N5" s="56" t="s">
        <v>109</v>
      </c>
      <c r="O5" s="56" t="s">
        <v>109</v>
      </c>
      <c r="P5" s="82" t="s">
        <v>98</v>
      </c>
      <c r="Q5" s="81" t="s">
        <v>109</v>
      </c>
      <c r="R5" s="59" t="s">
        <v>109</v>
      </c>
      <c r="S5" s="230" t="s">
        <v>98</v>
      </c>
      <c r="T5" s="102" t="s">
        <v>98</v>
      </c>
      <c r="U5" s="230" t="s">
        <v>98</v>
      </c>
      <c r="V5" s="20" t="s">
        <v>98</v>
      </c>
      <c r="W5" s="56" t="s">
        <v>109</v>
      </c>
      <c r="X5" s="56" t="s">
        <v>109</v>
      </c>
      <c r="Y5" s="144" t="s">
        <v>98</v>
      </c>
      <c r="Z5" s="56" t="s">
        <v>109</v>
      </c>
      <c r="AA5" s="56" t="s">
        <v>109</v>
      </c>
      <c r="AB5" s="20" t="s">
        <v>98</v>
      </c>
      <c r="AC5" s="20" t="s">
        <v>98</v>
      </c>
    </row>
    <row r="6" spans="1:29" x14ac:dyDescent="0.2">
      <c r="A6" s="26" t="s">
        <v>200</v>
      </c>
      <c r="B6" s="26" t="s">
        <v>200</v>
      </c>
      <c r="C6" s="26" t="s">
        <v>200</v>
      </c>
      <c r="D6" s="26" t="s">
        <v>200</v>
      </c>
      <c r="E6" s="26" t="s">
        <v>200</v>
      </c>
      <c r="F6" s="82" t="s">
        <v>93</v>
      </c>
      <c r="G6" s="59" t="s">
        <v>93</v>
      </c>
      <c r="H6" s="20" t="s">
        <v>112</v>
      </c>
      <c r="I6" s="20" t="s">
        <v>112</v>
      </c>
      <c r="J6" s="20" t="s">
        <v>111</v>
      </c>
      <c r="K6" s="20" t="s">
        <v>111</v>
      </c>
      <c r="L6" s="56" t="s">
        <v>92</v>
      </c>
      <c r="M6" s="56" t="s">
        <v>92</v>
      </c>
      <c r="N6" s="56" t="s">
        <v>92</v>
      </c>
      <c r="O6" s="56" t="s">
        <v>92</v>
      </c>
      <c r="P6" s="82" t="s">
        <v>111</v>
      </c>
      <c r="Q6" s="81" t="s">
        <v>110</v>
      </c>
      <c r="R6" s="59" t="s">
        <v>110</v>
      </c>
      <c r="S6" s="230" t="s">
        <v>93</v>
      </c>
      <c r="T6" s="102" t="s">
        <v>93</v>
      </c>
      <c r="U6" s="230" t="s">
        <v>112</v>
      </c>
      <c r="V6" s="20" t="s">
        <v>112</v>
      </c>
      <c r="W6" s="56" t="s">
        <v>92</v>
      </c>
      <c r="X6" s="56" t="s">
        <v>92</v>
      </c>
      <c r="Y6" s="144" t="s">
        <v>112</v>
      </c>
      <c r="Z6" s="56" t="s">
        <v>92</v>
      </c>
      <c r="AA6" s="56" t="s">
        <v>92</v>
      </c>
      <c r="AB6" s="20" t="s">
        <v>93</v>
      </c>
      <c r="AC6" s="20" t="s">
        <v>93</v>
      </c>
    </row>
    <row r="7" spans="1:29" x14ac:dyDescent="0.2">
      <c r="A7" s="26" t="s">
        <v>108</v>
      </c>
      <c r="B7" s="26" t="s">
        <v>108</v>
      </c>
      <c r="C7" s="26" t="s">
        <v>108</v>
      </c>
      <c r="D7" s="26" t="s">
        <v>108</v>
      </c>
      <c r="E7" s="26" t="s">
        <v>108</v>
      </c>
      <c r="F7" s="82" t="s">
        <v>94</v>
      </c>
      <c r="G7" s="59" t="s">
        <v>94</v>
      </c>
      <c r="H7" s="20" t="s">
        <v>95</v>
      </c>
      <c r="I7" s="20" t="s">
        <v>95</v>
      </c>
      <c r="J7" s="20" t="s">
        <v>95</v>
      </c>
      <c r="K7" s="20" t="s">
        <v>95</v>
      </c>
      <c r="L7" s="56" t="s">
        <v>94</v>
      </c>
      <c r="M7" s="56" t="s">
        <v>94</v>
      </c>
      <c r="N7" s="56" t="s">
        <v>94</v>
      </c>
      <c r="O7" s="56" t="s">
        <v>94</v>
      </c>
      <c r="P7" s="82" t="s">
        <v>94</v>
      </c>
      <c r="Q7" s="81" t="s">
        <v>94</v>
      </c>
      <c r="R7" s="59" t="s">
        <v>94</v>
      </c>
      <c r="S7" s="230" t="s">
        <v>95</v>
      </c>
      <c r="T7" s="102" t="s">
        <v>94</v>
      </c>
      <c r="U7" s="230" t="s">
        <v>95</v>
      </c>
      <c r="V7" s="20" t="s">
        <v>95</v>
      </c>
      <c r="W7" s="56" t="s">
        <v>94</v>
      </c>
      <c r="X7" s="56" t="s">
        <v>94</v>
      </c>
      <c r="Y7" s="144" t="s">
        <v>95</v>
      </c>
      <c r="Z7" s="56" t="s">
        <v>94</v>
      </c>
      <c r="AA7" s="56" t="s">
        <v>94</v>
      </c>
      <c r="AB7" s="20" t="s">
        <v>95</v>
      </c>
      <c r="AC7" s="20" t="s">
        <v>95</v>
      </c>
    </row>
    <row r="8" spans="1:29" x14ac:dyDescent="0.2">
      <c r="L8" s="272" t="s">
        <v>166</v>
      </c>
      <c r="M8" s="272" t="s">
        <v>166</v>
      </c>
      <c r="N8" s="272" t="s">
        <v>166</v>
      </c>
      <c r="O8" s="272" t="s">
        <v>166</v>
      </c>
      <c r="P8" s="196"/>
      <c r="Q8" s="345" t="s">
        <v>211</v>
      </c>
      <c r="R8" s="275" t="s">
        <v>211</v>
      </c>
      <c r="W8" s="272" t="s">
        <v>210</v>
      </c>
      <c r="X8" s="272" t="s">
        <v>210</v>
      </c>
      <c r="Z8" s="272" t="s">
        <v>211</v>
      </c>
      <c r="AA8" s="272" t="s">
        <v>211</v>
      </c>
    </row>
    <row r="9" spans="1:29" x14ac:dyDescent="0.2">
      <c r="L9" s="272" t="s">
        <v>167</v>
      </c>
      <c r="M9" s="272" t="s">
        <v>167</v>
      </c>
      <c r="N9" s="272" t="s">
        <v>167</v>
      </c>
      <c r="O9" s="272" t="s">
        <v>167</v>
      </c>
      <c r="P9" s="196"/>
      <c r="Q9" s="345" t="s">
        <v>212</v>
      </c>
      <c r="R9" s="275" t="s">
        <v>212</v>
      </c>
      <c r="W9" s="272" t="s">
        <v>209</v>
      </c>
      <c r="X9" s="272" t="s">
        <v>209</v>
      </c>
      <c r="Z9" s="272" t="s">
        <v>212</v>
      </c>
      <c r="AA9" s="272" t="s">
        <v>212</v>
      </c>
    </row>
    <row r="10" spans="1:29" x14ac:dyDescent="0.2">
      <c r="L10" s="272" t="s">
        <v>168</v>
      </c>
      <c r="M10" s="272" t="s">
        <v>169</v>
      </c>
      <c r="N10" s="272" t="s">
        <v>170</v>
      </c>
      <c r="O10" s="272" t="s">
        <v>171</v>
      </c>
      <c r="P10" s="196"/>
      <c r="Q10" s="345" t="s">
        <v>119</v>
      </c>
      <c r="R10" s="275" t="s">
        <v>120</v>
      </c>
      <c r="W10" s="272" t="s">
        <v>119</v>
      </c>
      <c r="X10" s="272" t="s">
        <v>120</v>
      </c>
      <c r="Z10" s="272" t="s">
        <v>119</v>
      </c>
      <c r="AA10" s="272" t="s">
        <v>120</v>
      </c>
    </row>
    <row r="11" spans="1:29" x14ac:dyDescent="0.2">
      <c r="F11" s="82" t="s">
        <v>688</v>
      </c>
      <c r="G11" s="59" t="s">
        <v>688</v>
      </c>
      <c r="H11" s="20" t="s">
        <v>688</v>
      </c>
      <c r="I11" s="20" t="s">
        <v>688</v>
      </c>
      <c r="J11" s="20" t="s">
        <v>688</v>
      </c>
      <c r="K11" s="20" t="s">
        <v>688</v>
      </c>
      <c r="L11" s="56" t="s">
        <v>688</v>
      </c>
      <c r="M11" s="56" t="s">
        <v>688</v>
      </c>
      <c r="N11" s="56" t="s">
        <v>688</v>
      </c>
      <c r="O11" s="56" t="s">
        <v>688</v>
      </c>
      <c r="P11" s="82" t="s">
        <v>688</v>
      </c>
      <c r="Q11" s="81" t="s">
        <v>688</v>
      </c>
      <c r="R11" s="59" t="s">
        <v>688</v>
      </c>
      <c r="S11" s="230" t="s">
        <v>688</v>
      </c>
      <c r="T11" s="102" t="s">
        <v>688</v>
      </c>
      <c r="U11" s="230" t="s">
        <v>688</v>
      </c>
      <c r="V11" s="20" t="s">
        <v>688</v>
      </c>
      <c r="W11" s="56" t="s">
        <v>688</v>
      </c>
      <c r="X11" s="56" t="s">
        <v>688</v>
      </c>
      <c r="Y11" s="144" t="s">
        <v>688</v>
      </c>
      <c r="Z11" s="56" t="s">
        <v>688</v>
      </c>
      <c r="AA11" s="56" t="s">
        <v>688</v>
      </c>
      <c r="AB11" s="20" t="s">
        <v>688</v>
      </c>
      <c r="AC11" s="20" t="s">
        <v>688</v>
      </c>
    </row>
    <row r="12" spans="1:29" x14ac:dyDescent="0.2">
      <c r="F12" s="82" t="s">
        <v>201</v>
      </c>
      <c r="G12" s="59" t="s">
        <v>201</v>
      </c>
      <c r="H12" s="20" t="s">
        <v>201</v>
      </c>
      <c r="I12" s="20" t="s">
        <v>201</v>
      </c>
      <c r="J12" s="20" t="s">
        <v>201</v>
      </c>
      <c r="K12" s="20" t="s">
        <v>201</v>
      </c>
      <c r="L12" s="56" t="s">
        <v>201</v>
      </c>
      <c r="M12" s="56" t="s">
        <v>201</v>
      </c>
      <c r="N12" s="56" t="s">
        <v>201</v>
      </c>
      <c r="O12" s="56" t="s">
        <v>201</v>
      </c>
      <c r="P12" s="82" t="s">
        <v>201</v>
      </c>
      <c r="Q12" s="81" t="s">
        <v>201</v>
      </c>
      <c r="R12" s="59" t="s">
        <v>201</v>
      </c>
      <c r="S12" s="230" t="s">
        <v>201</v>
      </c>
      <c r="T12" s="102" t="s">
        <v>201</v>
      </c>
      <c r="U12" s="230" t="s">
        <v>201</v>
      </c>
      <c r="V12" s="20" t="s">
        <v>201</v>
      </c>
      <c r="W12" s="56" t="s">
        <v>201</v>
      </c>
      <c r="X12" s="56" t="s">
        <v>201</v>
      </c>
      <c r="Y12" s="144" t="s">
        <v>201</v>
      </c>
      <c r="Z12" s="56" t="s">
        <v>201</v>
      </c>
      <c r="AA12" s="56" t="s">
        <v>201</v>
      </c>
      <c r="AB12" s="20" t="s">
        <v>201</v>
      </c>
      <c r="AC12" s="20" t="s">
        <v>201</v>
      </c>
    </row>
    <row r="14" spans="1:29" x14ac:dyDescent="0.2">
      <c r="A14" s="36" t="s">
        <v>583</v>
      </c>
      <c r="B14" s="36" t="s">
        <v>5</v>
      </c>
      <c r="C14" s="38" t="s">
        <v>35</v>
      </c>
      <c r="D14" s="38" t="s">
        <v>6</v>
      </c>
      <c r="E14" s="38" t="s">
        <v>75</v>
      </c>
      <c r="F14" s="157" t="s">
        <v>314</v>
      </c>
      <c r="G14" s="76" t="s">
        <v>312</v>
      </c>
      <c r="H14" s="192" t="s">
        <v>1011</v>
      </c>
      <c r="I14" s="192" t="s">
        <v>1012</v>
      </c>
      <c r="J14" s="192" t="s">
        <v>425</v>
      </c>
      <c r="K14" s="192" t="s">
        <v>426</v>
      </c>
      <c r="L14" s="155" t="s">
        <v>427</v>
      </c>
      <c r="M14" s="155" t="s">
        <v>428</v>
      </c>
      <c r="N14" s="155" t="s">
        <v>429</v>
      </c>
      <c r="O14" s="155" t="s">
        <v>430</v>
      </c>
      <c r="P14" s="157" t="s">
        <v>1154</v>
      </c>
      <c r="Q14" s="159" t="s">
        <v>435</v>
      </c>
      <c r="R14" s="76" t="s">
        <v>436</v>
      </c>
      <c r="S14" s="231" t="s">
        <v>1185</v>
      </c>
      <c r="T14" s="159" t="s">
        <v>1183</v>
      </c>
      <c r="U14" s="231" t="s">
        <v>431</v>
      </c>
      <c r="V14" s="192" t="s">
        <v>432</v>
      </c>
      <c r="W14" s="155" t="s">
        <v>433</v>
      </c>
      <c r="X14" s="155" t="s">
        <v>434</v>
      </c>
      <c r="Y14" s="317" t="s">
        <v>437</v>
      </c>
      <c r="Z14" s="155" t="s">
        <v>438</v>
      </c>
      <c r="AA14" s="155" t="s">
        <v>439</v>
      </c>
      <c r="AB14" s="192" t="s">
        <v>440</v>
      </c>
      <c r="AC14" s="192" t="s">
        <v>441</v>
      </c>
    </row>
    <row r="15" spans="1:29" x14ac:dyDescent="0.2">
      <c r="E15" s="26" t="str">
        <f>B15&amp;"|"&amp;C15&amp;"|"&amp;D15</f>
        <v>||</v>
      </c>
      <c r="F15" s="82" t="str" cm="1">
        <f t="array" ref="F15">IFERROR(1/(1/IF($C15="&lt;15",SUM(SUMIFS(Cascade!$BN:$BN,Cascade!$B:$B,$B15,Cascade!$C:$C,{"=&lt;01","01-04","05-09","10-14"},Cascade!$D:$D,$D15)),SUM(SUMIFS(Cascade!$BN:$BN,Cascade!$B:$B,$B15,Cascade!$C:$C,{"15-19","20-24","25-29","30-34","35-39","40-44","45-49","50-54","55-59","60-64","65+"},Cascade!$D:$D,$D15)))),"")</f>
        <v/>
      </c>
      <c r="G15" s="59" t="str" cm="1">
        <f t="array" ref="G15">IFERROR(1/(1/IF($C15="&lt;15",SUM(SUMIFS(Cascade!$AG:$AG,Cascade!$B:$B,$B15,Cascade!$C:$C,{"=&lt;01","01-04","05-09","10-14"},Cascade!$D:$D,$D15)),SUM(SUMIFS(Cascade!$AG:$AG,Cascade!$B:$B,$B15,Cascade!$C:$C,{"15-19","20-24","25-29","30-34","35-39","40-44","45-49","50-54","55-59","60-64","65+"},Cascade!$D:$D,$D15)))),"")</f>
        <v/>
      </c>
      <c r="H15" s="20">
        <v>1</v>
      </c>
      <c r="I15" s="20">
        <v>1</v>
      </c>
      <c r="L15" s="56">
        <f>IF(SUM($F15)=0,0,ROUND($F15*$H15*$J15,0))</f>
        <v>0</v>
      </c>
      <c r="M15" s="56">
        <f>IF(SUM($F15)=0,0,ROUND($F15*$H15,0)-$L15)</f>
        <v>0</v>
      </c>
      <c r="N15" s="56">
        <f>IF(SUM($G15)=0,0,ROUND($G15*$I15*$K15,0))</f>
        <v>0</v>
      </c>
      <c r="O15" s="56">
        <f>IF(SUM($G15)=0,0,ROUND($G15*$I15,0)-$N15)</f>
        <v>0</v>
      </c>
      <c r="S15" s="230" t="str">
        <f>IF(SUM($G15)=0,"",MIN(SUM($P15,$Q15,$R15)/$G15,1))</f>
        <v/>
      </c>
      <c r="T15" s="102" t="str">
        <f>IF(SUM($O15)=0,"",MAX($O15-ROUND(SUM($G15)*SUM($I15)*$S15,0),0))</f>
        <v/>
      </c>
      <c r="U15" s="230">
        <v>1</v>
      </c>
      <c r="V15" s="20">
        <v>1</v>
      </c>
      <c r="W15" s="56">
        <f>ROUND(SUM($M15)*$U15,0)</f>
        <v>0</v>
      </c>
      <c r="X15" s="56">
        <f>ROUND(SUM($T15)*$V15,0)</f>
        <v>0</v>
      </c>
      <c r="Y15" s="144">
        <v>0.9</v>
      </c>
      <c r="Z15" s="56">
        <f>ROUND(SUM($W15)*$Y15,0)</f>
        <v>0</v>
      </c>
      <c r="AA15" s="56">
        <f>ROUND(SUM($X15)*$Y15,0)</f>
        <v>0</v>
      </c>
      <c r="AB15" s="20" t="str">
        <f>IF(SUM($Q15)=0,"",(SUM($Z15)-$Q15)/$Q15)</f>
        <v/>
      </c>
      <c r="AC15" s="20" t="str">
        <f>IF(SUM($R15)=0,"",(SUM($AA15)-$R15)/$R15)</f>
        <v/>
      </c>
    </row>
  </sheetData>
  <conditionalFormatting sqref="V1:V1048576 Y1:Y1048576">
    <cfRule type="expression" dxfId="128" priority="7">
      <formula>AND(ISNUMBER(V1),ROUND(SUM(V1),2)&lt;90%)</formula>
    </cfRule>
  </conditionalFormatting>
  <conditionalFormatting sqref="H1:K1048576 U1:V1048576 Y1:Y1048576">
    <cfRule type="expression" dxfId="127" priority="3">
      <formula>AND(ISNUMBER(H1),OR(ROUND(SUM(H1),2)&gt;1,ROUND(SUM(H1),2)&lt;0))</formula>
    </cfRule>
  </conditionalFormatting>
  <conditionalFormatting sqref="H1:H1048576 J1:J1048576">
    <cfRule type="expression" dxfId="126" priority="2164">
      <formula>AND(SUM($F1)&lt;&gt;0,H1="",ROW(H1)&gt;14)</formula>
    </cfRule>
  </conditionalFormatting>
  <conditionalFormatting sqref="I1:I1048576 K1:K1048576">
    <cfRule type="expression" dxfId="125" priority="2166">
      <formula>AND(SUM($G1)&gt;0,I1="",ROW(I1)&gt;14)</formula>
    </cfRule>
  </conditionalFormatting>
  <conditionalFormatting sqref="H1:I1048576 U1:U1048576">
    <cfRule type="expression" dxfId="124" priority="4">
      <formula>AND(ISNUMBER(H1),ROUND(SUM(H1),2)&lt;100%)</formula>
    </cfRule>
  </conditionalFormatting>
  <conditionalFormatting sqref="F1:G1048576 L1:P1048576">
    <cfRule type="expression" dxfId="123" priority="1">
      <formula>AND(ISNUMBER(F1),ROUND(SUM(F1),2)&lt;0)</formula>
    </cfRule>
  </conditionalFormatting>
  <conditionalFormatting sqref="W1:X1048576 Z1:AA1048576">
    <cfRule type="expression" dxfId="122" priority="3284">
      <formula>AND(ISNUMBER(C1),ROUND(SUM(C1),2)&lt;0)</formula>
    </cfRule>
  </conditionalFormatting>
  <conditionalFormatting sqref="R1:S1048576">
    <cfRule type="expression" dxfId="121" priority="3286">
      <formula>AND(ISNUMBER(A1),ROUND(SUM(A1),2)&lt;0)</formula>
    </cfRule>
  </conditionalFormatting>
  <conditionalFormatting sqref="Q1:Q1048576 T1:T1048576">
    <cfRule type="expression" dxfId="120"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82" customWidth="1"/>
    <col min="7" max="7" width="11.83203125" style="20" customWidth="1"/>
    <col min="8" max="8" width="11.83203125" style="56" customWidth="1"/>
    <col min="9" max="16384" width="10.83203125" style="24"/>
  </cols>
  <sheetData>
    <row r="1" spans="1:8" s="41" customFormat="1" ht="31" customHeight="1" x14ac:dyDescent="0.3">
      <c r="A1" s="5" t="s">
        <v>12</v>
      </c>
      <c r="B1" s="5"/>
      <c r="C1" s="1"/>
      <c r="D1" s="1"/>
      <c r="E1" s="1"/>
      <c r="F1" s="91" t="s">
        <v>47</v>
      </c>
      <c r="G1" s="29"/>
      <c r="H1" s="51"/>
    </row>
    <row r="2" spans="1:8" s="40" customFormat="1" ht="19" x14ac:dyDescent="0.25">
      <c r="A2" s="2"/>
      <c r="B2" s="2"/>
      <c r="C2" s="2"/>
      <c r="D2" s="2"/>
      <c r="E2" s="2"/>
      <c r="F2" s="92" t="s">
        <v>73</v>
      </c>
      <c r="G2" s="18" t="s">
        <v>2</v>
      </c>
      <c r="H2" s="52" t="s">
        <v>3</v>
      </c>
    </row>
    <row r="3" spans="1:8" ht="117" customHeight="1" x14ac:dyDescent="0.2">
      <c r="A3" s="31"/>
      <c r="B3" s="31"/>
      <c r="C3" s="31"/>
      <c r="D3" s="31"/>
      <c r="E3" s="31"/>
      <c r="F3" s="128" t="s">
        <v>855</v>
      </c>
      <c r="G3" s="32" t="s">
        <v>258</v>
      </c>
      <c r="H3" s="53" t="s">
        <v>856</v>
      </c>
    </row>
    <row r="4" spans="1:8" x14ac:dyDescent="0.2">
      <c r="A4" s="33"/>
      <c r="B4" s="33"/>
      <c r="C4" s="33"/>
      <c r="D4" s="33" t="s">
        <v>4</v>
      </c>
      <c r="E4" s="33"/>
      <c r="F4" s="93">
        <f>SUBTOTAL(109,F$15:INDEX(F:F,COUNTA($B:$B)+14-COUNTA($B$1:$B$14)))</f>
        <v>0</v>
      </c>
      <c r="G4" s="34" t="str">
        <f>IF($F$4=0,"",$H$4/$F$4-1)</f>
        <v/>
      </c>
      <c r="H4" s="55">
        <f>SUBTOTAL(109,H$15:INDEX(H:H,COUNTA($B:$B)+14-COUNTA($B$1:$B$14)))</f>
        <v>0</v>
      </c>
    </row>
    <row r="5" spans="1:8" x14ac:dyDescent="0.2">
      <c r="A5" s="26" t="s">
        <v>98</v>
      </c>
      <c r="B5" s="26" t="s">
        <v>98</v>
      </c>
      <c r="C5" s="26" t="s">
        <v>98</v>
      </c>
      <c r="D5" s="26" t="s">
        <v>98</v>
      </c>
      <c r="E5" s="26" t="s">
        <v>98</v>
      </c>
      <c r="F5" s="82" t="s">
        <v>109</v>
      </c>
      <c r="G5" s="20" t="s">
        <v>98</v>
      </c>
      <c r="H5" s="56" t="s">
        <v>109</v>
      </c>
    </row>
    <row r="6" spans="1:8" x14ac:dyDescent="0.2">
      <c r="A6" s="26" t="s">
        <v>200</v>
      </c>
      <c r="B6" s="26" t="s">
        <v>200</v>
      </c>
      <c r="C6" s="26" t="s">
        <v>200</v>
      </c>
      <c r="D6" s="26" t="s">
        <v>200</v>
      </c>
      <c r="E6" s="26" t="s">
        <v>200</v>
      </c>
      <c r="F6" s="82" t="s">
        <v>110</v>
      </c>
      <c r="G6" s="20" t="s">
        <v>112</v>
      </c>
      <c r="H6" s="56" t="s">
        <v>92</v>
      </c>
    </row>
    <row r="7" spans="1:8" x14ac:dyDescent="0.2">
      <c r="A7" s="26" t="s">
        <v>108</v>
      </c>
      <c r="B7" s="26" t="s">
        <v>108</v>
      </c>
      <c r="C7" s="26" t="s">
        <v>108</v>
      </c>
      <c r="D7" s="26" t="s">
        <v>108</v>
      </c>
      <c r="E7" s="26" t="s">
        <v>108</v>
      </c>
      <c r="F7" s="82" t="s">
        <v>94</v>
      </c>
      <c r="G7" s="20" t="s">
        <v>95</v>
      </c>
      <c r="H7" s="56" t="s">
        <v>94</v>
      </c>
    </row>
    <row r="8" spans="1:8" x14ac:dyDescent="0.2">
      <c r="F8" s="277" t="s">
        <v>190</v>
      </c>
      <c r="H8" s="272" t="s">
        <v>190</v>
      </c>
    </row>
    <row r="9" spans="1:8" x14ac:dyDescent="0.2">
      <c r="F9" s="277" t="s">
        <v>191</v>
      </c>
      <c r="H9" s="272" t="s">
        <v>191</v>
      </c>
    </row>
    <row r="10" spans="1:8" x14ac:dyDescent="0.2">
      <c r="F10" s="277"/>
      <c r="H10" s="272"/>
    </row>
    <row r="11" spans="1:8" x14ac:dyDescent="0.2">
      <c r="F11" s="82" t="s">
        <v>1025</v>
      </c>
      <c r="G11" s="35" t="s">
        <v>1025</v>
      </c>
      <c r="H11" s="56" t="s">
        <v>1025</v>
      </c>
    </row>
    <row r="12" spans="1:8" x14ac:dyDescent="0.2">
      <c r="F12" s="82" t="s">
        <v>201</v>
      </c>
      <c r="G12" s="20" t="s">
        <v>201</v>
      </c>
      <c r="H12" s="56" t="s">
        <v>201</v>
      </c>
    </row>
    <row r="14" spans="1:8" x14ac:dyDescent="0.2">
      <c r="A14" s="38" t="s">
        <v>583</v>
      </c>
      <c r="B14" s="38" t="s">
        <v>5</v>
      </c>
      <c r="C14" s="38" t="s">
        <v>35</v>
      </c>
      <c r="D14" s="38" t="s">
        <v>6</v>
      </c>
      <c r="E14" s="38" t="s">
        <v>75</v>
      </c>
      <c r="F14" s="157" t="s">
        <v>462</v>
      </c>
      <c r="G14" s="192" t="s">
        <v>547</v>
      </c>
      <c r="H14" s="155" t="s">
        <v>463</v>
      </c>
    </row>
    <row r="15" spans="1:8" x14ac:dyDescent="0.2">
      <c r="E15" s="26" t="str">
        <f>B15&amp;"|"&amp;C15&amp;"|"&amp;D15</f>
        <v>||</v>
      </c>
      <c r="G15" s="20" t="str">
        <f>IF(SUM($F15)=0,"",0%)</f>
        <v/>
      </c>
      <c r="H15" s="56" t="str">
        <f>IF(SUM($F15)=0,"",ROUND($F15*(1+$G15),0))</f>
        <v/>
      </c>
    </row>
  </sheetData>
  <conditionalFormatting sqref="F1:F1048576 H1:H1048576">
    <cfRule type="expression" dxfId="119"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41" customFormat="1" ht="31" customHeight="1" x14ac:dyDescent="0.3">
      <c r="A1" s="5" t="s">
        <v>11</v>
      </c>
      <c r="B1" s="5"/>
      <c r="C1" s="1"/>
      <c r="D1" s="1"/>
      <c r="E1" s="1"/>
      <c r="F1" s="126" t="s">
        <v>46</v>
      </c>
      <c r="G1" s="126"/>
      <c r="H1" s="126"/>
      <c r="I1" s="51"/>
      <c r="J1" s="29"/>
      <c r="K1" s="29"/>
      <c r="L1" s="29"/>
      <c r="M1" s="29"/>
      <c r="N1" s="29"/>
      <c r="O1" s="51"/>
      <c r="P1" s="51"/>
      <c r="Q1" s="51"/>
      <c r="R1" s="51"/>
      <c r="S1" s="51"/>
      <c r="T1" s="224" t="s">
        <v>48</v>
      </c>
      <c r="U1" s="51"/>
    </row>
    <row r="2" spans="1:21" s="40" customFormat="1" ht="19" x14ac:dyDescent="0.25">
      <c r="A2" s="2"/>
      <c r="B2" s="2"/>
      <c r="C2" s="2"/>
      <c r="D2" s="2"/>
      <c r="E2" s="2"/>
      <c r="F2" s="166" t="s">
        <v>73</v>
      </c>
      <c r="G2" s="166"/>
      <c r="H2" s="166"/>
      <c r="I2" s="57"/>
      <c r="J2" s="18" t="s">
        <v>2</v>
      </c>
      <c r="K2" s="18"/>
      <c r="L2" s="18"/>
      <c r="M2" s="18"/>
      <c r="N2" s="18"/>
      <c r="O2" s="52" t="s">
        <v>3</v>
      </c>
      <c r="P2" s="52"/>
      <c r="Q2" s="52"/>
      <c r="R2" s="52"/>
      <c r="S2" s="52"/>
      <c r="T2" s="225" t="s">
        <v>2</v>
      </c>
      <c r="U2" s="52" t="s">
        <v>3</v>
      </c>
    </row>
    <row r="3" spans="1:21" s="24" customFormat="1" ht="117" customHeight="1" x14ac:dyDescent="0.2">
      <c r="A3" s="31"/>
      <c r="B3" s="31"/>
      <c r="C3" s="31"/>
      <c r="D3" s="31"/>
      <c r="E3" s="31"/>
      <c r="F3" s="238" t="s">
        <v>602</v>
      </c>
      <c r="G3" s="121" t="s">
        <v>494</v>
      </c>
      <c r="H3" s="121" t="s">
        <v>857</v>
      </c>
      <c r="I3" s="121" t="s">
        <v>855</v>
      </c>
      <c r="J3" s="32" t="s">
        <v>257</v>
      </c>
      <c r="K3" s="32" t="s">
        <v>1068</v>
      </c>
      <c r="L3" s="32" t="s">
        <v>1069</v>
      </c>
      <c r="M3" s="335" t="s">
        <v>1070</v>
      </c>
      <c r="N3" s="32" t="s">
        <v>1071</v>
      </c>
      <c r="O3" s="53" t="s">
        <v>275</v>
      </c>
      <c r="P3" s="53" t="s">
        <v>491</v>
      </c>
      <c r="Q3" s="53" t="s">
        <v>492</v>
      </c>
      <c r="R3" s="53" t="s">
        <v>580</v>
      </c>
      <c r="S3" s="53" t="s">
        <v>581</v>
      </c>
      <c r="T3" s="338" t="s">
        <v>1157</v>
      </c>
      <c r="U3" s="53" t="s">
        <v>1072</v>
      </c>
    </row>
    <row r="4" spans="1:21" s="24" customFormat="1" x14ac:dyDescent="0.2">
      <c r="A4" s="33"/>
      <c r="B4" s="33"/>
      <c r="C4" s="33"/>
      <c r="D4" s="33" t="s">
        <v>4</v>
      </c>
      <c r="E4" s="33"/>
      <c r="F4" s="73">
        <f>SUBTOTAL(109,F$15:INDEX(F:F,COUNTA($B:$B)+14-COUNTA($B$1:$B$14)))</f>
        <v>0</v>
      </c>
      <c r="G4" s="164"/>
      <c r="H4" s="58">
        <f>SUBTOTAL(109,H$15:INDEX(H:H,COUNTA($B:$B)+14-COUNTA($B$1:$B$14)))</f>
        <v>0</v>
      </c>
      <c r="I4" s="58">
        <f>SUBTOTAL(109,I$15:INDEX(I:I,COUNTA($B:$B)+14-COUNTA($B$1:$B$14)))</f>
        <v>0</v>
      </c>
      <c r="J4" s="34" t="str">
        <f>IF($I$4=0,"",$O$4/$I$4-1)</f>
        <v/>
      </c>
      <c r="K4" s="34" t="str">
        <f>IF($O$4=0,"",$P$4/$O$4)</f>
        <v/>
      </c>
      <c r="L4" s="34" t="str">
        <f>IF($O$4=0,"",$Q$4/$O$4)</f>
        <v/>
      </c>
      <c r="M4" s="34" t="str">
        <f>IF($O$4=0,"",SUM($R$4,$S$4)/$O$4)</f>
        <v/>
      </c>
      <c r="N4" s="34" t="str">
        <f>IF(SUM($R$4,$S$4)=0,"",$R$4/SUM($R$4,$S$4))</f>
        <v/>
      </c>
      <c r="O4" s="55">
        <f>SUBTOTAL(109,O$15:INDEX(O:O,COUNTA($B:$B)+14-COUNTA($B$1:$B$14)))</f>
        <v>0</v>
      </c>
      <c r="P4" s="55">
        <f>SUBTOTAL(109,P$15:INDEX(P:P,COUNTA($B:$B)+14-COUNTA($B$1:$B$14)))</f>
        <v>0</v>
      </c>
      <c r="Q4" s="55">
        <f>SUBTOTAL(109,Q$15:INDEX(Q:Q,COUNTA($B:$B)+14-COUNTA($B$1:$B$14)))</f>
        <v>0</v>
      </c>
      <c r="R4" s="55">
        <f>SUBTOTAL(109,R$15:INDEX(R:R,COUNTA($B:$B)+14-COUNTA($B$1:$B$14)))</f>
        <v>0</v>
      </c>
      <c r="S4" s="55">
        <f>SUBTOTAL(109,S$15:INDEX(S:S,COUNTA($B:$B)+14-COUNTA($B$1:$B$14)))</f>
        <v>0</v>
      </c>
      <c r="T4" s="143" t="str">
        <f>IF(SUM($R$4,$S$4)=0,"",$U$4/SUM($R$4,$S$4))</f>
        <v/>
      </c>
      <c r="U4" s="55">
        <f>SUBTOTAL(109,U$15:INDEX(U:U,COUNTA($B:$B)+14-COUNTA($B$1:$B$14)))</f>
        <v>0</v>
      </c>
    </row>
    <row r="5" spans="1:21" s="24" customFormat="1" x14ac:dyDescent="0.2">
      <c r="A5" s="26" t="s">
        <v>98</v>
      </c>
      <c r="B5" s="26" t="s">
        <v>98</v>
      </c>
      <c r="C5" s="26" t="s">
        <v>98</v>
      </c>
      <c r="D5" s="26" t="s">
        <v>98</v>
      </c>
      <c r="E5" s="26" t="s">
        <v>98</v>
      </c>
      <c r="F5" s="193" t="s">
        <v>98</v>
      </c>
      <c r="G5" s="193" t="s">
        <v>98</v>
      </c>
      <c r="H5" s="193" t="s">
        <v>98</v>
      </c>
      <c r="I5" s="193" t="s">
        <v>98</v>
      </c>
      <c r="J5" s="20" t="s">
        <v>98</v>
      </c>
      <c r="K5" s="20" t="s">
        <v>98</v>
      </c>
      <c r="L5" s="20" t="s">
        <v>98</v>
      </c>
      <c r="M5" s="20" t="s">
        <v>98</v>
      </c>
      <c r="N5" s="20" t="s">
        <v>98</v>
      </c>
      <c r="O5" s="56" t="s">
        <v>98</v>
      </c>
      <c r="P5" s="56" t="s">
        <v>109</v>
      </c>
      <c r="Q5" s="56" t="s">
        <v>109</v>
      </c>
      <c r="R5" s="56" t="s">
        <v>109</v>
      </c>
      <c r="S5" s="56" t="s">
        <v>109</v>
      </c>
      <c r="T5" s="144" t="s">
        <v>98</v>
      </c>
      <c r="U5" s="56" t="s">
        <v>109</v>
      </c>
    </row>
    <row r="6" spans="1:21" s="24" customFormat="1" x14ac:dyDescent="0.2">
      <c r="A6" s="26" t="s">
        <v>200</v>
      </c>
      <c r="B6" s="26" t="s">
        <v>200</v>
      </c>
      <c r="C6" s="26" t="s">
        <v>200</v>
      </c>
      <c r="D6" s="26" t="s">
        <v>200</v>
      </c>
      <c r="E6" s="26" t="s">
        <v>200</v>
      </c>
      <c r="F6" s="193" t="s">
        <v>93</v>
      </c>
      <c r="G6" s="193" t="s">
        <v>111</v>
      </c>
      <c r="H6" s="193" t="s">
        <v>111</v>
      </c>
      <c r="I6" s="193" t="s">
        <v>111</v>
      </c>
      <c r="J6" s="20" t="s">
        <v>112</v>
      </c>
      <c r="K6" s="20" t="s">
        <v>112</v>
      </c>
      <c r="L6" s="20" t="s">
        <v>112</v>
      </c>
      <c r="M6" s="20" t="s">
        <v>112</v>
      </c>
      <c r="N6" s="20" t="s">
        <v>112</v>
      </c>
      <c r="O6" s="56" t="s">
        <v>93</v>
      </c>
      <c r="P6" s="56" t="s">
        <v>92</v>
      </c>
      <c r="Q6" s="56" t="s">
        <v>92</v>
      </c>
      <c r="R6" s="56" t="s">
        <v>92</v>
      </c>
      <c r="S6" s="56" t="s">
        <v>92</v>
      </c>
      <c r="T6" s="144" t="s">
        <v>112</v>
      </c>
      <c r="U6" s="56" t="s">
        <v>92</v>
      </c>
    </row>
    <row r="7" spans="1:21" s="24" customFormat="1" x14ac:dyDescent="0.2">
      <c r="A7" s="26" t="s">
        <v>108</v>
      </c>
      <c r="B7" s="26" t="s">
        <v>108</v>
      </c>
      <c r="C7" s="26" t="s">
        <v>108</v>
      </c>
      <c r="D7" s="26" t="s">
        <v>108</v>
      </c>
      <c r="E7" s="26" t="s">
        <v>108</v>
      </c>
      <c r="F7" s="193" t="s">
        <v>94</v>
      </c>
      <c r="G7" s="193" t="s">
        <v>108</v>
      </c>
      <c r="H7" s="193" t="s">
        <v>94</v>
      </c>
      <c r="I7" s="59" t="s">
        <v>94</v>
      </c>
      <c r="J7" s="20" t="s">
        <v>95</v>
      </c>
      <c r="K7" s="20" t="s">
        <v>95</v>
      </c>
      <c r="L7" s="20" t="s">
        <v>95</v>
      </c>
      <c r="M7" s="20" t="s">
        <v>95</v>
      </c>
      <c r="N7" s="20" t="s">
        <v>95</v>
      </c>
      <c r="O7" s="56" t="s">
        <v>94</v>
      </c>
      <c r="P7" s="56" t="s">
        <v>94</v>
      </c>
      <c r="Q7" s="56" t="s">
        <v>94</v>
      </c>
      <c r="R7" s="56" t="s">
        <v>94</v>
      </c>
      <c r="S7" s="56" t="s">
        <v>94</v>
      </c>
      <c r="T7" s="144" t="s">
        <v>95</v>
      </c>
      <c r="U7" s="56" t="s">
        <v>94</v>
      </c>
    </row>
    <row r="8" spans="1:21" s="24" customFormat="1" x14ac:dyDescent="0.2">
      <c r="A8" s="26"/>
      <c r="B8" s="26"/>
      <c r="C8" s="26"/>
      <c r="D8" s="26"/>
      <c r="E8" s="26"/>
      <c r="F8" s="193"/>
      <c r="G8" s="164"/>
      <c r="H8" s="288" t="s">
        <v>1033</v>
      </c>
      <c r="I8" s="280" t="s">
        <v>1034</v>
      </c>
      <c r="J8" s="20"/>
      <c r="K8" s="20"/>
      <c r="L8" s="20"/>
      <c r="M8" s="20"/>
      <c r="N8" s="20"/>
      <c r="O8" s="56"/>
      <c r="P8" s="290" t="s">
        <v>699</v>
      </c>
      <c r="Q8" s="290" t="s">
        <v>697</v>
      </c>
      <c r="R8" s="272" t="s">
        <v>701</v>
      </c>
      <c r="S8" s="272" t="s">
        <v>701</v>
      </c>
      <c r="T8" s="294"/>
      <c r="U8" s="272" t="s">
        <v>174</v>
      </c>
    </row>
    <row r="9" spans="1:21" s="24" customFormat="1" x14ac:dyDescent="0.2">
      <c r="A9" s="26"/>
      <c r="B9" s="26"/>
      <c r="C9" s="26"/>
      <c r="D9" s="26"/>
      <c r="E9" s="26"/>
      <c r="F9" s="193"/>
      <c r="G9" s="164"/>
      <c r="H9" s="288" t="s">
        <v>1035</v>
      </c>
      <c r="I9" s="280" t="s">
        <v>1036</v>
      </c>
      <c r="J9" s="20"/>
      <c r="K9" s="20"/>
      <c r="L9" s="20"/>
      <c r="M9" s="20"/>
      <c r="N9" s="20"/>
      <c r="O9" s="56"/>
      <c r="P9" s="290" t="s">
        <v>700</v>
      </c>
      <c r="Q9" s="290" t="s">
        <v>698</v>
      </c>
      <c r="R9" s="272" t="s">
        <v>702</v>
      </c>
      <c r="S9" s="272" t="s">
        <v>702</v>
      </c>
      <c r="T9" s="294"/>
      <c r="U9" s="272" t="s">
        <v>175</v>
      </c>
    </row>
    <row r="10" spans="1:21" s="24" customFormat="1" x14ac:dyDescent="0.2">
      <c r="A10" s="26"/>
      <c r="B10" s="26"/>
      <c r="C10" s="26"/>
      <c r="D10" s="26"/>
      <c r="E10" s="26"/>
      <c r="F10" s="193"/>
      <c r="G10" s="164"/>
      <c r="H10" s="289"/>
      <c r="I10" s="275"/>
      <c r="J10" s="20"/>
      <c r="K10" s="20"/>
      <c r="L10" s="20"/>
      <c r="M10" s="20"/>
      <c r="N10" s="20"/>
      <c r="O10" s="56"/>
      <c r="P10" s="272"/>
      <c r="Q10" s="272"/>
      <c r="R10" s="272" t="s">
        <v>173</v>
      </c>
      <c r="S10" s="272" t="s">
        <v>172</v>
      </c>
      <c r="T10" s="294"/>
      <c r="U10" s="272"/>
    </row>
    <row r="11" spans="1:21" s="24" customFormat="1" x14ac:dyDescent="0.2">
      <c r="A11" s="26"/>
      <c r="B11" s="26"/>
      <c r="C11" s="26"/>
      <c r="D11" s="26"/>
      <c r="E11" s="26"/>
      <c r="F11" s="193" t="s">
        <v>689</v>
      </c>
      <c r="G11" s="164"/>
      <c r="H11" s="193" t="s">
        <v>689</v>
      </c>
      <c r="I11" s="59" t="s">
        <v>689</v>
      </c>
      <c r="J11" s="35" t="s">
        <v>689</v>
      </c>
      <c r="K11" s="35" t="s">
        <v>690</v>
      </c>
      <c r="L11" s="35" t="s">
        <v>691</v>
      </c>
      <c r="M11" s="35" t="s">
        <v>689</v>
      </c>
      <c r="N11" s="20" t="s">
        <v>689</v>
      </c>
      <c r="O11" s="56" t="s">
        <v>689</v>
      </c>
      <c r="P11" s="56" t="s">
        <v>690</v>
      </c>
      <c r="Q11" s="56" t="s">
        <v>691</v>
      </c>
      <c r="R11" s="56" t="s">
        <v>689</v>
      </c>
      <c r="S11" s="56" t="s">
        <v>689</v>
      </c>
      <c r="T11" s="144" t="s">
        <v>692</v>
      </c>
      <c r="U11" s="56" t="s">
        <v>692</v>
      </c>
    </row>
    <row r="12" spans="1:21" s="24" customFormat="1" x14ac:dyDescent="0.2">
      <c r="A12" s="26"/>
      <c r="B12" s="26"/>
      <c r="C12" s="26"/>
      <c r="D12" s="26"/>
      <c r="E12" s="26"/>
      <c r="F12" s="193" t="s">
        <v>201</v>
      </c>
      <c r="G12" s="164"/>
      <c r="H12" s="193" t="s">
        <v>201</v>
      </c>
      <c r="I12" s="59" t="s">
        <v>201</v>
      </c>
      <c r="J12" s="35" t="s">
        <v>201</v>
      </c>
      <c r="K12" s="35" t="s">
        <v>685</v>
      </c>
      <c r="L12" s="35" t="s">
        <v>201</v>
      </c>
      <c r="M12" s="35" t="s">
        <v>201</v>
      </c>
      <c r="N12" s="20" t="s">
        <v>201</v>
      </c>
      <c r="O12" s="56" t="s">
        <v>201</v>
      </c>
      <c r="P12" s="56" t="s">
        <v>685</v>
      </c>
      <c r="Q12" s="56" t="s">
        <v>201</v>
      </c>
      <c r="R12" s="56" t="s">
        <v>201</v>
      </c>
      <c r="S12" s="56" t="s">
        <v>201</v>
      </c>
      <c r="T12" s="144" t="s">
        <v>201</v>
      </c>
      <c r="U12" s="56" t="s">
        <v>201</v>
      </c>
    </row>
    <row r="13" spans="1:21" s="24" customFormat="1" x14ac:dyDescent="0.2">
      <c r="A13" s="26"/>
      <c r="B13" s="26"/>
      <c r="C13" s="26"/>
      <c r="D13" s="26"/>
      <c r="E13" s="26"/>
      <c r="F13" s="193"/>
      <c r="G13" s="164"/>
      <c r="H13" s="193"/>
      <c r="I13" s="59"/>
      <c r="J13" s="20"/>
      <c r="K13" s="20"/>
      <c r="L13" s="20"/>
      <c r="M13" s="20"/>
      <c r="N13" s="20"/>
      <c r="O13" s="56"/>
      <c r="P13" s="56"/>
      <c r="Q13" s="56"/>
      <c r="R13" s="56"/>
      <c r="S13" s="56"/>
      <c r="T13" s="144"/>
      <c r="U13" s="56"/>
    </row>
    <row r="14" spans="1:21" s="24" customFormat="1" x14ac:dyDescent="0.2">
      <c r="A14" s="36" t="s">
        <v>583</v>
      </c>
      <c r="B14" s="36" t="s">
        <v>5</v>
      </c>
      <c r="C14" s="36" t="s">
        <v>35</v>
      </c>
      <c r="D14" s="36" t="s">
        <v>6</v>
      </c>
      <c r="E14" s="36" t="s">
        <v>75</v>
      </c>
      <c r="F14" s="162" t="s">
        <v>299</v>
      </c>
      <c r="G14" s="165" t="s">
        <v>551</v>
      </c>
      <c r="H14" s="162" t="s">
        <v>579</v>
      </c>
      <c r="I14" s="76" t="s">
        <v>464</v>
      </c>
      <c r="J14" s="192" t="s">
        <v>554</v>
      </c>
      <c r="K14" s="192" t="s">
        <v>555</v>
      </c>
      <c r="L14" s="192" t="s">
        <v>557</v>
      </c>
      <c r="M14" s="192" t="s">
        <v>556</v>
      </c>
      <c r="N14" s="192" t="s">
        <v>558</v>
      </c>
      <c r="O14" s="155" t="s">
        <v>560</v>
      </c>
      <c r="P14" s="155" t="s">
        <v>493</v>
      </c>
      <c r="Q14" s="155" t="s">
        <v>561</v>
      </c>
      <c r="R14" s="155" t="s">
        <v>559</v>
      </c>
      <c r="S14" s="155" t="s">
        <v>465</v>
      </c>
      <c r="T14" s="317" t="s">
        <v>562</v>
      </c>
      <c r="U14" s="155" t="s">
        <v>466</v>
      </c>
    </row>
    <row r="15" spans="1:21" s="24" customFormat="1" x14ac:dyDescent="0.2">
      <c r="A15" s="26"/>
      <c r="B15" s="26"/>
      <c r="C15" s="26"/>
      <c r="D15" s="26"/>
      <c r="E15" s="26" t="str">
        <f>B15&amp;"|"&amp;C15&amp;"|"&amp;D15</f>
        <v>||</v>
      </c>
      <c r="F15" s="59" t="str" cm="1">
        <f t="array" ref="F15">IFERROR(1/(1/IF(OR($C15="15-17",$C15="18-20"),ROUND(INDEX(Cascade!$H:$H,MATCH($B15&amp;"|"&amp;"15-19"&amp;"|"&amp;$D15,Cascade!$E:$E,0))/2,0),IF($C15="18+",SUM(SUMIFS(Cascade!$H:$H,Cascade!$B:$B,$B15,Cascade!$C:$C,{"20-24","25-29","30-34","35-39","40-44","45-49","50-54","55-59","60-64","65+"},Cascade!$D:$D,$D15)),INDEX(Cascade!$H:$H,MATCH($E15,Cascade!$E:$E,0))))),"")</f>
        <v/>
      </c>
      <c r="G15" s="164"/>
      <c r="H15" s="164"/>
      <c r="I15" s="59"/>
      <c r="J15" s="20" t="str">
        <f>IF(SUM($I15)=0,"",0%)</f>
        <v/>
      </c>
      <c r="K15" s="20"/>
      <c r="L15" s="20"/>
      <c r="M15" s="20">
        <f>1-IF(NOT(AND($D15="Female",OR($C15="10-14",$C15="15-17"))),0,$K15)-IF(NOT(OR($C15="05-09",$C15="10-14")),0,$L15)</f>
        <v>1</v>
      </c>
      <c r="N15" s="20">
        <f>IF(SUM($M15)=0,"",20%)</f>
        <v>0.2</v>
      </c>
      <c r="O15" s="56" t="str">
        <f>IF(SUM($I15)&lt;=0,"",ROUND($I15*(1+$J15),0))</f>
        <v/>
      </c>
      <c r="P15" s="56" t="str">
        <f>IF(OR(AND(SUM($K15)=0,SUM($O15)=0),NOT(AND($D15="Female",$G15="Y",OR($C15="10-14",$C15="15-17")))),"",ROUND($O15*$K15,0))</f>
        <v/>
      </c>
      <c r="Q15" s="56" t="str">
        <f>IF(OR(AND(SUM($L15)=0,SUM($O15)=0),NOT(OR($C15="10-14",$C15="05-09"))),"",ROUND($O15*$L15,0))</f>
        <v/>
      </c>
      <c r="R15" s="56" t="str">
        <f>IF(SUM($O15)=0,"",ROUND($O15*$M15*$N15,0))</f>
        <v/>
      </c>
      <c r="S15" s="56" t="str">
        <f>IF(SUM($O15)=0,"",ROUND($O15*$M15,0)-$R15)</f>
        <v/>
      </c>
      <c r="T15" s="144" t="str">
        <f>IF(OR($C15="18+",$C15="18-20",SUM($O15)=0),"",100%)</f>
        <v/>
      </c>
      <c r="U15" s="68" t="str">
        <f>IF(OR($C15="18+",$C15="18-20",(SUM($R15,$S15)=0)),"",ROUND(SUM($R15,$S15)*$T15,0))</f>
        <v/>
      </c>
    </row>
  </sheetData>
  <conditionalFormatting sqref="T1:U1048576">
    <cfRule type="expression" dxfId="118" priority="26">
      <formula>OR($C1="18-20",$C1="18+")</formula>
    </cfRule>
  </conditionalFormatting>
  <conditionalFormatting sqref="N1:N1048576">
    <cfRule type="expression" dxfId="117" priority="24">
      <formula>AND(ISNUMBER($N1),ROUND(SUM($N1),2)&lt;20%)</formula>
    </cfRule>
  </conditionalFormatting>
  <conditionalFormatting sqref="K1:K1048576 P1:P1048576">
    <cfRule type="expression" dxfId="116" priority="18">
      <formula>AND($B1&lt;&gt;"",ROW(K1)&gt;14,NOT(AND($D1="Female",$G1="Y",OR($C1="10-14",$C1="15-17"))))</formula>
    </cfRule>
  </conditionalFormatting>
  <conditionalFormatting sqref="Q1:Q1048576 L1:L1048576">
    <cfRule type="expression" dxfId="115" priority="17">
      <formula>AND($E1&lt;&gt;"",ROW(L1)&gt;14,NOT(OR($C1="05-09",$C1="10-14")))</formula>
    </cfRule>
  </conditionalFormatting>
  <conditionalFormatting sqref="F1:F1048576">
    <cfRule type="expression" dxfId="114" priority="4">
      <formula>AND(ROW(F1)&gt;14,LEFT(B1,4)="_Mil")</formula>
    </cfRule>
  </conditionalFormatting>
  <conditionalFormatting sqref="F1:F1048576 H1:I1048576 O1:S1048576 U1:U1048576">
    <cfRule type="expression" dxfId="113" priority="2">
      <formula>AND(ISNUMBER(F1),ROUND(SUM(F1),0)&lt;0)</formula>
    </cfRule>
  </conditionalFormatting>
  <conditionalFormatting sqref="K1:N1048576 T1:T1048576">
    <cfRule type="expression" dxfId="112" priority="1">
      <formula>AND(ISNUMBER(K1),OR(ROUND(SUM(K1),2)&lt;0,ROUND(SUM(K1),2)&gt;1))</formula>
    </cfRule>
  </conditionalFormatting>
  <conditionalFormatting sqref="T1:T1048576">
    <cfRule type="expression" dxfId="111"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26" customWidth="1"/>
    <col min="2" max="2" width="52.33203125" style="26" customWidth="1"/>
    <col min="3" max="3" width="11.83203125" style="82" customWidth="1"/>
    <col min="4" max="4" width="11.83203125" style="59" customWidth="1"/>
    <col min="5" max="6" width="11.83203125" style="20" customWidth="1"/>
    <col min="7" max="8" width="11.83203125" style="56" customWidth="1"/>
    <col min="9" max="16384" width="10.83203125" style="24"/>
  </cols>
  <sheetData>
    <row r="1" spans="1:8" s="21" customFormat="1" ht="31" customHeight="1" x14ac:dyDescent="0.2">
      <c r="A1" s="30" t="s">
        <v>14</v>
      </c>
      <c r="B1" s="30"/>
      <c r="C1" s="388" t="s">
        <v>25</v>
      </c>
      <c r="D1" s="126"/>
      <c r="E1" s="387"/>
      <c r="F1" s="387"/>
      <c r="G1" s="126"/>
      <c r="H1" s="126"/>
    </row>
    <row r="2" spans="1:8" s="22" customFormat="1" ht="19" x14ac:dyDescent="0.25">
      <c r="A2" s="7"/>
      <c r="B2" s="7"/>
      <c r="C2" s="92" t="s">
        <v>73</v>
      </c>
      <c r="D2" s="57"/>
      <c r="E2" s="18" t="s">
        <v>2</v>
      </c>
      <c r="F2" s="18"/>
      <c r="G2" s="52" t="s">
        <v>3</v>
      </c>
      <c r="H2" s="52"/>
    </row>
    <row r="3" spans="1:8" ht="117" customHeight="1" x14ac:dyDescent="0.2">
      <c r="C3" s="128" t="s">
        <v>860</v>
      </c>
      <c r="D3" s="121" t="s">
        <v>861</v>
      </c>
      <c r="E3" s="32" t="s">
        <v>1013</v>
      </c>
      <c r="F3" s="32" t="s">
        <v>1014</v>
      </c>
      <c r="G3" s="53" t="s">
        <v>858</v>
      </c>
      <c r="H3" s="53" t="s">
        <v>859</v>
      </c>
    </row>
    <row r="4" spans="1:8" x14ac:dyDescent="0.2">
      <c r="A4" s="33"/>
      <c r="B4" s="33" t="s">
        <v>4</v>
      </c>
      <c r="C4" s="82">
        <f>SUBTOTAL(109,C$15:INDEX(C:C,COUNTA($B:$B)+14-COUNTA($B$1:$B$14)))</f>
        <v>0</v>
      </c>
      <c r="D4" s="59">
        <f>SUBTOTAL(109,D$15:INDEX(D:D,COUNTA($B:$B)+14-COUNTA($B$1:$B$14)))</f>
        <v>0</v>
      </c>
      <c r="E4" s="20" t="str">
        <f>IF($C$4=0,"",$G$4/$C$4-1)</f>
        <v/>
      </c>
      <c r="F4" s="20" t="str">
        <f>IF($D$4=0,"",$H$4/$D$4-1)</f>
        <v/>
      </c>
      <c r="G4" s="56">
        <f>SUBTOTAL(109,G$15:INDEX(G:G,COUNTA($B:$B)+14-COUNTA($B$1:$B$14)))</f>
        <v>0</v>
      </c>
      <c r="H4" s="56">
        <f>SUBTOTAL(109,H$15:INDEX(H:H,COUNTA($B:$B)+14-COUNTA($B$1:$B$14)))</f>
        <v>0</v>
      </c>
    </row>
    <row r="5" spans="1:8" x14ac:dyDescent="0.2">
      <c r="A5" s="33" t="s">
        <v>98</v>
      </c>
      <c r="B5" s="33" t="s">
        <v>98</v>
      </c>
      <c r="C5" s="82" t="s">
        <v>109</v>
      </c>
      <c r="D5" s="59" t="s">
        <v>109</v>
      </c>
      <c r="E5" s="20" t="s">
        <v>98</v>
      </c>
      <c r="F5" s="20" t="s">
        <v>98</v>
      </c>
      <c r="G5" s="56" t="s">
        <v>109</v>
      </c>
      <c r="H5" s="56" t="s">
        <v>109</v>
      </c>
    </row>
    <row r="6" spans="1:8" x14ac:dyDescent="0.2">
      <c r="A6" s="33" t="s">
        <v>200</v>
      </c>
      <c r="B6" s="33" t="s">
        <v>200</v>
      </c>
      <c r="C6" s="82" t="s">
        <v>110</v>
      </c>
      <c r="D6" s="59" t="s">
        <v>110</v>
      </c>
      <c r="E6" s="20" t="s">
        <v>112</v>
      </c>
      <c r="F6" s="20" t="s">
        <v>112</v>
      </c>
      <c r="G6" s="56" t="s">
        <v>92</v>
      </c>
      <c r="H6" s="56" t="s">
        <v>92</v>
      </c>
    </row>
    <row r="7" spans="1:8" x14ac:dyDescent="0.2">
      <c r="A7" s="33" t="s">
        <v>108</v>
      </c>
      <c r="B7" s="33" t="s">
        <v>108</v>
      </c>
      <c r="C7" s="82" t="s">
        <v>94</v>
      </c>
      <c r="D7" s="59" t="s">
        <v>94</v>
      </c>
      <c r="E7" s="20" t="s">
        <v>95</v>
      </c>
      <c r="F7" s="20" t="s">
        <v>95</v>
      </c>
      <c r="G7" s="56" t="s">
        <v>94</v>
      </c>
      <c r="H7" s="56" t="s">
        <v>94</v>
      </c>
    </row>
    <row r="8" spans="1:8" x14ac:dyDescent="0.2">
      <c r="A8" s="33"/>
      <c r="B8" s="33"/>
      <c r="C8" s="277" t="s">
        <v>196</v>
      </c>
      <c r="D8" s="275" t="s">
        <v>196</v>
      </c>
      <c r="G8" s="272" t="s">
        <v>196</v>
      </c>
      <c r="H8" s="272" t="s">
        <v>196</v>
      </c>
    </row>
    <row r="9" spans="1:8" x14ac:dyDescent="0.2">
      <c r="A9" s="33"/>
      <c r="B9" s="33"/>
      <c r="C9" s="277" t="s">
        <v>197</v>
      </c>
      <c r="D9" s="275" t="s">
        <v>197</v>
      </c>
      <c r="G9" s="272" t="s">
        <v>197</v>
      </c>
      <c r="H9" s="272" t="s">
        <v>197</v>
      </c>
    </row>
    <row r="10" spans="1:8" x14ac:dyDescent="0.2">
      <c r="A10" s="33"/>
      <c r="B10" s="33"/>
      <c r="C10" s="277" t="s">
        <v>198</v>
      </c>
      <c r="D10" s="275" t="s">
        <v>199</v>
      </c>
      <c r="G10" s="272" t="s">
        <v>198</v>
      </c>
      <c r="H10" s="272" t="s">
        <v>199</v>
      </c>
    </row>
    <row r="11" spans="1:8" x14ac:dyDescent="0.2">
      <c r="A11" s="33"/>
      <c r="B11" s="33"/>
    </row>
    <row r="12" spans="1:8" x14ac:dyDescent="0.2">
      <c r="A12" s="33"/>
      <c r="B12" s="33"/>
    </row>
    <row r="13" spans="1:8" x14ac:dyDescent="0.2">
      <c r="A13" s="33"/>
      <c r="B13" s="33"/>
    </row>
    <row r="14" spans="1:8" x14ac:dyDescent="0.2">
      <c r="A14" s="36" t="s">
        <v>583</v>
      </c>
      <c r="B14" s="36" t="s">
        <v>5</v>
      </c>
      <c r="C14" s="157" t="s">
        <v>470</v>
      </c>
      <c r="D14" s="359" t="s">
        <v>471</v>
      </c>
      <c r="E14" s="361" t="s">
        <v>549</v>
      </c>
      <c r="F14" s="361" t="s">
        <v>550</v>
      </c>
      <c r="G14" s="347" t="s">
        <v>472</v>
      </c>
      <c r="H14" s="347" t="s">
        <v>473</v>
      </c>
    </row>
    <row r="15" spans="1:8" x14ac:dyDescent="0.2">
      <c r="E15" s="20" t="str">
        <f>IF(SUM($C15)=0,"",0%)</f>
        <v/>
      </c>
      <c r="F15" s="20" t="str">
        <f>IF(SUM($D15)=0,"",0%)</f>
        <v/>
      </c>
      <c r="G15" s="56" t="str">
        <f>IF(SUM($C15)=0,"",ROUND($C15*(1+$E15),0))</f>
        <v/>
      </c>
      <c r="H15" s="56" t="str">
        <f>IF(SUM($D15)=0,"",ROUND($D15*(1+$F15),0))</f>
        <v/>
      </c>
    </row>
  </sheetData>
  <conditionalFormatting sqref="G1:H1048576 C1:D1048576">
    <cfRule type="expression" dxfId="110"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33203125" style="26" hidden="1" customWidth="1"/>
    <col min="6" max="6" width="11.83203125" style="82" customWidth="1"/>
    <col min="7" max="17" width="11.83203125" style="59" customWidth="1"/>
    <col min="18" max="20" width="11.83203125" style="191" customWidth="1"/>
    <col min="21" max="22" width="12.6640625" style="56" customWidth="1"/>
    <col min="23" max="16384" width="10.83203125" style="24"/>
  </cols>
  <sheetData>
    <row r="1" spans="1:22" s="41" customFormat="1" ht="31" customHeight="1" thickBot="1" x14ac:dyDescent="0.35">
      <c r="A1" s="5" t="s">
        <v>480</v>
      </c>
      <c r="B1" s="5"/>
      <c r="C1" s="1"/>
      <c r="D1" s="1"/>
      <c r="E1" s="1"/>
      <c r="F1" s="91" t="s">
        <v>481</v>
      </c>
      <c r="G1" s="61"/>
      <c r="H1" s="369"/>
      <c r="I1" s="369"/>
      <c r="J1" s="369"/>
      <c r="K1" s="369"/>
      <c r="L1" s="369"/>
      <c r="M1" s="61"/>
      <c r="N1" s="61"/>
      <c r="O1" s="61"/>
      <c r="P1" s="61"/>
      <c r="Q1" s="61"/>
      <c r="R1" s="19"/>
      <c r="S1" s="19"/>
      <c r="T1" s="19"/>
      <c r="U1" s="51"/>
      <c r="V1" s="51"/>
    </row>
    <row r="2" spans="1:22" s="40" customFormat="1" ht="19" x14ac:dyDescent="0.25">
      <c r="A2" s="490" t="s">
        <v>1015</v>
      </c>
      <c r="B2" s="487"/>
      <c r="C2" s="2"/>
      <c r="D2" s="2"/>
      <c r="E2" s="2"/>
      <c r="F2" s="92" t="s">
        <v>73</v>
      </c>
      <c r="G2" s="57"/>
      <c r="H2" s="138"/>
      <c r="I2" s="138"/>
      <c r="J2" s="138"/>
      <c r="K2" s="138"/>
      <c r="L2" s="138"/>
      <c r="M2" s="57"/>
      <c r="N2" s="57"/>
      <c r="O2" s="57"/>
      <c r="P2" s="57"/>
      <c r="Q2" s="57"/>
      <c r="R2" s="18"/>
      <c r="S2" s="18" t="s">
        <v>2</v>
      </c>
      <c r="T2" s="18"/>
      <c r="U2" s="52" t="s">
        <v>3</v>
      </c>
      <c r="V2" s="52"/>
    </row>
    <row r="3" spans="1:22" ht="117" customHeight="1" thickBot="1" x14ac:dyDescent="0.25">
      <c r="A3" s="488"/>
      <c r="B3" s="489"/>
      <c r="C3" s="31"/>
      <c r="D3" s="31"/>
      <c r="E3" s="31"/>
      <c r="F3" s="391" t="s">
        <v>799</v>
      </c>
      <c r="G3" s="60" t="s">
        <v>1224</v>
      </c>
      <c r="H3" s="304" t="s">
        <v>862</v>
      </c>
      <c r="I3" s="304" t="s">
        <v>1016</v>
      </c>
      <c r="J3" s="304" t="s">
        <v>863</v>
      </c>
      <c r="K3" s="304" t="s">
        <v>1017</v>
      </c>
      <c r="L3" s="304" t="s">
        <v>1018</v>
      </c>
      <c r="M3" s="121" t="s">
        <v>864</v>
      </c>
      <c r="N3" s="121" t="s">
        <v>865</v>
      </c>
      <c r="O3" s="121" t="s">
        <v>866</v>
      </c>
      <c r="P3" s="121" t="s">
        <v>867</v>
      </c>
      <c r="Q3" s="121" t="s">
        <v>868</v>
      </c>
      <c r="R3" s="299" t="s">
        <v>869</v>
      </c>
      <c r="S3" s="187" t="s">
        <v>1075</v>
      </c>
      <c r="T3" s="187" t="s">
        <v>870</v>
      </c>
      <c r="U3" s="53" t="s">
        <v>1073</v>
      </c>
      <c r="V3" s="53" t="s">
        <v>1074</v>
      </c>
    </row>
    <row r="4" spans="1:22" x14ac:dyDescent="0.2">
      <c r="A4" s="33"/>
      <c r="B4" s="33"/>
      <c r="C4" s="33"/>
      <c r="D4" s="33" t="s">
        <v>4</v>
      </c>
      <c r="E4" s="33"/>
      <c r="F4" s="93">
        <f>SUBTOTAL(109,F$15:INDEX(F:F,COUNTA($B:$B)+14-COUNTA($B$1:$B$14)))</f>
        <v>0</v>
      </c>
      <c r="G4" s="58">
        <f>SUBTOTAL(109,G$15:INDEX(G:G,COUNTA($B:$B)+14-COUNTA($B$1:$B$14)))</f>
        <v>0</v>
      </c>
      <c r="H4" s="58">
        <f>SUBTOTAL(109,H$15:INDEX(H:H,COUNTA($B:$B)+14-COUNTA($B$1:$B$14)))</f>
        <v>0</v>
      </c>
      <c r="I4" s="58">
        <f>SUBTOTAL(109,I$15:INDEX(I:I,COUNTA($B:$B)+14-COUNTA($B$1:$B$14)))</f>
        <v>0</v>
      </c>
      <c r="J4" s="58">
        <f>SUBTOTAL(109,J$15:INDEX(J:J,COUNTA($B:$B)+14-COUNTA($B$1:$B$14)))</f>
        <v>0</v>
      </c>
      <c r="K4" s="58">
        <f>SUBTOTAL(109,K$15:INDEX(K:K,COUNTA($B:$B)+14-COUNTA($B$1:$B$14)))</f>
        <v>0</v>
      </c>
      <c r="L4" s="58">
        <f>SUBTOTAL(109,L$15:INDEX(L:L,COUNTA($B:$B)+14-COUNTA($B$1:$B$14)))</f>
        <v>0</v>
      </c>
      <c r="M4" s="58">
        <f>SUBTOTAL(109,M$15:INDEX(M:M,COUNTA($B:$B)+14-COUNTA($B$1:$B$14)))</f>
        <v>0</v>
      </c>
      <c r="N4" s="58">
        <f>SUBTOTAL(109,N$15:INDEX(N:N,COUNTA($B:$B)+14-COUNTA($B$1:$B$14)))</f>
        <v>0</v>
      </c>
      <c r="O4" s="58">
        <f>SUBTOTAL(109,O$15:INDEX(O:O,COUNTA($B:$B)+14-COUNTA($B$1:$B$14)))</f>
        <v>0</v>
      </c>
      <c r="P4" s="58">
        <f>SUBTOTAL(109,P$15:INDEX(P:P,COUNTA($B:$B)+14-COUNTA($B$1:$B$14)))</f>
        <v>0</v>
      </c>
      <c r="Q4" s="58">
        <f>SUBTOTAL(109,Q$15:INDEX(Q:Q,COUNTA($B:$B)+14-COUNTA($B$1:$B$14)))</f>
        <v>0</v>
      </c>
      <c r="R4" s="189" t="str">
        <f>IF($Q$4=0,"",SUM($O$4,$P$4)/$Q$4)</f>
        <v/>
      </c>
      <c r="S4" s="189" t="str">
        <f>IF($U$4=0,"",$V$4/$U$4)</f>
        <v/>
      </c>
      <c r="T4" s="189" t="str">
        <f>IF($Q$4=0,"",$U$4/$Q$4-1)</f>
        <v/>
      </c>
      <c r="U4" s="55">
        <f>SUBTOTAL(109,U$15:INDEX(U:U,COUNTA($B:$B)+14-COUNTA($B$1:$B$14)))</f>
        <v>0</v>
      </c>
      <c r="V4" s="55">
        <f>SUBTOTAL(109,V$15:INDEX(V:V,COUNTA($B:$B)+14-COUNTA($B$1:$B$14)))</f>
        <v>0</v>
      </c>
    </row>
    <row r="5" spans="1:22" x14ac:dyDescent="0.2">
      <c r="A5" s="26" t="s">
        <v>98</v>
      </c>
      <c r="B5" s="26" t="s">
        <v>98</v>
      </c>
      <c r="C5" s="26" t="s">
        <v>98</v>
      </c>
      <c r="D5" s="26" t="s">
        <v>98</v>
      </c>
      <c r="E5" s="26" t="s">
        <v>98</v>
      </c>
      <c r="F5" s="82" t="s">
        <v>98</v>
      </c>
      <c r="G5" s="59" t="s">
        <v>98</v>
      </c>
      <c r="H5" s="59" t="s">
        <v>98</v>
      </c>
      <c r="I5" s="59" t="s">
        <v>98</v>
      </c>
      <c r="J5" s="59" t="s">
        <v>98</v>
      </c>
      <c r="K5" s="59" t="s">
        <v>98</v>
      </c>
      <c r="L5" s="59" t="s">
        <v>98</v>
      </c>
      <c r="M5" s="59" t="s">
        <v>109</v>
      </c>
      <c r="N5" s="59" t="s">
        <v>109</v>
      </c>
      <c r="O5" s="59" t="s">
        <v>109</v>
      </c>
      <c r="P5" s="59" t="s">
        <v>109</v>
      </c>
      <c r="Q5" s="59" t="s">
        <v>98</v>
      </c>
      <c r="R5" s="191" t="s">
        <v>98</v>
      </c>
      <c r="S5" s="191" t="s">
        <v>98</v>
      </c>
      <c r="T5" s="191" t="s">
        <v>98</v>
      </c>
      <c r="U5" s="56" t="s">
        <v>109</v>
      </c>
      <c r="V5" s="56" t="s">
        <v>109</v>
      </c>
    </row>
    <row r="6" spans="1:22" x14ac:dyDescent="0.2">
      <c r="A6" s="26" t="s">
        <v>200</v>
      </c>
      <c r="B6" s="26" t="s">
        <v>200</v>
      </c>
      <c r="C6" s="26" t="s">
        <v>200</v>
      </c>
      <c r="D6" s="26" t="s">
        <v>200</v>
      </c>
      <c r="E6" s="26" t="s">
        <v>200</v>
      </c>
      <c r="F6" s="82" t="s">
        <v>93</v>
      </c>
      <c r="G6" s="59" t="s">
        <v>112</v>
      </c>
      <c r="H6" s="59" t="s">
        <v>93</v>
      </c>
      <c r="I6" s="59" t="s">
        <v>93</v>
      </c>
      <c r="J6" s="59" t="s">
        <v>93</v>
      </c>
      <c r="K6" s="59" t="s">
        <v>93</v>
      </c>
      <c r="L6" s="59" t="s">
        <v>93</v>
      </c>
      <c r="M6" s="59" t="s">
        <v>110</v>
      </c>
      <c r="N6" s="59" t="s">
        <v>110</v>
      </c>
      <c r="O6" s="59" t="s">
        <v>110</v>
      </c>
      <c r="P6" s="59" t="s">
        <v>110</v>
      </c>
      <c r="Q6" s="59" t="s">
        <v>93</v>
      </c>
      <c r="R6" s="191" t="s">
        <v>93</v>
      </c>
      <c r="S6" s="191" t="s">
        <v>112</v>
      </c>
      <c r="T6" s="191" t="s">
        <v>112</v>
      </c>
      <c r="U6" s="56" t="s">
        <v>92</v>
      </c>
      <c r="V6" s="56" t="s">
        <v>92</v>
      </c>
    </row>
    <row r="7" spans="1:22" x14ac:dyDescent="0.2">
      <c r="A7" s="26" t="s">
        <v>108</v>
      </c>
      <c r="B7" s="26" t="s">
        <v>108</v>
      </c>
      <c r="C7" s="26" t="s">
        <v>108</v>
      </c>
      <c r="D7" s="26" t="s">
        <v>108</v>
      </c>
      <c r="E7" s="26" t="s">
        <v>108</v>
      </c>
      <c r="F7" s="82" t="s">
        <v>94</v>
      </c>
      <c r="G7" s="59" t="s">
        <v>94</v>
      </c>
      <c r="H7" s="59" t="s">
        <v>94</v>
      </c>
      <c r="I7" s="59" t="s">
        <v>94</v>
      </c>
      <c r="J7" s="59" t="s">
        <v>94</v>
      </c>
      <c r="K7" s="59" t="s">
        <v>94</v>
      </c>
      <c r="L7" s="59" t="s">
        <v>94</v>
      </c>
      <c r="M7" s="59" t="s">
        <v>94</v>
      </c>
      <c r="N7" s="59" t="s">
        <v>94</v>
      </c>
      <c r="O7" s="59" t="s">
        <v>94</v>
      </c>
      <c r="P7" s="59" t="s">
        <v>94</v>
      </c>
      <c r="Q7" s="59" t="s">
        <v>94</v>
      </c>
      <c r="R7" s="191" t="s">
        <v>95</v>
      </c>
      <c r="S7" s="191" t="s">
        <v>95</v>
      </c>
      <c r="T7" s="191" t="s">
        <v>95</v>
      </c>
      <c r="U7" s="56" t="s">
        <v>94</v>
      </c>
      <c r="V7" s="56" t="s">
        <v>94</v>
      </c>
    </row>
    <row r="8" spans="1:22" x14ac:dyDescent="0.2">
      <c r="M8" s="275" t="s">
        <v>486</v>
      </c>
      <c r="N8" s="275" t="s">
        <v>485</v>
      </c>
      <c r="O8" s="275" t="s">
        <v>484</v>
      </c>
      <c r="P8" s="275" t="s">
        <v>483</v>
      </c>
      <c r="Q8" s="156"/>
      <c r="R8" s="390"/>
      <c r="U8" s="272" t="s">
        <v>703</v>
      </c>
      <c r="V8" s="272" t="s">
        <v>704</v>
      </c>
    </row>
    <row r="9" spans="1:22" x14ac:dyDescent="0.2">
      <c r="F9" s="196"/>
      <c r="G9" s="156"/>
      <c r="H9" s="156"/>
      <c r="I9" s="156"/>
      <c r="J9" s="156"/>
      <c r="K9" s="156"/>
      <c r="L9" s="156"/>
      <c r="M9" s="280"/>
      <c r="N9" s="280"/>
      <c r="O9" s="280"/>
      <c r="P9" s="280"/>
      <c r="Q9" s="198"/>
      <c r="R9" s="389"/>
      <c r="U9" s="272"/>
      <c r="V9" s="272"/>
    </row>
    <row r="10" spans="1:22" x14ac:dyDescent="0.2">
      <c r="F10" s="196"/>
      <c r="G10" s="156"/>
      <c r="H10" s="156"/>
      <c r="I10" s="156"/>
      <c r="J10" s="156"/>
      <c r="K10" s="156"/>
      <c r="L10" s="156"/>
      <c r="M10" s="275" t="s">
        <v>1022</v>
      </c>
      <c r="N10" s="275" t="s">
        <v>1020</v>
      </c>
      <c r="O10" s="275" t="s">
        <v>1023</v>
      </c>
      <c r="P10" s="275" t="s">
        <v>1021</v>
      </c>
      <c r="Q10" s="156"/>
      <c r="R10" s="390"/>
      <c r="S10" s="390"/>
      <c r="T10" s="390"/>
      <c r="U10" s="272" t="s">
        <v>714</v>
      </c>
      <c r="V10" s="272" t="s">
        <v>715</v>
      </c>
    </row>
    <row r="11" spans="1:22" x14ac:dyDescent="0.2">
      <c r="F11" s="82" t="s">
        <v>482</v>
      </c>
      <c r="G11" s="59" t="s">
        <v>482</v>
      </c>
      <c r="H11" s="59" t="s">
        <v>607</v>
      </c>
      <c r="I11" s="59" t="s">
        <v>607</v>
      </c>
      <c r="J11" s="59" t="s">
        <v>482</v>
      </c>
      <c r="K11" s="59" t="s">
        <v>482</v>
      </c>
      <c r="L11" s="59" t="s">
        <v>482</v>
      </c>
      <c r="M11" s="59" t="s">
        <v>482</v>
      </c>
      <c r="N11" s="59" t="s">
        <v>482</v>
      </c>
      <c r="O11" s="59" t="s">
        <v>482</v>
      </c>
      <c r="P11" s="59" t="s">
        <v>482</v>
      </c>
      <c r="Q11" s="59" t="s">
        <v>482</v>
      </c>
      <c r="R11" s="191" t="s">
        <v>482</v>
      </c>
      <c r="S11" s="35" t="s">
        <v>482</v>
      </c>
      <c r="T11" s="35" t="s">
        <v>482</v>
      </c>
      <c r="U11" s="56" t="s">
        <v>482</v>
      </c>
      <c r="V11" s="56" t="s">
        <v>482</v>
      </c>
    </row>
    <row r="12" spans="1:22" x14ac:dyDescent="0.2">
      <c r="F12" s="82" t="s">
        <v>685</v>
      </c>
      <c r="G12" s="59" t="s">
        <v>685</v>
      </c>
      <c r="H12" s="59" t="s">
        <v>685</v>
      </c>
      <c r="I12" s="59" t="s">
        <v>685</v>
      </c>
      <c r="J12" s="59" t="s">
        <v>685</v>
      </c>
      <c r="K12" s="59" t="s">
        <v>685</v>
      </c>
      <c r="L12" s="59" t="s">
        <v>685</v>
      </c>
      <c r="M12" s="59" t="s">
        <v>685</v>
      </c>
      <c r="N12" s="59" t="s">
        <v>685</v>
      </c>
      <c r="O12" s="59" t="s">
        <v>685</v>
      </c>
      <c r="P12" s="59" t="s">
        <v>685</v>
      </c>
      <c r="Q12" s="59" t="s">
        <v>685</v>
      </c>
      <c r="R12" s="191" t="s">
        <v>685</v>
      </c>
      <c r="S12" s="35" t="s">
        <v>685</v>
      </c>
      <c r="T12" s="35" t="s">
        <v>685</v>
      </c>
      <c r="U12" s="56" t="s">
        <v>685</v>
      </c>
      <c r="V12" s="56" t="s">
        <v>685</v>
      </c>
    </row>
    <row r="14" spans="1:22" x14ac:dyDescent="0.2">
      <c r="A14" s="38" t="s">
        <v>583</v>
      </c>
      <c r="B14" s="38" t="s">
        <v>5</v>
      </c>
      <c r="C14" s="38" t="s">
        <v>35</v>
      </c>
      <c r="D14" s="38" t="s">
        <v>6</v>
      </c>
      <c r="E14" s="38" t="s">
        <v>75</v>
      </c>
      <c r="F14" s="157" t="s">
        <v>298</v>
      </c>
      <c r="G14" s="76" t="s">
        <v>552</v>
      </c>
      <c r="H14" s="76" t="s">
        <v>468</v>
      </c>
      <c r="I14" s="76" t="s">
        <v>887</v>
      </c>
      <c r="J14" s="76" t="s">
        <v>463</v>
      </c>
      <c r="K14" s="76" t="s">
        <v>369</v>
      </c>
      <c r="L14" s="76" t="s">
        <v>370</v>
      </c>
      <c r="M14" s="76" t="s">
        <v>487</v>
      </c>
      <c r="N14" s="76" t="s">
        <v>488</v>
      </c>
      <c r="O14" s="76" t="s">
        <v>489</v>
      </c>
      <c r="P14" s="76" t="s">
        <v>490</v>
      </c>
      <c r="Q14" s="76" t="s">
        <v>720</v>
      </c>
      <c r="R14" s="192" t="s">
        <v>719</v>
      </c>
      <c r="S14" s="192" t="s">
        <v>553</v>
      </c>
      <c r="T14" s="192" t="s">
        <v>721</v>
      </c>
      <c r="U14" s="155" t="s">
        <v>495</v>
      </c>
      <c r="V14" s="155" t="s">
        <v>496</v>
      </c>
    </row>
    <row r="15" spans="1:22" x14ac:dyDescent="0.2">
      <c r="E15" s="26" t="str">
        <f>B15&amp;"|"&amp;C15&amp;"|"&amp;D15</f>
        <v>||</v>
      </c>
      <c r="F15" s="82" t="str" cm="1">
        <f t="array" ref="F15">IFERROR(1/(1/IF($C15="50+",SUM(SUMIFS(Cascade!$F:$F,Cascade!$B:$B,$B15,Cascade!$C:$C,{"50-54","55-59","60-64","65+"},Cascade!$D:$D,$D15)),INDEX(Cascade!$F:$F,MATCH($E15,Cascade!$E:$E,0)))),"")</f>
        <v/>
      </c>
      <c r="H15" s="59" t="str">
        <f>_xlfn.IFNA(INDEX(PrEP!$L:$L,MATCH($E15,PrEP!$E:$E,0)),"")</f>
        <v/>
      </c>
      <c r="I15" s="59" t="str">
        <f>_xlfn.IFNA(INDEX(PrEP!$O:$O,MATCH($E15,PrEP!$E:$E,0)),"")</f>
        <v/>
      </c>
      <c r="J15" s="59" t="str">
        <f>_xlfn.IFNA(INDEX(PP!$H:$H,MATCH($E15,PP!$E:$E,0)),"")</f>
        <v/>
      </c>
      <c r="K15" s="59" t="str">
        <f>_xlfn.IFNA(INDEX(HTS!$BP:$BP,MATCH($E15,HTS!$E:$E,0)),"")</f>
        <v/>
      </c>
      <c r="L15" s="59" t="str">
        <f>_xlfn.IFNA(INDEX(HTS!$BX:$BX,MATCH($E15,HTS!$E:$E,0)),"")</f>
        <v/>
      </c>
      <c r="Q15" s="59" t="str">
        <f>IF(SUM($M15:$P15)=0,"",SUM($M15:$P15))</f>
        <v/>
      </c>
      <c r="R15" s="191" t="str">
        <f>IF(SUM($Q15)=0,"",SUM($O15,$P15)/SUM($Q15))</f>
        <v/>
      </c>
      <c r="S15" s="191" t="str">
        <f>IF(SUM($Q15)=0,"",MAX(60%,SUM($R15)))</f>
        <v/>
      </c>
      <c r="T15" s="191" t="str">
        <f>IF(SUM($Q15)=0,"",0%)</f>
        <v/>
      </c>
      <c r="U15" s="56" t="str">
        <f>IF(SUM($Q15)=0,"",ROUND(SUM($Q15)*(1+$T15),0))</f>
        <v/>
      </c>
      <c r="V15" s="56" t="str">
        <f>IF(SUM($U15)=0,"",ROUND(SUM($U15)*S15,0))</f>
        <v/>
      </c>
    </row>
  </sheetData>
  <mergeCells count="1">
    <mergeCell ref="A2:B3"/>
  </mergeCells>
  <phoneticPr fontId="21" type="noConversion"/>
  <conditionalFormatting sqref="V1:V1048576">
    <cfRule type="expression" dxfId="109" priority="14">
      <formula>AND(ISNUMBER(V1),SUM($V1)&gt;SUM($U1))</formula>
    </cfRule>
  </conditionalFormatting>
  <conditionalFormatting sqref="H1:I1048576">
    <cfRule type="expression" dxfId="108" priority="6">
      <formula>AND(ROW(H1)&gt;14,$C1="10-14")</formula>
    </cfRule>
  </conditionalFormatting>
  <conditionalFormatting sqref="F1:G1048576">
    <cfRule type="expression" dxfId="107" priority="3">
      <formula>AND(ROW(F1)&gt;14,LEFT(B1,4)="_Mil")</formula>
    </cfRule>
  </conditionalFormatting>
  <conditionalFormatting sqref="U1:V1048576 F1:N1048576">
    <cfRule type="expression" dxfId="106" priority="2">
      <formula>AND(ISNUMBER(F1),ROUND(SUM(F1),0)&lt;0)</formula>
    </cfRule>
  </conditionalFormatting>
  <conditionalFormatting sqref="R1:S1048576">
    <cfRule type="expression" dxfId="105" priority="1">
      <formula>AND(ISNUMBER(R1),OR(ROUND(SUM(R1),2)&lt;0,ROUND(SUM(R1),2)&gt;1))</formula>
    </cfRule>
  </conditionalFormatting>
  <conditionalFormatting sqref="S1:S1048576">
    <cfRule type="expression" dxfId="104"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O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82" customWidth="1"/>
    <col min="7" max="11" width="11.83203125" style="59" customWidth="1"/>
    <col min="12" max="12" width="11.83203125" style="56" customWidth="1"/>
    <col min="13" max="13" width="11.83203125" style="82" customWidth="1"/>
    <col min="14" max="14" width="11.83203125" style="59" customWidth="1"/>
    <col min="15" max="15" width="11.83203125" style="56" customWidth="1"/>
    <col min="16" max="16384" width="10.83203125" style="24"/>
  </cols>
  <sheetData>
    <row r="1" spans="1:15" s="41" customFormat="1" ht="31" customHeight="1" x14ac:dyDescent="0.3">
      <c r="A1" s="5" t="s">
        <v>13</v>
      </c>
      <c r="B1" s="5"/>
      <c r="C1" s="1"/>
      <c r="D1" s="1"/>
      <c r="E1" s="1"/>
      <c r="F1" s="91" t="s">
        <v>24</v>
      </c>
      <c r="G1" s="51"/>
      <c r="H1" s="51"/>
      <c r="I1" s="51"/>
      <c r="J1" s="51"/>
      <c r="K1" s="51"/>
      <c r="L1" s="51"/>
      <c r="M1" s="91" t="s">
        <v>886</v>
      </c>
      <c r="N1" s="51"/>
      <c r="O1" s="51"/>
    </row>
    <row r="2" spans="1:15" s="40" customFormat="1" ht="19" x14ac:dyDescent="0.25">
      <c r="A2" s="2"/>
      <c r="B2" s="2"/>
      <c r="C2" s="2"/>
      <c r="D2" s="2"/>
      <c r="E2" s="2"/>
      <c r="F2" s="92" t="s">
        <v>73</v>
      </c>
      <c r="G2" s="57"/>
      <c r="H2" s="57"/>
      <c r="I2" s="57"/>
      <c r="J2" s="57"/>
      <c r="K2" s="57"/>
      <c r="L2" s="52" t="s">
        <v>3</v>
      </c>
      <c r="M2" s="92" t="s">
        <v>73</v>
      </c>
      <c r="N2" s="57"/>
      <c r="O2" s="52" t="s">
        <v>3</v>
      </c>
    </row>
    <row r="3" spans="1:15" ht="117" customHeight="1" x14ac:dyDescent="0.2">
      <c r="A3" s="31"/>
      <c r="B3" s="31"/>
      <c r="C3" s="31"/>
      <c r="D3" s="31"/>
      <c r="E3" s="31"/>
      <c r="F3" s="237" t="s">
        <v>602</v>
      </c>
      <c r="G3" s="238" t="s">
        <v>871</v>
      </c>
      <c r="H3" s="238" t="s">
        <v>872</v>
      </c>
      <c r="I3" s="238" t="s">
        <v>873</v>
      </c>
      <c r="J3" s="121" t="s">
        <v>876</v>
      </c>
      <c r="K3" s="121" t="s">
        <v>874</v>
      </c>
      <c r="L3" s="122" t="s">
        <v>862</v>
      </c>
      <c r="M3" s="128" t="s">
        <v>877</v>
      </c>
      <c r="N3" s="121" t="s">
        <v>875</v>
      </c>
      <c r="O3" s="122" t="s">
        <v>1085</v>
      </c>
    </row>
    <row r="4" spans="1:15" x14ac:dyDescent="0.2">
      <c r="A4" s="33"/>
      <c r="B4" s="33"/>
      <c r="C4" s="33"/>
      <c r="D4" s="33" t="s">
        <v>4</v>
      </c>
      <c r="E4" s="33"/>
      <c r="F4" s="93">
        <f>SUBTOTAL(109,F$15:INDEX(F:F,COUNTA($B:$B)+14-COUNTA($B$1:$B$14)))</f>
        <v>0</v>
      </c>
      <c r="G4" s="58">
        <f>SUBTOTAL(109,G$15:INDEX(G:G,COUNTA($B:$B)+14-COUNTA($B$1:$B$14)))</f>
        <v>0</v>
      </c>
      <c r="H4" s="58">
        <f>SUBTOTAL(109,H$15:INDEX(H:H,COUNTA($B:$B)+14-COUNTA($B$1:$B$14)))</f>
        <v>0</v>
      </c>
      <c r="I4" s="58">
        <f>SUBTOTAL(109,I$15:INDEX(I:I,COUNTA($B:$B)+14-COUNTA($B$1:$B$14)))</f>
        <v>0</v>
      </c>
      <c r="J4" s="58">
        <f>SUBTOTAL(109,J$15:INDEX(J:J,COUNTA($B:$B)+14-COUNTA($B$1:$B$14)))</f>
        <v>0</v>
      </c>
      <c r="K4" s="58">
        <f>SUBTOTAL(109,K$15:INDEX(K:K,COUNTA($B:$B)+14-COUNTA($B$1:$B$14)))</f>
        <v>0</v>
      </c>
      <c r="L4" s="55">
        <f>SUBTOTAL(109,L$15:INDEX(L:L,COUNTA($B:$B)+14-COUNTA($B$1:$B$14)))</f>
        <v>0</v>
      </c>
      <c r="M4" s="93">
        <f>SUBTOTAL(109,M$15:INDEX(M:M,COUNTA($B:$B)+14-COUNTA($B$1:$B$14)))</f>
        <v>0</v>
      </c>
      <c r="N4" s="58">
        <f>SUBTOTAL(109,N$15:INDEX(N:N,COUNTA($B:$B)+14-COUNTA($B$1:$B$14)))</f>
        <v>0</v>
      </c>
      <c r="O4" s="55">
        <f>SUBTOTAL(109,O$15:INDEX(O:O,COUNTA($B:$B)+14-COUNTA($B$1:$B$14)))</f>
        <v>0</v>
      </c>
    </row>
    <row r="5" spans="1:15" x14ac:dyDescent="0.2">
      <c r="A5" s="26" t="s">
        <v>98</v>
      </c>
      <c r="B5" s="26" t="s">
        <v>98</v>
      </c>
      <c r="C5" s="26" t="s">
        <v>98</v>
      </c>
      <c r="D5" s="26" t="s">
        <v>98</v>
      </c>
      <c r="E5" s="26" t="s">
        <v>98</v>
      </c>
      <c r="F5" s="82" t="s">
        <v>98</v>
      </c>
      <c r="G5" s="59" t="s">
        <v>98</v>
      </c>
      <c r="H5" s="59" t="s">
        <v>98</v>
      </c>
      <c r="I5" s="59" t="s">
        <v>98</v>
      </c>
      <c r="J5" s="59" t="s">
        <v>109</v>
      </c>
      <c r="K5" s="59" t="s">
        <v>109</v>
      </c>
      <c r="L5" s="56" t="s">
        <v>109</v>
      </c>
      <c r="M5" s="82" t="s">
        <v>109</v>
      </c>
      <c r="N5" s="59" t="s">
        <v>109</v>
      </c>
      <c r="O5" s="56" t="s">
        <v>109</v>
      </c>
    </row>
    <row r="6" spans="1:15" x14ac:dyDescent="0.2">
      <c r="A6" s="26" t="s">
        <v>200</v>
      </c>
      <c r="B6" s="26" t="s">
        <v>200</v>
      </c>
      <c r="C6" s="26" t="s">
        <v>200</v>
      </c>
      <c r="D6" s="26" t="s">
        <v>200</v>
      </c>
      <c r="E6" s="26" t="s">
        <v>200</v>
      </c>
      <c r="F6" s="82" t="s">
        <v>93</v>
      </c>
      <c r="G6" s="59" t="s">
        <v>93</v>
      </c>
      <c r="H6" s="59" t="s">
        <v>93</v>
      </c>
      <c r="I6" s="59" t="s">
        <v>93</v>
      </c>
      <c r="J6" s="59" t="s">
        <v>110</v>
      </c>
      <c r="K6" s="59" t="s">
        <v>110</v>
      </c>
      <c r="L6" s="56" t="s">
        <v>92</v>
      </c>
      <c r="M6" s="82" t="s">
        <v>110</v>
      </c>
      <c r="N6" s="59" t="s">
        <v>110</v>
      </c>
      <c r="O6" s="56" t="s">
        <v>92</v>
      </c>
    </row>
    <row r="7" spans="1:15" x14ac:dyDescent="0.2">
      <c r="A7" s="26" t="s">
        <v>108</v>
      </c>
      <c r="B7" s="26" t="s">
        <v>108</v>
      </c>
      <c r="C7" s="26" t="s">
        <v>108</v>
      </c>
      <c r="D7" s="26" t="s">
        <v>108</v>
      </c>
      <c r="E7" s="26" t="s">
        <v>108</v>
      </c>
      <c r="F7" s="82" t="s">
        <v>94</v>
      </c>
      <c r="G7" s="59" t="s">
        <v>94</v>
      </c>
      <c r="H7" s="59" t="s">
        <v>94</v>
      </c>
      <c r="I7" s="59" t="s">
        <v>94</v>
      </c>
      <c r="J7" s="59" t="s">
        <v>94</v>
      </c>
      <c r="K7" s="59" t="s">
        <v>94</v>
      </c>
      <c r="L7" s="56" t="s">
        <v>94</v>
      </c>
      <c r="M7" s="82" t="s">
        <v>94</v>
      </c>
      <c r="N7" s="59" t="s">
        <v>94</v>
      </c>
      <c r="O7" s="56" t="s">
        <v>94</v>
      </c>
    </row>
    <row r="8" spans="1:15" x14ac:dyDescent="0.2">
      <c r="J8" s="280" t="s">
        <v>593</v>
      </c>
      <c r="K8" s="275" t="s">
        <v>192</v>
      </c>
      <c r="L8" s="272" t="s">
        <v>192</v>
      </c>
      <c r="M8" s="281" t="s">
        <v>595</v>
      </c>
      <c r="N8" s="275" t="s">
        <v>194</v>
      </c>
      <c r="O8" s="272" t="s">
        <v>1039</v>
      </c>
    </row>
    <row r="9" spans="1:15" x14ac:dyDescent="0.2">
      <c r="J9" s="280" t="s">
        <v>594</v>
      </c>
      <c r="K9" s="275" t="s">
        <v>193</v>
      </c>
      <c r="L9" s="272" t="s">
        <v>193</v>
      </c>
      <c r="M9" s="281" t="s">
        <v>596</v>
      </c>
      <c r="N9" s="275" t="s">
        <v>195</v>
      </c>
      <c r="O9" s="272" t="s">
        <v>1040</v>
      </c>
    </row>
    <row r="10" spans="1:15" x14ac:dyDescent="0.2">
      <c r="J10" s="275"/>
      <c r="K10" s="275"/>
      <c r="L10" s="272"/>
      <c r="M10" s="277"/>
      <c r="N10" s="275"/>
      <c r="O10" s="272"/>
    </row>
    <row r="11" spans="1:15" x14ac:dyDescent="0.2">
      <c r="F11" s="82" t="s">
        <v>1026</v>
      </c>
      <c r="G11" s="59" t="s">
        <v>1026</v>
      </c>
      <c r="H11" s="59" t="s">
        <v>607</v>
      </c>
      <c r="I11" s="59" t="s">
        <v>607</v>
      </c>
      <c r="J11" s="59" t="s">
        <v>1026</v>
      </c>
      <c r="K11" s="59" t="s">
        <v>1026</v>
      </c>
      <c r="L11" s="56" t="s">
        <v>1026</v>
      </c>
      <c r="M11" s="82" t="s">
        <v>1026</v>
      </c>
      <c r="N11" s="59" t="s">
        <v>1026</v>
      </c>
      <c r="O11" s="56" t="s">
        <v>1026</v>
      </c>
    </row>
    <row r="12" spans="1:15" x14ac:dyDescent="0.2">
      <c r="F12" s="82" t="s">
        <v>201</v>
      </c>
      <c r="G12" s="59" t="s">
        <v>201</v>
      </c>
      <c r="H12" s="59" t="s">
        <v>685</v>
      </c>
      <c r="I12" s="59" t="s">
        <v>685</v>
      </c>
      <c r="J12" s="59" t="s">
        <v>201</v>
      </c>
      <c r="K12" s="59" t="s">
        <v>201</v>
      </c>
      <c r="L12" s="56" t="s">
        <v>201</v>
      </c>
      <c r="M12" s="82" t="s">
        <v>201</v>
      </c>
      <c r="N12" s="59" t="s">
        <v>201</v>
      </c>
      <c r="O12" s="56" t="s">
        <v>201</v>
      </c>
    </row>
    <row r="14" spans="1:15" x14ac:dyDescent="0.2">
      <c r="A14" s="38" t="s">
        <v>583</v>
      </c>
      <c r="B14" s="38" t="s">
        <v>5</v>
      </c>
      <c r="C14" s="38" t="s">
        <v>35</v>
      </c>
      <c r="D14" s="38" t="s">
        <v>6</v>
      </c>
      <c r="E14" s="38" t="s">
        <v>75</v>
      </c>
      <c r="F14" s="157" t="s">
        <v>299</v>
      </c>
      <c r="G14" s="76" t="s">
        <v>548</v>
      </c>
      <c r="H14" s="76" t="s">
        <v>495</v>
      </c>
      <c r="I14" s="76" t="s">
        <v>496</v>
      </c>
      <c r="J14" s="76" t="s">
        <v>586</v>
      </c>
      <c r="K14" s="76" t="s">
        <v>467</v>
      </c>
      <c r="L14" s="155" t="s">
        <v>468</v>
      </c>
      <c r="M14" s="157" t="s">
        <v>587</v>
      </c>
      <c r="N14" s="76" t="s">
        <v>469</v>
      </c>
      <c r="O14" s="155" t="s">
        <v>887</v>
      </c>
    </row>
    <row r="15" spans="1:15" x14ac:dyDescent="0.2">
      <c r="D15" s="26" t="s">
        <v>1239</v>
      </c>
      <c r="E15" s="26" t="str">
        <f>B15&amp;"|"&amp;C15&amp;"|"&amp;D15</f>
        <v>||Female</v>
      </c>
      <c r="F15" s="82" t="str" cm="1">
        <f t="array" ref="F15">IFERROR(1/(1/IF($C15="50+",SUM(SUMIFS(Cascade!$H:$H,Cascade!$B:$B,$B15,Cascade!$C:$C,{"50-54","55-59","60-64","65+"},Cascade!$D:$D,$D15)),INDEX(Cascade!$H:$H,MATCH($E15,Cascade!$E:$E,0)))),"")</f>
        <v/>
      </c>
      <c r="G15" s="59" t="str">
        <f>_xlfn.IFNA(INDEX(HTS!$BX:$BX,MATCH($E15,HTS!$E:$E,0)),"")</f>
        <v/>
      </c>
      <c r="H15" s="59" t="str">
        <f>_xlfn.IFNA(INDEX(AGYW!$U:$U,MATCH($E15,AGYW!$E:$E,0)),"")</f>
        <v/>
      </c>
      <c r="I15" s="59" t="str">
        <f>_xlfn.IFNA(INDEX(AGYW!$V:$V,MATCH($E15,AGYW!$E:$E,0)),"")</f>
        <v/>
      </c>
    </row>
  </sheetData>
  <conditionalFormatting sqref="H1:I1048576">
    <cfRule type="expression" dxfId="103" priority="3">
      <formula>AND(ROW(H1)&gt;14,$E1&lt;&gt;"",NOT(OR($C1="15-19",$C1="20-24",$C1="25-29")))</formula>
    </cfRule>
    <cfRule type="expression" dxfId="102" priority="4">
      <formula>AND(ROW(H1)&gt;14,$E1&lt;&gt;"",$D1&lt;&gt;"Female")</formula>
    </cfRule>
  </conditionalFormatting>
  <conditionalFormatting sqref="F1:F1048576">
    <cfRule type="expression" dxfId="101" priority="2">
      <formula>AND(ROW(F1)&gt;14,LEFT(B1,4)="_Mil")</formula>
    </cfRule>
  </conditionalFormatting>
  <conditionalFormatting sqref="F1:O1048576">
    <cfRule type="expression" dxfId="100" priority="1">
      <formula>AND(ISNUMBER(F1),ROUND(SUM(F1),0)&lt;0)</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378" customWidth="1"/>
    <col min="6" max="6" width="11.83203125" style="258" customWidth="1"/>
    <col min="7" max="9" width="11.83203125" style="257" customWidth="1"/>
    <col min="10" max="11" width="11.83203125" style="56" customWidth="1"/>
  </cols>
  <sheetData>
    <row r="1" spans="1:11" ht="31" customHeight="1" x14ac:dyDescent="0.2">
      <c r="A1" s="5" t="s">
        <v>23</v>
      </c>
      <c r="B1" s="5"/>
      <c r="C1" s="1"/>
      <c r="D1" s="1"/>
      <c r="E1" s="91" t="s">
        <v>23</v>
      </c>
      <c r="F1" s="51"/>
      <c r="G1" s="27"/>
      <c r="H1" s="29"/>
      <c r="I1" s="29"/>
      <c r="J1" s="51"/>
      <c r="K1" s="51"/>
    </row>
    <row r="2" spans="1:11" ht="19" x14ac:dyDescent="0.25">
      <c r="A2" s="2"/>
      <c r="B2" s="2"/>
      <c r="C2" s="2"/>
      <c r="D2" s="2"/>
      <c r="E2" s="95" t="s">
        <v>73</v>
      </c>
      <c r="F2" s="78"/>
      <c r="G2" s="18"/>
      <c r="H2" s="18" t="s">
        <v>2</v>
      </c>
      <c r="I2" s="18"/>
      <c r="J2" s="52" t="s">
        <v>3</v>
      </c>
      <c r="K2" s="52"/>
    </row>
    <row r="3" spans="1:11" ht="117" customHeight="1" x14ac:dyDescent="0.2">
      <c r="D3" s="47"/>
      <c r="E3" s="392" t="s">
        <v>881</v>
      </c>
      <c r="F3" s="131" t="s">
        <v>882</v>
      </c>
      <c r="G3" s="186" t="s">
        <v>883</v>
      </c>
      <c r="H3" s="187" t="s">
        <v>878</v>
      </c>
      <c r="I3" s="187" t="s">
        <v>1019</v>
      </c>
      <c r="J3" s="53" t="s">
        <v>879</v>
      </c>
      <c r="K3" s="53" t="s">
        <v>880</v>
      </c>
    </row>
    <row r="4" spans="1:11" x14ac:dyDescent="0.2">
      <c r="A4" s="49"/>
      <c r="B4" s="49"/>
      <c r="C4" s="49" t="s">
        <v>4</v>
      </c>
      <c r="D4" s="49"/>
      <c r="E4" s="93">
        <f>SUBTOTAL(109,E$15:INDEX(E:E,COUNTA($B:$B)+14-COUNTA($B$1:$B$14)))</f>
        <v>0</v>
      </c>
      <c r="F4" s="124">
        <f>SUBTOTAL(109,F$15:INDEX(F:F,COUNTA($B:$B)+14-COUNTA($B$1:$B$14)))</f>
        <v>0</v>
      </c>
      <c r="G4" s="188" t="str">
        <f>IF($E$4=0,"",$F$4/$E$4)</f>
        <v/>
      </c>
      <c r="H4" s="189" t="str">
        <f>IF($K$4=0,"",$J$4/$K$4)</f>
        <v/>
      </c>
      <c r="I4" s="189" t="str">
        <f>IF($F$4=0,"",$J$4/$F$4-1)</f>
        <v/>
      </c>
      <c r="J4" s="55">
        <f>SUBTOTAL(109,J$15:INDEX(J:J,COUNTA($B:$B)+14-COUNTA($B$1:$B$14)))</f>
        <v>0</v>
      </c>
      <c r="K4" s="55">
        <f>SUBTOTAL(109,K$15:INDEX(K:K,COUNTA($B:$B)+14-COUNTA($B$1:$B$14)))</f>
        <v>0</v>
      </c>
    </row>
    <row r="5" spans="1:11" x14ac:dyDescent="0.2">
      <c r="A5" s="50" t="s">
        <v>98</v>
      </c>
      <c r="B5" s="50" t="s">
        <v>98</v>
      </c>
      <c r="C5" s="50" t="s">
        <v>98</v>
      </c>
      <c r="D5" s="50" t="s">
        <v>98</v>
      </c>
      <c r="E5" s="82" t="s">
        <v>107</v>
      </c>
      <c r="F5" s="125" t="s">
        <v>109</v>
      </c>
      <c r="G5" s="190" t="s">
        <v>98</v>
      </c>
      <c r="H5" s="191" t="s">
        <v>98</v>
      </c>
      <c r="I5" s="191" t="s">
        <v>98</v>
      </c>
      <c r="J5" s="56" t="s">
        <v>109</v>
      </c>
      <c r="K5" s="56" t="s">
        <v>107</v>
      </c>
    </row>
    <row r="6" spans="1:11" x14ac:dyDescent="0.2">
      <c r="A6" s="50" t="s">
        <v>200</v>
      </c>
      <c r="B6" s="50" t="s">
        <v>200</v>
      </c>
      <c r="C6" s="50" t="s">
        <v>200</v>
      </c>
      <c r="D6" s="50" t="s">
        <v>200</v>
      </c>
      <c r="E6" s="82" t="s">
        <v>92</v>
      </c>
      <c r="F6" s="125" t="s">
        <v>110</v>
      </c>
      <c r="G6" s="190" t="s">
        <v>93</v>
      </c>
      <c r="H6" s="191" t="s">
        <v>112</v>
      </c>
      <c r="I6" s="191" t="s">
        <v>112</v>
      </c>
      <c r="J6" s="56" t="s">
        <v>92</v>
      </c>
      <c r="K6" s="56" t="s">
        <v>92</v>
      </c>
    </row>
    <row r="7" spans="1:11" x14ac:dyDescent="0.2">
      <c r="A7" s="50" t="s">
        <v>108</v>
      </c>
      <c r="B7" s="50" t="s">
        <v>108</v>
      </c>
      <c r="C7" s="50" t="s">
        <v>108</v>
      </c>
      <c r="D7" s="50" t="s">
        <v>108</v>
      </c>
      <c r="E7" s="82" t="s">
        <v>94</v>
      </c>
      <c r="F7" s="125" t="s">
        <v>94</v>
      </c>
      <c r="G7" s="190" t="s">
        <v>95</v>
      </c>
      <c r="H7" s="191" t="s">
        <v>95</v>
      </c>
      <c r="I7" s="191" t="s">
        <v>95</v>
      </c>
      <c r="J7" s="56" t="s">
        <v>94</v>
      </c>
      <c r="K7" s="56" t="s">
        <v>94</v>
      </c>
    </row>
    <row r="8" spans="1:11" x14ac:dyDescent="0.2">
      <c r="A8" s="50"/>
      <c r="B8" s="50"/>
      <c r="C8" s="50"/>
      <c r="D8" s="50"/>
      <c r="E8" s="277" t="s">
        <v>179</v>
      </c>
      <c r="F8" s="285" t="s">
        <v>180</v>
      </c>
      <c r="G8" s="190"/>
      <c r="H8" s="191"/>
      <c r="I8" s="191"/>
      <c r="J8" s="272" t="s">
        <v>180</v>
      </c>
      <c r="K8" s="272" t="s">
        <v>179</v>
      </c>
    </row>
    <row r="9" spans="1:11" x14ac:dyDescent="0.2">
      <c r="A9" s="50"/>
      <c r="B9" s="50"/>
      <c r="C9" s="50"/>
      <c r="D9" s="50"/>
      <c r="E9" s="277"/>
      <c r="F9" s="285" t="s">
        <v>181</v>
      </c>
      <c r="G9" s="190"/>
      <c r="H9" s="191"/>
      <c r="I9" s="191"/>
      <c r="J9" s="272" t="s">
        <v>181</v>
      </c>
      <c r="K9" s="272"/>
    </row>
    <row r="10" spans="1:11" x14ac:dyDescent="0.2">
      <c r="A10" s="50"/>
      <c r="B10" s="50"/>
      <c r="C10" s="50"/>
      <c r="D10" s="50"/>
      <c r="E10" s="277"/>
      <c r="F10" s="285"/>
      <c r="G10" s="190"/>
      <c r="H10" s="191"/>
      <c r="I10" s="191"/>
      <c r="J10" s="272"/>
      <c r="K10" s="272"/>
    </row>
    <row r="11" spans="1:11" x14ac:dyDescent="0.2">
      <c r="A11" s="50"/>
      <c r="B11" s="50"/>
      <c r="C11" s="50"/>
      <c r="D11" s="50"/>
      <c r="E11" s="82"/>
      <c r="F11" s="125"/>
      <c r="G11" s="190"/>
      <c r="H11" s="191"/>
      <c r="I11" s="191"/>
    </row>
    <row r="12" spans="1:11" x14ac:dyDescent="0.2">
      <c r="A12" s="50"/>
      <c r="B12" s="50"/>
      <c r="C12" s="50"/>
      <c r="D12" s="50"/>
      <c r="E12" s="82" t="s">
        <v>201</v>
      </c>
      <c r="F12" s="125" t="s">
        <v>201</v>
      </c>
      <c r="G12" s="190" t="s">
        <v>201</v>
      </c>
      <c r="H12" s="191" t="s">
        <v>201</v>
      </c>
      <c r="I12" s="191" t="s">
        <v>201</v>
      </c>
      <c r="J12" s="56" t="s">
        <v>201</v>
      </c>
      <c r="K12" s="56" t="s">
        <v>201</v>
      </c>
    </row>
    <row r="13" spans="1:11" x14ac:dyDescent="0.2">
      <c r="A13" s="50"/>
      <c r="B13" s="50"/>
      <c r="C13" s="50"/>
      <c r="D13" s="50"/>
      <c r="E13" s="82"/>
      <c r="F13" s="125"/>
      <c r="G13" s="190"/>
      <c r="H13" s="191"/>
      <c r="I13" s="191"/>
    </row>
    <row r="14" spans="1:11" x14ac:dyDescent="0.2">
      <c r="A14" s="36" t="s">
        <v>583</v>
      </c>
      <c r="B14" s="36" t="s">
        <v>5</v>
      </c>
      <c r="C14" s="36" t="s">
        <v>6</v>
      </c>
      <c r="D14" s="36" t="s">
        <v>75</v>
      </c>
      <c r="E14" s="157" t="s">
        <v>546</v>
      </c>
      <c r="F14" s="76" t="s">
        <v>444</v>
      </c>
      <c r="G14" s="192" t="s">
        <v>565</v>
      </c>
      <c r="H14" s="192" t="s">
        <v>576</v>
      </c>
      <c r="I14" s="192" t="s">
        <v>577</v>
      </c>
      <c r="J14" s="155" t="s">
        <v>445</v>
      </c>
      <c r="K14" s="155" t="s">
        <v>566</v>
      </c>
    </row>
    <row r="15" spans="1:11" s="24" customFormat="1" x14ac:dyDescent="0.2">
      <c r="A15" s="37"/>
      <c r="B15" s="37"/>
      <c r="C15" s="37"/>
      <c r="D15" s="37" t="str">
        <f>B15&amp;"|"&amp;C15</f>
        <v>|</v>
      </c>
      <c r="E15" s="96"/>
      <c r="F15" s="59"/>
      <c r="G15" s="35" t="str">
        <f>IF(SUM($E15)=0,"",SUM($F15)/$E15)</f>
        <v/>
      </c>
      <c r="H15" s="20" t="str">
        <f>IF(SUM($G15)=0,"",$G15)</f>
        <v/>
      </c>
      <c r="I15" s="20" t="str">
        <f>IF(SUM($F15)=0,"",0%)</f>
        <v/>
      </c>
      <c r="J15" s="56" t="str">
        <f>IF(SUM($F15)=0,"",ROUND($F15*(1+SUM($I15)),0))</f>
        <v/>
      </c>
      <c r="K15" s="56" t="str">
        <f>IF(SUM($H15)=0,"",ROUND(SUM($J15)/$H15,0))</f>
        <v/>
      </c>
    </row>
  </sheetData>
  <conditionalFormatting sqref="E1:E1048576 G1:H1048576 K1:K1048576">
    <cfRule type="expression" dxfId="99" priority="7">
      <formula>LEFT($B1,4)="_Mil"</formula>
    </cfRule>
  </conditionalFormatting>
  <conditionalFormatting sqref="H1:H1048576">
    <cfRule type="expression" dxfId="98" priority="3">
      <formula>AND(ISNUMBER(H1),H1&lt;&gt;G1)</formula>
    </cfRule>
  </conditionalFormatting>
  <conditionalFormatting sqref="J1:K1048576 E1:F1048576">
    <cfRule type="expression" dxfId="97" priority="2">
      <formula>AND(ISNUMBER(E1),ROUND(SUM(E1),0)&lt;0)</formula>
    </cfRule>
  </conditionalFormatting>
  <conditionalFormatting sqref="G1:H1048576">
    <cfRule type="expression" dxfId="96" priority="1">
      <formula>AND(ISNUMBER(G1),OR(ROUND(SUM(G1),2)&lt;0,ROUND(SUM(G1),2)&gt;1))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50" customWidth="1"/>
    <col min="2" max="2" width="30.83203125" style="50" customWidth="1"/>
    <col min="3" max="3" width="11.83203125" style="206" customWidth="1"/>
    <col min="4" max="4" width="11.83203125" style="249" customWidth="1"/>
    <col min="5" max="5" width="11.83203125" style="221" customWidth="1"/>
    <col min="6" max="6" width="11.83203125" style="211" customWidth="1"/>
    <col min="7" max="8" width="11.83203125" style="88" customWidth="1"/>
    <col min="9" max="10" width="11.83203125" style="56" customWidth="1"/>
    <col min="11" max="11" width="11.83203125" style="206" customWidth="1"/>
    <col min="12" max="12" width="11.83203125" style="249" customWidth="1"/>
    <col min="13" max="13" width="11.83203125" style="221" customWidth="1"/>
    <col min="14" max="14" width="11.83203125" style="211" customWidth="1"/>
    <col min="15" max="16" width="11.83203125" style="88" customWidth="1"/>
    <col min="17" max="18" width="11.83203125" style="56" customWidth="1"/>
    <col min="19" max="19" width="11.83203125" style="206" customWidth="1"/>
    <col min="20" max="20" width="11.83203125" style="221" customWidth="1"/>
    <col min="21" max="21" width="11.83203125" style="211" customWidth="1"/>
    <col min="22" max="23" width="11.83203125" style="88" customWidth="1"/>
    <col min="24" max="25" width="11.83203125" style="56" customWidth="1"/>
    <col min="26" max="26" width="11.83203125" style="206" customWidth="1"/>
    <col min="27" max="27" width="11.83203125" style="221" customWidth="1"/>
    <col min="28" max="28" width="11.83203125" style="211" customWidth="1"/>
    <col min="29" max="30" width="11.83203125" style="88" customWidth="1"/>
    <col min="31" max="32" width="11.83203125" style="56" customWidth="1"/>
    <col min="33" max="33" width="11.83203125" style="206" customWidth="1"/>
    <col min="34" max="34" width="11.83203125" style="221" customWidth="1"/>
    <col min="35" max="35" width="11.83203125" style="211" customWidth="1"/>
    <col min="36" max="37" width="11.83203125" style="88" customWidth="1"/>
    <col min="38" max="39" width="11.83203125" style="56" customWidth="1"/>
    <col min="40" max="40" width="11.83203125" style="206" customWidth="1"/>
    <col min="41" max="41" width="11.83203125" style="221" customWidth="1"/>
    <col min="42" max="42" width="11.83203125" style="211" customWidth="1"/>
    <col min="43" max="44" width="11.83203125" style="88" customWidth="1"/>
    <col min="45" max="46" width="11.83203125" style="56" customWidth="1"/>
    <col min="47" max="47" width="11.83203125" style="206" customWidth="1"/>
    <col min="48" max="48" width="11.83203125" style="221" customWidth="1"/>
    <col min="49" max="49" width="11.83203125" style="211" customWidth="1"/>
    <col min="50" max="51" width="11.83203125" style="88" customWidth="1"/>
    <col min="52" max="53" width="11.83203125" style="56" customWidth="1"/>
    <col min="54" max="54" width="11.83203125" style="206" customWidth="1"/>
    <col min="55" max="55" width="11.83203125" style="221" customWidth="1"/>
    <col min="56" max="56" width="11.83203125" style="211" customWidth="1"/>
    <col min="57" max="58" width="11.83203125" style="88" customWidth="1"/>
    <col min="59" max="60" width="11.83203125" style="56" customWidth="1"/>
    <col min="61" max="61" width="11.83203125" style="206" customWidth="1"/>
    <col min="62" max="62" width="11.83203125" style="221" customWidth="1"/>
    <col min="63" max="63" width="11.83203125" style="211" customWidth="1"/>
    <col min="64" max="65" width="11.83203125" style="88" customWidth="1"/>
    <col min="66" max="67" width="11.83203125" style="56" customWidth="1"/>
    <col min="68" max="68" width="11.83203125" style="206" customWidth="1"/>
    <col min="69" max="69" width="11.83203125" style="221" customWidth="1"/>
    <col min="70" max="70" width="11.83203125" style="211" customWidth="1"/>
    <col min="71" max="72" width="11.83203125" style="88" customWidth="1"/>
    <col min="73" max="74" width="11.83203125" style="56" customWidth="1"/>
    <col min="75" max="16384" width="10.83203125" style="46"/>
  </cols>
  <sheetData>
    <row r="1" spans="1:74" s="41" customFormat="1" ht="31" customHeight="1" thickBot="1" x14ac:dyDescent="0.35">
      <c r="A1" s="5" t="s">
        <v>772</v>
      </c>
      <c r="B1" s="5"/>
      <c r="C1" s="91" t="s">
        <v>886</v>
      </c>
      <c r="D1" s="114"/>
      <c r="E1" s="218"/>
      <c r="F1" s="208"/>
      <c r="G1" s="114"/>
      <c r="H1" s="114"/>
      <c r="I1" s="51"/>
      <c r="J1" s="51"/>
      <c r="K1" s="91" t="s">
        <v>24</v>
      </c>
      <c r="L1" s="114"/>
      <c r="M1" s="218"/>
      <c r="N1" s="208"/>
      <c r="O1" s="114"/>
      <c r="P1" s="114"/>
      <c r="Q1" s="51"/>
      <c r="R1" s="51"/>
      <c r="S1" s="91" t="s">
        <v>0</v>
      </c>
      <c r="T1" s="218"/>
      <c r="U1" s="208"/>
      <c r="V1" s="114"/>
      <c r="W1" s="114"/>
      <c r="X1" s="51"/>
      <c r="Y1" s="51"/>
      <c r="Z1" s="91" t="s">
        <v>1</v>
      </c>
      <c r="AA1" s="218"/>
      <c r="AB1" s="208"/>
      <c r="AC1" s="114"/>
      <c r="AD1" s="114"/>
      <c r="AE1" s="51"/>
      <c r="AF1" s="51"/>
      <c r="AG1" s="91" t="s">
        <v>52</v>
      </c>
      <c r="AH1" s="218"/>
      <c r="AI1" s="208"/>
      <c r="AJ1" s="114"/>
      <c r="AK1" s="114"/>
      <c r="AL1" s="51"/>
      <c r="AM1" s="51"/>
      <c r="AN1" s="91" t="s">
        <v>51</v>
      </c>
      <c r="AO1" s="218"/>
      <c r="AP1" s="208"/>
      <c r="AQ1" s="114"/>
      <c r="AR1" s="114"/>
      <c r="AS1" s="51"/>
      <c r="AT1" s="51"/>
      <c r="AU1" s="91" t="s">
        <v>604</v>
      </c>
      <c r="AV1" s="218"/>
      <c r="AW1" s="208"/>
      <c r="AX1" s="114"/>
      <c r="AY1" s="114"/>
      <c r="AZ1" s="51"/>
      <c r="BA1" s="51"/>
      <c r="BB1" s="91" t="s">
        <v>605</v>
      </c>
      <c r="BC1" s="218"/>
      <c r="BD1" s="208"/>
      <c r="BE1" s="114"/>
      <c r="BF1" s="114"/>
      <c r="BG1" s="51"/>
      <c r="BH1" s="51"/>
      <c r="BI1" s="91" t="s">
        <v>206</v>
      </c>
      <c r="BJ1" s="218"/>
      <c r="BK1" s="208"/>
      <c r="BL1" s="114"/>
      <c r="BM1" s="114"/>
      <c r="BN1" s="51"/>
      <c r="BO1" s="51"/>
      <c r="BP1" s="91" t="s">
        <v>246</v>
      </c>
      <c r="BQ1" s="218"/>
      <c r="BR1" s="208"/>
      <c r="BS1" s="114"/>
      <c r="BT1" s="114"/>
      <c r="BU1" s="51"/>
      <c r="BV1" s="51"/>
    </row>
    <row r="2" spans="1:74" s="40" customFormat="1" ht="19" x14ac:dyDescent="0.25">
      <c r="A2" s="490" t="s">
        <v>1159</v>
      </c>
      <c r="B2" s="487"/>
      <c r="C2" s="95" t="s">
        <v>716</v>
      </c>
      <c r="D2" s="99"/>
      <c r="E2" s="219"/>
      <c r="F2" s="209" t="s">
        <v>603</v>
      </c>
      <c r="G2" s="115"/>
      <c r="H2" s="115"/>
      <c r="I2" s="233"/>
      <c r="J2" s="52"/>
      <c r="K2" s="95" t="s">
        <v>716</v>
      </c>
      <c r="L2" s="99"/>
      <c r="M2" s="219"/>
      <c r="N2" s="209" t="s">
        <v>603</v>
      </c>
      <c r="O2" s="115"/>
      <c r="P2" s="115"/>
      <c r="Q2" s="233"/>
      <c r="R2" s="52"/>
      <c r="S2" s="95" t="s">
        <v>716</v>
      </c>
      <c r="T2" s="219"/>
      <c r="U2" s="209" t="s">
        <v>603</v>
      </c>
      <c r="V2" s="115"/>
      <c r="W2" s="115"/>
      <c r="X2" s="233"/>
      <c r="Y2" s="52"/>
      <c r="Z2" s="95" t="s">
        <v>716</v>
      </c>
      <c r="AA2" s="219"/>
      <c r="AB2" s="209" t="s">
        <v>603</v>
      </c>
      <c r="AC2" s="115"/>
      <c r="AD2" s="115"/>
      <c r="AE2" s="233"/>
      <c r="AF2" s="52"/>
      <c r="AG2" s="95" t="s">
        <v>716</v>
      </c>
      <c r="AH2" s="219"/>
      <c r="AI2" s="209" t="s">
        <v>603</v>
      </c>
      <c r="AJ2" s="115"/>
      <c r="AK2" s="115"/>
      <c r="AL2" s="233"/>
      <c r="AM2" s="52"/>
      <c r="AN2" s="95" t="s">
        <v>716</v>
      </c>
      <c r="AO2" s="219"/>
      <c r="AP2" s="209" t="s">
        <v>603</v>
      </c>
      <c r="AQ2" s="115"/>
      <c r="AR2" s="115"/>
      <c r="AS2" s="233"/>
      <c r="AT2" s="52"/>
      <c r="AU2" s="95" t="s">
        <v>716</v>
      </c>
      <c r="AV2" s="219"/>
      <c r="AW2" s="209" t="s">
        <v>603</v>
      </c>
      <c r="AX2" s="115"/>
      <c r="AY2" s="115"/>
      <c r="AZ2" s="233"/>
      <c r="BA2" s="52"/>
      <c r="BB2" s="95" t="s">
        <v>716</v>
      </c>
      <c r="BC2" s="219"/>
      <c r="BD2" s="209" t="s">
        <v>603</v>
      </c>
      <c r="BE2" s="115"/>
      <c r="BF2" s="115"/>
      <c r="BG2" s="233"/>
      <c r="BH2" s="52"/>
      <c r="BI2" s="95" t="s">
        <v>716</v>
      </c>
      <c r="BJ2" s="219"/>
      <c r="BK2" s="209" t="s">
        <v>603</v>
      </c>
      <c r="BL2" s="115"/>
      <c r="BM2" s="115"/>
      <c r="BN2" s="233"/>
      <c r="BO2" s="52"/>
      <c r="BP2" s="95" t="s">
        <v>716</v>
      </c>
      <c r="BQ2" s="219"/>
      <c r="BR2" s="209" t="s">
        <v>603</v>
      </c>
      <c r="BS2" s="115"/>
      <c r="BT2" s="115"/>
      <c r="BU2" s="233"/>
      <c r="BV2" s="52"/>
    </row>
    <row r="3" spans="1:74" ht="117" customHeight="1" thickBot="1" x14ac:dyDescent="0.25">
      <c r="A3" s="488"/>
      <c r="B3" s="489"/>
      <c r="C3" s="237" t="s">
        <v>851</v>
      </c>
      <c r="D3" s="241" t="s">
        <v>1158</v>
      </c>
      <c r="E3" s="247" t="s">
        <v>852</v>
      </c>
      <c r="F3" s="398" t="s">
        <v>588</v>
      </c>
      <c r="G3" s="371" t="s">
        <v>589</v>
      </c>
      <c r="H3" s="371" t="s">
        <v>592</v>
      </c>
      <c r="I3" s="54" t="s">
        <v>590</v>
      </c>
      <c r="J3" s="54" t="s">
        <v>591</v>
      </c>
      <c r="K3" s="237" t="s">
        <v>851</v>
      </c>
      <c r="L3" s="241" t="s">
        <v>1158</v>
      </c>
      <c r="M3" s="247" t="s">
        <v>852</v>
      </c>
      <c r="N3" s="398" t="s">
        <v>588</v>
      </c>
      <c r="O3" s="371" t="s">
        <v>589</v>
      </c>
      <c r="P3" s="371" t="s">
        <v>592</v>
      </c>
      <c r="Q3" s="54" t="s">
        <v>590</v>
      </c>
      <c r="R3" s="54" t="s">
        <v>591</v>
      </c>
      <c r="S3" s="237" t="s">
        <v>851</v>
      </c>
      <c r="T3" s="247" t="s">
        <v>852</v>
      </c>
      <c r="U3" s="398" t="s">
        <v>588</v>
      </c>
      <c r="V3" s="371" t="s">
        <v>589</v>
      </c>
      <c r="W3" s="371" t="s">
        <v>592</v>
      </c>
      <c r="X3" s="54" t="s">
        <v>590</v>
      </c>
      <c r="Y3" s="54" t="s">
        <v>591</v>
      </c>
      <c r="Z3" s="237" t="s">
        <v>851</v>
      </c>
      <c r="AA3" s="247" t="s">
        <v>852</v>
      </c>
      <c r="AB3" s="398" t="s">
        <v>588</v>
      </c>
      <c r="AC3" s="371" t="s">
        <v>589</v>
      </c>
      <c r="AD3" s="371" t="s">
        <v>592</v>
      </c>
      <c r="AE3" s="54" t="s">
        <v>590</v>
      </c>
      <c r="AF3" s="54" t="s">
        <v>591</v>
      </c>
      <c r="AG3" s="237" t="s">
        <v>851</v>
      </c>
      <c r="AH3" s="247" t="s">
        <v>852</v>
      </c>
      <c r="AI3" s="398" t="s">
        <v>588</v>
      </c>
      <c r="AJ3" s="371" t="s">
        <v>589</v>
      </c>
      <c r="AK3" s="371" t="s">
        <v>592</v>
      </c>
      <c r="AL3" s="54" t="s">
        <v>590</v>
      </c>
      <c r="AM3" s="54" t="s">
        <v>591</v>
      </c>
      <c r="AN3" s="237" t="s">
        <v>851</v>
      </c>
      <c r="AO3" s="247" t="s">
        <v>852</v>
      </c>
      <c r="AP3" s="398" t="s">
        <v>588</v>
      </c>
      <c r="AQ3" s="371" t="s">
        <v>589</v>
      </c>
      <c r="AR3" s="371" t="s">
        <v>592</v>
      </c>
      <c r="AS3" s="54" t="s">
        <v>590</v>
      </c>
      <c r="AT3" s="54" t="s">
        <v>591</v>
      </c>
      <c r="AU3" s="237" t="s">
        <v>851</v>
      </c>
      <c r="AV3" s="247" t="s">
        <v>852</v>
      </c>
      <c r="AW3" s="398" t="s">
        <v>588</v>
      </c>
      <c r="AX3" s="371" t="s">
        <v>589</v>
      </c>
      <c r="AY3" s="371" t="s">
        <v>592</v>
      </c>
      <c r="AZ3" s="54" t="s">
        <v>590</v>
      </c>
      <c r="BA3" s="54" t="s">
        <v>591</v>
      </c>
      <c r="BB3" s="237" t="s">
        <v>851</v>
      </c>
      <c r="BC3" s="247" t="s">
        <v>852</v>
      </c>
      <c r="BD3" s="398" t="s">
        <v>588</v>
      </c>
      <c r="BE3" s="371" t="s">
        <v>589</v>
      </c>
      <c r="BF3" s="371" t="s">
        <v>592</v>
      </c>
      <c r="BG3" s="54" t="s">
        <v>590</v>
      </c>
      <c r="BH3" s="54" t="s">
        <v>591</v>
      </c>
      <c r="BI3" s="237" t="s">
        <v>851</v>
      </c>
      <c r="BJ3" s="247" t="s">
        <v>852</v>
      </c>
      <c r="BK3" s="398" t="s">
        <v>588</v>
      </c>
      <c r="BL3" s="371" t="s">
        <v>589</v>
      </c>
      <c r="BM3" s="371" t="s">
        <v>592</v>
      </c>
      <c r="BN3" s="54" t="s">
        <v>590</v>
      </c>
      <c r="BO3" s="54" t="s">
        <v>591</v>
      </c>
      <c r="BP3" s="237" t="s">
        <v>851</v>
      </c>
      <c r="BQ3" s="247" t="s">
        <v>852</v>
      </c>
      <c r="BR3" s="398" t="s">
        <v>588</v>
      </c>
      <c r="BS3" s="371" t="s">
        <v>589</v>
      </c>
      <c r="BT3" s="371" t="s">
        <v>592</v>
      </c>
      <c r="BU3" s="54" t="s">
        <v>590</v>
      </c>
      <c r="BV3" s="54" t="s">
        <v>591</v>
      </c>
    </row>
    <row r="4" spans="1:74" x14ac:dyDescent="0.2">
      <c r="A4" s="49"/>
      <c r="B4" s="49" t="s">
        <v>4</v>
      </c>
      <c r="C4" s="205">
        <f>SUBTOTAL(109,C$15:INDEX(C:C,COUNTA($B:$B)+14-COUNTA($B$1:$B$14)))</f>
        <v>0</v>
      </c>
      <c r="D4" s="248">
        <f>SUBTOTAL(109,D$15:INDEX(D:D,COUNTA($B:$B)+14-COUNTA($B$1:$B$14)))</f>
        <v>0</v>
      </c>
      <c r="E4" s="220">
        <f>SUBTOTAL(109,E$15:INDEX(E:E,COUNTA($B:$B)+14-COUNTA($B$1:$B$14)))</f>
        <v>0</v>
      </c>
      <c r="F4" s="210">
        <f>SUBTOTAL(109,F$15:INDEX(F:F,COUNTA($B:$B)+14-COUNTA($B$1:$B$14)))</f>
        <v>0</v>
      </c>
      <c r="G4" s="158">
        <f>SUBTOTAL(109,G$15:INDEX(G:G,COUNTA($B:$B)+14-COUNTA($B$1:$B$14)))</f>
        <v>0</v>
      </c>
      <c r="H4" s="158">
        <f>SUBTOTAL(109,H$15:INDEX(H:H,COUNTA($B:$B)+14-COUNTA($B$1:$B$14)))</f>
        <v>0</v>
      </c>
      <c r="I4" s="55">
        <f>SUBTOTAL(109,I$15:INDEX(I:I,COUNTA($B:$B)+14-COUNTA($B$1:$B$14)))</f>
        <v>0</v>
      </c>
      <c r="J4" s="55">
        <f>SUBTOTAL(109,J$15:INDEX(J:J,COUNTA($B:$B)+14-COUNTA($B$1:$B$14)))</f>
        <v>0</v>
      </c>
      <c r="K4" s="205">
        <f>SUBTOTAL(109,K$15:INDEX(K:K,COUNTA($B:$B)+14-COUNTA($B$1:$B$14)))</f>
        <v>0</v>
      </c>
      <c r="L4" s="248">
        <f>SUBTOTAL(109,L$15:INDEX(L:L,COUNTA($B:$B)+14-COUNTA($B$1:$B$14)))</f>
        <v>0</v>
      </c>
      <c r="M4" s="220">
        <f>SUBTOTAL(109,M$15:INDEX(M:M,COUNTA($B:$B)+14-COUNTA($B$1:$B$14)))</f>
        <v>0</v>
      </c>
      <c r="N4" s="210">
        <f>SUBTOTAL(109,N$15:INDEX(N:N,COUNTA($B:$B)+14-COUNTA($B$1:$B$14)))</f>
        <v>0</v>
      </c>
      <c r="O4" s="158">
        <f>SUBTOTAL(109,O$15:INDEX(O:O,COUNTA($B:$B)+14-COUNTA($B$1:$B$14)))</f>
        <v>0</v>
      </c>
      <c r="P4" s="158">
        <f>SUBTOTAL(109,P$15:INDEX(P:P,COUNTA($B:$B)+14-COUNTA($B$1:$B$14)))</f>
        <v>0</v>
      </c>
      <c r="Q4" s="55">
        <f>SUBTOTAL(109,Q$15:INDEX(Q:Q,COUNTA($B:$B)+14-COUNTA($B$1:$B$14)))</f>
        <v>0</v>
      </c>
      <c r="R4" s="55">
        <f>SUBTOTAL(109,R$15:INDEX(R:R,COUNTA($B:$B)+14-COUNTA($B$1:$B$14)))</f>
        <v>0</v>
      </c>
      <c r="S4" s="205">
        <f>SUBTOTAL(109,S$15:INDEX(S:S,COUNTA($B:$B)+14-COUNTA($B$1:$B$14)))</f>
        <v>0</v>
      </c>
      <c r="T4" s="220">
        <f>SUBTOTAL(109,T$15:INDEX(T:T,COUNTA($B:$B)+14-COUNTA($B$1:$B$14)))</f>
        <v>0</v>
      </c>
      <c r="U4" s="210">
        <f>SUBTOTAL(109,U$15:INDEX(U:U,COUNTA($B:$B)+14-COUNTA($B$1:$B$14)))</f>
        <v>0</v>
      </c>
      <c r="V4" s="158">
        <f>SUBTOTAL(109,V$15:INDEX(V:V,COUNTA($B:$B)+14-COUNTA($B$1:$B$14)))</f>
        <v>0</v>
      </c>
      <c r="W4" s="158">
        <f>SUBTOTAL(109,W$15:INDEX(W:W,COUNTA($B:$B)+14-COUNTA($B$1:$B$14)))</f>
        <v>0</v>
      </c>
      <c r="X4" s="55">
        <f>SUBTOTAL(109,X$15:INDEX(X:X,COUNTA($B:$B)+14-COUNTA($B$1:$B$14)))</f>
        <v>0</v>
      </c>
      <c r="Y4" s="55">
        <f>SUBTOTAL(109,Y$15:INDEX(Y:Y,COUNTA($B:$B)+14-COUNTA($B$1:$B$14)))</f>
        <v>0</v>
      </c>
      <c r="Z4" s="205">
        <f>SUBTOTAL(109,Z$15:INDEX(Z:Z,COUNTA($B:$B)+14-COUNTA($B$1:$B$14)))</f>
        <v>0</v>
      </c>
      <c r="AA4" s="220">
        <f>SUBTOTAL(109,AA$15:INDEX(AA:AA,COUNTA($B:$B)+14-COUNTA($B$1:$B$14)))</f>
        <v>0</v>
      </c>
      <c r="AB4" s="210">
        <f>SUBTOTAL(109,AB$15:INDEX(AB:AB,COUNTA($B:$B)+14-COUNTA($B$1:$B$14)))</f>
        <v>0</v>
      </c>
      <c r="AC4" s="158">
        <f>SUBTOTAL(109,AC$15:INDEX(AC:AC,COUNTA($B:$B)+14-COUNTA($B$1:$B$14)))</f>
        <v>0</v>
      </c>
      <c r="AD4" s="158">
        <f>SUBTOTAL(109,AD$15:INDEX(AD:AD,COUNTA($B:$B)+14-COUNTA($B$1:$B$14)))</f>
        <v>0</v>
      </c>
      <c r="AE4" s="55">
        <f>SUBTOTAL(109,AE$15:INDEX(AE:AE,COUNTA($B:$B)+14-COUNTA($B$1:$B$14)))</f>
        <v>0</v>
      </c>
      <c r="AF4" s="55">
        <f>SUBTOTAL(109,AF$15:INDEX(AF:AF,COUNTA($B:$B)+14-COUNTA($B$1:$B$14)))</f>
        <v>0</v>
      </c>
      <c r="AG4" s="205">
        <f>SUBTOTAL(109,AG$15:INDEX(AG:AG,COUNTA($B:$B)+14-COUNTA($B$1:$B$14)))</f>
        <v>0</v>
      </c>
      <c r="AH4" s="220">
        <f>SUBTOTAL(109,AH$15:INDEX(AH:AH,COUNTA($B:$B)+14-COUNTA($B$1:$B$14)))</f>
        <v>0</v>
      </c>
      <c r="AI4" s="210">
        <f>SUBTOTAL(109,AI$15:INDEX(AI:AI,COUNTA($B:$B)+14-COUNTA($B$1:$B$14)))</f>
        <v>0</v>
      </c>
      <c r="AJ4" s="158">
        <f>SUBTOTAL(109,AJ$15:INDEX(AJ:AJ,COUNTA($B:$B)+14-COUNTA($B$1:$B$14)))</f>
        <v>0</v>
      </c>
      <c r="AK4" s="158">
        <f>SUBTOTAL(109,AK$15:INDEX(AK:AK,COUNTA($B:$B)+14-COUNTA($B$1:$B$14)))</f>
        <v>0</v>
      </c>
      <c r="AL4" s="55">
        <f>SUBTOTAL(109,AL$15:INDEX(AL:AL,COUNTA($B:$B)+14-COUNTA($B$1:$B$14)))</f>
        <v>0</v>
      </c>
      <c r="AM4" s="55">
        <f>SUBTOTAL(109,AM$15:INDEX(AM:AM,COUNTA($B:$B)+14-COUNTA($B$1:$B$14)))</f>
        <v>0</v>
      </c>
      <c r="AN4" s="205">
        <f>SUBTOTAL(109,AN$15:INDEX(AN:AN,COUNTA($B:$B)+14-COUNTA($B$1:$B$14)))</f>
        <v>0</v>
      </c>
      <c r="AO4" s="220">
        <f>SUBTOTAL(109,AO$15:INDEX(AO:AO,COUNTA($B:$B)+14-COUNTA($B$1:$B$14)))</f>
        <v>0</v>
      </c>
      <c r="AP4" s="210">
        <f>SUBTOTAL(109,AP$15:INDEX(AP:AP,COUNTA($B:$B)+14-COUNTA($B$1:$B$14)))</f>
        <v>0</v>
      </c>
      <c r="AQ4" s="158">
        <f>SUBTOTAL(109,AQ$15:INDEX(AQ:AQ,COUNTA($B:$B)+14-COUNTA($B$1:$B$14)))</f>
        <v>0</v>
      </c>
      <c r="AR4" s="158">
        <f>SUBTOTAL(109,AR$15:INDEX(AR:AR,COUNTA($B:$B)+14-COUNTA($B$1:$B$14)))</f>
        <v>0</v>
      </c>
      <c r="AS4" s="55">
        <f>SUBTOTAL(109,AS$15:INDEX(AS:AS,COUNTA($B:$B)+14-COUNTA($B$1:$B$14)))</f>
        <v>0</v>
      </c>
      <c r="AT4" s="55">
        <f>SUBTOTAL(109,AT$15:INDEX(AT:AT,COUNTA($B:$B)+14-COUNTA($B$1:$B$14)))</f>
        <v>0</v>
      </c>
      <c r="AU4" s="205">
        <f>SUBTOTAL(109,AU$15:INDEX(AU:AU,COUNTA($B:$B)+14-COUNTA($B$1:$B$14)))</f>
        <v>0</v>
      </c>
      <c r="AV4" s="220">
        <f>SUBTOTAL(109,AV$15:INDEX(AV:AV,COUNTA($B:$B)+14-COUNTA($B$1:$B$14)))</f>
        <v>0</v>
      </c>
      <c r="AW4" s="210">
        <f>SUBTOTAL(109,AW$15:INDEX(AW:AW,COUNTA($B:$B)+14-COUNTA($B$1:$B$14)))</f>
        <v>0</v>
      </c>
      <c r="AX4" s="158">
        <f>SUBTOTAL(109,AX$15:INDEX(AX:AX,COUNTA($B:$B)+14-COUNTA($B$1:$B$14)))</f>
        <v>0</v>
      </c>
      <c r="AY4" s="158">
        <f>SUBTOTAL(109,AY$15:INDEX(AY:AY,COUNTA($B:$B)+14-COUNTA($B$1:$B$14)))</f>
        <v>0</v>
      </c>
      <c r="AZ4" s="55">
        <f>SUBTOTAL(109,AZ$15:INDEX(AZ:AZ,COUNTA($B:$B)+14-COUNTA($B$1:$B$14)))</f>
        <v>0</v>
      </c>
      <c r="BA4" s="55">
        <f>SUBTOTAL(109,BA$15:INDEX(BA:BA,COUNTA($B:$B)+14-COUNTA($B$1:$B$14)))</f>
        <v>0</v>
      </c>
      <c r="BB4" s="205">
        <f>SUBTOTAL(109,BB$15:INDEX(BB:BB,COUNTA($B:$B)+14-COUNTA($B$1:$B$14)))</f>
        <v>0</v>
      </c>
      <c r="BC4" s="220">
        <f>SUBTOTAL(109,BC$15:INDEX(BC:BC,COUNTA($B:$B)+14-COUNTA($B$1:$B$14)))</f>
        <v>0</v>
      </c>
      <c r="BD4" s="210">
        <f>SUBTOTAL(109,BD$15:INDEX(BD:BD,COUNTA($B:$B)+14-COUNTA($B$1:$B$14)))</f>
        <v>0</v>
      </c>
      <c r="BE4" s="158">
        <f>SUBTOTAL(109,BE$15:INDEX(BE:BE,COUNTA($B:$B)+14-COUNTA($B$1:$B$14)))</f>
        <v>0</v>
      </c>
      <c r="BF4" s="158">
        <f>SUBTOTAL(109,BF$15:INDEX(BF:BF,COUNTA($B:$B)+14-COUNTA($B$1:$B$14)))</f>
        <v>0</v>
      </c>
      <c r="BG4" s="55">
        <f>SUBTOTAL(109,BG$15:INDEX(BG:BG,COUNTA($B:$B)+14-COUNTA($B$1:$B$14)))</f>
        <v>0</v>
      </c>
      <c r="BH4" s="55">
        <f>SUBTOTAL(109,BH$15:INDEX(BH:BH,COUNTA($B:$B)+14-COUNTA($B$1:$B$14)))</f>
        <v>0</v>
      </c>
      <c r="BI4" s="205">
        <f>SUBTOTAL(109,BI$15:INDEX(BI:BI,COUNTA($B:$B)+14-COUNTA($B$1:$B$14)))</f>
        <v>0</v>
      </c>
      <c r="BJ4" s="220">
        <f>SUBTOTAL(109,BJ$15:INDEX(BJ:BJ,COUNTA($B:$B)+14-COUNTA($B$1:$B$14)))</f>
        <v>0</v>
      </c>
      <c r="BK4" s="210">
        <f>SUBTOTAL(109,BK$15:INDEX(BK:BK,COUNTA($B:$B)+14-COUNTA($B$1:$B$14)))</f>
        <v>0</v>
      </c>
      <c r="BL4" s="158">
        <f>SUBTOTAL(109,BL$15:INDEX(BL:BL,COUNTA($B:$B)+14-COUNTA($B$1:$B$14)))</f>
        <v>0</v>
      </c>
      <c r="BM4" s="158">
        <f>SUBTOTAL(109,BM$15:INDEX(BM:BM,COUNTA($B:$B)+14-COUNTA($B$1:$B$14)))</f>
        <v>0</v>
      </c>
      <c r="BN4" s="55">
        <f>SUBTOTAL(109,BN$15:INDEX(BN:BN,COUNTA($B:$B)+14-COUNTA($B$1:$B$14)))</f>
        <v>0</v>
      </c>
      <c r="BO4" s="55">
        <f>SUBTOTAL(109,BO$15:INDEX(BO:BO,COUNTA($B:$B)+14-COUNTA($B$1:$B$14)))</f>
        <v>0</v>
      </c>
      <c r="BP4" s="205">
        <f>SUBTOTAL(109,BP$15:INDEX(BP:BP,COUNTA($B:$B)+14-COUNTA($B$1:$B$14)))</f>
        <v>0</v>
      </c>
      <c r="BQ4" s="220">
        <f>SUBTOTAL(109,BQ$15:INDEX(BQ:BQ,COUNTA($B:$B)+14-COUNTA($B$1:$B$14)))</f>
        <v>0</v>
      </c>
      <c r="BR4" s="210">
        <f>SUBTOTAL(109,BR$15:INDEX(BR:BR,COUNTA($B:$B)+14-COUNTA($B$1:$B$14)))</f>
        <v>0</v>
      </c>
      <c r="BS4" s="158">
        <f>SUBTOTAL(109,BS$15:INDEX(BS:BS,COUNTA($B:$B)+14-COUNTA($B$1:$B$14)))</f>
        <v>0</v>
      </c>
      <c r="BT4" s="158">
        <f>SUBTOTAL(109,BT$15:INDEX(BT:BT,COUNTA($B:$B)+14-COUNTA($B$1:$B$14)))</f>
        <v>0</v>
      </c>
      <c r="BU4" s="55">
        <f>SUBTOTAL(109,BU$15:INDEX(BU:BU,COUNTA($B:$B)+14-COUNTA($B$1:$B$14)))</f>
        <v>0</v>
      </c>
      <c r="BV4" s="55">
        <f>SUBTOTAL(109,BV$15:INDEX(BV:BV,COUNTA($B:$B)+14-COUNTA($B$1:$B$14)))</f>
        <v>0</v>
      </c>
    </row>
    <row r="5" spans="1:74" x14ac:dyDescent="0.2">
      <c r="A5" s="50" t="s">
        <v>98</v>
      </c>
      <c r="B5" s="50" t="s">
        <v>98</v>
      </c>
      <c r="C5" s="206" t="s">
        <v>98</v>
      </c>
      <c r="D5" s="249" t="s">
        <v>98</v>
      </c>
      <c r="E5" s="221" t="s">
        <v>98</v>
      </c>
      <c r="F5" s="211" t="s">
        <v>98</v>
      </c>
      <c r="G5" s="88" t="s">
        <v>98</v>
      </c>
      <c r="H5" s="88" t="s">
        <v>98</v>
      </c>
      <c r="I5" s="56" t="s">
        <v>98</v>
      </c>
      <c r="J5" s="56" t="s">
        <v>98</v>
      </c>
      <c r="K5" s="206" t="s">
        <v>98</v>
      </c>
      <c r="L5" s="249" t="s">
        <v>98</v>
      </c>
      <c r="M5" s="221" t="s">
        <v>98</v>
      </c>
      <c r="N5" s="211" t="s">
        <v>98</v>
      </c>
      <c r="O5" s="88" t="s">
        <v>98</v>
      </c>
      <c r="P5" s="88" t="s">
        <v>98</v>
      </c>
      <c r="Q5" s="56" t="s">
        <v>98</v>
      </c>
      <c r="R5" s="56" t="s">
        <v>98</v>
      </c>
      <c r="S5" s="206" t="s">
        <v>98</v>
      </c>
      <c r="T5" s="221" t="s">
        <v>98</v>
      </c>
      <c r="U5" s="211" t="s">
        <v>98</v>
      </c>
      <c r="V5" s="88" t="s">
        <v>98</v>
      </c>
      <c r="W5" s="88" t="s">
        <v>98</v>
      </c>
      <c r="X5" s="56" t="s">
        <v>98</v>
      </c>
      <c r="Y5" s="56" t="s">
        <v>98</v>
      </c>
      <c r="Z5" s="206" t="s">
        <v>98</v>
      </c>
      <c r="AA5" s="221" t="s">
        <v>98</v>
      </c>
      <c r="AB5" s="211" t="s">
        <v>98</v>
      </c>
      <c r="AC5" s="88" t="s">
        <v>98</v>
      </c>
      <c r="AD5" s="88" t="s">
        <v>98</v>
      </c>
      <c r="AE5" s="56" t="s">
        <v>98</v>
      </c>
      <c r="AF5" s="56" t="s">
        <v>98</v>
      </c>
      <c r="AG5" s="206" t="s">
        <v>98</v>
      </c>
      <c r="AH5" s="221" t="s">
        <v>98</v>
      </c>
      <c r="AI5" s="211" t="s">
        <v>98</v>
      </c>
      <c r="AJ5" s="88" t="s">
        <v>98</v>
      </c>
      <c r="AK5" s="88" t="s">
        <v>98</v>
      </c>
      <c r="AL5" s="56" t="s">
        <v>98</v>
      </c>
      <c r="AM5" s="56" t="s">
        <v>98</v>
      </c>
      <c r="AN5" s="206" t="s">
        <v>98</v>
      </c>
      <c r="AO5" s="221" t="s">
        <v>98</v>
      </c>
      <c r="AP5" s="211" t="s">
        <v>98</v>
      </c>
      <c r="AQ5" s="88" t="s">
        <v>98</v>
      </c>
      <c r="AR5" s="88" t="s">
        <v>98</v>
      </c>
      <c r="AS5" s="56" t="s">
        <v>98</v>
      </c>
      <c r="AT5" s="56" t="s">
        <v>98</v>
      </c>
      <c r="AU5" s="206" t="s">
        <v>98</v>
      </c>
      <c r="AV5" s="221" t="s">
        <v>98</v>
      </c>
      <c r="AW5" s="211" t="s">
        <v>98</v>
      </c>
      <c r="AX5" s="88" t="s">
        <v>98</v>
      </c>
      <c r="AY5" s="88" t="s">
        <v>98</v>
      </c>
      <c r="AZ5" s="56" t="s">
        <v>98</v>
      </c>
      <c r="BA5" s="56" t="s">
        <v>98</v>
      </c>
      <c r="BB5" s="206" t="s">
        <v>98</v>
      </c>
      <c r="BC5" s="221" t="s">
        <v>98</v>
      </c>
      <c r="BD5" s="211" t="s">
        <v>98</v>
      </c>
      <c r="BE5" s="88" t="s">
        <v>98</v>
      </c>
      <c r="BF5" s="88" t="s">
        <v>98</v>
      </c>
      <c r="BG5" s="56" t="s">
        <v>98</v>
      </c>
      <c r="BH5" s="56" t="s">
        <v>98</v>
      </c>
      <c r="BI5" s="206" t="s">
        <v>98</v>
      </c>
      <c r="BJ5" s="221" t="s">
        <v>98</v>
      </c>
      <c r="BK5" s="211" t="s">
        <v>98</v>
      </c>
      <c r="BL5" s="88" t="s">
        <v>98</v>
      </c>
      <c r="BM5" s="88" t="s">
        <v>98</v>
      </c>
      <c r="BN5" s="56" t="s">
        <v>98</v>
      </c>
      <c r="BO5" s="56" t="s">
        <v>98</v>
      </c>
      <c r="BP5" s="206" t="s">
        <v>98</v>
      </c>
      <c r="BQ5" s="221" t="s">
        <v>98</v>
      </c>
      <c r="BR5" s="211" t="s">
        <v>98</v>
      </c>
      <c r="BS5" s="88" t="s">
        <v>98</v>
      </c>
      <c r="BT5" s="88" t="s">
        <v>98</v>
      </c>
      <c r="BU5" s="56" t="s">
        <v>98</v>
      </c>
      <c r="BV5" s="56" t="s">
        <v>98</v>
      </c>
    </row>
    <row r="6" spans="1:74" x14ac:dyDescent="0.2">
      <c r="A6" s="50" t="s">
        <v>200</v>
      </c>
      <c r="B6" s="50" t="s">
        <v>200</v>
      </c>
      <c r="C6" s="206" t="s">
        <v>93</v>
      </c>
      <c r="D6" s="249" t="s">
        <v>93</v>
      </c>
      <c r="E6" s="221" t="s">
        <v>93</v>
      </c>
      <c r="F6" s="211" t="s">
        <v>93</v>
      </c>
      <c r="G6" s="88" t="s">
        <v>93</v>
      </c>
      <c r="H6" s="88" t="s">
        <v>93</v>
      </c>
      <c r="I6" s="56" t="s">
        <v>93</v>
      </c>
      <c r="J6" s="56" t="s">
        <v>93</v>
      </c>
      <c r="K6" s="206" t="s">
        <v>93</v>
      </c>
      <c r="L6" s="249" t="s">
        <v>93</v>
      </c>
      <c r="M6" s="221" t="s">
        <v>93</v>
      </c>
      <c r="N6" s="211" t="s">
        <v>93</v>
      </c>
      <c r="O6" s="88" t="s">
        <v>93</v>
      </c>
      <c r="P6" s="88" t="s">
        <v>93</v>
      </c>
      <c r="Q6" s="56" t="s">
        <v>93</v>
      </c>
      <c r="R6" s="56" t="s">
        <v>93</v>
      </c>
      <c r="S6" s="206" t="s">
        <v>93</v>
      </c>
      <c r="T6" s="221" t="s">
        <v>93</v>
      </c>
      <c r="U6" s="211" t="s">
        <v>93</v>
      </c>
      <c r="V6" s="88" t="s">
        <v>93</v>
      </c>
      <c r="W6" s="88" t="s">
        <v>93</v>
      </c>
      <c r="X6" s="56" t="s">
        <v>93</v>
      </c>
      <c r="Y6" s="56" t="s">
        <v>93</v>
      </c>
      <c r="Z6" s="206" t="s">
        <v>93</v>
      </c>
      <c r="AA6" s="221" t="s">
        <v>93</v>
      </c>
      <c r="AB6" s="211" t="s">
        <v>93</v>
      </c>
      <c r="AC6" s="88" t="s">
        <v>93</v>
      </c>
      <c r="AD6" s="88" t="s">
        <v>93</v>
      </c>
      <c r="AE6" s="56" t="s">
        <v>93</v>
      </c>
      <c r="AF6" s="56" t="s">
        <v>93</v>
      </c>
      <c r="AG6" s="206" t="s">
        <v>93</v>
      </c>
      <c r="AH6" s="221" t="s">
        <v>93</v>
      </c>
      <c r="AI6" s="211" t="s">
        <v>93</v>
      </c>
      <c r="AJ6" s="88" t="s">
        <v>93</v>
      </c>
      <c r="AK6" s="88" t="s">
        <v>93</v>
      </c>
      <c r="AL6" s="56" t="s">
        <v>93</v>
      </c>
      <c r="AM6" s="56" t="s">
        <v>93</v>
      </c>
      <c r="AN6" s="206" t="s">
        <v>93</v>
      </c>
      <c r="AO6" s="221" t="s">
        <v>93</v>
      </c>
      <c r="AP6" s="211" t="s">
        <v>93</v>
      </c>
      <c r="AQ6" s="88" t="s">
        <v>93</v>
      </c>
      <c r="AR6" s="88" t="s">
        <v>93</v>
      </c>
      <c r="AS6" s="56" t="s">
        <v>93</v>
      </c>
      <c r="AT6" s="56" t="s">
        <v>93</v>
      </c>
      <c r="AU6" s="206" t="s">
        <v>93</v>
      </c>
      <c r="AV6" s="221" t="s">
        <v>93</v>
      </c>
      <c r="AW6" s="211" t="s">
        <v>93</v>
      </c>
      <c r="AX6" s="88" t="s">
        <v>93</v>
      </c>
      <c r="AY6" s="88" t="s">
        <v>93</v>
      </c>
      <c r="AZ6" s="56" t="s">
        <v>93</v>
      </c>
      <c r="BA6" s="56" t="s">
        <v>93</v>
      </c>
      <c r="BB6" s="206" t="s">
        <v>93</v>
      </c>
      <c r="BC6" s="221" t="s">
        <v>93</v>
      </c>
      <c r="BD6" s="211" t="s">
        <v>93</v>
      </c>
      <c r="BE6" s="88" t="s">
        <v>93</v>
      </c>
      <c r="BF6" s="88" t="s">
        <v>93</v>
      </c>
      <c r="BG6" s="56" t="s">
        <v>93</v>
      </c>
      <c r="BH6" s="56" t="s">
        <v>93</v>
      </c>
      <c r="BI6" s="206" t="s">
        <v>93</v>
      </c>
      <c r="BJ6" s="221" t="s">
        <v>93</v>
      </c>
      <c r="BK6" s="211" t="s">
        <v>93</v>
      </c>
      <c r="BL6" s="88" t="s">
        <v>93</v>
      </c>
      <c r="BM6" s="88" t="s">
        <v>93</v>
      </c>
      <c r="BN6" s="56" t="s">
        <v>93</v>
      </c>
      <c r="BO6" s="56" t="s">
        <v>93</v>
      </c>
      <c r="BP6" s="206" t="s">
        <v>93</v>
      </c>
      <c r="BQ6" s="221" t="s">
        <v>93</v>
      </c>
      <c r="BR6" s="211" t="s">
        <v>93</v>
      </c>
      <c r="BS6" s="88" t="s">
        <v>93</v>
      </c>
      <c r="BT6" s="88" t="s">
        <v>93</v>
      </c>
      <c r="BU6" s="56" t="s">
        <v>93</v>
      </c>
      <c r="BV6" s="56" t="s">
        <v>93</v>
      </c>
    </row>
    <row r="7" spans="1:74" x14ac:dyDescent="0.2">
      <c r="A7" s="50" t="s">
        <v>108</v>
      </c>
      <c r="B7" s="50" t="s">
        <v>108</v>
      </c>
      <c r="C7" s="207" t="s">
        <v>94</v>
      </c>
      <c r="D7" s="250" t="s">
        <v>94</v>
      </c>
      <c r="E7" s="222" t="s">
        <v>94</v>
      </c>
      <c r="F7" s="211" t="s">
        <v>94</v>
      </c>
      <c r="G7" s="88" t="s">
        <v>94</v>
      </c>
      <c r="H7" s="88" t="s">
        <v>94</v>
      </c>
      <c r="I7" s="56" t="s">
        <v>94</v>
      </c>
      <c r="J7" s="56" t="s">
        <v>94</v>
      </c>
      <c r="K7" s="207" t="s">
        <v>94</v>
      </c>
      <c r="L7" s="250" t="s">
        <v>94</v>
      </c>
      <c r="M7" s="222" t="s">
        <v>94</v>
      </c>
      <c r="N7" s="211" t="s">
        <v>94</v>
      </c>
      <c r="O7" s="88" t="s">
        <v>94</v>
      </c>
      <c r="P7" s="88" t="s">
        <v>94</v>
      </c>
      <c r="Q7" s="56" t="s">
        <v>94</v>
      </c>
      <c r="R7" s="56" t="s">
        <v>94</v>
      </c>
      <c r="S7" s="207" t="s">
        <v>94</v>
      </c>
      <c r="T7" s="222" t="s">
        <v>94</v>
      </c>
      <c r="U7" s="211" t="s">
        <v>94</v>
      </c>
      <c r="V7" s="88" t="s">
        <v>94</v>
      </c>
      <c r="W7" s="88" t="s">
        <v>94</v>
      </c>
      <c r="X7" s="56" t="s">
        <v>94</v>
      </c>
      <c r="Y7" s="56" t="s">
        <v>94</v>
      </c>
      <c r="Z7" s="207" t="s">
        <v>94</v>
      </c>
      <c r="AA7" s="222" t="s">
        <v>94</v>
      </c>
      <c r="AB7" s="211" t="s">
        <v>94</v>
      </c>
      <c r="AC7" s="88" t="s">
        <v>94</v>
      </c>
      <c r="AD7" s="88" t="s">
        <v>94</v>
      </c>
      <c r="AE7" s="56" t="s">
        <v>94</v>
      </c>
      <c r="AF7" s="56" t="s">
        <v>94</v>
      </c>
      <c r="AG7" s="207" t="s">
        <v>94</v>
      </c>
      <c r="AH7" s="222" t="s">
        <v>94</v>
      </c>
      <c r="AI7" s="211" t="s">
        <v>94</v>
      </c>
      <c r="AJ7" s="88" t="s">
        <v>94</v>
      </c>
      <c r="AK7" s="88" t="s">
        <v>94</v>
      </c>
      <c r="AL7" s="56" t="s">
        <v>94</v>
      </c>
      <c r="AM7" s="56" t="s">
        <v>94</v>
      </c>
      <c r="AN7" s="207" t="s">
        <v>94</v>
      </c>
      <c r="AO7" s="222" t="s">
        <v>94</v>
      </c>
      <c r="AP7" s="211" t="s">
        <v>94</v>
      </c>
      <c r="AQ7" s="88" t="s">
        <v>94</v>
      </c>
      <c r="AR7" s="88" t="s">
        <v>94</v>
      </c>
      <c r="AS7" s="56" t="s">
        <v>94</v>
      </c>
      <c r="AT7" s="56" t="s">
        <v>94</v>
      </c>
      <c r="AU7" s="207" t="s">
        <v>94</v>
      </c>
      <c r="AV7" s="222" t="s">
        <v>94</v>
      </c>
      <c r="AW7" s="211" t="s">
        <v>94</v>
      </c>
      <c r="AX7" s="88" t="s">
        <v>94</v>
      </c>
      <c r="AY7" s="88" t="s">
        <v>94</v>
      </c>
      <c r="AZ7" s="56" t="s">
        <v>94</v>
      </c>
      <c r="BA7" s="56" t="s">
        <v>94</v>
      </c>
      <c r="BB7" s="207" t="s">
        <v>94</v>
      </c>
      <c r="BC7" s="222" t="s">
        <v>94</v>
      </c>
      <c r="BD7" s="211" t="s">
        <v>94</v>
      </c>
      <c r="BE7" s="88" t="s">
        <v>94</v>
      </c>
      <c r="BF7" s="88" t="s">
        <v>94</v>
      </c>
      <c r="BG7" s="56" t="s">
        <v>94</v>
      </c>
      <c r="BH7" s="56" t="s">
        <v>94</v>
      </c>
      <c r="BI7" s="207" t="s">
        <v>94</v>
      </c>
      <c r="BJ7" s="222" t="s">
        <v>94</v>
      </c>
      <c r="BK7" s="211" t="s">
        <v>94</v>
      </c>
      <c r="BL7" s="88" t="s">
        <v>94</v>
      </c>
      <c r="BM7" s="88" t="s">
        <v>94</v>
      </c>
      <c r="BN7" s="56" t="s">
        <v>94</v>
      </c>
      <c r="BO7" s="56" t="s">
        <v>94</v>
      </c>
      <c r="BP7" s="207" t="s">
        <v>94</v>
      </c>
      <c r="BQ7" s="222" t="s">
        <v>94</v>
      </c>
      <c r="BR7" s="211" t="s">
        <v>94</v>
      </c>
      <c r="BS7" s="88" t="s">
        <v>94</v>
      </c>
      <c r="BT7" s="88" t="s">
        <v>94</v>
      </c>
      <c r="BU7" s="56" t="s">
        <v>94</v>
      </c>
      <c r="BV7" s="56" t="s">
        <v>94</v>
      </c>
    </row>
    <row r="8" spans="1:74" x14ac:dyDescent="0.2">
      <c r="C8" s="207"/>
      <c r="D8" s="250"/>
      <c r="E8" s="222"/>
      <c r="K8" s="207"/>
      <c r="L8" s="250"/>
      <c r="M8" s="222"/>
      <c r="S8" s="207"/>
      <c r="T8" s="222"/>
      <c r="Z8" s="207"/>
      <c r="AA8" s="222"/>
      <c r="AG8" s="207"/>
      <c r="AH8" s="222"/>
      <c r="AN8" s="207"/>
      <c r="AO8" s="222"/>
      <c r="AU8" s="207"/>
      <c r="AV8" s="222"/>
      <c r="BB8" s="207"/>
      <c r="BC8" s="222"/>
      <c r="BI8" s="207"/>
      <c r="BJ8" s="222"/>
      <c r="BP8" s="207"/>
      <c r="BQ8" s="222"/>
    </row>
    <row r="9" spans="1:74" x14ac:dyDescent="0.2">
      <c r="C9" s="207"/>
      <c r="D9" s="250"/>
      <c r="E9" s="222"/>
      <c r="K9" s="207"/>
      <c r="L9" s="250"/>
      <c r="M9" s="222"/>
      <c r="S9" s="207"/>
      <c r="T9" s="222"/>
      <c r="Z9" s="207"/>
      <c r="AA9" s="222"/>
      <c r="AG9" s="207"/>
      <c r="AH9" s="222"/>
      <c r="AN9" s="207"/>
      <c r="AO9" s="222"/>
      <c r="AU9" s="207"/>
      <c r="AV9" s="222"/>
      <c r="BB9" s="207"/>
      <c r="BC9" s="222"/>
      <c r="BI9" s="207"/>
      <c r="BJ9" s="222"/>
      <c r="BP9" s="207"/>
      <c r="BQ9" s="222"/>
    </row>
    <row r="10" spans="1:74" x14ac:dyDescent="0.2">
      <c r="C10" s="207"/>
      <c r="D10" s="250"/>
      <c r="E10" s="222"/>
      <c r="K10" s="207"/>
      <c r="L10" s="250"/>
      <c r="M10" s="222"/>
      <c r="S10" s="207"/>
      <c r="T10" s="222"/>
      <c r="Z10" s="207"/>
      <c r="AA10" s="222"/>
      <c r="AG10" s="207"/>
      <c r="AH10" s="222"/>
      <c r="AN10" s="207"/>
      <c r="AO10" s="222"/>
      <c r="AU10" s="207"/>
      <c r="AV10" s="222"/>
      <c r="BB10" s="207"/>
      <c r="BC10" s="222"/>
      <c r="BI10" s="207"/>
      <c r="BJ10" s="222"/>
      <c r="BP10" s="207"/>
      <c r="BQ10" s="222"/>
    </row>
    <row r="11" spans="1:74" x14ac:dyDescent="0.2">
      <c r="C11" s="207"/>
      <c r="D11" s="250"/>
      <c r="E11" s="222"/>
      <c r="K11" s="207"/>
      <c r="L11" s="250"/>
      <c r="M11" s="222"/>
      <c r="S11" s="207"/>
      <c r="T11" s="222"/>
      <c r="Z11" s="207"/>
      <c r="AA11" s="222"/>
      <c r="AG11" s="207"/>
      <c r="AH11" s="222"/>
      <c r="AN11" s="207"/>
      <c r="AO11" s="222"/>
      <c r="AU11" s="207"/>
      <c r="AV11" s="222"/>
      <c r="BB11" s="207"/>
      <c r="BC11" s="222"/>
      <c r="BI11" s="207"/>
      <c r="BJ11" s="222"/>
      <c r="BP11" s="207"/>
      <c r="BQ11" s="222"/>
    </row>
    <row r="14" spans="1:74" x14ac:dyDescent="0.2">
      <c r="A14" s="36" t="s">
        <v>583</v>
      </c>
      <c r="B14" s="36" t="s">
        <v>5</v>
      </c>
      <c r="C14" s="157" t="s">
        <v>897</v>
      </c>
      <c r="D14" s="159" t="s">
        <v>898</v>
      </c>
      <c r="E14" s="223" t="s">
        <v>899</v>
      </c>
      <c r="F14" s="234" t="s">
        <v>900</v>
      </c>
      <c r="G14" s="195" t="s">
        <v>901</v>
      </c>
      <c r="H14" s="195" t="s">
        <v>902</v>
      </c>
      <c r="I14" s="155" t="s">
        <v>903</v>
      </c>
      <c r="J14" s="155" t="s">
        <v>904</v>
      </c>
      <c r="K14" s="157" t="s">
        <v>626</v>
      </c>
      <c r="L14" s="159" t="s">
        <v>728</v>
      </c>
      <c r="M14" s="223" t="s">
        <v>627</v>
      </c>
      <c r="N14" s="234" t="s">
        <v>628</v>
      </c>
      <c r="O14" s="195" t="s">
        <v>629</v>
      </c>
      <c r="P14" s="195" t="s">
        <v>630</v>
      </c>
      <c r="Q14" s="155" t="s">
        <v>631</v>
      </c>
      <c r="R14" s="155" t="s">
        <v>632</v>
      </c>
      <c r="S14" s="157" t="s">
        <v>633</v>
      </c>
      <c r="T14" s="223" t="s">
        <v>634</v>
      </c>
      <c r="U14" s="234" t="s">
        <v>621</v>
      </c>
      <c r="V14" s="195" t="s">
        <v>622</v>
      </c>
      <c r="W14" s="195" t="s">
        <v>623</v>
      </c>
      <c r="X14" s="155" t="s">
        <v>624</v>
      </c>
      <c r="Y14" s="155" t="s">
        <v>625</v>
      </c>
      <c r="Z14" s="157" t="s">
        <v>635</v>
      </c>
      <c r="AA14" s="223" t="s">
        <v>636</v>
      </c>
      <c r="AB14" s="234" t="s">
        <v>637</v>
      </c>
      <c r="AC14" s="195" t="s">
        <v>638</v>
      </c>
      <c r="AD14" s="195" t="s">
        <v>639</v>
      </c>
      <c r="AE14" s="155" t="s">
        <v>640</v>
      </c>
      <c r="AF14" s="155" t="s">
        <v>641</v>
      </c>
      <c r="AG14" s="157" t="s">
        <v>642</v>
      </c>
      <c r="AH14" s="223" t="s">
        <v>643</v>
      </c>
      <c r="AI14" s="234" t="s">
        <v>644</v>
      </c>
      <c r="AJ14" s="195" t="s">
        <v>645</v>
      </c>
      <c r="AK14" s="195" t="s">
        <v>646</v>
      </c>
      <c r="AL14" s="155" t="s">
        <v>647</v>
      </c>
      <c r="AM14" s="155" t="s">
        <v>648</v>
      </c>
      <c r="AN14" s="157" t="s">
        <v>649</v>
      </c>
      <c r="AO14" s="223" t="s">
        <v>650</v>
      </c>
      <c r="AP14" s="234" t="s">
        <v>651</v>
      </c>
      <c r="AQ14" s="195" t="s">
        <v>652</v>
      </c>
      <c r="AR14" s="195" t="s">
        <v>653</v>
      </c>
      <c r="AS14" s="155" t="s">
        <v>654</v>
      </c>
      <c r="AT14" s="155" t="s">
        <v>655</v>
      </c>
      <c r="AU14" s="157" t="s">
        <v>656</v>
      </c>
      <c r="AV14" s="223" t="s">
        <v>657</v>
      </c>
      <c r="AW14" s="234" t="s">
        <v>658</v>
      </c>
      <c r="AX14" s="195" t="s">
        <v>659</v>
      </c>
      <c r="AY14" s="195" t="s">
        <v>660</v>
      </c>
      <c r="AZ14" s="155" t="s">
        <v>661</v>
      </c>
      <c r="BA14" s="155" t="s">
        <v>662</v>
      </c>
      <c r="BB14" s="157" t="s">
        <v>663</v>
      </c>
      <c r="BC14" s="223" t="s">
        <v>664</v>
      </c>
      <c r="BD14" s="234" t="s">
        <v>665</v>
      </c>
      <c r="BE14" s="195" t="s">
        <v>666</v>
      </c>
      <c r="BF14" s="195" t="s">
        <v>667</v>
      </c>
      <c r="BG14" s="155" t="s">
        <v>668</v>
      </c>
      <c r="BH14" s="155" t="s">
        <v>669</v>
      </c>
      <c r="BI14" s="157" t="s">
        <v>670</v>
      </c>
      <c r="BJ14" s="223" t="s">
        <v>671</v>
      </c>
      <c r="BK14" s="234" t="s">
        <v>672</v>
      </c>
      <c r="BL14" s="195" t="s">
        <v>673</v>
      </c>
      <c r="BM14" s="195" t="s">
        <v>674</v>
      </c>
      <c r="BN14" s="155" t="s">
        <v>675</v>
      </c>
      <c r="BO14" s="155" t="s">
        <v>676</v>
      </c>
      <c r="BP14" s="157" t="s">
        <v>677</v>
      </c>
      <c r="BQ14" s="223" t="s">
        <v>678</v>
      </c>
      <c r="BR14" s="234" t="s">
        <v>679</v>
      </c>
      <c r="BS14" s="195" t="s">
        <v>680</v>
      </c>
      <c r="BT14" s="195" t="s">
        <v>681</v>
      </c>
      <c r="BU14" s="155" t="s">
        <v>682</v>
      </c>
      <c r="BV14" s="155" t="s">
        <v>683</v>
      </c>
    </row>
    <row r="15" spans="1:74" s="24" customFormat="1" x14ac:dyDescent="0.2">
      <c r="A15" s="37"/>
      <c r="B15" s="37"/>
      <c r="C15" s="96" cm="1">
        <f t="array" ref="C15">SUM(SUMIFS(PrEP!$O:$O,PrEP!$B:$B,$B15,PrEP!$C:$C,{"15-19","20-24","25-29","30-34","35-39","40-44","45-49","50+"},PrEP!$D:$D,"Female"))</f>
        <v>0</v>
      </c>
      <c r="D15" s="102" cm="1">
        <f t="array" ref="D15">SUM(SUMIFS(PrEP!$O:$O,PrEP!$B:$B,$B15,PrEP!$C:$C,{"15-19","20-24","25-29"},PrEP!$D:$D,"Female"))</f>
        <v>0</v>
      </c>
      <c r="E15" s="373" cm="1">
        <f t="array" ref="E15">SUM(SUMIFS(PrEP!$O:$O,PrEP!$B:$B,$B15,PrEP!$C:$C,{"15-19","20-24","25-29","30-34","35-39","40-44","45-49","50+"},PrEP!$D:$D,"Male"))</f>
        <v>0</v>
      </c>
      <c r="F15" s="211" t="str">
        <f>_xlfn.IFNA(INDEX(KP!$I:$I,MATCH(($B15&amp;"|"&amp;F$3),KP!$D:$D,0)),"")</f>
        <v/>
      </c>
      <c r="G15" s="88" t="str">
        <f>_xlfn.IFNA(INDEX(KP!$I:$I,MATCH(($B15&amp;"|"&amp;G$3),KP!$D:$D,0)),"")</f>
        <v/>
      </c>
      <c r="H15" s="88" t="str">
        <f>_xlfn.IFNA(INDEX(KP!$I:$I,MATCH(($B15&amp;"|"&amp;H$3),KP!$D:$D,0)),"")</f>
        <v/>
      </c>
      <c r="I15" s="88" t="str">
        <f>_xlfn.IFNA(INDEX(KP!$I:$I,MATCH(($B15&amp;"|"&amp;I$3),KP!$D:$D,0)),"")</f>
        <v/>
      </c>
      <c r="J15" s="88" t="str">
        <f>_xlfn.IFNA(INDEX(KP!$I:$I,MATCH(($B15&amp;"|"&amp;J$3),KP!$D:$D,0)),"")</f>
        <v/>
      </c>
      <c r="K15" s="96" cm="1">
        <f t="array" ref="K15">SUM(SUMIFS(PrEP!$L:$L,PrEP!$B:$B,$B15,PrEP!$C:$C,{"15-19","20-24","25-29","30-34","35-39","40-44","45-49","50+"},PrEP!$D:$D,"Female"))</f>
        <v>0</v>
      </c>
      <c r="L15" s="102" cm="1">
        <f t="array" ref="L15">SUM(SUMIFS(PrEP!$L:$L,PrEP!$B:$B,$B15,PrEP!$C:$C,{"15-19","20-24","25-29"},PrEP!$D:$D,"Female"))</f>
        <v>0</v>
      </c>
      <c r="M15" s="373" cm="1">
        <f t="array" ref="M15">SUM(SUMIFS(PrEP!$L:$L,PrEP!$B:$B,$B15,PrEP!$C:$C,{"15-19","20-24","25-29","30-34","35-39","40-44","45-49","50+"},PrEP!$D:$D,"Male"))</f>
        <v>0</v>
      </c>
      <c r="N15" s="211" t="str">
        <f>_xlfn.IFNA(INDEX(KP!$K:$K,MATCH(($B15&amp;"|"&amp;N$3),KP!$D:$D,0)),"")</f>
        <v/>
      </c>
      <c r="O15" s="88" t="str">
        <f>_xlfn.IFNA(INDEX(KP!$K:$K,MATCH(($B15&amp;"|"&amp;O$3),KP!$D:$D,0)),"")</f>
        <v/>
      </c>
      <c r="P15" s="88" t="str">
        <f>_xlfn.IFNA(INDEX(KP!$K:$K,MATCH(($B15&amp;"|"&amp;P$3),KP!$D:$D,0)),"")</f>
        <v/>
      </c>
      <c r="Q15" s="88" t="str">
        <f>_xlfn.IFNA(INDEX(KP!$K:$K,MATCH(($B15&amp;"|"&amp;Q$3),KP!$D:$D,0)),"")</f>
        <v/>
      </c>
      <c r="R15" s="88" t="str">
        <f>_xlfn.IFNA(INDEX(KP!$K:$K,MATCH(($B15&amp;"|"&amp;R$3),KP!$D:$D,0)),"")</f>
        <v/>
      </c>
      <c r="S15" s="96" cm="1">
        <f t="array" ref="S15">SUM(SUMIFS(Cascade!$BQ:$BQ,Cascade!$B:$B,$B15,Cascade!$C:$C,{"15-19","20-24","25-29","30-34","35-39","40-44","45-49","50-54","55-59","60-64","65+"},Cascade!$D:$D,"Female"))</f>
        <v>0</v>
      </c>
      <c r="T15" s="373" cm="1">
        <f t="array" ref="T15">SUM(SUMIFS(Cascade!$BQ:$BQ,Cascade!$B:$B,$B15,Cascade!$C:$C,{"15-19","20-24","25-29","30-34","35-39","40-44","45-49","50-54","55-59","60-64","65+"},Cascade!$D:$D,"Male"))</f>
        <v>0</v>
      </c>
      <c r="U15" s="211" t="str">
        <f>_xlfn.IFNA(INDEX(KP!$P:$P,MATCH(($B15&amp;"|"&amp;U$3),KP!$D:$D,0)),"")</f>
        <v/>
      </c>
      <c r="V15" s="88" t="str">
        <f>_xlfn.IFNA(INDEX(KP!$P:$P,MATCH(($B15&amp;"|"&amp;V$3),KP!$D:$D,0)),"")</f>
        <v/>
      </c>
      <c r="W15" s="88" t="str">
        <f>_xlfn.IFNA(INDEX(KP!$P:$P,MATCH(($B15&amp;"|"&amp;W$3),KP!$D:$D,0)),"")</f>
        <v/>
      </c>
      <c r="X15" s="88" t="str">
        <f>_xlfn.IFNA(INDEX(KP!$P:$P,MATCH(($B15&amp;"|"&amp;X$3),KP!$D:$D,0)),"")</f>
        <v/>
      </c>
      <c r="Y15" s="88" t="str">
        <f>_xlfn.IFNA(INDEX(KP!$P:$P,MATCH(($B15&amp;"|"&amp;Y$3),KP!$D:$D,0)),"")</f>
        <v/>
      </c>
      <c r="Z15" s="96" cm="1">
        <f t="array" ref="Z15">SUM(SUMIFS(Cascade!$BN:$BN,Cascade!$B:$B,$B15,Cascade!$C:$C,{"15-19","20-24","25-29","30-34","35-39","40-44","45-49","50-54","55-59","60-64","65+"},Cascade!$D:$D,"Female"))</f>
        <v>0</v>
      </c>
      <c r="AA15" s="373" cm="1">
        <f t="array" ref="AA15">SUM(SUMIFS(Cascade!$BN:$BN,Cascade!$B:$B,$B15,Cascade!$C:$C,{"15-19","20-24","25-29","30-34","35-39","40-44","45-49","50-54","55-59","60-64","65+"},Cascade!$D:$D,"Male"))</f>
        <v>0</v>
      </c>
      <c r="AB15" s="211" t="str">
        <f>_xlfn.IFNA(INDEX(KP!$V:$V,MATCH(($B15&amp;"|"&amp;AB$3),KP!$D:$D,0)),"")</f>
        <v/>
      </c>
      <c r="AC15" s="88" t="str">
        <f>_xlfn.IFNA(INDEX(KP!$V:$V,MATCH(($B15&amp;"|"&amp;AC$3),KP!$D:$D,0)),"")</f>
        <v/>
      </c>
      <c r="AD15" s="88" t="str">
        <f>_xlfn.IFNA(INDEX(KP!$V:$V,MATCH(($B15&amp;"|"&amp;AD$3),KP!$D:$D,0)),"")</f>
        <v/>
      </c>
      <c r="AE15" s="88" t="str">
        <f>_xlfn.IFNA(INDEX(KP!$V:$V,MATCH(($B15&amp;"|"&amp;AE$3),KP!$D:$D,0)),"")</f>
        <v/>
      </c>
      <c r="AF15" s="88" t="str">
        <f>_xlfn.IFNA(INDEX(KP!$V:$V,MATCH(($B15&amp;"|"&amp;AF$3),KP!$D:$D,0)),"")</f>
        <v/>
      </c>
      <c r="AG15" s="96" cm="1">
        <f t="array" ref="AG15">SUM(SUMIFS(Cascade!$AU:$AU,Cascade!$B:$B,$B15,Cascade!$C:$C,{"15-19","20-24","25-29","30-34","35-39","40-44","45-49","50-54","55-59","60-64","65+"},Cascade!$D:$D,"Female"))</f>
        <v>0</v>
      </c>
      <c r="AH15" s="373" cm="1">
        <f t="array" ref="AH15">SUM(SUMIFS(Cascade!$AU:$AU,Cascade!$B:$B,$B15,Cascade!$C:$C,{"15-19","20-24","25-29","30-34","35-39","40-44","45-49","50-54","55-59","60-64","65+"},Cascade!$D:$D,"Male"))</f>
        <v>0</v>
      </c>
      <c r="AI15" s="211" t="str">
        <f>_xlfn.IFNA(INDEX(KP!$Y:$Y,MATCH(($B15&amp;"|"&amp;AI$3),KP!$D:$D,0)),"")</f>
        <v/>
      </c>
      <c r="AJ15" s="88" t="str">
        <f>_xlfn.IFNA(INDEX(KP!$Y:$Y,MATCH(($B15&amp;"|"&amp;AJ$3),KP!$D:$D,0)),"")</f>
        <v/>
      </c>
      <c r="AK15" s="88" t="str">
        <f>_xlfn.IFNA(INDEX(KP!$Y:$Y,MATCH(($B15&amp;"|"&amp;AK$3),KP!$D:$D,0)),"")</f>
        <v/>
      </c>
      <c r="AL15" s="88" t="str">
        <f>_xlfn.IFNA(INDEX(KP!$Y:$Y,MATCH(($B15&amp;"|"&amp;AL$3),KP!$D:$D,0)),"")</f>
        <v/>
      </c>
      <c r="AM15" s="88" t="str">
        <f>_xlfn.IFNA(INDEX(KP!$Y:$Y,MATCH(($B15&amp;"|"&amp;AM$3),KP!$D:$D,0)),"")</f>
        <v/>
      </c>
      <c r="AN15" s="96" cm="1">
        <f t="array" ref="AN15">SUM(SUMIFS(Cascade!$AP:$AP,Cascade!$B:$B,$B15,Cascade!$C:$C,{"15-19","20-24","25-29","30-34","35-39","40-44","45-49","50-54","55-59","60-64","65+"},Cascade!$D:$D,"Female"))</f>
        <v>0</v>
      </c>
      <c r="AO15" s="373" cm="1">
        <f t="array" ref="AO15">SUM(SUMIFS(Cascade!$AP:$AP,Cascade!$B:$B,$B15,Cascade!$C:$C,{"15-19","20-24","25-29","30-34","35-39","40-44","45-49","50-54","55-59","60-64","65+"},Cascade!$D:$D,"Male"))</f>
        <v>0</v>
      </c>
      <c r="AP15" s="211" t="str">
        <f>_xlfn.IFNA(INDEX(KP!$AA:$AA,MATCH(($B15&amp;"|"&amp;AP$3),KP!$D:$D,0)),"")</f>
        <v/>
      </c>
      <c r="AQ15" s="88" t="str">
        <f>_xlfn.IFNA(INDEX(KP!$AA:$AA,MATCH(($B15&amp;"|"&amp;AQ$3),KP!$D:$D,0)),"")</f>
        <v/>
      </c>
      <c r="AR15" s="88" t="str">
        <f>_xlfn.IFNA(INDEX(KP!$AA:$AA,MATCH(($B15&amp;"|"&amp;AR$3),KP!$D:$D,0)),"")</f>
        <v/>
      </c>
      <c r="AS15" s="88" t="str">
        <f>_xlfn.IFNA(INDEX(KP!$AA:$AA,MATCH(($B15&amp;"|"&amp;AS$3),KP!$D:$D,0)),"")</f>
        <v/>
      </c>
      <c r="AT15" s="88" t="str">
        <f>_xlfn.IFNA(INDEX(KP!$AA:$AA,MATCH(($B15&amp;"|"&amp;AT$3),KP!$D:$D,0)),"")</f>
        <v/>
      </c>
      <c r="AU15" s="96" cm="1">
        <f t="array" ref="AU15">SUM(SUMIFS(HTS!$BP:$BP,HTS!$B:$B,$B15,HTS!$C:$C,{"15-19","20-24","25-29","30-34","35-39","40-44","45-49","50+"},HTS!$D:$D,"Female"))</f>
        <v>0</v>
      </c>
      <c r="AV15" s="373" cm="1">
        <f t="array" ref="AV15">SUM(SUMIFS(HTS!$BP:$BP,HTS!$B:$B,$B15,HTS!$C:$C,{"15-19","20-24","25-29","30-34","35-39","40-44","45-49","50+"},HTS!$D:$D,"Male"))</f>
        <v>0</v>
      </c>
      <c r="AW15" s="211" t="str">
        <f>_xlfn.IFNA(INDEX(KP!$AI:$AI,MATCH(($B15&amp;"|"&amp;AW$3),KP!$D:$D,0)),"")</f>
        <v/>
      </c>
      <c r="AX15" s="88" t="str">
        <f>_xlfn.IFNA(INDEX(KP!$AI:$AI,MATCH(($B15&amp;"|"&amp;AX$3),KP!$D:$D,0)),"")</f>
        <v/>
      </c>
      <c r="AY15" s="88" t="str">
        <f>_xlfn.IFNA(INDEX(KP!$AI:$AI,MATCH(($B15&amp;"|"&amp;AY$3),KP!$D:$D,0)),"")</f>
        <v/>
      </c>
      <c r="AZ15" s="88" t="str">
        <f>_xlfn.IFNA(INDEX(KP!$AI:$AI,MATCH(($B15&amp;"|"&amp;AZ$3),KP!$D:$D,0)),"")</f>
        <v/>
      </c>
      <c r="BA15" s="88" t="str">
        <f>_xlfn.IFNA(INDEX(KP!$AI:$AI,MATCH(($B15&amp;"|"&amp;BA$3),KP!$D:$D,0)),"")</f>
        <v/>
      </c>
      <c r="BB15" s="96" cm="1">
        <f t="array" ref="BB15">SUM(SUMIFS(HTS!$BX:$BX,HTS!$B:$B,$B15,HTS!$C:$C,{"15-19","20-24","25-29","30-34","35-39","40-44","45-49","50+"},HTS!$D:$D,"Female"))</f>
        <v>0</v>
      </c>
      <c r="BC15" s="373" cm="1">
        <f t="array" ref="BC15">SUM(SUMIFS(HTS!$BX:$BX,HTS!$B:$B,$B15,HTS!$C:$C,{"15-19","20-24","25-29","30-34","35-39","40-44","45-49","50+"},HTS!$D:$D,"Male"))</f>
        <v>0</v>
      </c>
      <c r="BD15" s="211" t="str">
        <f>_xlfn.IFNA(INDEX(KP!$AJ:$AJ,MATCH(($B15&amp;"|"&amp;BD$3),KP!$D:$D,0)),"")</f>
        <v/>
      </c>
      <c r="BE15" s="88" t="str">
        <f>_xlfn.IFNA(INDEX(KP!$AJ:$AJ,MATCH(($B15&amp;"|"&amp;BE$3),KP!$D:$D,0)),"")</f>
        <v/>
      </c>
      <c r="BF15" s="88" t="str">
        <f>_xlfn.IFNA(INDEX(KP!$AJ:$AJ,MATCH(($B15&amp;"|"&amp;BF$3),KP!$D:$D,0)),"")</f>
        <v/>
      </c>
      <c r="BG15" s="88" t="str">
        <f>_xlfn.IFNA(INDEX(KP!$AJ:$AJ,MATCH(($B15&amp;"|"&amp;BG$3),KP!$D:$D,0)),"")</f>
        <v/>
      </c>
      <c r="BH15" s="88" t="str">
        <f>_xlfn.IFNA(INDEX(KP!$AJ:$AJ,MATCH(($B15&amp;"|"&amp;BH$3),KP!$D:$D,0)),"")</f>
        <v/>
      </c>
      <c r="BI15" s="96" cm="1">
        <f t="array" ref="BI15">SUM(SUMIFS(HTS_RECENT!$AJ:$AJ,HTS_RECENT!$B:$B,$B15,HTS_RECENT!$C:$C,{"15-19","20-24","25-29","30-34","35-39","40-44","45-49","50+"},HTS_RECENT!$D:$D,"Female"))</f>
        <v>0</v>
      </c>
      <c r="BJ15" s="373" cm="1">
        <f t="array" ref="BJ15">SUM(SUMIFS(HTS_RECENT!$AJ:$AJ,HTS_RECENT!$B:$B,$B15,HTS_RECENT!$C:$C,{"15-19","20-24","25-29","30-34","35-39","40-44","45-49","50+"},HTS_RECENT!$D:$D,"Male"))</f>
        <v>0</v>
      </c>
      <c r="BK15" s="211" t="str">
        <f>_xlfn.IFNA(INDEX(KP!$AL:$AL,MATCH(($B15&amp;"|"&amp;BK$3),KP!$D:$D,0)),"")</f>
        <v/>
      </c>
      <c r="BL15" s="88" t="str">
        <f>_xlfn.IFNA(INDEX(KP!$AL:$AL,MATCH(($B15&amp;"|"&amp;BL$3),KP!$D:$D,0)),"")</f>
        <v/>
      </c>
      <c r="BM15" s="88" t="str">
        <f>_xlfn.IFNA(INDEX(KP!$AL:$AL,MATCH(($B15&amp;"|"&amp;BM$3),KP!$D:$D,0)),"")</f>
        <v/>
      </c>
      <c r="BN15" s="88" t="str">
        <f>_xlfn.IFNA(INDEX(KP!$AL:$AL,MATCH(($B15&amp;"|"&amp;BN$3),KP!$D:$D,0)),"")</f>
        <v/>
      </c>
      <c r="BO15" s="88" t="str">
        <f>_xlfn.IFNA(INDEX(KP!$AL:$AL,MATCH(($B15&amp;"|"&amp;BO$3),KP!$D:$D,0)),"")</f>
        <v/>
      </c>
      <c r="BP15" s="96" cm="1">
        <f t="array" ref="BP15">SUM(SUMIFS(HTS!$CC:$CC,HTS!$B:$B,$B15,HTS!$C:$C,{"15-19","20-24","25-29","30-34","35-39","40-44","45-49","50+"},HTS!$D:$D,"Female"))</f>
        <v>0</v>
      </c>
      <c r="BQ15" s="373" cm="1">
        <f t="array" ref="BQ15">SUM(SUMIFS(HTS!$CC:$CC,HTS!$B:$B,$B15,HTS!$C:$C,{"15-19","20-24","25-29","30-34","35-39","40-44","45-49","50+"},HTS!$D:$D,"Male"))</f>
        <v>0</v>
      </c>
      <c r="BR15" s="211" t="str">
        <f>_xlfn.IFNA(INDEX(KP!$AN:$AN,MATCH(($B15&amp;"|"&amp;BR$3),KP!$D:$D,0)),"")</f>
        <v/>
      </c>
      <c r="BS15" s="88" t="str">
        <f>_xlfn.IFNA(INDEX(KP!$AN:$AN,MATCH(($B15&amp;"|"&amp;BS$3),KP!$D:$D,0)),"")</f>
        <v/>
      </c>
      <c r="BT15" s="88" t="str">
        <f>_xlfn.IFNA(INDEX(KP!$AN:$AN,MATCH(($B15&amp;"|"&amp;BT$3),KP!$D:$D,0)),"")</f>
        <v/>
      </c>
      <c r="BU15" s="88" t="str">
        <f>_xlfn.IFNA(INDEX(KP!$AN:$AN,MATCH(($B15&amp;"|"&amp;BU$3),KP!$D:$D,0)),"")</f>
        <v/>
      </c>
      <c r="BV15" s="88" t="str">
        <f>_xlfn.IFNA(INDEX(KP!$AN:$AN,MATCH(($B15&amp;"|"&amp;BV$3),KP!$D:$D,0)),"")</f>
        <v/>
      </c>
    </row>
    <row r="16" spans="1:74" x14ac:dyDescent="0.2">
      <c r="A16" s="37"/>
      <c r="B16" s="37"/>
    </row>
    <row r="17" spans="1:2" x14ac:dyDescent="0.2">
      <c r="A17" s="37"/>
      <c r="B17" s="37"/>
    </row>
    <row r="18" spans="1:2" x14ac:dyDescent="0.2">
      <c r="A18" s="37"/>
      <c r="B18" s="37"/>
    </row>
    <row r="19" spans="1:2" x14ac:dyDescent="0.2">
      <c r="A19" s="37"/>
      <c r="B19" s="37"/>
    </row>
    <row r="20" spans="1:2" x14ac:dyDescent="0.2">
      <c r="A20" s="37"/>
      <c r="B20" s="37"/>
    </row>
    <row r="21" spans="1:2" x14ac:dyDescent="0.2">
      <c r="A21" s="37"/>
      <c r="B21" s="37"/>
    </row>
    <row r="22" spans="1:2" x14ac:dyDescent="0.2">
      <c r="A22" s="37"/>
      <c r="B22" s="37"/>
    </row>
    <row r="23" spans="1:2" x14ac:dyDescent="0.2">
      <c r="A23" s="37"/>
      <c r="B23" s="37"/>
    </row>
    <row r="24" spans="1:2" x14ac:dyDescent="0.2">
      <c r="A24" s="37"/>
      <c r="B24" s="37"/>
    </row>
    <row r="25" spans="1:2" x14ac:dyDescent="0.2">
      <c r="A25" s="37"/>
      <c r="B25" s="37"/>
    </row>
    <row r="26" spans="1:2" x14ac:dyDescent="0.2">
      <c r="A26" s="37"/>
      <c r="B26" s="37"/>
    </row>
    <row r="27" spans="1:2" x14ac:dyDescent="0.2">
      <c r="A27" s="37"/>
      <c r="B27" s="37"/>
    </row>
    <row r="28" spans="1:2" x14ac:dyDescent="0.2">
      <c r="A28" s="37"/>
      <c r="B28" s="37"/>
    </row>
    <row r="29" spans="1:2" x14ac:dyDescent="0.2">
      <c r="A29" s="37"/>
      <c r="B29" s="37"/>
    </row>
    <row r="30" spans="1:2" x14ac:dyDescent="0.2">
      <c r="A30" s="37"/>
      <c r="B30" s="37"/>
    </row>
    <row r="31" spans="1:2" x14ac:dyDescent="0.2">
      <c r="A31" s="37"/>
      <c r="B31" s="37"/>
    </row>
    <row r="32" spans="1:2" x14ac:dyDescent="0.2">
      <c r="A32" s="37"/>
      <c r="B32" s="37"/>
    </row>
    <row r="33" spans="1:2" x14ac:dyDescent="0.2">
      <c r="A33" s="37"/>
      <c r="B33" s="37"/>
    </row>
    <row r="34" spans="1:2" x14ac:dyDescent="0.2">
      <c r="A34" s="37"/>
      <c r="B34" s="37"/>
    </row>
    <row r="35" spans="1:2" x14ac:dyDescent="0.2">
      <c r="A35" s="37"/>
      <c r="B35" s="37"/>
    </row>
    <row r="36" spans="1:2" x14ac:dyDescent="0.2">
      <c r="A36" s="37"/>
      <c r="B36" s="37"/>
    </row>
    <row r="37" spans="1:2" x14ac:dyDescent="0.2">
      <c r="A37" s="37"/>
      <c r="B37" s="37"/>
    </row>
    <row r="38" spans="1:2" x14ac:dyDescent="0.2">
      <c r="A38" s="37"/>
      <c r="B38" s="37"/>
    </row>
    <row r="39" spans="1:2" x14ac:dyDescent="0.2">
      <c r="A39" s="37"/>
      <c r="B39" s="37"/>
    </row>
    <row r="40" spans="1:2" x14ac:dyDescent="0.2">
      <c r="A40" s="37"/>
      <c r="B40" s="37"/>
    </row>
    <row r="41" spans="1:2" x14ac:dyDescent="0.2">
      <c r="A41" s="37"/>
      <c r="B41" s="37"/>
    </row>
    <row r="42" spans="1:2" x14ac:dyDescent="0.2">
      <c r="A42" s="37"/>
      <c r="B42" s="37"/>
    </row>
    <row r="43" spans="1:2" x14ac:dyDescent="0.2">
      <c r="A43" s="37"/>
      <c r="B43" s="37"/>
    </row>
    <row r="44" spans="1:2" x14ac:dyDescent="0.2">
      <c r="A44" s="37"/>
      <c r="B44" s="37"/>
    </row>
    <row r="45" spans="1:2" x14ac:dyDescent="0.2">
      <c r="A45" s="37"/>
      <c r="B45" s="37"/>
    </row>
    <row r="46" spans="1:2" x14ac:dyDescent="0.2">
      <c r="A46" s="37"/>
      <c r="B46" s="37"/>
    </row>
    <row r="47" spans="1:2" x14ac:dyDescent="0.2">
      <c r="A47" s="37"/>
      <c r="B47" s="37"/>
    </row>
    <row r="48" spans="1:2" x14ac:dyDescent="0.2">
      <c r="A48" s="37"/>
      <c r="B48" s="37"/>
    </row>
    <row r="49" spans="1:2" x14ac:dyDescent="0.2">
      <c r="A49" s="37"/>
      <c r="B49" s="37"/>
    </row>
    <row r="50" spans="1:2" x14ac:dyDescent="0.2">
      <c r="A50" s="37"/>
      <c r="B50" s="37"/>
    </row>
    <row r="51" spans="1:2" x14ac:dyDescent="0.2">
      <c r="A51" s="37"/>
      <c r="B51" s="37"/>
    </row>
    <row r="52" spans="1:2" x14ac:dyDescent="0.2">
      <c r="A52" s="37"/>
      <c r="B52" s="37"/>
    </row>
    <row r="53" spans="1:2" x14ac:dyDescent="0.2">
      <c r="A53" s="37"/>
      <c r="B53" s="37"/>
    </row>
    <row r="54" spans="1:2" x14ac:dyDescent="0.2">
      <c r="A54" s="37"/>
      <c r="B54" s="37"/>
    </row>
    <row r="55" spans="1:2" x14ac:dyDescent="0.2">
      <c r="A55" s="37"/>
      <c r="B55" s="37"/>
    </row>
    <row r="56" spans="1:2" x14ac:dyDescent="0.2">
      <c r="A56" s="37"/>
      <c r="B56" s="37"/>
    </row>
    <row r="57" spans="1:2" x14ac:dyDescent="0.2">
      <c r="A57" s="37"/>
      <c r="B57" s="37"/>
    </row>
    <row r="58" spans="1:2" x14ac:dyDescent="0.2">
      <c r="A58" s="37"/>
      <c r="B58" s="37"/>
    </row>
    <row r="59" spans="1:2" x14ac:dyDescent="0.2">
      <c r="A59" s="37"/>
      <c r="B59" s="37"/>
    </row>
    <row r="60" spans="1:2" x14ac:dyDescent="0.2">
      <c r="A60" s="37"/>
      <c r="B60" s="37"/>
    </row>
    <row r="61" spans="1:2" x14ac:dyDescent="0.2">
      <c r="A61" s="37"/>
      <c r="B61" s="37"/>
    </row>
    <row r="62" spans="1:2" x14ac:dyDescent="0.2">
      <c r="A62" s="37"/>
      <c r="B62" s="37"/>
    </row>
    <row r="63" spans="1:2" x14ac:dyDescent="0.2">
      <c r="A63" s="37"/>
      <c r="B63" s="37"/>
    </row>
  </sheetData>
  <mergeCells count="1">
    <mergeCell ref="A2:B3"/>
  </mergeCells>
  <conditionalFormatting sqref="S1:S1048576 U1:U1048576">
    <cfRule type="expression" dxfId="95" priority="10">
      <formula>AND(ROW($U1)&gt;14,SUM($U1)&gt;$S1)</formula>
    </cfRule>
  </conditionalFormatting>
  <conditionalFormatting sqref="T1:T1048576 V1:V1048576">
    <cfRule type="expression" dxfId="94" priority="9">
      <formula>AND(ROW($V1)&gt;14,SUM($V1)&gt;$T1)</formula>
    </cfRule>
  </conditionalFormatting>
  <conditionalFormatting sqref="S1:T1048576 W1:Y1048576">
    <cfRule type="expression" dxfId="93" priority="12">
      <formula>(($S1-$U1)+($T1-$V1))&lt;SUM($W1:$Y1)</formula>
    </cfRule>
  </conditionalFormatting>
  <conditionalFormatting sqref="Z1:Z1048576 AB1:AB1048576">
    <cfRule type="expression" dxfId="92" priority="13">
      <formula>AND(ROW($AB1)&gt;14,SUM($AB1)&gt;$Z1)</formula>
    </cfRule>
  </conditionalFormatting>
  <conditionalFormatting sqref="AA1:AA1048576 AC1:AC1048576">
    <cfRule type="expression" dxfId="91" priority="14">
      <formula>AND(ROW($AC1)&gt;14,SUM($AC1)&gt;$AA1)</formula>
    </cfRule>
  </conditionalFormatting>
  <conditionalFormatting sqref="Z1:AA1048576 AD1:AF1048576">
    <cfRule type="expression" dxfId="90" priority="16">
      <formula>(($Z1-$AB1)+($AA1-$AC1))&lt;SUM($AD1:$AF1)</formula>
    </cfRule>
  </conditionalFormatting>
  <conditionalFormatting sqref="AG1:AG1048576 AI1:AI1048576">
    <cfRule type="expression" dxfId="89" priority="17">
      <formula>AND(ROW($AI1)&gt;14,SUM($AI1)&gt;$AG1)</formula>
    </cfRule>
  </conditionalFormatting>
  <conditionalFormatting sqref="AH1:AH1048576 AJ1:AJ1048576">
    <cfRule type="expression" dxfId="88" priority="18">
      <formula>AND(ROW($AJ1)&gt;14,SUM($AJ1)&gt;$AH1)</formula>
    </cfRule>
  </conditionalFormatting>
  <conditionalFormatting sqref="AG1:AH1048576 AK1:AM1048576">
    <cfRule type="expression" dxfId="87" priority="20">
      <formula>(($AG1-$AI1)+($AH1-$AJ1))&lt;SUM($AK1:$AM1)</formula>
    </cfRule>
  </conditionalFormatting>
  <conditionalFormatting sqref="AN1:AN1048576 AP1:AP1048576">
    <cfRule type="expression" dxfId="86" priority="21">
      <formula>AND(ROW($AP1)&gt;14,SUM($AP1)&gt;$AN1)</formula>
    </cfRule>
  </conditionalFormatting>
  <conditionalFormatting sqref="AO1:AO1048576 AQ1:AQ1048576">
    <cfRule type="expression" dxfId="85" priority="22">
      <formula>AND(ROW($AQ1)&gt;14,SUM($AQ1)&gt;$AO1)</formula>
    </cfRule>
  </conditionalFormatting>
  <conditionalFormatting sqref="AN1:AO1048576 AR1:AT1048576">
    <cfRule type="expression" dxfId="84" priority="24">
      <formula>(($AN1-$AP1)+($AO1-$AQ1))&lt;SUM($AR1:$AT1)</formula>
    </cfRule>
  </conditionalFormatting>
  <conditionalFormatting sqref="AU1:AU1048576 AW1:AW1048576">
    <cfRule type="expression" dxfId="83" priority="25">
      <formula>AND(ROW($AW1)&gt;14,SUM($AW1)&gt;$AU1)</formula>
    </cfRule>
  </conditionalFormatting>
  <conditionalFormatting sqref="AV1:AV1048576 AX1:AX1048576">
    <cfRule type="expression" dxfId="82" priority="26">
      <formula>AND(ROW($AX1)&gt;14,SUM($AX1)&gt;$AV1)</formula>
    </cfRule>
  </conditionalFormatting>
  <conditionalFormatting sqref="AU1:AV1048576 AY1:BA1048576">
    <cfRule type="expression" dxfId="81" priority="28">
      <formula>(($AU1-$AW1)+($AV1-$AX1))&lt;SUM($AY1:$BA1)</formula>
    </cfRule>
  </conditionalFormatting>
  <conditionalFormatting sqref="BB1:BB1048576 BD1:BD1048576">
    <cfRule type="expression" dxfId="80" priority="29">
      <formula>AND(ROW($BD1)&gt;14,SUM($BD1)&gt;$BB1)</formula>
    </cfRule>
  </conditionalFormatting>
  <conditionalFormatting sqref="BC1:BC1048576 BE1:BE1048576">
    <cfRule type="expression" dxfId="79" priority="30">
      <formula>AND(ROW($BE1)&gt;14,SUM($BE1)&gt;$BC1)</formula>
    </cfRule>
  </conditionalFormatting>
  <conditionalFormatting sqref="BB1:BC1048576 BF1:BH1048576">
    <cfRule type="expression" dxfId="78" priority="32">
      <formula>(($BB1-$BD1)+($BC1-$BE1))&lt;SUM($BF1:$BH1)</formula>
    </cfRule>
  </conditionalFormatting>
  <conditionalFormatting sqref="BI1:BI1048576 BK1:BK1048576">
    <cfRule type="expression" dxfId="77" priority="33">
      <formula>AND(ROW($BK1)&gt;14,SUM($BK1)&gt;$BI1)</formula>
    </cfRule>
  </conditionalFormatting>
  <conditionalFormatting sqref="BL1:BL1048576 BJ1:BJ1048576">
    <cfRule type="expression" dxfId="76" priority="34">
      <formula>AND(ROW($BL1)&gt;14,SUM($BL1)&gt;$BJ1)</formula>
    </cfRule>
  </conditionalFormatting>
  <conditionalFormatting sqref="BI1:BJ1048576 BM1:BO1048576">
    <cfRule type="expression" dxfId="75" priority="36">
      <formula>(($BI1-$BK1)+($BJ1-$BL1))&lt;SUM($BM1:$BO1)</formula>
    </cfRule>
  </conditionalFormatting>
  <conditionalFormatting sqref="BP1:BP1048576 BR1:BR1048576">
    <cfRule type="expression" dxfId="74" priority="45">
      <formula>AND(ROW($BR1)&gt;14,SUM($BR1)&gt;$BP1)</formula>
    </cfRule>
  </conditionalFormatting>
  <conditionalFormatting sqref="BQ1:BQ1048576 BS1:BS1048576">
    <cfRule type="expression" dxfId="73" priority="1135">
      <formula>AND(ROW($BS1)&gt;14,SUM($BS1)&gt;$BQ1)</formula>
    </cfRule>
  </conditionalFormatting>
  <conditionalFormatting sqref="BP1:BQ1048576 BT1:BV1048576">
    <cfRule type="expression" dxfId="72" priority="1136">
      <formula>(($BP1-$BR1)+($BQ1-$BS1))&lt;SUM($BT1:$BV1)</formula>
    </cfRule>
  </conditionalFormatting>
  <conditionalFormatting sqref="C1:D1048576 F1:F1048576">
    <cfRule type="expression" dxfId="71" priority="2">
      <formula>AND(ISNUMBER($F1),SUM($F1)&gt;$C1)</formula>
    </cfRule>
  </conditionalFormatting>
  <conditionalFormatting sqref="G1:G1048576 E1:E1048576">
    <cfRule type="expression" dxfId="70" priority="1">
      <formula>AND(ISNUMBER($G1),SUM($G1)&gt;$E1)</formula>
    </cfRule>
  </conditionalFormatting>
  <conditionalFormatting sqref="H1:J1048576 C1:E1048576">
    <cfRule type="expression" dxfId="69" priority="4">
      <formula>(($C1-$F1)+($E1-$G1))&lt;SUM($H1:$J1)</formula>
    </cfRule>
  </conditionalFormatting>
  <conditionalFormatting sqref="K1:L1048576 N1:N1048576">
    <cfRule type="expression" dxfId="68" priority="6">
      <formula>AND(ROW($N1)&gt;14,SUM($N1)&gt;$K1)</formula>
    </cfRule>
  </conditionalFormatting>
  <conditionalFormatting sqref="M1:M1048576 O1:O1048576">
    <cfRule type="expression" dxfId="67" priority="5">
      <formula>AND(ROW($O1)&gt;14,SUM($O1)&gt;$M1)</formula>
    </cfRule>
  </conditionalFormatting>
  <conditionalFormatting sqref="K1:M1048576 P1:R1048576">
    <cfRule type="expression" dxfId="66"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Q:BQ" display="Female, 15+ (FY23)" xr:uid="{37FA98D1-33BD-A444-97A0-A68B9AD4B59C}"/>
    <hyperlink ref="Z3" location="Cascade!BN:BN" display="Female, 15+ (FY23)" xr:uid="{C166170E-FAD7-8C4B-9B92-D03B73B0F353}"/>
    <hyperlink ref="AB3" location="KP!V:V" display="FSW" xr:uid="{AE125712-464A-CE49-8AE4-D446A32C3C4E}"/>
    <hyperlink ref="BR3:BV3" location="KP!AN:AN" display="FSW" xr:uid="{1B8C1FEC-5D47-C34B-95DE-D53DDC509080}"/>
    <hyperlink ref="T3" location="Cascade!BQ:BQ" display="Male, 15+ (FY23)" xr:uid="{F06DCFDA-0A19-634D-97ED-8F6C547DE634}"/>
    <hyperlink ref="AA3" location="Cascade!BN:BN" display="Male, 15+ (FY23)" xr:uid="{7BD444EF-467E-E94B-9D2F-3DA8EC805AEF}"/>
    <hyperlink ref="AG3" location="Cascade!AU:AU" display="Female, 15+ (FY23)" xr:uid="{6BC9F814-6722-5248-9E75-12AE0093D6EA}"/>
    <hyperlink ref="AH3" location="Cascade!AU:AU" display="Male, 15+ (FY23)" xr:uid="{194C7A63-C228-0941-B91F-DE816D723BEE}"/>
    <hyperlink ref="AN3" location="Cascade!AP:AP" display="Female, 15+ (FY23)" xr:uid="{453F390E-49DF-3343-B441-35D881A719FE}"/>
    <hyperlink ref="AO3" location="Cascade!AP:AP" display="Male, 15+ (FY23)" xr:uid="{478BF3D1-075E-0145-8D8D-5CFAEE85DAB3}"/>
  </hyperlinks>
  <pageMargins left="0.7" right="0.7" top="0.75" bottom="0.75" header="0.3" footer="0.3"/>
  <pageSetup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A14" sqref="A14"/>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258" customWidth="1"/>
    <col min="8" max="8" width="12.83203125" style="483" customWidth="1"/>
    <col min="9" max="9" width="6.1640625" style="257"/>
    <col min="10" max="82" width="6.1640625" style="257" customWidth="1"/>
    <col min="83" max="83" width="6.1640625" style="482" customWidth="1"/>
    <col min="84" max="86" width="11.83203125" customWidth="1"/>
    <col min="87" max="87" width="14.83203125" customWidth="1"/>
    <col min="88" max="88" width="11.83203125" style="483" customWidth="1"/>
    <col min="89" max="92" width="11.83203125" customWidth="1"/>
    <col min="93" max="93" width="14.83203125" customWidth="1"/>
    <col min="94" max="94" width="11.83203125" style="483" customWidth="1"/>
    <col min="95" max="98" width="11.83203125" customWidth="1"/>
    <col min="99" max="99" width="14.83203125" customWidth="1"/>
    <col min="100" max="100" width="11.83203125" style="483" customWidth="1"/>
    <col min="101" max="175" width="8.83203125" customWidth="1"/>
  </cols>
  <sheetData>
    <row r="1" spans="1:175" ht="31" customHeight="1" x14ac:dyDescent="0.2">
      <c r="A1" s="167" t="s">
        <v>1193</v>
      </c>
      <c r="B1" s="167"/>
      <c r="C1" s="423"/>
      <c r="D1" s="423"/>
      <c r="E1" s="423"/>
      <c r="F1" s="416"/>
      <c r="G1" s="424"/>
      <c r="H1" s="425"/>
      <c r="I1" s="426" t="s">
        <v>1194</v>
      </c>
      <c r="J1" s="426"/>
      <c r="K1" s="426"/>
      <c r="L1" s="426"/>
      <c r="M1" s="426"/>
      <c r="N1" s="426"/>
      <c r="O1" s="426"/>
      <c r="P1" s="426"/>
      <c r="Q1" s="426"/>
      <c r="R1" s="426"/>
      <c r="S1" s="426"/>
      <c r="T1" s="426"/>
      <c r="U1" s="426"/>
      <c r="V1" s="426"/>
      <c r="W1" s="426"/>
      <c r="X1" s="426"/>
      <c r="Y1" s="426"/>
      <c r="Z1" s="426"/>
      <c r="AA1" s="426"/>
      <c r="AB1" s="426"/>
      <c r="AC1" s="426"/>
      <c r="AD1" s="426"/>
      <c r="AE1" s="426"/>
      <c r="AF1" s="426"/>
      <c r="AG1" s="426"/>
      <c r="AH1" s="426"/>
      <c r="AI1" s="426"/>
      <c r="AJ1" s="426"/>
      <c r="AK1" s="426"/>
      <c r="AL1" s="426"/>
      <c r="AM1" s="426"/>
      <c r="AN1" s="426"/>
      <c r="AO1" s="426"/>
      <c r="AP1" s="426"/>
      <c r="AQ1" s="426"/>
      <c r="AR1" s="426"/>
      <c r="AS1" s="426"/>
      <c r="AT1" s="426"/>
      <c r="AU1" s="426"/>
      <c r="AV1" s="426"/>
      <c r="AW1" s="426"/>
      <c r="AX1" s="426"/>
      <c r="AY1" s="426"/>
      <c r="AZ1" s="426"/>
      <c r="BA1" s="426"/>
      <c r="BB1" s="426"/>
      <c r="BC1" s="426"/>
      <c r="BD1" s="426"/>
      <c r="BE1" s="426"/>
      <c r="BF1" s="426"/>
      <c r="BG1" s="426"/>
      <c r="BH1" s="426"/>
      <c r="BI1" s="426"/>
      <c r="BJ1" s="426"/>
      <c r="BK1" s="426"/>
      <c r="BL1" s="426"/>
      <c r="BM1" s="426"/>
      <c r="BN1" s="426"/>
      <c r="BO1" s="426"/>
      <c r="BP1" s="426"/>
      <c r="BQ1" s="426"/>
      <c r="BR1" s="426"/>
      <c r="BS1" s="426"/>
      <c r="BT1" s="426"/>
      <c r="BU1" s="426"/>
      <c r="BV1" s="426"/>
      <c r="BW1" s="426"/>
      <c r="BX1" s="426"/>
      <c r="BY1" s="426"/>
      <c r="BZ1" s="426"/>
      <c r="CA1" s="426"/>
      <c r="CB1" s="426"/>
      <c r="CC1" s="426"/>
      <c r="CD1" s="426"/>
      <c r="CE1" s="427"/>
      <c r="CF1" s="98" t="s">
        <v>1195</v>
      </c>
      <c r="CG1" s="98"/>
      <c r="CH1" s="428"/>
      <c r="CI1" s="426"/>
      <c r="CJ1" s="429"/>
      <c r="CK1" s="98"/>
      <c r="CL1" s="98"/>
      <c r="CM1" s="98"/>
      <c r="CN1" s="428"/>
      <c r="CO1" s="426"/>
      <c r="CP1" s="429"/>
      <c r="CQ1" s="98"/>
      <c r="CR1" s="98"/>
      <c r="CS1" s="98"/>
      <c r="CT1" s="428"/>
      <c r="CU1" s="426"/>
      <c r="CV1" s="429"/>
      <c r="CW1" s="98" t="s">
        <v>1196</v>
      </c>
      <c r="CX1" s="98"/>
      <c r="CY1" s="98"/>
      <c r="CZ1" s="98"/>
      <c r="DA1" s="98"/>
      <c r="DB1" s="98"/>
      <c r="DC1" s="98"/>
      <c r="DD1" s="98"/>
      <c r="DE1" s="98"/>
      <c r="DF1" s="98"/>
      <c r="DG1" s="98"/>
      <c r="DH1" s="98"/>
      <c r="DI1" s="98"/>
      <c r="DJ1" s="98"/>
      <c r="DK1" s="98"/>
      <c r="DL1" s="98"/>
      <c r="DM1" s="98"/>
      <c r="DN1" s="98"/>
      <c r="DO1" s="98"/>
      <c r="DP1" s="98"/>
      <c r="DQ1" s="98"/>
      <c r="DR1" s="98"/>
      <c r="DS1" s="98"/>
      <c r="DT1" s="98"/>
      <c r="DU1" s="98"/>
      <c r="DV1" s="98"/>
      <c r="DW1" s="98"/>
      <c r="DX1" s="98"/>
      <c r="DY1" s="98"/>
      <c r="DZ1" s="98"/>
      <c r="EA1" s="98"/>
      <c r="EB1" s="98"/>
      <c r="EC1" s="98"/>
      <c r="ED1" s="98"/>
      <c r="EE1" s="98"/>
      <c r="EF1" s="98"/>
      <c r="EG1" s="98"/>
      <c r="EH1" s="98"/>
      <c r="EI1" s="98"/>
      <c r="EJ1" s="98"/>
      <c r="EK1" s="98"/>
      <c r="EL1" s="98"/>
      <c r="EM1" s="98"/>
      <c r="EN1" s="98"/>
      <c r="EO1" s="98"/>
      <c r="EP1" s="98"/>
      <c r="EQ1" s="98"/>
      <c r="ER1" s="98"/>
      <c r="ES1" s="98"/>
      <c r="ET1" s="98"/>
      <c r="EU1" s="98"/>
      <c r="EV1" s="98"/>
      <c r="EW1" s="98"/>
      <c r="EX1" s="98"/>
      <c r="EY1" s="98"/>
      <c r="EZ1" s="98"/>
      <c r="FA1" s="98"/>
      <c r="FB1" s="98"/>
      <c r="FC1" s="98"/>
      <c r="FD1" s="98"/>
      <c r="FE1" s="98"/>
      <c r="FF1" s="98"/>
      <c r="FG1" s="98"/>
      <c r="FH1" s="98"/>
      <c r="FI1" s="98"/>
      <c r="FJ1" s="98"/>
      <c r="FK1" s="98"/>
      <c r="FL1" s="98"/>
      <c r="FM1" s="98"/>
      <c r="FN1" s="98"/>
      <c r="FO1" s="98"/>
      <c r="FP1" s="98"/>
      <c r="FQ1" s="98"/>
      <c r="FR1" s="98"/>
      <c r="FS1" s="98"/>
    </row>
    <row r="2" spans="1:175" ht="20" thickBot="1" x14ac:dyDescent="0.3">
      <c r="A2" s="7"/>
      <c r="B2" s="7"/>
      <c r="C2" s="430"/>
      <c r="D2" s="430"/>
      <c r="E2" s="430"/>
      <c r="F2" s="431"/>
      <c r="G2" s="166" t="s">
        <v>73</v>
      </c>
      <c r="H2" s="432"/>
      <c r="I2" s="433" t="s">
        <v>1197</v>
      </c>
      <c r="J2" s="433"/>
      <c r="K2" s="433"/>
      <c r="L2" s="433"/>
      <c r="M2" s="433"/>
      <c r="N2" s="433"/>
      <c r="O2" s="433"/>
      <c r="P2" s="433"/>
      <c r="Q2" s="433"/>
      <c r="R2" s="433"/>
      <c r="S2" s="433"/>
      <c r="T2" s="433"/>
      <c r="U2" s="433"/>
      <c r="V2" s="433"/>
      <c r="W2" s="433"/>
      <c r="X2" s="433"/>
      <c r="Y2" s="433"/>
      <c r="Z2" s="433"/>
      <c r="AA2" s="433"/>
      <c r="AB2" s="433"/>
      <c r="AC2" s="433"/>
      <c r="AD2" s="433"/>
      <c r="AE2" s="433"/>
      <c r="AF2" s="433"/>
      <c r="AG2" s="433"/>
      <c r="AH2" s="433"/>
      <c r="AI2" s="433"/>
      <c r="AJ2" s="433"/>
      <c r="AK2" s="433"/>
      <c r="AL2" s="433"/>
      <c r="AM2" s="433"/>
      <c r="AN2" s="433"/>
      <c r="AO2" s="433"/>
      <c r="AP2" s="433"/>
      <c r="AQ2" s="433"/>
      <c r="AR2" s="433"/>
      <c r="AS2" s="433"/>
      <c r="AT2" s="433"/>
      <c r="AU2" s="433"/>
      <c r="AV2" s="433"/>
      <c r="AW2" s="433"/>
      <c r="AX2" s="433"/>
      <c r="AY2" s="433"/>
      <c r="AZ2" s="433"/>
      <c r="BA2" s="433"/>
      <c r="BB2" s="433"/>
      <c r="BC2" s="433"/>
      <c r="BD2" s="433"/>
      <c r="BE2" s="433"/>
      <c r="BF2" s="433"/>
      <c r="BG2" s="433"/>
      <c r="BH2" s="433"/>
      <c r="BI2" s="433"/>
      <c r="BJ2" s="433"/>
      <c r="BK2" s="433"/>
      <c r="BL2" s="433"/>
      <c r="BM2" s="433"/>
      <c r="BN2" s="433"/>
      <c r="BO2" s="433"/>
      <c r="BP2" s="433"/>
      <c r="BQ2" s="433"/>
      <c r="BR2" s="433"/>
      <c r="BS2" s="433"/>
      <c r="BT2" s="433"/>
      <c r="BU2" s="433"/>
      <c r="BV2" s="433"/>
      <c r="BW2" s="433"/>
      <c r="BX2" s="433"/>
      <c r="BY2" s="433"/>
      <c r="BZ2" s="433"/>
      <c r="CA2" s="433"/>
      <c r="CB2" s="433"/>
      <c r="CC2" s="433"/>
      <c r="CD2" s="433"/>
      <c r="CE2" s="434"/>
      <c r="CF2" s="99" t="s">
        <v>1198</v>
      </c>
      <c r="CG2" s="99"/>
      <c r="CH2" s="435"/>
      <c r="CI2" s="433"/>
      <c r="CJ2" s="436"/>
      <c r="CK2" s="99" t="s">
        <v>1199</v>
      </c>
      <c r="CL2" s="99"/>
      <c r="CM2" s="99"/>
      <c r="CN2" s="435"/>
      <c r="CO2" s="433"/>
      <c r="CP2" s="436"/>
      <c r="CQ2" s="99" t="s">
        <v>1200</v>
      </c>
      <c r="CR2" s="99"/>
      <c r="CS2" s="99"/>
      <c r="CT2" s="435"/>
      <c r="CU2" s="433"/>
      <c r="CV2" s="436"/>
      <c r="CW2" s="57" t="s">
        <v>1201</v>
      </c>
      <c r="CX2" s="57"/>
      <c r="CY2" s="57"/>
      <c r="CZ2" s="57"/>
      <c r="DA2" s="57"/>
      <c r="DB2" s="57"/>
      <c r="DC2" s="57"/>
      <c r="DD2" s="57"/>
      <c r="DE2" s="57"/>
      <c r="DF2" s="57"/>
      <c r="DG2" s="57"/>
      <c r="DH2" s="57"/>
      <c r="DI2" s="57"/>
      <c r="DJ2" s="57"/>
      <c r="DK2" s="57"/>
      <c r="DL2" s="57"/>
      <c r="DM2" s="57"/>
      <c r="DN2" s="57"/>
      <c r="DO2" s="57"/>
      <c r="DP2" s="57"/>
      <c r="DQ2" s="57"/>
      <c r="DR2" s="57"/>
      <c r="DS2" s="57"/>
      <c r="DT2" s="57"/>
      <c r="DU2" s="57"/>
      <c r="DV2" s="57"/>
      <c r="DW2" s="57"/>
      <c r="DX2" s="57"/>
      <c r="DY2" s="57"/>
      <c r="DZ2" s="57"/>
      <c r="EA2" s="57"/>
      <c r="EB2" s="57"/>
      <c r="EC2" s="57"/>
      <c r="ED2" s="57"/>
      <c r="EE2" s="57"/>
      <c r="EF2" s="57"/>
      <c r="EG2" s="57"/>
      <c r="EH2" s="57"/>
      <c r="EI2" s="57"/>
      <c r="EJ2" s="57"/>
      <c r="EK2" s="57"/>
      <c r="EL2" s="57"/>
      <c r="EM2" s="57"/>
      <c r="EN2" s="57"/>
      <c r="EO2" s="57"/>
      <c r="EP2" s="57"/>
      <c r="EQ2" s="57"/>
      <c r="ER2" s="57"/>
      <c r="ES2" s="57"/>
      <c r="ET2" s="57"/>
      <c r="EU2" s="57"/>
      <c r="EV2" s="57"/>
      <c r="EW2" s="57"/>
      <c r="EX2" s="57"/>
      <c r="EY2" s="57"/>
      <c r="EZ2" s="57"/>
      <c r="FA2" s="57"/>
      <c r="FB2" s="57"/>
      <c r="FC2" s="57"/>
      <c r="FD2" s="57"/>
      <c r="FE2" s="57"/>
      <c r="FF2" s="57"/>
      <c r="FG2" s="57"/>
      <c r="FH2" s="57"/>
      <c r="FI2" s="57"/>
      <c r="FJ2" s="57"/>
      <c r="FK2" s="57"/>
      <c r="FL2" s="57"/>
      <c r="FM2" s="57"/>
      <c r="FN2" s="57"/>
      <c r="FO2" s="57"/>
      <c r="FP2" s="57"/>
      <c r="FQ2" s="57"/>
      <c r="FR2" s="57"/>
      <c r="FS2" s="57"/>
    </row>
    <row r="3" spans="1:175" ht="118" customHeight="1" thickBot="1" x14ac:dyDescent="0.3">
      <c r="A3" s="491" t="s">
        <v>1202</v>
      </c>
      <c r="B3" s="492"/>
      <c r="C3" s="430"/>
      <c r="D3" s="430"/>
      <c r="E3" s="430"/>
      <c r="F3" s="431"/>
      <c r="G3" s="437"/>
      <c r="H3" s="432"/>
      <c r="I3" s="433"/>
      <c r="J3" s="433"/>
      <c r="K3" s="433"/>
      <c r="L3" s="433"/>
      <c r="M3" s="433"/>
      <c r="N3" s="433"/>
      <c r="O3" s="433"/>
      <c r="P3" s="433"/>
      <c r="Q3" s="433"/>
      <c r="R3" s="433"/>
      <c r="S3" s="433"/>
      <c r="T3" s="433"/>
      <c r="U3" s="433"/>
      <c r="V3" s="433"/>
      <c r="W3" s="433"/>
      <c r="X3" s="433"/>
      <c r="Y3" s="433"/>
      <c r="Z3" s="433"/>
      <c r="AA3" s="433"/>
      <c r="AB3" s="433"/>
      <c r="AC3" s="433"/>
      <c r="AD3" s="433"/>
      <c r="AE3" s="433"/>
      <c r="AF3" s="433"/>
      <c r="AG3" s="433"/>
      <c r="AH3" s="433"/>
      <c r="AI3" s="433"/>
      <c r="AJ3" s="433"/>
      <c r="AK3" s="433"/>
      <c r="AL3" s="433"/>
      <c r="AM3" s="433"/>
      <c r="AN3" s="433"/>
      <c r="AO3" s="433"/>
      <c r="AP3" s="433"/>
      <c r="AQ3" s="433"/>
      <c r="AR3" s="433"/>
      <c r="AS3" s="433"/>
      <c r="AT3" s="433"/>
      <c r="AU3" s="433"/>
      <c r="AV3" s="433"/>
      <c r="AW3" s="433"/>
      <c r="AX3" s="433"/>
      <c r="AY3" s="433"/>
      <c r="AZ3" s="433"/>
      <c r="BA3" s="433"/>
      <c r="BB3" s="433"/>
      <c r="BC3" s="433"/>
      <c r="BD3" s="433"/>
      <c r="BE3" s="433"/>
      <c r="BF3" s="433"/>
      <c r="BG3" s="433"/>
      <c r="BH3" s="433"/>
      <c r="BI3" s="433"/>
      <c r="BJ3" s="433"/>
      <c r="BK3" s="433"/>
      <c r="BL3" s="433"/>
      <c r="BM3" s="433"/>
      <c r="BN3" s="433"/>
      <c r="BO3" s="433"/>
      <c r="BP3" s="433"/>
      <c r="BQ3" s="433"/>
      <c r="BR3" s="433"/>
      <c r="BS3" s="433"/>
      <c r="BT3" s="433"/>
      <c r="BU3" s="433"/>
      <c r="BV3" s="433"/>
      <c r="BW3" s="433"/>
      <c r="BX3" s="433"/>
      <c r="BY3" s="433"/>
      <c r="BZ3" s="433"/>
      <c r="CA3" s="433"/>
      <c r="CB3" s="433"/>
      <c r="CC3" s="433"/>
      <c r="CD3" s="433"/>
      <c r="CE3" s="434"/>
      <c r="CF3" s="99"/>
      <c r="CG3" s="99"/>
      <c r="CH3" s="438" t="s">
        <v>1203</v>
      </c>
      <c r="CI3" s="439" t="s">
        <v>1204</v>
      </c>
      <c r="CJ3" s="436"/>
      <c r="CK3" s="99"/>
      <c r="CL3" s="99"/>
      <c r="CM3" s="99"/>
      <c r="CN3" s="438" t="s">
        <v>1203</v>
      </c>
      <c r="CO3" s="439" t="s">
        <v>1204</v>
      </c>
      <c r="CP3" s="436"/>
      <c r="CQ3" s="99"/>
      <c r="CR3" s="99"/>
      <c r="CS3" s="99"/>
      <c r="CT3" s="438" t="s">
        <v>1203</v>
      </c>
      <c r="CU3" s="439" t="s">
        <v>1204</v>
      </c>
      <c r="CV3" s="436"/>
      <c r="CW3" s="57"/>
      <c r="CX3" s="57"/>
      <c r="CY3" s="57"/>
      <c r="CZ3" s="57"/>
      <c r="DA3" s="57"/>
      <c r="DB3" s="57"/>
      <c r="DC3" s="57"/>
      <c r="DD3" s="57"/>
      <c r="DE3" s="57"/>
      <c r="DF3" s="57"/>
      <c r="DG3" s="57"/>
      <c r="DH3" s="57"/>
      <c r="DI3" s="57"/>
      <c r="DJ3" s="57"/>
      <c r="DK3" s="57"/>
      <c r="DL3" s="57"/>
      <c r="DM3" s="57"/>
      <c r="DN3" s="57"/>
      <c r="DO3" s="57"/>
      <c r="DP3" s="57"/>
      <c r="DQ3" s="57"/>
      <c r="DR3" s="57"/>
      <c r="DS3" s="57"/>
      <c r="DT3" s="57"/>
      <c r="DU3" s="57"/>
      <c r="DV3" s="57"/>
      <c r="DW3" s="57"/>
      <c r="DX3" s="57"/>
      <c r="DY3" s="57"/>
      <c r="DZ3" s="57"/>
      <c r="EA3" s="57"/>
      <c r="EB3" s="57"/>
      <c r="EC3" s="57"/>
      <c r="ED3" s="57"/>
      <c r="EE3" s="57"/>
      <c r="EF3" s="57"/>
      <c r="EG3" s="57"/>
      <c r="EH3" s="57"/>
      <c r="EI3" s="57"/>
      <c r="EJ3" s="57"/>
      <c r="EK3" s="57"/>
      <c r="EL3" s="57"/>
      <c r="EM3" s="57"/>
      <c r="EN3" s="57"/>
      <c r="EO3" s="57"/>
      <c r="EP3" s="57"/>
      <c r="EQ3" s="57"/>
      <c r="ER3" s="57"/>
      <c r="ES3" s="57"/>
      <c r="ET3" s="57"/>
      <c r="EU3" s="57"/>
      <c r="EV3" s="57"/>
      <c r="EW3" s="57"/>
      <c r="EX3" s="57"/>
      <c r="EY3" s="57"/>
      <c r="EZ3" s="57"/>
      <c r="FA3" s="57"/>
      <c r="FB3" s="57"/>
      <c r="FC3" s="57"/>
      <c r="FD3" s="57"/>
      <c r="FE3" s="57"/>
      <c r="FF3" s="57"/>
      <c r="FG3" s="57"/>
      <c r="FH3" s="57"/>
      <c r="FI3" s="57"/>
      <c r="FJ3" s="57"/>
      <c r="FK3" s="57"/>
      <c r="FL3" s="57"/>
      <c r="FM3" s="57"/>
      <c r="FN3" s="57"/>
      <c r="FO3" s="57"/>
      <c r="FP3" s="57"/>
      <c r="FQ3" s="57"/>
      <c r="FR3" s="57"/>
      <c r="FS3" s="57"/>
    </row>
    <row r="4" spans="1:175" x14ac:dyDescent="0.2">
      <c r="A4" s="440"/>
      <c r="B4" s="440"/>
      <c r="C4" s="440"/>
      <c r="D4" s="440"/>
      <c r="E4" s="440"/>
      <c r="F4" s="441"/>
      <c r="G4" s="442"/>
      <c r="H4" s="443"/>
      <c r="I4" s="444"/>
      <c r="J4" s="444"/>
      <c r="K4" s="444"/>
      <c r="L4" s="444"/>
      <c r="M4" s="444"/>
      <c r="N4" s="444"/>
      <c r="O4" s="444"/>
      <c r="P4" s="444"/>
      <c r="Q4" s="444"/>
      <c r="R4" s="444"/>
      <c r="S4" s="444"/>
      <c r="T4" s="444"/>
      <c r="U4" s="445"/>
      <c r="V4" s="445"/>
      <c r="W4" s="445"/>
      <c r="X4" s="445"/>
      <c r="Y4" s="445"/>
      <c r="Z4" s="445"/>
      <c r="AA4" s="445"/>
      <c r="AB4" s="445"/>
      <c r="AC4" s="445"/>
      <c r="AD4" s="445"/>
      <c r="AE4" s="445"/>
      <c r="AF4" s="445"/>
      <c r="AG4" s="445"/>
      <c r="AH4" s="445"/>
      <c r="AI4" s="445"/>
      <c r="AJ4" s="445"/>
      <c r="AK4" s="445"/>
      <c r="AL4" s="445"/>
      <c r="AM4" s="445"/>
      <c r="AN4" s="445"/>
      <c r="AO4" s="445"/>
      <c r="AP4" s="445"/>
      <c r="AQ4" s="445"/>
      <c r="AR4" s="445"/>
      <c r="AS4" s="445"/>
      <c r="AT4" s="445"/>
      <c r="AU4" s="445"/>
      <c r="AV4" s="445"/>
      <c r="AW4" s="445"/>
      <c r="AX4" s="445"/>
      <c r="AY4" s="445"/>
      <c r="AZ4" s="445"/>
      <c r="BA4" s="445"/>
      <c r="BB4" s="445"/>
      <c r="BC4" s="445"/>
      <c r="BD4" s="445"/>
      <c r="BE4" s="445"/>
      <c r="BF4" s="445"/>
      <c r="BG4" s="445"/>
      <c r="BH4" s="445"/>
      <c r="BI4" s="445"/>
      <c r="BJ4" s="445"/>
      <c r="BK4" s="445"/>
      <c r="BL4" s="445"/>
      <c r="BM4" s="445"/>
      <c r="BN4" s="445"/>
      <c r="BO4" s="445"/>
      <c r="BP4" s="445"/>
      <c r="BQ4" s="445"/>
      <c r="BR4" s="445"/>
      <c r="BS4" s="445"/>
      <c r="BT4" s="445"/>
      <c r="BU4" s="445"/>
      <c r="BV4" s="445"/>
      <c r="BW4" s="445"/>
      <c r="BX4" s="445"/>
      <c r="BY4" s="445"/>
      <c r="BZ4" s="445"/>
      <c r="CA4" s="445"/>
      <c r="CB4" s="445"/>
      <c r="CC4" s="445"/>
      <c r="CD4" s="445"/>
      <c r="CE4" s="446"/>
      <c r="CF4" s="249"/>
      <c r="CG4" s="249"/>
      <c r="CH4" s="447"/>
      <c r="CI4" s="448"/>
      <c r="CJ4" s="449"/>
      <c r="CK4" s="249"/>
      <c r="CL4" s="249"/>
      <c r="CM4" s="249"/>
      <c r="CN4" s="447"/>
      <c r="CO4" s="448"/>
      <c r="CP4" s="449"/>
      <c r="CQ4" s="249"/>
      <c r="CR4" s="249"/>
      <c r="CS4" s="249"/>
      <c r="CT4" s="447"/>
      <c r="CU4" s="448"/>
      <c r="CV4" s="449"/>
      <c r="CW4" s="258"/>
      <c r="CX4" s="258"/>
      <c r="CY4" s="258"/>
      <c r="CZ4" s="258"/>
      <c r="DA4" s="258"/>
      <c r="DB4" s="258"/>
      <c r="DC4" s="258"/>
      <c r="DD4" s="258"/>
      <c r="DE4" s="258"/>
      <c r="DF4" s="258"/>
      <c r="DG4" s="258"/>
      <c r="DH4" s="258"/>
      <c r="DI4" s="258"/>
      <c r="DJ4" s="258"/>
      <c r="DK4" s="258"/>
      <c r="DL4" s="258"/>
      <c r="DM4" s="258"/>
      <c r="DN4" s="258"/>
      <c r="DO4" s="258"/>
      <c r="DP4" s="258"/>
      <c r="DQ4" s="258"/>
      <c r="DR4" s="258"/>
      <c r="DS4" s="258"/>
      <c r="DT4" s="258"/>
      <c r="DU4" s="258"/>
      <c r="DV4" s="258"/>
      <c r="DW4" s="258"/>
      <c r="DX4" s="258"/>
      <c r="DY4" s="258"/>
      <c r="DZ4" s="258"/>
      <c r="EA4" s="258"/>
      <c r="EB4" s="258"/>
      <c r="EC4" s="258"/>
      <c r="ED4" s="258"/>
      <c r="EE4" s="258"/>
      <c r="EF4" s="258"/>
      <c r="EG4" s="258"/>
      <c r="EH4" s="258"/>
      <c r="EI4" s="258"/>
      <c r="EJ4" s="258"/>
      <c r="EK4" s="258"/>
      <c r="EL4" s="258"/>
      <c r="EM4" s="258"/>
      <c r="EN4" s="258"/>
      <c r="EO4" s="258"/>
      <c r="EP4" s="258"/>
      <c r="EQ4" s="258"/>
      <c r="ER4" s="258"/>
      <c r="ES4" s="258"/>
      <c r="ET4" s="258"/>
      <c r="EU4" s="258"/>
      <c r="EV4" s="258"/>
      <c r="EW4" s="258"/>
      <c r="EX4" s="258"/>
      <c r="EY4" s="258"/>
      <c r="EZ4" s="258"/>
      <c r="FA4" s="258"/>
      <c r="FB4" s="258"/>
      <c r="FC4" s="258"/>
      <c r="FD4" s="258"/>
      <c r="FE4" s="258"/>
      <c r="FF4" s="258"/>
      <c r="FG4" s="258"/>
      <c r="FH4" s="258"/>
      <c r="FI4" s="258"/>
      <c r="FJ4" s="258"/>
      <c r="FK4" s="258"/>
      <c r="FL4" s="258"/>
      <c r="FM4" s="258"/>
      <c r="FN4" s="258"/>
      <c r="FO4" s="258"/>
      <c r="FP4" s="258"/>
      <c r="FQ4" s="258"/>
      <c r="FR4" s="258"/>
      <c r="FS4" s="258"/>
    </row>
    <row r="5" spans="1:175" x14ac:dyDescent="0.2">
      <c r="A5" s="450" t="s">
        <v>98</v>
      </c>
      <c r="B5" s="450" t="s">
        <v>98</v>
      </c>
      <c r="C5" s="450" t="s">
        <v>98</v>
      </c>
      <c r="D5" s="450" t="s">
        <v>98</v>
      </c>
      <c r="E5" s="450" t="s">
        <v>98</v>
      </c>
      <c r="F5" s="451" t="s">
        <v>98</v>
      </c>
      <c r="G5" s="452" t="s">
        <v>98</v>
      </c>
      <c r="H5" s="453" t="s">
        <v>98</v>
      </c>
      <c r="I5" s="454" t="s">
        <v>98</v>
      </c>
      <c r="J5" s="454" t="s">
        <v>98</v>
      </c>
      <c r="K5" s="454" t="s">
        <v>98</v>
      </c>
      <c r="L5" s="454" t="s">
        <v>98</v>
      </c>
      <c r="M5" s="454" t="s">
        <v>98</v>
      </c>
      <c r="N5" s="454" t="s">
        <v>98</v>
      </c>
      <c r="O5" s="454" t="s">
        <v>98</v>
      </c>
      <c r="P5" s="454" t="s">
        <v>98</v>
      </c>
      <c r="Q5" s="454" t="s">
        <v>98</v>
      </c>
      <c r="R5" s="454" t="s">
        <v>98</v>
      </c>
      <c r="S5" s="454" t="s">
        <v>98</v>
      </c>
      <c r="T5" s="454" t="s">
        <v>98</v>
      </c>
      <c r="U5" s="455" t="s">
        <v>98</v>
      </c>
      <c r="V5" s="455" t="s">
        <v>98</v>
      </c>
      <c r="W5" s="455" t="s">
        <v>98</v>
      </c>
      <c r="X5" s="455" t="s">
        <v>98</v>
      </c>
      <c r="Y5" s="455" t="s">
        <v>98</v>
      </c>
      <c r="Z5" s="455" t="s">
        <v>98</v>
      </c>
      <c r="AA5" s="455" t="s">
        <v>98</v>
      </c>
      <c r="AB5" s="455" t="s">
        <v>98</v>
      </c>
      <c r="AC5" s="455" t="s">
        <v>98</v>
      </c>
      <c r="AD5" s="455" t="s">
        <v>98</v>
      </c>
      <c r="AE5" s="455" t="s">
        <v>98</v>
      </c>
      <c r="AF5" s="455" t="s">
        <v>98</v>
      </c>
      <c r="AG5" s="455" t="s">
        <v>98</v>
      </c>
      <c r="AH5" s="455" t="s">
        <v>98</v>
      </c>
      <c r="AI5" s="455" t="s">
        <v>98</v>
      </c>
      <c r="AJ5" s="455" t="s">
        <v>98</v>
      </c>
      <c r="AK5" s="455" t="s">
        <v>98</v>
      </c>
      <c r="AL5" s="455" t="s">
        <v>98</v>
      </c>
      <c r="AM5" s="455" t="s">
        <v>98</v>
      </c>
      <c r="AN5" s="455" t="s">
        <v>98</v>
      </c>
      <c r="AO5" s="455" t="s">
        <v>98</v>
      </c>
      <c r="AP5" s="455" t="s">
        <v>98</v>
      </c>
      <c r="AQ5" s="455" t="s">
        <v>98</v>
      </c>
      <c r="AR5" s="455" t="s">
        <v>98</v>
      </c>
      <c r="AS5" s="455" t="s">
        <v>98</v>
      </c>
      <c r="AT5" s="455" t="s">
        <v>98</v>
      </c>
      <c r="AU5" s="455" t="s">
        <v>98</v>
      </c>
      <c r="AV5" s="455" t="s">
        <v>98</v>
      </c>
      <c r="AW5" s="455" t="s">
        <v>98</v>
      </c>
      <c r="AX5" s="455" t="s">
        <v>98</v>
      </c>
      <c r="AY5" s="455" t="s">
        <v>98</v>
      </c>
      <c r="AZ5" s="455" t="s">
        <v>98</v>
      </c>
      <c r="BA5" s="455" t="s">
        <v>98</v>
      </c>
      <c r="BB5" s="455" t="s">
        <v>98</v>
      </c>
      <c r="BC5" s="455" t="s">
        <v>98</v>
      </c>
      <c r="BD5" s="455" t="s">
        <v>98</v>
      </c>
      <c r="BE5" s="455" t="s">
        <v>98</v>
      </c>
      <c r="BF5" s="455" t="s">
        <v>98</v>
      </c>
      <c r="BG5" s="455" t="s">
        <v>98</v>
      </c>
      <c r="BH5" s="455" t="s">
        <v>98</v>
      </c>
      <c r="BI5" s="455" t="s">
        <v>98</v>
      </c>
      <c r="BJ5" s="455" t="s">
        <v>98</v>
      </c>
      <c r="BK5" s="455" t="s">
        <v>98</v>
      </c>
      <c r="BL5" s="455" t="s">
        <v>98</v>
      </c>
      <c r="BM5" s="455" t="s">
        <v>98</v>
      </c>
      <c r="BN5" s="455" t="s">
        <v>98</v>
      </c>
      <c r="BO5" s="455" t="s">
        <v>98</v>
      </c>
      <c r="BP5" s="455" t="s">
        <v>98</v>
      </c>
      <c r="BQ5" s="455" t="s">
        <v>98</v>
      </c>
      <c r="BR5" s="455" t="s">
        <v>98</v>
      </c>
      <c r="BS5" s="455" t="s">
        <v>98</v>
      </c>
      <c r="BT5" s="455" t="s">
        <v>98</v>
      </c>
      <c r="BU5" s="455" t="s">
        <v>98</v>
      </c>
      <c r="BV5" s="455" t="s">
        <v>98</v>
      </c>
      <c r="BW5" s="455" t="s">
        <v>98</v>
      </c>
      <c r="BX5" s="455" t="s">
        <v>98</v>
      </c>
      <c r="BY5" s="455" t="s">
        <v>98</v>
      </c>
      <c r="BZ5" s="455" t="s">
        <v>98</v>
      </c>
      <c r="CA5" s="455" t="s">
        <v>98</v>
      </c>
      <c r="CB5" s="455" t="s">
        <v>98</v>
      </c>
      <c r="CC5" s="455" t="s">
        <v>98</v>
      </c>
      <c r="CD5" s="455" t="s">
        <v>98</v>
      </c>
      <c r="CE5" s="456" t="s">
        <v>98</v>
      </c>
      <c r="CF5" s="457" t="s">
        <v>98</v>
      </c>
      <c r="CG5" s="457" t="s">
        <v>98</v>
      </c>
      <c r="CH5" s="458" t="s">
        <v>98</v>
      </c>
      <c r="CI5" s="459" t="s">
        <v>98</v>
      </c>
      <c r="CJ5" s="460" t="s">
        <v>109</v>
      </c>
      <c r="CK5" s="457" t="s">
        <v>98</v>
      </c>
      <c r="CL5" s="457" t="s">
        <v>98</v>
      </c>
      <c r="CM5" s="457" t="s">
        <v>98</v>
      </c>
      <c r="CN5" s="458" t="s">
        <v>98</v>
      </c>
      <c r="CO5" s="459" t="s">
        <v>98</v>
      </c>
      <c r="CP5" s="460" t="s">
        <v>109</v>
      </c>
      <c r="CQ5" s="457" t="s">
        <v>98</v>
      </c>
      <c r="CR5" s="457" t="s">
        <v>98</v>
      </c>
      <c r="CS5" s="457" t="s">
        <v>98</v>
      </c>
      <c r="CT5" s="458" t="s">
        <v>98</v>
      </c>
      <c r="CU5" s="459" t="s">
        <v>98</v>
      </c>
      <c r="CV5" s="460" t="s">
        <v>109</v>
      </c>
      <c r="CW5" s="461" t="s">
        <v>109</v>
      </c>
      <c r="CX5" s="461" t="s">
        <v>109</v>
      </c>
      <c r="CY5" s="461" t="s">
        <v>109</v>
      </c>
      <c r="CZ5" s="461" t="s">
        <v>109</v>
      </c>
      <c r="DA5" s="461" t="s">
        <v>109</v>
      </c>
      <c r="DB5" s="461" t="s">
        <v>109</v>
      </c>
      <c r="DC5" s="461" t="s">
        <v>109</v>
      </c>
      <c r="DD5" s="461" t="s">
        <v>109</v>
      </c>
      <c r="DE5" s="461" t="s">
        <v>109</v>
      </c>
      <c r="DF5" s="461" t="s">
        <v>109</v>
      </c>
      <c r="DG5" s="461" t="s">
        <v>109</v>
      </c>
      <c r="DH5" s="461" t="s">
        <v>109</v>
      </c>
      <c r="DI5" s="461" t="s">
        <v>109</v>
      </c>
      <c r="DJ5" s="461" t="s">
        <v>109</v>
      </c>
      <c r="DK5" s="461" t="s">
        <v>109</v>
      </c>
      <c r="DL5" s="461" t="s">
        <v>109</v>
      </c>
      <c r="DM5" s="461" t="s">
        <v>109</v>
      </c>
      <c r="DN5" s="461" t="s">
        <v>109</v>
      </c>
      <c r="DO5" s="461" t="s">
        <v>109</v>
      </c>
      <c r="DP5" s="461" t="s">
        <v>109</v>
      </c>
      <c r="DQ5" s="461" t="s">
        <v>109</v>
      </c>
      <c r="DR5" s="461" t="s">
        <v>109</v>
      </c>
      <c r="DS5" s="461" t="s">
        <v>109</v>
      </c>
      <c r="DT5" s="461" t="s">
        <v>109</v>
      </c>
      <c r="DU5" s="461" t="s">
        <v>109</v>
      </c>
      <c r="DV5" s="461" t="s">
        <v>109</v>
      </c>
      <c r="DW5" s="461" t="s">
        <v>109</v>
      </c>
      <c r="DX5" s="461" t="s">
        <v>109</v>
      </c>
      <c r="DY5" s="461" t="s">
        <v>109</v>
      </c>
      <c r="DZ5" s="461" t="s">
        <v>109</v>
      </c>
      <c r="EA5" s="461" t="s">
        <v>109</v>
      </c>
      <c r="EB5" s="461" t="s">
        <v>109</v>
      </c>
      <c r="EC5" s="461" t="s">
        <v>109</v>
      </c>
      <c r="ED5" s="461" t="s">
        <v>109</v>
      </c>
      <c r="EE5" s="461" t="s">
        <v>109</v>
      </c>
      <c r="EF5" s="461" t="s">
        <v>109</v>
      </c>
      <c r="EG5" s="461" t="s">
        <v>109</v>
      </c>
      <c r="EH5" s="461" t="s">
        <v>109</v>
      </c>
      <c r="EI5" s="461" t="s">
        <v>109</v>
      </c>
      <c r="EJ5" s="461" t="s">
        <v>109</v>
      </c>
      <c r="EK5" s="461" t="s">
        <v>109</v>
      </c>
      <c r="EL5" s="461" t="s">
        <v>109</v>
      </c>
      <c r="EM5" s="461" t="s">
        <v>109</v>
      </c>
      <c r="EN5" s="461" t="s">
        <v>109</v>
      </c>
      <c r="EO5" s="461" t="s">
        <v>109</v>
      </c>
      <c r="EP5" s="461" t="s">
        <v>109</v>
      </c>
      <c r="EQ5" s="461" t="s">
        <v>109</v>
      </c>
      <c r="ER5" s="461" t="s">
        <v>109</v>
      </c>
      <c r="ES5" s="461" t="s">
        <v>109</v>
      </c>
      <c r="ET5" s="461" t="s">
        <v>109</v>
      </c>
      <c r="EU5" s="461" t="s">
        <v>109</v>
      </c>
      <c r="EV5" s="461" t="s">
        <v>109</v>
      </c>
      <c r="EW5" s="461" t="s">
        <v>109</v>
      </c>
      <c r="EX5" s="461" t="s">
        <v>109</v>
      </c>
      <c r="EY5" s="461" t="s">
        <v>109</v>
      </c>
      <c r="EZ5" s="461" t="s">
        <v>109</v>
      </c>
      <c r="FA5" s="461" t="s">
        <v>109</v>
      </c>
      <c r="FB5" s="461" t="s">
        <v>109</v>
      </c>
      <c r="FC5" s="461" t="s">
        <v>109</v>
      </c>
      <c r="FD5" s="461" t="s">
        <v>109</v>
      </c>
      <c r="FE5" s="461" t="s">
        <v>109</v>
      </c>
      <c r="FF5" s="461" t="s">
        <v>109</v>
      </c>
      <c r="FG5" s="461" t="s">
        <v>109</v>
      </c>
      <c r="FH5" s="461" t="s">
        <v>109</v>
      </c>
      <c r="FI5" s="461" t="s">
        <v>109</v>
      </c>
      <c r="FJ5" s="461" t="s">
        <v>109</v>
      </c>
      <c r="FK5" s="461" t="s">
        <v>109</v>
      </c>
      <c r="FL5" s="461" t="s">
        <v>109</v>
      </c>
      <c r="FM5" s="461" t="s">
        <v>109</v>
      </c>
      <c r="FN5" s="461" t="s">
        <v>109</v>
      </c>
      <c r="FO5" s="461" t="s">
        <v>109</v>
      </c>
      <c r="FP5" s="461" t="s">
        <v>109</v>
      </c>
      <c r="FQ5" s="461" t="s">
        <v>109</v>
      </c>
      <c r="FR5" s="461" t="s">
        <v>109</v>
      </c>
      <c r="FS5" s="461" t="s">
        <v>109</v>
      </c>
    </row>
    <row r="6" spans="1:175" x14ac:dyDescent="0.2">
      <c r="A6" s="450" t="s">
        <v>200</v>
      </c>
      <c r="B6" s="450" t="s">
        <v>200</v>
      </c>
      <c r="C6" s="450" t="s">
        <v>200</v>
      </c>
      <c r="D6" s="450" t="s">
        <v>200</v>
      </c>
      <c r="E6" s="450" t="s">
        <v>200</v>
      </c>
      <c r="F6" s="451" t="s">
        <v>200</v>
      </c>
      <c r="G6" s="452" t="s">
        <v>93</v>
      </c>
      <c r="H6" s="453" t="s">
        <v>93</v>
      </c>
      <c r="I6" s="454" t="s">
        <v>1205</v>
      </c>
      <c r="J6" s="454" t="s">
        <v>1205</v>
      </c>
      <c r="K6" s="454" t="s">
        <v>1205</v>
      </c>
      <c r="L6" s="454" t="s">
        <v>1205</v>
      </c>
      <c r="M6" s="454" t="s">
        <v>1205</v>
      </c>
      <c r="N6" s="454" t="s">
        <v>1205</v>
      </c>
      <c r="O6" s="454" t="s">
        <v>1205</v>
      </c>
      <c r="P6" s="454" t="s">
        <v>1205</v>
      </c>
      <c r="Q6" s="454" t="s">
        <v>1205</v>
      </c>
      <c r="R6" s="454" t="s">
        <v>1205</v>
      </c>
      <c r="S6" s="454" t="s">
        <v>1205</v>
      </c>
      <c r="T6" s="454" t="s">
        <v>1205</v>
      </c>
      <c r="U6" s="455" t="s">
        <v>1205</v>
      </c>
      <c r="V6" s="455" t="s">
        <v>1205</v>
      </c>
      <c r="W6" s="455" t="s">
        <v>1205</v>
      </c>
      <c r="X6" s="455" t="s">
        <v>1205</v>
      </c>
      <c r="Y6" s="455" t="s">
        <v>1205</v>
      </c>
      <c r="Z6" s="455" t="s">
        <v>1205</v>
      </c>
      <c r="AA6" s="455" t="s">
        <v>1205</v>
      </c>
      <c r="AB6" s="455" t="s">
        <v>1205</v>
      </c>
      <c r="AC6" s="455" t="s">
        <v>1205</v>
      </c>
      <c r="AD6" s="455" t="s">
        <v>1205</v>
      </c>
      <c r="AE6" s="455" t="s">
        <v>1205</v>
      </c>
      <c r="AF6" s="455" t="s">
        <v>1205</v>
      </c>
      <c r="AG6" s="455" t="s">
        <v>1205</v>
      </c>
      <c r="AH6" s="455" t="s">
        <v>1205</v>
      </c>
      <c r="AI6" s="455" t="s">
        <v>1205</v>
      </c>
      <c r="AJ6" s="455" t="s">
        <v>1205</v>
      </c>
      <c r="AK6" s="455" t="s">
        <v>1205</v>
      </c>
      <c r="AL6" s="455" t="s">
        <v>1205</v>
      </c>
      <c r="AM6" s="455" t="s">
        <v>1205</v>
      </c>
      <c r="AN6" s="455" t="s">
        <v>1205</v>
      </c>
      <c r="AO6" s="455" t="s">
        <v>1205</v>
      </c>
      <c r="AP6" s="455" t="s">
        <v>1205</v>
      </c>
      <c r="AQ6" s="455" t="s">
        <v>1205</v>
      </c>
      <c r="AR6" s="455" t="s">
        <v>1205</v>
      </c>
      <c r="AS6" s="455" t="s">
        <v>1205</v>
      </c>
      <c r="AT6" s="455" t="s">
        <v>1205</v>
      </c>
      <c r="AU6" s="455" t="s">
        <v>1205</v>
      </c>
      <c r="AV6" s="455" t="s">
        <v>1205</v>
      </c>
      <c r="AW6" s="455" t="s">
        <v>1205</v>
      </c>
      <c r="AX6" s="455" t="s">
        <v>1205</v>
      </c>
      <c r="AY6" s="455" t="s">
        <v>1205</v>
      </c>
      <c r="AZ6" s="455" t="s">
        <v>1205</v>
      </c>
      <c r="BA6" s="455" t="s">
        <v>1205</v>
      </c>
      <c r="BB6" s="455" t="s">
        <v>1205</v>
      </c>
      <c r="BC6" s="455" t="s">
        <v>1205</v>
      </c>
      <c r="BD6" s="455" t="s">
        <v>1205</v>
      </c>
      <c r="BE6" s="455" t="s">
        <v>1205</v>
      </c>
      <c r="BF6" s="455" t="s">
        <v>1205</v>
      </c>
      <c r="BG6" s="455" t="s">
        <v>1205</v>
      </c>
      <c r="BH6" s="455" t="s">
        <v>1205</v>
      </c>
      <c r="BI6" s="455" t="s">
        <v>1205</v>
      </c>
      <c r="BJ6" s="455" t="s">
        <v>1205</v>
      </c>
      <c r="BK6" s="455" t="s">
        <v>1205</v>
      </c>
      <c r="BL6" s="455" t="s">
        <v>1205</v>
      </c>
      <c r="BM6" s="455" t="s">
        <v>1205</v>
      </c>
      <c r="BN6" s="455" t="s">
        <v>1205</v>
      </c>
      <c r="BO6" s="455" t="s">
        <v>1205</v>
      </c>
      <c r="BP6" s="455" t="s">
        <v>1205</v>
      </c>
      <c r="BQ6" s="455" t="s">
        <v>1205</v>
      </c>
      <c r="BR6" s="455" t="s">
        <v>1205</v>
      </c>
      <c r="BS6" s="455" t="s">
        <v>1205</v>
      </c>
      <c r="BT6" s="455" t="s">
        <v>1205</v>
      </c>
      <c r="BU6" s="455" t="s">
        <v>1205</v>
      </c>
      <c r="BV6" s="455" t="s">
        <v>1205</v>
      </c>
      <c r="BW6" s="455" t="s">
        <v>1205</v>
      </c>
      <c r="BX6" s="455" t="s">
        <v>1205</v>
      </c>
      <c r="BY6" s="455" t="s">
        <v>1205</v>
      </c>
      <c r="BZ6" s="455" t="s">
        <v>1205</v>
      </c>
      <c r="CA6" s="455" t="s">
        <v>1205</v>
      </c>
      <c r="CB6" s="455" t="s">
        <v>1205</v>
      </c>
      <c r="CC6" s="455" t="s">
        <v>1205</v>
      </c>
      <c r="CD6" s="455" t="s">
        <v>1205</v>
      </c>
      <c r="CE6" s="456" t="s">
        <v>1205</v>
      </c>
      <c r="CF6" s="457" t="s">
        <v>93</v>
      </c>
      <c r="CG6" s="457" t="s">
        <v>93</v>
      </c>
      <c r="CH6" s="458" t="s">
        <v>112</v>
      </c>
      <c r="CI6" s="459" t="s">
        <v>112</v>
      </c>
      <c r="CJ6" s="460" t="s">
        <v>92</v>
      </c>
      <c r="CK6" s="457" t="s">
        <v>93</v>
      </c>
      <c r="CL6" s="457" t="s">
        <v>93</v>
      </c>
      <c r="CM6" s="457" t="s">
        <v>93</v>
      </c>
      <c r="CN6" s="458" t="s">
        <v>112</v>
      </c>
      <c r="CO6" s="459" t="s">
        <v>112</v>
      </c>
      <c r="CP6" s="460" t="s">
        <v>92</v>
      </c>
      <c r="CQ6" s="457" t="s">
        <v>93</v>
      </c>
      <c r="CR6" s="457" t="s">
        <v>93</v>
      </c>
      <c r="CS6" s="457" t="s">
        <v>93</v>
      </c>
      <c r="CT6" s="458" t="s">
        <v>112</v>
      </c>
      <c r="CU6" s="459" t="s">
        <v>112</v>
      </c>
      <c r="CV6" s="460" t="s">
        <v>92</v>
      </c>
      <c r="CW6" s="461" t="s">
        <v>92</v>
      </c>
      <c r="CX6" s="461" t="s">
        <v>92</v>
      </c>
      <c r="CY6" s="461" t="s">
        <v>92</v>
      </c>
      <c r="CZ6" s="461" t="s">
        <v>92</v>
      </c>
      <c r="DA6" s="461" t="s">
        <v>92</v>
      </c>
      <c r="DB6" s="461" t="s">
        <v>92</v>
      </c>
      <c r="DC6" s="461" t="s">
        <v>92</v>
      </c>
      <c r="DD6" s="461" t="s">
        <v>92</v>
      </c>
      <c r="DE6" s="461" t="s">
        <v>92</v>
      </c>
      <c r="DF6" s="461" t="s">
        <v>92</v>
      </c>
      <c r="DG6" s="461" t="s">
        <v>92</v>
      </c>
      <c r="DH6" s="461" t="s">
        <v>92</v>
      </c>
      <c r="DI6" s="461" t="s">
        <v>92</v>
      </c>
      <c r="DJ6" s="461" t="s">
        <v>92</v>
      </c>
      <c r="DK6" s="461" t="s">
        <v>92</v>
      </c>
      <c r="DL6" s="461" t="s">
        <v>92</v>
      </c>
      <c r="DM6" s="461" t="s">
        <v>92</v>
      </c>
      <c r="DN6" s="461" t="s">
        <v>92</v>
      </c>
      <c r="DO6" s="461" t="s">
        <v>92</v>
      </c>
      <c r="DP6" s="461" t="s">
        <v>92</v>
      </c>
      <c r="DQ6" s="461" t="s">
        <v>92</v>
      </c>
      <c r="DR6" s="461" t="s">
        <v>92</v>
      </c>
      <c r="DS6" s="461" t="s">
        <v>92</v>
      </c>
      <c r="DT6" s="461" t="s">
        <v>92</v>
      </c>
      <c r="DU6" s="461" t="s">
        <v>92</v>
      </c>
      <c r="DV6" s="461" t="s">
        <v>92</v>
      </c>
      <c r="DW6" s="461" t="s">
        <v>92</v>
      </c>
      <c r="DX6" s="461" t="s">
        <v>92</v>
      </c>
      <c r="DY6" s="461" t="s">
        <v>92</v>
      </c>
      <c r="DZ6" s="461" t="s">
        <v>92</v>
      </c>
      <c r="EA6" s="461" t="s">
        <v>92</v>
      </c>
      <c r="EB6" s="461" t="s">
        <v>92</v>
      </c>
      <c r="EC6" s="461" t="s">
        <v>92</v>
      </c>
      <c r="ED6" s="461" t="s">
        <v>92</v>
      </c>
      <c r="EE6" s="461" t="s">
        <v>92</v>
      </c>
      <c r="EF6" s="461" t="s">
        <v>92</v>
      </c>
      <c r="EG6" s="461" t="s">
        <v>92</v>
      </c>
      <c r="EH6" s="461" t="s">
        <v>92</v>
      </c>
      <c r="EI6" s="461" t="s">
        <v>92</v>
      </c>
      <c r="EJ6" s="461" t="s">
        <v>92</v>
      </c>
      <c r="EK6" s="461" t="s">
        <v>92</v>
      </c>
      <c r="EL6" s="461" t="s">
        <v>92</v>
      </c>
      <c r="EM6" s="461" t="s">
        <v>92</v>
      </c>
      <c r="EN6" s="461" t="s">
        <v>92</v>
      </c>
      <c r="EO6" s="461" t="s">
        <v>92</v>
      </c>
      <c r="EP6" s="461" t="s">
        <v>92</v>
      </c>
      <c r="EQ6" s="461" t="s">
        <v>92</v>
      </c>
      <c r="ER6" s="461" t="s">
        <v>92</v>
      </c>
      <c r="ES6" s="461" t="s">
        <v>92</v>
      </c>
      <c r="ET6" s="461" t="s">
        <v>92</v>
      </c>
      <c r="EU6" s="461" t="s">
        <v>92</v>
      </c>
      <c r="EV6" s="461" t="s">
        <v>92</v>
      </c>
      <c r="EW6" s="461" t="s">
        <v>92</v>
      </c>
      <c r="EX6" s="461" t="s">
        <v>92</v>
      </c>
      <c r="EY6" s="461" t="s">
        <v>92</v>
      </c>
      <c r="EZ6" s="461" t="s">
        <v>92</v>
      </c>
      <c r="FA6" s="461" t="s">
        <v>92</v>
      </c>
      <c r="FB6" s="461" t="s">
        <v>92</v>
      </c>
      <c r="FC6" s="461" t="s">
        <v>92</v>
      </c>
      <c r="FD6" s="461" t="s">
        <v>92</v>
      </c>
      <c r="FE6" s="461" t="s">
        <v>92</v>
      </c>
      <c r="FF6" s="461" t="s">
        <v>92</v>
      </c>
      <c r="FG6" s="461" t="s">
        <v>92</v>
      </c>
      <c r="FH6" s="461" t="s">
        <v>92</v>
      </c>
      <c r="FI6" s="461" t="s">
        <v>92</v>
      </c>
      <c r="FJ6" s="461" t="s">
        <v>92</v>
      </c>
      <c r="FK6" s="461" t="s">
        <v>92</v>
      </c>
      <c r="FL6" s="461" t="s">
        <v>92</v>
      </c>
      <c r="FM6" s="461" t="s">
        <v>92</v>
      </c>
      <c r="FN6" s="461" t="s">
        <v>92</v>
      </c>
      <c r="FO6" s="461" t="s">
        <v>92</v>
      </c>
      <c r="FP6" s="461" t="s">
        <v>92</v>
      </c>
      <c r="FQ6" s="461" t="s">
        <v>92</v>
      </c>
      <c r="FR6" s="461" t="s">
        <v>92</v>
      </c>
      <c r="FS6" s="461" t="s">
        <v>92</v>
      </c>
    </row>
    <row r="7" spans="1:175" x14ac:dyDescent="0.2">
      <c r="A7" s="450" t="s">
        <v>108</v>
      </c>
      <c r="B7" s="450" t="s">
        <v>108</v>
      </c>
      <c r="C7" s="450" t="s">
        <v>108</v>
      </c>
      <c r="D7" s="450" t="s">
        <v>108</v>
      </c>
      <c r="E7" s="450" t="s">
        <v>108</v>
      </c>
      <c r="F7" s="451" t="s">
        <v>108</v>
      </c>
      <c r="G7" s="452" t="s">
        <v>94</v>
      </c>
      <c r="H7" s="453" t="s">
        <v>94</v>
      </c>
      <c r="I7" s="454" t="s">
        <v>95</v>
      </c>
      <c r="J7" s="454" t="s">
        <v>95</v>
      </c>
      <c r="K7" s="454" t="s">
        <v>95</v>
      </c>
      <c r="L7" s="454" t="s">
        <v>95</v>
      </c>
      <c r="M7" s="454" t="s">
        <v>95</v>
      </c>
      <c r="N7" s="454" t="s">
        <v>95</v>
      </c>
      <c r="O7" s="454" t="s">
        <v>95</v>
      </c>
      <c r="P7" s="454" t="s">
        <v>95</v>
      </c>
      <c r="Q7" s="454" t="s">
        <v>95</v>
      </c>
      <c r="R7" s="454" t="s">
        <v>95</v>
      </c>
      <c r="S7" s="454" t="s">
        <v>95</v>
      </c>
      <c r="T7" s="454" t="s">
        <v>95</v>
      </c>
      <c r="U7" s="455" t="s">
        <v>95</v>
      </c>
      <c r="V7" s="455" t="s">
        <v>95</v>
      </c>
      <c r="W7" s="455" t="s">
        <v>95</v>
      </c>
      <c r="X7" s="455" t="s">
        <v>95</v>
      </c>
      <c r="Y7" s="455" t="s">
        <v>95</v>
      </c>
      <c r="Z7" s="455" t="s">
        <v>95</v>
      </c>
      <c r="AA7" s="455" t="s">
        <v>95</v>
      </c>
      <c r="AB7" s="455" t="s">
        <v>95</v>
      </c>
      <c r="AC7" s="455" t="s">
        <v>95</v>
      </c>
      <c r="AD7" s="455" t="s">
        <v>95</v>
      </c>
      <c r="AE7" s="455" t="s">
        <v>95</v>
      </c>
      <c r="AF7" s="455" t="s">
        <v>95</v>
      </c>
      <c r="AG7" s="455" t="s">
        <v>95</v>
      </c>
      <c r="AH7" s="455" t="s">
        <v>95</v>
      </c>
      <c r="AI7" s="455" t="s">
        <v>95</v>
      </c>
      <c r="AJ7" s="455" t="s">
        <v>95</v>
      </c>
      <c r="AK7" s="455" t="s">
        <v>95</v>
      </c>
      <c r="AL7" s="455" t="s">
        <v>95</v>
      </c>
      <c r="AM7" s="455" t="s">
        <v>95</v>
      </c>
      <c r="AN7" s="455" t="s">
        <v>95</v>
      </c>
      <c r="AO7" s="455" t="s">
        <v>95</v>
      </c>
      <c r="AP7" s="455" t="s">
        <v>95</v>
      </c>
      <c r="AQ7" s="455" t="s">
        <v>95</v>
      </c>
      <c r="AR7" s="455" t="s">
        <v>95</v>
      </c>
      <c r="AS7" s="455" t="s">
        <v>95</v>
      </c>
      <c r="AT7" s="455" t="s">
        <v>95</v>
      </c>
      <c r="AU7" s="455" t="s">
        <v>95</v>
      </c>
      <c r="AV7" s="455" t="s">
        <v>95</v>
      </c>
      <c r="AW7" s="455" t="s">
        <v>95</v>
      </c>
      <c r="AX7" s="455" t="s">
        <v>95</v>
      </c>
      <c r="AY7" s="455" t="s">
        <v>95</v>
      </c>
      <c r="AZ7" s="455" t="s">
        <v>95</v>
      </c>
      <c r="BA7" s="455" t="s">
        <v>95</v>
      </c>
      <c r="BB7" s="455" t="s">
        <v>95</v>
      </c>
      <c r="BC7" s="455" t="s">
        <v>95</v>
      </c>
      <c r="BD7" s="455" t="s">
        <v>95</v>
      </c>
      <c r="BE7" s="455" t="s">
        <v>95</v>
      </c>
      <c r="BF7" s="455" t="s">
        <v>95</v>
      </c>
      <c r="BG7" s="455" t="s">
        <v>95</v>
      </c>
      <c r="BH7" s="455" t="s">
        <v>95</v>
      </c>
      <c r="BI7" s="455" t="s">
        <v>95</v>
      </c>
      <c r="BJ7" s="455" t="s">
        <v>95</v>
      </c>
      <c r="BK7" s="455" t="s">
        <v>95</v>
      </c>
      <c r="BL7" s="455" t="s">
        <v>95</v>
      </c>
      <c r="BM7" s="455" t="s">
        <v>95</v>
      </c>
      <c r="BN7" s="455" t="s">
        <v>95</v>
      </c>
      <c r="BO7" s="455" t="s">
        <v>95</v>
      </c>
      <c r="BP7" s="455" t="s">
        <v>95</v>
      </c>
      <c r="BQ7" s="455" t="s">
        <v>95</v>
      </c>
      <c r="BR7" s="455" t="s">
        <v>95</v>
      </c>
      <c r="BS7" s="455" t="s">
        <v>95</v>
      </c>
      <c r="BT7" s="455" t="s">
        <v>95</v>
      </c>
      <c r="BU7" s="455" t="s">
        <v>95</v>
      </c>
      <c r="BV7" s="455" t="s">
        <v>95</v>
      </c>
      <c r="BW7" s="455" t="s">
        <v>95</v>
      </c>
      <c r="BX7" s="455" t="s">
        <v>95</v>
      </c>
      <c r="BY7" s="455" t="s">
        <v>95</v>
      </c>
      <c r="BZ7" s="455" t="s">
        <v>95</v>
      </c>
      <c r="CA7" s="455" t="s">
        <v>95</v>
      </c>
      <c r="CB7" s="455" t="s">
        <v>95</v>
      </c>
      <c r="CC7" s="455" t="s">
        <v>95</v>
      </c>
      <c r="CD7" s="455" t="s">
        <v>95</v>
      </c>
      <c r="CE7" s="456" t="s">
        <v>95</v>
      </c>
      <c r="CF7" s="457" t="s">
        <v>94</v>
      </c>
      <c r="CG7" s="457" t="s">
        <v>94</v>
      </c>
      <c r="CH7" s="458" t="s">
        <v>108</v>
      </c>
      <c r="CI7" s="459" t="s">
        <v>95</v>
      </c>
      <c r="CJ7" s="460" t="s">
        <v>94</v>
      </c>
      <c r="CK7" s="457" t="s">
        <v>94</v>
      </c>
      <c r="CL7" s="457" t="s">
        <v>94</v>
      </c>
      <c r="CM7" s="457" t="s">
        <v>94</v>
      </c>
      <c r="CN7" s="458" t="s">
        <v>108</v>
      </c>
      <c r="CO7" s="459" t="s">
        <v>95</v>
      </c>
      <c r="CP7" s="460" t="s">
        <v>94</v>
      </c>
      <c r="CQ7" s="457" t="s">
        <v>94</v>
      </c>
      <c r="CR7" s="457" t="s">
        <v>94</v>
      </c>
      <c r="CS7" s="457" t="s">
        <v>94</v>
      </c>
      <c r="CT7" s="458" t="s">
        <v>108</v>
      </c>
      <c r="CU7" s="459" t="s">
        <v>95</v>
      </c>
      <c r="CV7" s="460" t="s">
        <v>94</v>
      </c>
      <c r="CW7" s="461" t="s">
        <v>94</v>
      </c>
      <c r="CX7" s="461" t="s">
        <v>94</v>
      </c>
      <c r="CY7" s="461" t="s">
        <v>94</v>
      </c>
      <c r="CZ7" s="461" t="s">
        <v>94</v>
      </c>
      <c r="DA7" s="461" t="s">
        <v>94</v>
      </c>
      <c r="DB7" s="461" t="s">
        <v>94</v>
      </c>
      <c r="DC7" s="461" t="s">
        <v>94</v>
      </c>
      <c r="DD7" s="461" t="s">
        <v>94</v>
      </c>
      <c r="DE7" s="461" t="s">
        <v>94</v>
      </c>
      <c r="DF7" s="461" t="s">
        <v>94</v>
      </c>
      <c r="DG7" s="461" t="s">
        <v>94</v>
      </c>
      <c r="DH7" s="461" t="s">
        <v>94</v>
      </c>
      <c r="DI7" s="461" t="s">
        <v>94</v>
      </c>
      <c r="DJ7" s="461" t="s">
        <v>94</v>
      </c>
      <c r="DK7" s="461" t="s">
        <v>94</v>
      </c>
      <c r="DL7" s="461" t="s">
        <v>94</v>
      </c>
      <c r="DM7" s="461" t="s">
        <v>94</v>
      </c>
      <c r="DN7" s="461" t="s">
        <v>94</v>
      </c>
      <c r="DO7" s="461" t="s">
        <v>94</v>
      </c>
      <c r="DP7" s="461" t="s">
        <v>94</v>
      </c>
      <c r="DQ7" s="461" t="s">
        <v>94</v>
      </c>
      <c r="DR7" s="461" t="s">
        <v>94</v>
      </c>
      <c r="DS7" s="461" t="s">
        <v>94</v>
      </c>
      <c r="DT7" s="461" t="s">
        <v>94</v>
      </c>
      <c r="DU7" s="461" t="s">
        <v>94</v>
      </c>
      <c r="DV7" s="461" t="s">
        <v>94</v>
      </c>
      <c r="DW7" s="461" t="s">
        <v>94</v>
      </c>
      <c r="DX7" s="461" t="s">
        <v>94</v>
      </c>
      <c r="DY7" s="461" t="s">
        <v>94</v>
      </c>
      <c r="DZ7" s="461" t="s">
        <v>94</v>
      </c>
      <c r="EA7" s="461" t="s">
        <v>94</v>
      </c>
      <c r="EB7" s="461" t="s">
        <v>94</v>
      </c>
      <c r="EC7" s="461" t="s">
        <v>94</v>
      </c>
      <c r="ED7" s="461" t="s">
        <v>94</v>
      </c>
      <c r="EE7" s="461" t="s">
        <v>94</v>
      </c>
      <c r="EF7" s="461" t="s">
        <v>94</v>
      </c>
      <c r="EG7" s="461" t="s">
        <v>94</v>
      </c>
      <c r="EH7" s="461" t="s">
        <v>94</v>
      </c>
      <c r="EI7" s="461" t="s">
        <v>94</v>
      </c>
      <c r="EJ7" s="461" t="s">
        <v>94</v>
      </c>
      <c r="EK7" s="461" t="s">
        <v>94</v>
      </c>
      <c r="EL7" s="461" t="s">
        <v>94</v>
      </c>
      <c r="EM7" s="461" t="s">
        <v>94</v>
      </c>
      <c r="EN7" s="461" t="s">
        <v>94</v>
      </c>
      <c r="EO7" s="461" t="s">
        <v>94</v>
      </c>
      <c r="EP7" s="461" t="s">
        <v>94</v>
      </c>
      <c r="EQ7" s="461" t="s">
        <v>94</v>
      </c>
      <c r="ER7" s="461" t="s">
        <v>94</v>
      </c>
      <c r="ES7" s="461" t="s">
        <v>94</v>
      </c>
      <c r="ET7" s="461" t="s">
        <v>94</v>
      </c>
      <c r="EU7" s="461" t="s">
        <v>94</v>
      </c>
      <c r="EV7" s="461" t="s">
        <v>94</v>
      </c>
      <c r="EW7" s="461" t="s">
        <v>94</v>
      </c>
      <c r="EX7" s="461" t="s">
        <v>94</v>
      </c>
      <c r="EY7" s="461" t="s">
        <v>94</v>
      </c>
      <c r="EZ7" s="461" t="s">
        <v>94</v>
      </c>
      <c r="FA7" s="461" t="s">
        <v>94</v>
      </c>
      <c r="FB7" s="461" t="s">
        <v>94</v>
      </c>
      <c r="FC7" s="461" t="s">
        <v>94</v>
      </c>
      <c r="FD7" s="461" t="s">
        <v>94</v>
      </c>
      <c r="FE7" s="461" t="s">
        <v>94</v>
      </c>
      <c r="FF7" s="461" t="s">
        <v>94</v>
      </c>
      <c r="FG7" s="461" t="s">
        <v>94</v>
      </c>
      <c r="FH7" s="461" t="s">
        <v>94</v>
      </c>
      <c r="FI7" s="461" t="s">
        <v>94</v>
      </c>
      <c r="FJ7" s="461" t="s">
        <v>94</v>
      </c>
      <c r="FK7" s="461" t="s">
        <v>94</v>
      </c>
      <c r="FL7" s="461" t="s">
        <v>94</v>
      </c>
      <c r="FM7" s="461" t="s">
        <v>94</v>
      </c>
      <c r="FN7" s="461" t="s">
        <v>94</v>
      </c>
      <c r="FO7" s="461" t="s">
        <v>94</v>
      </c>
      <c r="FP7" s="461" t="s">
        <v>94</v>
      </c>
      <c r="FQ7" s="461" t="s">
        <v>94</v>
      </c>
      <c r="FR7" s="461" t="s">
        <v>94</v>
      </c>
      <c r="FS7" s="461" t="s">
        <v>94</v>
      </c>
    </row>
    <row r="8" spans="1:175" x14ac:dyDescent="0.2">
      <c r="A8" s="450" t="s">
        <v>1206</v>
      </c>
      <c r="B8" s="450" t="s">
        <v>1206</v>
      </c>
      <c r="C8" s="450" t="s">
        <v>1206</v>
      </c>
      <c r="D8" s="450" t="s">
        <v>1206</v>
      </c>
      <c r="E8" s="462" t="s">
        <v>1206</v>
      </c>
      <c r="F8" s="451" t="s">
        <v>1206</v>
      </c>
      <c r="G8" s="452" t="s">
        <v>1206</v>
      </c>
      <c r="H8" s="453" t="s">
        <v>1206</v>
      </c>
      <c r="I8" s="454" t="s">
        <v>1206</v>
      </c>
      <c r="J8" s="454" t="s">
        <v>1206</v>
      </c>
      <c r="K8" s="454" t="s">
        <v>1206</v>
      </c>
      <c r="L8" s="454" t="s">
        <v>1206</v>
      </c>
      <c r="M8" s="454" t="s">
        <v>1206</v>
      </c>
      <c r="N8" s="454" t="s">
        <v>1206</v>
      </c>
      <c r="O8" s="454" t="s">
        <v>1206</v>
      </c>
      <c r="P8" s="454" t="s">
        <v>1206</v>
      </c>
      <c r="Q8" s="454" t="s">
        <v>1206</v>
      </c>
      <c r="R8" s="454" t="s">
        <v>1206</v>
      </c>
      <c r="S8" s="454" t="s">
        <v>1206</v>
      </c>
      <c r="T8" s="454" t="s">
        <v>1206</v>
      </c>
      <c r="U8" s="455" t="s">
        <v>1206</v>
      </c>
      <c r="V8" s="455" t="s">
        <v>1206</v>
      </c>
      <c r="W8" s="455" t="s">
        <v>1206</v>
      </c>
      <c r="X8" s="455" t="s">
        <v>1206</v>
      </c>
      <c r="Y8" s="455" t="s">
        <v>1206</v>
      </c>
      <c r="Z8" s="455" t="s">
        <v>1206</v>
      </c>
      <c r="AA8" s="455" t="s">
        <v>1206</v>
      </c>
      <c r="AB8" s="455" t="s">
        <v>1206</v>
      </c>
      <c r="AC8" s="455" t="s">
        <v>1206</v>
      </c>
      <c r="AD8" s="455" t="s">
        <v>1206</v>
      </c>
      <c r="AE8" s="455" t="s">
        <v>1206</v>
      </c>
      <c r="AF8" s="455" t="s">
        <v>1206</v>
      </c>
      <c r="AG8" s="455" t="s">
        <v>1206</v>
      </c>
      <c r="AH8" s="455" t="s">
        <v>1206</v>
      </c>
      <c r="AI8" s="455" t="s">
        <v>1206</v>
      </c>
      <c r="AJ8" s="455" t="s">
        <v>1206</v>
      </c>
      <c r="AK8" s="455" t="s">
        <v>1206</v>
      </c>
      <c r="AL8" s="455" t="s">
        <v>1206</v>
      </c>
      <c r="AM8" s="455" t="s">
        <v>1206</v>
      </c>
      <c r="AN8" s="455" t="s">
        <v>1206</v>
      </c>
      <c r="AO8" s="455" t="s">
        <v>1206</v>
      </c>
      <c r="AP8" s="455" t="s">
        <v>1206</v>
      </c>
      <c r="AQ8" s="455" t="s">
        <v>1206</v>
      </c>
      <c r="AR8" s="455" t="s">
        <v>1206</v>
      </c>
      <c r="AS8" s="455" t="s">
        <v>1206</v>
      </c>
      <c r="AT8" s="455" t="s">
        <v>1206</v>
      </c>
      <c r="AU8" s="455" t="s">
        <v>1206</v>
      </c>
      <c r="AV8" s="455" t="s">
        <v>1206</v>
      </c>
      <c r="AW8" s="455" t="s">
        <v>1206</v>
      </c>
      <c r="AX8" s="455" t="s">
        <v>1206</v>
      </c>
      <c r="AY8" s="455" t="s">
        <v>1206</v>
      </c>
      <c r="AZ8" s="455" t="s">
        <v>1206</v>
      </c>
      <c r="BA8" s="455" t="s">
        <v>1206</v>
      </c>
      <c r="BB8" s="455" t="s">
        <v>1206</v>
      </c>
      <c r="BC8" s="455" t="s">
        <v>1206</v>
      </c>
      <c r="BD8" s="455" t="s">
        <v>1206</v>
      </c>
      <c r="BE8" s="455" t="s">
        <v>1206</v>
      </c>
      <c r="BF8" s="455" t="s">
        <v>1206</v>
      </c>
      <c r="BG8" s="455" t="s">
        <v>1206</v>
      </c>
      <c r="BH8" s="455" t="s">
        <v>1206</v>
      </c>
      <c r="BI8" s="455" t="s">
        <v>1206</v>
      </c>
      <c r="BJ8" s="455" t="s">
        <v>1206</v>
      </c>
      <c r="BK8" s="455" t="s">
        <v>1206</v>
      </c>
      <c r="BL8" s="455" t="s">
        <v>1206</v>
      </c>
      <c r="BM8" s="455" t="s">
        <v>1206</v>
      </c>
      <c r="BN8" s="455" t="s">
        <v>1206</v>
      </c>
      <c r="BO8" s="455" t="s">
        <v>1206</v>
      </c>
      <c r="BP8" s="455" t="s">
        <v>1206</v>
      </c>
      <c r="BQ8" s="455" t="s">
        <v>1206</v>
      </c>
      <c r="BR8" s="455" t="s">
        <v>1206</v>
      </c>
      <c r="BS8" s="455" t="s">
        <v>1206</v>
      </c>
      <c r="BT8" s="455" t="s">
        <v>1206</v>
      </c>
      <c r="BU8" s="455" t="s">
        <v>1206</v>
      </c>
      <c r="BV8" s="455" t="s">
        <v>1206</v>
      </c>
      <c r="BW8" s="455" t="s">
        <v>1206</v>
      </c>
      <c r="BX8" s="455" t="s">
        <v>1206</v>
      </c>
      <c r="BY8" s="455" t="s">
        <v>1206</v>
      </c>
      <c r="BZ8" s="455" t="s">
        <v>1206</v>
      </c>
      <c r="CA8" s="455" t="s">
        <v>1206</v>
      </c>
      <c r="CB8" s="455" t="s">
        <v>1206</v>
      </c>
      <c r="CC8" s="455" t="s">
        <v>1206</v>
      </c>
      <c r="CD8" s="455" t="s">
        <v>1206</v>
      </c>
      <c r="CE8" s="456" t="s">
        <v>1206</v>
      </c>
      <c r="CF8" s="457" t="s">
        <v>1206</v>
      </c>
      <c r="CG8" s="457" t="s">
        <v>1206</v>
      </c>
      <c r="CH8" s="458" t="s">
        <v>1206</v>
      </c>
      <c r="CI8" s="459" t="s">
        <v>1206</v>
      </c>
      <c r="CJ8" s="460" t="s">
        <v>1206</v>
      </c>
      <c r="CK8" s="457" t="s">
        <v>1206</v>
      </c>
      <c r="CL8" s="457" t="s">
        <v>1206</v>
      </c>
      <c r="CM8" s="457" t="s">
        <v>1206</v>
      </c>
      <c r="CN8" s="458" t="s">
        <v>1206</v>
      </c>
      <c r="CO8" s="459" t="s">
        <v>1206</v>
      </c>
      <c r="CP8" s="460" t="s">
        <v>1206</v>
      </c>
      <c r="CQ8" s="457" t="s">
        <v>1206</v>
      </c>
      <c r="CR8" s="457" t="s">
        <v>1206</v>
      </c>
      <c r="CS8" s="457" t="s">
        <v>1206</v>
      </c>
      <c r="CT8" s="458" t="s">
        <v>1206</v>
      </c>
      <c r="CU8" s="459" t="s">
        <v>1206</v>
      </c>
      <c r="CV8" s="460" t="s">
        <v>1206</v>
      </c>
      <c r="CW8" s="461" t="s">
        <v>1206</v>
      </c>
      <c r="CX8" s="461" t="s">
        <v>1206</v>
      </c>
      <c r="CY8" s="461" t="s">
        <v>1206</v>
      </c>
      <c r="CZ8" s="461" t="s">
        <v>1206</v>
      </c>
      <c r="DA8" s="461" t="s">
        <v>1206</v>
      </c>
      <c r="DB8" s="461" t="s">
        <v>1206</v>
      </c>
      <c r="DC8" s="461" t="s">
        <v>1206</v>
      </c>
      <c r="DD8" s="461" t="s">
        <v>1206</v>
      </c>
      <c r="DE8" s="461" t="s">
        <v>1206</v>
      </c>
      <c r="DF8" s="461" t="s">
        <v>1206</v>
      </c>
      <c r="DG8" s="461" t="s">
        <v>1206</v>
      </c>
      <c r="DH8" s="461" t="s">
        <v>1206</v>
      </c>
      <c r="DI8" s="461" t="s">
        <v>1206</v>
      </c>
      <c r="DJ8" s="461" t="s">
        <v>1206</v>
      </c>
      <c r="DK8" s="461" t="s">
        <v>1206</v>
      </c>
      <c r="DL8" s="461" t="s">
        <v>1206</v>
      </c>
      <c r="DM8" s="461" t="s">
        <v>1206</v>
      </c>
      <c r="DN8" s="461" t="s">
        <v>1206</v>
      </c>
      <c r="DO8" s="461" t="s">
        <v>1206</v>
      </c>
      <c r="DP8" s="461" t="s">
        <v>1206</v>
      </c>
      <c r="DQ8" s="461" t="s">
        <v>1206</v>
      </c>
      <c r="DR8" s="461" t="s">
        <v>1206</v>
      </c>
      <c r="DS8" s="461" t="s">
        <v>1206</v>
      </c>
      <c r="DT8" s="461" t="s">
        <v>1206</v>
      </c>
      <c r="DU8" s="461" t="s">
        <v>1206</v>
      </c>
      <c r="DV8" s="461" t="s">
        <v>1206</v>
      </c>
      <c r="DW8" s="461" t="s">
        <v>1206</v>
      </c>
      <c r="DX8" s="461" t="s">
        <v>1206</v>
      </c>
      <c r="DY8" s="461" t="s">
        <v>1206</v>
      </c>
      <c r="DZ8" s="461" t="s">
        <v>1206</v>
      </c>
      <c r="EA8" s="461" t="s">
        <v>1206</v>
      </c>
      <c r="EB8" s="461" t="s">
        <v>1206</v>
      </c>
      <c r="EC8" s="461" t="s">
        <v>1206</v>
      </c>
      <c r="ED8" s="461" t="s">
        <v>1206</v>
      </c>
      <c r="EE8" s="461" t="s">
        <v>1206</v>
      </c>
      <c r="EF8" s="461" t="s">
        <v>1206</v>
      </c>
      <c r="EG8" s="461" t="s">
        <v>1206</v>
      </c>
      <c r="EH8" s="461" t="s">
        <v>1206</v>
      </c>
      <c r="EI8" s="461" t="s">
        <v>1206</v>
      </c>
      <c r="EJ8" s="461" t="s">
        <v>1206</v>
      </c>
      <c r="EK8" s="461" t="s">
        <v>1206</v>
      </c>
      <c r="EL8" s="461" t="s">
        <v>1206</v>
      </c>
      <c r="EM8" s="461" t="s">
        <v>1206</v>
      </c>
      <c r="EN8" s="461" t="s">
        <v>1206</v>
      </c>
      <c r="EO8" s="461" t="s">
        <v>1206</v>
      </c>
      <c r="EP8" s="461" t="s">
        <v>1206</v>
      </c>
      <c r="EQ8" s="461" t="s">
        <v>1206</v>
      </c>
      <c r="ER8" s="461" t="s">
        <v>1206</v>
      </c>
      <c r="ES8" s="461" t="s">
        <v>1206</v>
      </c>
      <c r="ET8" s="461" t="s">
        <v>1206</v>
      </c>
      <c r="EU8" s="461" t="s">
        <v>1206</v>
      </c>
      <c r="EV8" s="461" t="s">
        <v>1206</v>
      </c>
      <c r="EW8" s="461" t="s">
        <v>1206</v>
      </c>
      <c r="EX8" s="461" t="s">
        <v>1206</v>
      </c>
      <c r="EY8" s="461" t="s">
        <v>1206</v>
      </c>
      <c r="EZ8" s="461" t="s">
        <v>1206</v>
      </c>
      <c r="FA8" s="461" t="s">
        <v>1206</v>
      </c>
      <c r="FB8" s="461" t="s">
        <v>1206</v>
      </c>
      <c r="FC8" s="461" t="s">
        <v>1206</v>
      </c>
      <c r="FD8" s="461" t="s">
        <v>1206</v>
      </c>
      <c r="FE8" s="461" t="s">
        <v>1206</v>
      </c>
      <c r="FF8" s="461" t="s">
        <v>1206</v>
      </c>
      <c r="FG8" s="461" t="s">
        <v>1206</v>
      </c>
      <c r="FH8" s="461" t="s">
        <v>1206</v>
      </c>
      <c r="FI8" s="461" t="s">
        <v>1206</v>
      </c>
      <c r="FJ8" s="461" t="s">
        <v>1206</v>
      </c>
      <c r="FK8" s="461" t="s">
        <v>1206</v>
      </c>
      <c r="FL8" s="461" t="s">
        <v>1206</v>
      </c>
      <c r="FM8" s="461" t="s">
        <v>1206</v>
      </c>
      <c r="FN8" s="461" t="s">
        <v>1206</v>
      </c>
      <c r="FO8" s="461" t="s">
        <v>1206</v>
      </c>
      <c r="FP8" s="461" t="s">
        <v>1206</v>
      </c>
      <c r="FQ8" s="461" t="s">
        <v>1206</v>
      </c>
      <c r="FR8" s="461" t="s">
        <v>1206</v>
      </c>
      <c r="FS8" s="461" t="s">
        <v>1206</v>
      </c>
    </row>
    <row r="9" spans="1:175" x14ac:dyDescent="0.2">
      <c r="A9" s="450" t="s">
        <v>1206</v>
      </c>
      <c r="B9" s="450" t="s">
        <v>1206</v>
      </c>
      <c r="C9" s="450" t="s">
        <v>1206</v>
      </c>
      <c r="D9" s="450" t="s">
        <v>1206</v>
      </c>
      <c r="E9" s="462" t="s">
        <v>1206</v>
      </c>
      <c r="F9" s="451" t="s">
        <v>1206</v>
      </c>
      <c r="G9" s="452" t="s">
        <v>1206</v>
      </c>
      <c r="H9" s="453" t="s">
        <v>1206</v>
      </c>
      <c r="I9" s="454" t="s">
        <v>1206</v>
      </c>
      <c r="J9" s="454" t="s">
        <v>1206</v>
      </c>
      <c r="K9" s="454" t="s">
        <v>1206</v>
      </c>
      <c r="L9" s="454" t="s">
        <v>1206</v>
      </c>
      <c r="M9" s="454" t="s">
        <v>1206</v>
      </c>
      <c r="N9" s="454" t="s">
        <v>1206</v>
      </c>
      <c r="O9" s="454" t="s">
        <v>1206</v>
      </c>
      <c r="P9" s="454" t="s">
        <v>1206</v>
      </c>
      <c r="Q9" s="454" t="s">
        <v>1206</v>
      </c>
      <c r="R9" s="454" t="s">
        <v>1206</v>
      </c>
      <c r="S9" s="454" t="s">
        <v>1206</v>
      </c>
      <c r="T9" s="454" t="s">
        <v>1206</v>
      </c>
      <c r="U9" s="455" t="s">
        <v>1206</v>
      </c>
      <c r="V9" s="455" t="s">
        <v>1206</v>
      </c>
      <c r="W9" s="455" t="s">
        <v>1206</v>
      </c>
      <c r="X9" s="455" t="s">
        <v>1206</v>
      </c>
      <c r="Y9" s="455" t="s">
        <v>1206</v>
      </c>
      <c r="Z9" s="455" t="s">
        <v>1206</v>
      </c>
      <c r="AA9" s="455" t="s">
        <v>1206</v>
      </c>
      <c r="AB9" s="455" t="s">
        <v>1206</v>
      </c>
      <c r="AC9" s="455" t="s">
        <v>1206</v>
      </c>
      <c r="AD9" s="455" t="s">
        <v>1206</v>
      </c>
      <c r="AE9" s="455" t="s">
        <v>1206</v>
      </c>
      <c r="AF9" s="455" t="s">
        <v>1206</v>
      </c>
      <c r="AG9" s="455" t="s">
        <v>1206</v>
      </c>
      <c r="AH9" s="455" t="s">
        <v>1206</v>
      </c>
      <c r="AI9" s="455" t="s">
        <v>1206</v>
      </c>
      <c r="AJ9" s="455" t="s">
        <v>1206</v>
      </c>
      <c r="AK9" s="455" t="s">
        <v>1206</v>
      </c>
      <c r="AL9" s="455" t="s">
        <v>1206</v>
      </c>
      <c r="AM9" s="455" t="s">
        <v>1206</v>
      </c>
      <c r="AN9" s="455" t="s">
        <v>1206</v>
      </c>
      <c r="AO9" s="455" t="s">
        <v>1206</v>
      </c>
      <c r="AP9" s="455" t="s">
        <v>1206</v>
      </c>
      <c r="AQ9" s="455" t="s">
        <v>1206</v>
      </c>
      <c r="AR9" s="455" t="s">
        <v>1206</v>
      </c>
      <c r="AS9" s="455" t="s">
        <v>1206</v>
      </c>
      <c r="AT9" s="455" t="s">
        <v>1206</v>
      </c>
      <c r="AU9" s="455" t="s">
        <v>1206</v>
      </c>
      <c r="AV9" s="455" t="s">
        <v>1206</v>
      </c>
      <c r="AW9" s="455" t="s">
        <v>1206</v>
      </c>
      <c r="AX9" s="455" t="s">
        <v>1206</v>
      </c>
      <c r="AY9" s="455" t="s">
        <v>1206</v>
      </c>
      <c r="AZ9" s="455" t="s">
        <v>1206</v>
      </c>
      <c r="BA9" s="455" t="s">
        <v>1206</v>
      </c>
      <c r="BB9" s="455" t="s">
        <v>1206</v>
      </c>
      <c r="BC9" s="455" t="s">
        <v>1206</v>
      </c>
      <c r="BD9" s="455" t="s">
        <v>1206</v>
      </c>
      <c r="BE9" s="455" t="s">
        <v>1206</v>
      </c>
      <c r="BF9" s="455" t="s">
        <v>1206</v>
      </c>
      <c r="BG9" s="455" t="s">
        <v>1206</v>
      </c>
      <c r="BH9" s="455" t="s">
        <v>1206</v>
      </c>
      <c r="BI9" s="455" t="s">
        <v>1206</v>
      </c>
      <c r="BJ9" s="455" t="s">
        <v>1206</v>
      </c>
      <c r="BK9" s="455" t="s">
        <v>1206</v>
      </c>
      <c r="BL9" s="455" t="s">
        <v>1206</v>
      </c>
      <c r="BM9" s="455" t="s">
        <v>1206</v>
      </c>
      <c r="BN9" s="455" t="s">
        <v>1206</v>
      </c>
      <c r="BO9" s="455" t="s">
        <v>1206</v>
      </c>
      <c r="BP9" s="455" t="s">
        <v>1206</v>
      </c>
      <c r="BQ9" s="455" t="s">
        <v>1206</v>
      </c>
      <c r="BR9" s="455" t="s">
        <v>1206</v>
      </c>
      <c r="BS9" s="455" t="s">
        <v>1206</v>
      </c>
      <c r="BT9" s="455" t="s">
        <v>1206</v>
      </c>
      <c r="BU9" s="455" t="s">
        <v>1206</v>
      </c>
      <c r="BV9" s="455" t="s">
        <v>1206</v>
      </c>
      <c r="BW9" s="455" t="s">
        <v>1206</v>
      </c>
      <c r="BX9" s="455" t="s">
        <v>1206</v>
      </c>
      <c r="BY9" s="455" t="s">
        <v>1206</v>
      </c>
      <c r="BZ9" s="455" t="s">
        <v>1206</v>
      </c>
      <c r="CA9" s="455" t="s">
        <v>1206</v>
      </c>
      <c r="CB9" s="455" t="s">
        <v>1206</v>
      </c>
      <c r="CC9" s="455" t="s">
        <v>1206</v>
      </c>
      <c r="CD9" s="455" t="s">
        <v>1206</v>
      </c>
      <c r="CE9" s="456" t="s">
        <v>1206</v>
      </c>
      <c r="CF9" s="457" t="s">
        <v>1206</v>
      </c>
      <c r="CG9" s="457" t="s">
        <v>1206</v>
      </c>
      <c r="CH9" s="458" t="s">
        <v>1206</v>
      </c>
      <c r="CI9" s="459" t="s">
        <v>1206</v>
      </c>
      <c r="CJ9" s="460" t="s">
        <v>1206</v>
      </c>
      <c r="CK9" s="457" t="s">
        <v>1206</v>
      </c>
      <c r="CL9" s="457" t="s">
        <v>1206</v>
      </c>
      <c r="CM9" s="457" t="s">
        <v>1206</v>
      </c>
      <c r="CN9" s="458" t="s">
        <v>1206</v>
      </c>
      <c r="CO9" s="459" t="s">
        <v>1206</v>
      </c>
      <c r="CP9" s="460" t="s">
        <v>1206</v>
      </c>
      <c r="CQ9" s="457" t="s">
        <v>1206</v>
      </c>
      <c r="CR9" s="457" t="s">
        <v>1206</v>
      </c>
      <c r="CS9" s="457" t="s">
        <v>1206</v>
      </c>
      <c r="CT9" s="458" t="s">
        <v>1206</v>
      </c>
      <c r="CU9" s="459" t="s">
        <v>1206</v>
      </c>
      <c r="CV9" s="460" t="s">
        <v>1206</v>
      </c>
      <c r="CW9" s="461" t="s">
        <v>1206</v>
      </c>
      <c r="CX9" s="461" t="s">
        <v>1206</v>
      </c>
      <c r="CY9" s="461" t="s">
        <v>1206</v>
      </c>
      <c r="CZ9" s="461" t="s">
        <v>1206</v>
      </c>
      <c r="DA9" s="461" t="s">
        <v>1206</v>
      </c>
      <c r="DB9" s="461" t="s">
        <v>1206</v>
      </c>
      <c r="DC9" s="461" t="s">
        <v>1206</v>
      </c>
      <c r="DD9" s="461" t="s">
        <v>1206</v>
      </c>
      <c r="DE9" s="461" t="s">
        <v>1206</v>
      </c>
      <c r="DF9" s="461" t="s">
        <v>1206</v>
      </c>
      <c r="DG9" s="461" t="s">
        <v>1206</v>
      </c>
      <c r="DH9" s="461" t="s">
        <v>1206</v>
      </c>
      <c r="DI9" s="461" t="s">
        <v>1206</v>
      </c>
      <c r="DJ9" s="461" t="s">
        <v>1206</v>
      </c>
      <c r="DK9" s="461" t="s">
        <v>1206</v>
      </c>
      <c r="DL9" s="461" t="s">
        <v>1206</v>
      </c>
      <c r="DM9" s="461" t="s">
        <v>1206</v>
      </c>
      <c r="DN9" s="461" t="s">
        <v>1206</v>
      </c>
      <c r="DO9" s="461" t="s">
        <v>1206</v>
      </c>
      <c r="DP9" s="461" t="s">
        <v>1206</v>
      </c>
      <c r="DQ9" s="461" t="s">
        <v>1206</v>
      </c>
      <c r="DR9" s="461" t="s">
        <v>1206</v>
      </c>
      <c r="DS9" s="461" t="s">
        <v>1206</v>
      </c>
      <c r="DT9" s="461" t="s">
        <v>1206</v>
      </c>
      <c r="DU9" s="461" t="s">
        <v>1206</v>
      </c>
      <c r="DV9" s="461" t="s">
        <v>1206</v>
      </c>
      <c r="DW9" s="461" t="s">
        <v>1206</v>
      </c>
      <c r="DX9" s="461" t="s">
        <v>1206</v>
      </c>
      <c r="DY9" s="461" t="s">
        <v>1206</v>
      </c>
      <c r="DZ9" s="461" t="s">
        <v>1206</v>
      </c>
      <c r="EA9" s="461" t="s">
        <v>1206</v>
      </c>
      <c r="EB9" s="461" t="s">
        <v>1206</v>
      </c>
      <c r="EC9" s="461" t="s">
        <v>1206</v>
      </c>
      <c r="ED9" s="461" t="s">
        <v>1206</v>
      </c>
      <c r="EE9" s="461" t="s">
        <v>1206</v>
      </c>
      <c r="EF9" s="461" t="s">
        <v>1206</v>
      </c>
      <c r="EG9" s="461" t="s">
        <v>1206</v>
      </c>
      <c r="EH9" s="461" t="s">
        <v>1206</v>
      </c>
      <c r="EI9" s="461" t="s">
        <v>1206</v>
      </c>
      <c r="EJ9" s="461" t="s">
        <v>1206</v>
      </c>
      <c r="EK9" s="461" t="s">
        <v>1206</v>
      </c>
      <c r="EL9" s="461" t="s">
        <v>1206</v>
      </c>
      <c r="EM9" s="461" t="s">
        <v>1206</v>
      </c>
      <c r="EN9" s="461" t="s">
        <v>1206</v>
      </c>
      <c r="EO9" s="461" t="s">
        <v>1206</v>
      </c>
      <c r="EP9" s="461" t="s">
        <v>1206</v>
      </c>
      <c r="EQ9" s="461" t="s">
        <v>1206</v>
      </c>
      <c r="ER9" s="461" t="s">
        <v>1206</v>
      </c>
      <c r="ES9" s="461" t="s">
        <v>1206</v>
      </c>
      <c r="ET9" s="461" t="s">
        <v>1206</v>
      </c>
      <c r="EU9" s="461" t="s">
        <v>1206</v>
      </c>
      <c r="EV9" s="461" t="s">
        <v>1206</v>
      </c>
      <c r="EW9" s="461" t="s">
        <v>1206</v>
      </c>
      <c r="EX9" s="461" t="s">
        <v>1206</v>
      </c>
      <c r="EY9" s="461" t="s">
        <v>1206</v>
      </c>
      <c r="EZ9" s="461" t="s">
        <v>1206</v>
      </c>
      <c r="FA9" s="461" t="s">
        <v>1206</v>
      </c>
      <c r="FB9" s="461" t="s">
        <v>1206</v>
      </c>
      <c r="FC9" s="461" t="s">
        <v>1206</v>
      </c>
      <c r="FD9" s="461" t="s">
        <v>1206</v>
      </c>
      <c r="FE9" s="461" t="s">
        <v>1206</v>
      </c>
      <c r="FF9" s="461" t="s">
        <v>1206</v>
      </c>
      <c r="FG9" s="461" t="s">
        <v>1206</v>
      </c>
      <c r="FH9" s="461" t="s">
        <v>1206</v>
      </c>
      <c r="FI9" s="461" t="s">
        <v>1206</v>
      </c>
      <c r="FJ9" s="461" t="s">
        <v>1206</v>
      </c>
      <c r="FK9" s="461" t="s">
        <v>1206</v>
      </c>
      <c r="FL9" s="461" t="s">
        <v>1206</v>
      </c>
      <c r="FM9" s="461" t="s">
        <v>1206</v>
      </c>
      <c r="FN9" s="461" t="s">
        <v>1206</v>
      </c>
      <c r="FO9" s="461" t="s">
        <v>1206</v>
      </c>
      <c r="FP9" s="461" t="s">
        <v>1206</v>
      </c>
      <c r="FQ9" s="461" t="s">
        <v>1206</v>
      </c>
      <c r="FR9" s="461" t="s">
        <v>1206</v>
      </c>
      <c r="FS9" s="461" t="s">
        <v>1206</v>
      </c>
    </row>
    <row r="10" spans="1:175" x14ac:dyDescent="0.2">
      <c r="A10" s="450" t="s">
        <v>1206</v>
      </c>
      <c r="B10" s="450" t="s">
        <v>1206</v>
      </c>
      <c r="C10" s="450" t="s">
        <v>1206</v>
      </c>
      <c r="D10" s="450" t="s">
        <v>1206</v>
      </c>
      <c r="E10" s="462" t="s">
        <v>1206</v>
      </c>
      <c r="F10" s="451" t="s">
        <v>1206</v>
      </c>
      <c r="G10" s="452" t="s">
        <v>1206</v>
      </c>
      <c r="H10" s="453" t="s">
        <v>1206</v>
      </c>
      <c r="I10" s="454" t="s">
        <v>1206</v>
      </c>
      <c r="J10" s="454" t="s">
        <v>1206</v>
      </c>
      <c r="K10" s="454" t="s">
        <v>1206</v>
      </c>
      <c r="L10" s="454" t="s">
        <v>1206</v>
      </c>
      <c r="M10" s="454" t="s">
        <v>1206</v>
      </c>
      <c r="N10" s="454" t="s">
        <v>1206</v>
      </c>
      <c r="O10" s="454" t="s">
        <v>1206</v>
      </c>
      <c r="P10" s="454" t="s">
        <v>1206</v>
      </c>
      <c r="Q10" s="454" t="s">
        <v>1206</v>
      </c>
      <c r="R10" s="454" t="s">
        <v>1206</v>
      </c>
      <c r="S10" s="454" t="s">
        <v>1206</v>
      </c>
      <c r="T10" s="454" t="s">
        <v>1206</v>
      </c>
      <c r="U10" s="455" t="s">
        <v>1206</v>
      </c>
      <c r="V10" s="455" t="s">
        <v>1206</v>
      </c>
      <c r="W10" s="455" t="s">
        <v>1206</v>
      </c>
      <c r="X10" s="455" t="s">
        <v>1206</v>
      </c>
      <c r="Y10" s="455" t="s">
        <v>1206</v>
      </c>
      <c r="Z10" s="455" t="s">
        <v>1206</v>
      </c>
      <c r="AA10" s="455" t="s">
        <v>1206</v>
      </c>
      <c r="AB10" s="455" t="s">
        <v>1206</v>
      </c>
      <c r="AC10" s="455" t="s">
        <v>1206</v>
      </c>
      <c r="AD10" s="455" t="s">
        <v>1206</v>
      </c>
      <c r="AE10" s="455" t="s">
        <v>1206</v>
      </c>
      <c r="AF10" s="455" t="s">
        <v>1206</v>
      </c>
      <c r="AG10" s="455" t="s">
        <v>1206</v>
      </c>
      <c r="AH10" s="455" t="s">
        <v>1206</v>
      </c>
      <c r="AI10" s="455" t="s">
        <v>1206</v>
      </c>
      <c r="AJ10" s="455" t="s">
        <v>1206</v>
      </c>
      <c r="AK10" s="455" t="s">
        <v>1206</v>
      </c>
      <c r="AL10" s="455" t="s">
        <v>1206</v>
      </c>
      <c r="AM10" s="455" t="s">
        <v>1206</v>
      </c>
      <c r="AN10" s="455" t="s">
        <v>1206</v>
      </c>
      <c r="AO10" s="455" t="s">
        <v>1206</v>
      </c>
      <c r="AP10" s="455" t="s">
        <v>1206</v>
      </c>
      <c r="AQ10" s="455" t="s">
        <v>1206</v>
      </c>
      <c r="AR10" s="455" t="s">
        <v>1206</v>
      </c>
      <c r="AS10" s="455" t="s">
        <v>1206</v>
      </c>
      <c r="AT10" s="455" t="s">
        <v>1206</v>
      </c>
      <c r="AU10" s="455" t="s">
        <v>1206</v>
      </c>
      <c r="AV10" s="455" t="s">
        <v>1206</v>
      </c>
      <c r="AW10" s="455" t="s">
        <v>1206</v>
      </c>
      <c r="AX10" s="455" t="s">
        <v>1206</v>
      </c>
      <c r="AY10" s="455" t="s">
        <v>1206</v>
      </c>
      <c r="AZ10" s="455" t="s">
        <v>1206</v>
      </c>
      <c r="BA10" s="455" t="s">
        <v>1206</v>
      </c>
      <c r="BB10" s="455" t="s">
        <v>1206</v>
      </c>
      <c r="BC10" s="455" t="s">
        <v>1206</v>
      </c>
      <c r="BD10" s="455" t="s">
        <v>1206</v>
      </c>
      <c r="BE10" s="455" t="s">
        <v>1206</v>
      </c>
      <c r="BF10" s="455" t="s">
        <v>1206</v>
      </c>
      <c r="BG10" s="455" t="s">
        <v>1206</v>
      </c>
      <c r="BH10" s="455" t="s">
        <v>1206</v>
      </c>
      <c r="BI10" s="455" t="s">
        <v>1206</v>
      </c>
      <c r="BJ10" s="455" t="s">
        <v>1206</v>
      </c>
      <c r="BK10" s="455" t="s">
        <v>1206</v>
      </c>
      <c r="BL10" s="455" t="s">
        <v>1206</v>
      </c>
      <c r="BM10" s="455" t="s">
        <v>1206</v>
      </c>
      <c r="BN10" s="455" t="s">
        <v>1206</v>
      </c>
      <c r="BO10" s="455" t="s">
        <v>1206</v>
      </c>
      <c r="BP10" s="455" t="s">
        <v>1206</v>
      </c>
      <c r="BQ10" s="455" t="s">
        <v>1206</v>
      </c>
      <c r="BR10" s="455" t="s">
        <v>1206</v>
      </c>
      <c r="BS10" s="455" t="s">
        <v>1206</v>
      </c>
      <c r="BT10" s="455" t="s">
        <v>1206</v>
      </c>
      <c r="BU10" s="455" t="s">
        <v>1206</v>
      </c>
      <c r="BV10" s="455" t="s">
        <v>1206</v>
      </c>
      <c r="BW10" s="455" t="s">
        <v>1206</v>
      </c>
      <c r="BX10" s="455" t="s">
        <v>1206</v>
      </c>
      <c r="BY10" s="455" t="s">
        <v>1206</v>
      </c>
      <c r="BZ10" s="455" t="s">
        <v>1206</v>
      </c>
      <c r="CA10" s="455" t="s">
        <v>1206</v>
      </c>
      <c r="CB10" s="455" t="s">
        <v>1206</v>
      </c>
      <c r="CC10" s="455" t="s">
        <v>1206</v>
      </c>
      <c r="CD10" s="455" t="s">
        <v>1206</v>
      </c>
      <c r="CE10" s="456" t="s">
        <v>1206</v>
      </c>
      <c r="CF10" s="457" t="s">
        <v>1206</v>
      </c>
      <c r="CG10" s="457" t="s">
        <v>1206</v>
      </c>
      <c r="CH10" s="458" t="s">
        <v>1206</v>
      </c>
      <c r="CI10" s="459" t="s">
        <v>1206</v>
      </c>
      <c r="CJ10" s="460" t="s">
        <v>1206</v>
      </c>
      <c r="CK10" s="457" t="s">
        <v>1206</v>
      </c>
      <c r="CL10" s="457" t="s">
        <v>1206</v>
      </c>
      <c r="CM10" s="457" t="s">
        <v>1206</v>
      </c>
      <c r="CN10" s="458" t="s">
        <v>1206</v>
      </c>
      <c r="CO10" s="459" t="s">
        <v>1206</v>
      </c>
      <c r="CP10" s="460" t="s">
        <v>1206</v>
      </c>
      <c r="CQ10" s="457" t="s">
        <v>1206</v>
      </c>
      <c r="CR10" s="457" t="s">
        <v>1206</v>
      </c>
      <c r="CS10" s="457" t="s">
        <v>1206</v>
      </c>
      <c r="CT10" s="458" t="s">
        <v>1206</v>
      </c>
      <c r="CU10" s="459" t="s">
        <v>1206</v>
      </c>
      <c r="CV10" s="460" t="s">
        <v>1206</v>
      </c>
      <c r="CW10" s="461" t="s">
        <v>1206</v>
      </c>
      <c r="CX10" s="461" t="s">
        <v>1206</v>
      </c>
      <c r="CY10" s="461" t="s">
        <v>1206</v>
      </c>
      <c r="CZ10" s="461" t="s">
        <v>1206</v>
      </c>
      <c r="DA10" s="461" t="s">
        <v>1206</v>
      </c>
      <c r="DB10" s="461" t="s">
        <v>1206</v>
      </c>
      <c r="DC10" s="461" t="s">
        <v>1206</v>
      </c>
      <c r="DD10" s="461" t="s">
        <v>1206</v>
      </c>
      <c r="DE10" s="461" t="s">
        <v>1206</v>
      </c>
      <c r="DF10" s="461" t="s">
        <v>1206</v>
      </c>
      <c r="DG10" s="461" t="s">
        <v>1206</v>
      </c>
      <c r="DH10" s="461" t="s">
        <v>1206</v>
      </c>
      <c r="DI10" s="461" t="s">
        <v>1206</v>
      </c>
      <c r="DJ10" s="461" t="s">
        <v>1206</v>
      </c>
      <c r="DK10" s="461" t="s">
        <v>1206</v>
      </c>
      <c r="DL10" s="461" t="s">
        <v>1206</v>
      </c>
      <c r="DM10" s="461" t="s">
        <v>1206</v>
      </c>
      <c r="DN10" s="461" t="s">
        <v>1206</v>
      </c>
      <c r="DO10" s="461" t="s">
        <v>1206</v>
      </c>
      <c r="DP10" s="461" t="s">
        <v>1206</v>
      </c>
      <c r="DQ10" s="461" t="s">
        <v>1206</v>
      </c>
      <c r="DR10" s="461" t="s">
        <v>1206</v>
      </c>
      <c r="DS10" s="461" t="s">
        <v>1206</v>
      </c>
      <c r="DT10" s="461" t="s">
        <v>1206</v>
      </c>
      <c r="DU10" s="461" t="s">
        <v>1206</v>
      </c>
      <c r="DV10" s="461" t="s">
        <v>1206</v>
      </c>
      <c r="DW10" s="461" t="s">
        <v>1206</v>
      </c>
      <c r="DX10" s="461" t="s">
        <v>1206</v>
      </c>
      <c r="DY10" s="461" t="s">
        <v>1206</v>
      </c>
      <c r="DZ10" s="461" t="s">
        <v>1206</v>
      </c>
      <c r="EA10" s="461" t="s">
        <v>1206</v>
      </c>
      <c r="EB10" s="461" t="s">
        <v>1206</v>
      </c>
      <c r="EC10" s="461" t="s">
        <v>1206</v>
      </c>
      <c r="ED10" s="461" t="s">
        <v>1206</v>
      </c>
      <c r="EE10" s="461" t="s">
        <v>1206</v>
      </c>
      <c r="EF10" s="461" t="s">
        <v>1206</v>
      </c>
      <c r="EG10" s="461" t="s">
        <v>1206</v>
      </c>
      <c r="EH10" s="461" t="s">
        <v>1206</v>
      </c>
      <c r="EI10" s="461" t="s">
        <v>1206</v>
      </c>
      <c r="EJ10" s="461" t="s">
        <v>1206</v>
      </c>
      <c r="EK10" s="461" t="s">
        <v>1206</v>
      </c>
      <c r="EL10" s="461" t="s">
        <v>1206</v>
      </c>
      <c r="EM10" s="461" t="s">
        <v>1206</v>
      </c>
      <c r="EN10" s="461" t="s">
        <v>1206</v>
      </c>
      <c r="EO10" s="461" t="s">
        <v>1206</v>
      </c>
      <c r="EP10" s="461" t="s">
        <v>1206</v>
      </c>
      <c r="EQ10" s="461" t="s">
        <v>1206</v>
      </c>
      <c r="ER10" s="461" t="s">
        <v>1206</v>
      </c>
      <c r="ES10" s="461" t="s">
        <v>1206</v>
      </c>
      <c r="ET10" s="461" t="s">
        <v>1206</v>
      </c>
      <c r="EU10" s="461" t="s">
        <v>1206</v>
      </c>
      <c r="EV10" s="461" t="s">
        <v>1206</v>
      </c>
      <c r="EW10" s="461" t="s">
        <v>1206</v>
      </c>
      <c r="EX10" s="461" t="s">
        <v>1206</v>
      </c>
      <c r="EY10" s="461" t="s">
        <v>1206</v>
      </c>
      <c r="EZ10" s="461" t="s">
        <v>1206</v>
      </c>
      <c r="FA10" s="461" t="s">
        <v>1206</v>
      </c>
      <c r="FB10" s="461" t="s">
        <v>1206</v>
      </c>
      <c r="FC10" s="461" t="s">
        <v>1206</v>
      </c>
      <c r="FD10" s="461" t="s">
        <v>1206</v>
      </c>
      <c r="FE10" s="461" t="s">
        <v>1206</v>
      </c>
      <c r="FF10" s="461" t="s">
        <v>1206</v>
      </c>
      <c r="FG10" s="461" t="s">
        <v>1206</v>
      </c>
      <c r="FH10" s="461" t="s">
        <v>1206</v>
      </c>
      <c r="FI10" s="461" t="s">
        <v>1206</v>
      </c>
      <c r="FJ10" s="461" t="s">
        <v>1206</v>
      </c>
      <c r="FK10" s="461" t="s">
        <v>1206</v>
      </c>
      <c r="FL10" s="461" t="s">
        <v>1206</v>
      </c>
      <c r="FM10" s="461" t="s">
        <v>1206</v>
      </c>
      <c r="FN10" s="461" t="s">
        <v>1206</v>
      </c>
      <c r="FO10" s="461" t="s">
        <v>1206</v>
      </c>
      <c r="FP10" s="461" t="s">
        <v>1206</v>
      </c>
      <c r="FQ10" s="461" t="s">
        <v>1206</v>
      </c>
      <c r="FR10" s="461" t="s">
        <v>1206</v>
      </c>
      <c r="FS10" s="461" t="s">
        <v>1206</v>
      </c>
    </row>
    <row r="11" spans="1:175" x14ac:dyDescent="0.2">
      <c r="A11" s="450" t="s">
        <v>1206</v>
      </c>
      <c r="B11" s="450" t="s">
        <v>1206</v>
      </c>
      <c r="C11" s="450" t="s">
        <v>1206</v>
      </c>
      <c r="D11" s="450" t="s">
        <v>1206</v>
      </c>
      <c r="E11" s="462" t="s">
        <v>1206</v>
      </c>
      <c r="F11" s="451" t="s">
        <v>1206</v>
      </c>
      <c r="G11" s="452" t="s">
        <v>1206</v>
      </c>
      <c r="H11" s="453" t="s">
        <v>1206</v>
      </c>
      <c r="I11" s="454" t="s">
        <v>1206</v>
      </c>
      <c r="J11" s="454" t="s">
        <v>1206</v>
      </c>
      <c r="K11" s="454" t="s">
        <v>1206</v>
      </c>
      <c r="L11" s="454" t="s">
        <v>1206</v>
      </c>
      <c r="M11" s="454" t="s">
        <v>1206</v>
      </c>
      <c r="N11" s="454" t="s">
        <v>1206</v>
      </c>
      <c r="O11" s="454" t="s">
        <v>1206</v>
      </c>
      <c r="P11" s="454" t="s">
        <v>1206</v>
      </c>
      <c r="Q11" s="454" t="s">
        <v>1206</v>
      </c>
      <c r="R11" s="454" t="s">
        <v>1206</v>
      </c>
      <c r="S11" s="454" t="s">
        <v>1206</v>
      </c>
      <c r="T11" s="454" t="s">
        <v>1206</v>
      </c>
      <c r="U11" s="455" t="s">
        <v>1206</v>
      </c>
      <c r="V11" s="455" t="s">
        <v>1206</v>
      </c>
      <c r="W11" s="455" t="s">
        <v>1206</v>
      </c>
      <c r="X11" s="455" t="s">
        <v>1206</v>
      </c>
      <c r="Y11" s="455" t="s">
        <v>1206</v>
      </c>
      <c r="Z11" s="455" t="s">
        <v>1206</v>
      </c>
      <c r="AA11" s="455" t="s">
        <v>1206</v>
      </c>
      <c r="AB11" s="455" t="s">
        <v>1206</v>
      </c>
      <c r="AC11" s="455" t="s">
        <v>1206</v>
      </c>
      <c r="AD11" s="455" t="s">
        <v>1206</v>
      </c>
      <c r="AE11" s="455" t="s">
        <v>1206</v>
      </c>
      <c r="AF11" s="455" t="s">
        <v>1206</v>
      </c>
      <c r="AG11" s="455" t="s">
        <v>1206</v>
      </c>
      <c r="AH11" s="455" t="s">
        <v>1206</v>
      </c>
      <c r="AI11" s="455" t="s">
        <v>1206</v>
      </c>
      <c r="AJ11" s="455" t="s">
        <v>1206</v>
      </c>
      <c r="AK11" s="455" t="s">
        <v>1206</v>
      </c>
      <c r="AL11" s="455" t="s">
        <v>1206</v>
      </c>
      <c r="AM11" s="455" t="s">
        <v>1206</v>
      </c>
      <c r="AN11" s="455" t="s">
        <v>1206</v>
      </c>
      <c r="AO11" s="455" t="s">
        <v>1206</v>
      </c>
      <c r="AP11" s="455" t="s">
        <v>1206</v>
      </c>
      <c r="AQ11" s="455" t="s">
        <v>1206</v>
      </c>
      <c r="AR11" s="455" t="s">
        <v>1206</v>
      </c>
      <c r="AS11" s="455" t="s">
        <v>1206</v>
      </c>
      <c r="AT11" s="455" t="s">
        <v>1206</v>
      </c>
      <c r="AU11" s="455" t="s">
        <v>1206</v>
      </c>
      <c r="AV11" s="455" t="s">
        <v>1206</v>
      </c>
      <c r="AW11" s="455" t="s">
        <v>1206</v>
      </c>
      <c r="AX11" s="455" t="s">
        <v>1206</v>
      </c>
      <c r="AY11" s="455" t="s">
        <v>1206</v>
      </c>
      <c r="AZ11" s="455" t="s">
        <v>1206</v>
      </c>
      <c r="BA11" s="455" t="s">
        <v>1206</v>
      </c>
      <c r="BB11" s="455" t="s">
        <v>1206</v>
      </c>
      <c r="BC11" s="455" t="s">
        <v>1206</v>
      </c>
      <c r="BD11" s="455" t="s">
        <v>1206</v>
      </c>
      <c r="BE11" s="455" t="s">
        <v>1206</v>
      </c>
      <c r="BF11" s="455" t="s">
        <v>1206</v>
      </c>
      <c r="BG11" s="455" t="s">
        <v>1206</v>
      </c>
      <c r="BH11" s="455" t="s">
        <v>1206</v>
      </c>
      <c r="BI11" s="455" t="s">
        <v>1206</v>
      </c>
      <c r="BJ11" s="455" t="s">
        <v>1206</v>
      </c>
      <c r="BK11" s="455" t="s">
        <v>1206</v>
      </c>
      <c r="BL11" s="455" t="s">
        <v>1206</v>
      </c>
      <c r="BM11" s="455" t="s">
        <v>1206</v>
      </c>
      <c r="BN11" s="455" t="s">
        <v>1206</v>
      </c>
      <c r="BO11" s="455" t="s">
        <v>1206</v>
      </c>
      <c r="BP11" s="455" t="s">
        <v>1206</v>
      </c>
      <c r="BQ11" s="455" t="s">
        <v>1206</v>
      </c>
      <c r="BR11" s="455" t="s">
        <v>1206</v>
      </c>
      <c r="BS11" s="455" t="s">
        <v>1206</v>
      </c>
      <c r="BT11" s="455" t="s">
        <v>1206</v>
      </c>
      <c r="BU11" s="455" t="s">
        <v>1206</v>
      </c>
      <c r="BV11" s="455" t="s">
        <v>1206</v>
      </c>
      <c r="BW11" s="455" t="s">
        <v>1206</v>
      </c>
      <c r="BX11" s="455" t="s">
        <v>1206</v>
      </c>
      <c r="BY11" s="455" t="s">
        <v>1206</v>
      </c>
      <c r="BZ11" s="455" t="s">
        <v>1206</v>
      </c>
      <c r="CA11" s="455" t="s">
        <v>1206</v>
      </c>
      <c r="CB11" s="455" t="s">
        <v>1206</v>
      </c>
      <c r="CC11" s="455" t="s">
        <v>1206</v>
      </c>
      <c r="CD11" s="455" t="s">
        <v>1206</v>
      </c>
      <c r="CE11" s="456" t="s">
        <v>1206</v>
      </c>
      <c r="CF11" s="457" t="s">
        <v>1206</v>
      </c>
      <c r="CG11" s="457" t="s">
        <v>1206</v>
      </c>
      <c r="CH11" s="458" t="s">
        <v>1206</v>
      </c>
      <c r="CI11" s="459" t="s">
        <v>1206</v>
      </c>
      <c r="CJ11" s="460" t="s">
        <v>1206</v>
      </c>
      <c r="CK11" s="457" t="s">
        <v>1206</v>
      </c>
      <c r="CL11" s="457" t="s">
        <v>1206</v>
      </c>
      <c r="CM11" s="457" t="s">
        <v>1206</v>
      </c>
      <c r="CN11" s="458" t="s">
        <v>1206</v>
      </c>
      <c r="CO11" s="459" t="s">
        <v>1206</v>
      </c>
      <c r="CP11" s="460" t="s">
        <v>1206</v>
      </c>
      <c r="CQ11" s="457" t="s">
        <v>1206</v>
      </c>
      <c r="CR11" s="457" t="s">
        <v>1206</v>
      </c>
      <c r="CS11" s="457" t="s">
        <v>1206</v>
      </c>
      <c r="CT11" s="458" t="s">
        <v>1206</v>
      </c>
      <c r="CU11" s="459" t="s">
        <v>1206</v>
      </c>
      <c r="CV11" s="460" t="s">
        <v>1206</v>
      </c>
      <c r="CW11" s="461" t="s">
        <v>1206</v>
      </c>
      <c r="CX11" s="461" t="s">
        <v>1206</v>
      </c>
      <c r="CY11" s="461" t="s">
        <v>1206</v>
      </c>
      <c r="CZ11" s="461" t="s">
        <v>1206</v>
      </c>
      <c r="DA11" s="461" t="s">
        <v>1206</v>
      </c>
      <c r="DB11" s="461" t="s">
        <v>1206</v>
      </c>
      <c r="DC11" s="461" t="s">
        <v>1206</v>
      </c>
      <c r="DD11" s="461" t="s">
        <v>1206</v>
      </c>
      <c r="DE11" s="461" t="s">
        <v>1206</v>
      </c>
      <c r="DF11" s="461" t="s">
        <v>1206</v>
      </c>
      <c r="DG11" s="461" t="s">
        <v>1206</v>
      </c>
      <c r="DH11" s="461" t="s">
        <v>1206</v>
      </c>
      <c r="DI11" s="461" t="s">
        <v>1206</v>
      </c>
      <c r="DJ11" s="461" t="s">
        <v>1206</v>
      </c>
      <c r="DK11" s="461" t="s">
        <v>1206</v>
      </c>
      <c r="DL11" s="461" t="s">
        <v>1206</v>
      </c>
      <c r="DM11" s="461" t="s">
        <v>1206</v>
      </c>
      <c r="DN11" s="461" t="s">
        <v>1206</v>
      </c>
      <c r="DO11" s="461" t="s">
        <v>1206</v>
      </c>
      <c r="DP11" s="461" t="s">
        <v>1206</v>
      </c>
      <c r="DQ11" s="461" t="s">
        <v>1206</v>
      </c>
      <c r="DR11" s="461" t="s">
        <v>1206</v>
      </c>
      <c r="DS11" s="461" t="s">
        <v>1206</v>
      </c>
      <c r="DT11" s="461" t="s">
        <v>1206</v>
      </c>
      <c r="DU11" s="461" t="s">
        <v>1206</v>
      </c>
      <c r="DV11" s="461" t="s">
        <v>1206</v>
      </c>
      <c r="DW11" s="461" t="s">
        <v>1206</v>
      </c>
      <c r="DX11" s="461" t="s">
        <v>1206</v>
      </c>
      <c r="DY11" s="461" t="s">
        <v>1206</v>
      </c>
      <c r="DZ11" s="461" t="s">
        <v>1206</v>
      </c>
      <c r="EA11" s="461" t="s">
        <v>1206</v>
      </c>
      <c r="EB11" s="461" t="s">
        <v>1206</v>
      </c>
      <c r="EC11" s="461" t="s">
        <v>1206</v>
      </c>
      <c r="ED11" s="461" t="s">
        <v>1206</v>
      </c>
      <c r="EE11" s="461" t="s">
        <v>1206</v>
      </c>
      <c r="EF11" s="461" t="s">
        <v>1206</v>
      </c>
      <c r="EG11" s="461" t="s">
        <v>1206</v>
      </c>
      <c r="EH11" s="461" t="s">
        <v>1206</v>
      </c>
      <c r="EI11" s="461" t="s">
        <v>1206</v>
      </c>
      <c r="EJ11" s="461" t="s">
        <v>1206</v>
      </c>
      <c r="EK11" s="461" t="s">
        <v>1206</v>
      </c>
      <c r="EL11" s="461" t="s">
        <v>1206</v>
      </c>
      <c r="EM11" s="461" t="s">
        <v>1206</v>
      </c>
      <c r="EN11" s="461" t="s">
        <v>1206</v>
      </c>
      <c r="EO11" s="461" t="s">
        <v>1206</v>
      </c>
      <c r="EP11" s="461" t="s">
        <v>1206</v>
      </c>
      <c r="EQ11" s="461" t="s">
        <v>1206</v>
      </c>
      <c r="ER11" s="461" t="s">
        <v>1206</v>
      </c>
      <c r="ES11" s="461" t="s">
        <v>1206</v>
      </c>
      <c r="ET11" s="461" t="s">
        <v>1206</v>
      </c>
      <c r="EU11" s="461" t="s">
        <v>1206</v>
      </c>
      <c r="EV11" s="461" t="s">
        <v>1206</v>
      </c>
      <c r="EW11" s="461" t="s">
        <v>1206</v>
      </c>
      <c r="EX11" s="461" t="s">
        <v>1206</v>
      </c>
      <c r="EY11" s="461" t="s">
        <v>1206</v>
      </c>
      <c r="EZ11" s="461" t="s">
        <v>1206</v>
      </c>
      <c r="FA11" s="461" t="s">
        <v>1206</v>
      </c>
      <c r="FB11" s="461" t="s">
        <v>1206</v>
      </c>
      <c r="FC11" s="461" t="s">
        <v>1206</v>
      </c>
      <c r="FD11" s="461" t="s">
        <v>1206</v>
      </c>
      <c r="FE11" s="461" t="s">
        <v>1206</v>
      </c>
      <c r="FF11" s="461" t="s">
        <v>1206</v>
      </c>
      <c r="FG11" s="461" t="s">
        <v>1206</v>
      </c>
      <c r="FH11" s="461" t="s">
        <v>1206</v>
      </c>
      <c r="FI11" s="461" t="s">
        <v>1206</v>
      </c>
      <c r="FJ11" s="461" t="s">
        <v>1206</v>
      </c>
      <c r="FK11" s="461" t="s">
        <v>1206</v>
      </c>
      <c r="FL11" s="461" t="s">
        <v>1206</v>
      </c>
      <c r="FM11" s="461" t="s">
        <v>1206</v>
      </c>
      <c r="FN11" s="461" t="s">
        <v>1206</v>
      </c>
      <c r="FO11" s="461" t="s">
        <v>1206</v>
      </c>
      <c r="FP11" s="461" t="s">
        <v>1206</v>
      </c>
      <c r="FQ11" s="461" t="s">
        <v>1206</v>
      </c>
      <c r="FR11" s="461" t="s">
        <v>1206</v>
      </c>
      <c r="FS11" s="461" t="s">
        <v>1206</v>
      </c>
    </row>
    <row r="12" spans="1:175" x14ac:dyDescent="0.2">
      <c r="A12" s="450" t="s">
        <v>1206</v>
      </c>
      <c r="B12" s="450" t="s">
        <v>1206</v>
      </c>
      <c r="C12" s="450" t="s">
        <v>1206</v>
      </c>
      <c r="D12" s="450" t="s">
        <v>1206</v>
      </c>
      <c r="E12" s="462" t="s">
        <v>1206</v>
      </c>
      <c r="F12" s="451" t="s">
        <v>1206</v>
      </c>
      <c r="G12" s="452" t="s">
        <v>1206</v>
      </c>
      <c r="H12" s="453" t="s">
        <v>1206</v>
      </c>
      <c r="I12" s="454" t="s">
        <v>1206</v>
      </c>
      <c r="J12" s="454" t="s">
        <v>1206</v>
      </c>
      <c r="K12" s="454" t="s">
        <v>1206</v>
      </c>
      <c r="L12" s="454" t="s">
        <v>1206</v>
      </c>
      <c r="M12" s="454" t="s">
        <v>1206</v>
      </c>
      <c r="N12" s="454" t="s">
        <v>1206</v>
      </c>
      <c r="O12" s="454" t="s">
        <v>1206</v>
      </c>
      <c r="P12" s="454" t="s">
        <v>1206</v>
      </c>
      <c r="Q12" s="454" t="s">
        <v>1206</v>
      </c>
      <c r="R12" s="454" t="s">
        <v>1206</v>
      </c>
      <c r="S12" s="454" t="s">
        <v>1206</v>
      </c>
      <c r="T12" s="454" t="s">
        <v>1206</v>
      </c>
      <c r="U12" s="455" t="s">
        <v>1206</v>
      </c>
      <c r="V12" s="455" t="s">
        <v>1206</v>
      </c>
      <c r="W12" s="455" t="s">
        <v>1206</v>
      </c>
      <c r="X12" s="455" t="s">
        <v>1206</v>
      </c>
      <c r="Y12" s="455" t="s">
        <v>1206</v>
      </c>
      <c r="Z12" s="455" t="s">
        <v>1206</v>
      </c>
      <c r="AA12" s="455" t="s">
        <v>1206</v>
      </c>
      <c r="AB12" s="455" t="s">
        <v>1206</v>
      </c>
      <c r="AC12" s="455" t="s">
        <v>1206</v>
      </c>
      <c r="AD12" s="455" t="s">
        <v>1206</v>
      </c>
      <c r="AE12" s="455" t="s">
        <v>1206</v>
      </c>
      <c r="AF12" s="455" t="s">
        <v>1206</v>
      </c>
      <c r="AG12" s="455" t="s">
        <v>1206</v>
      </c>
      <c r="AH12" s="455" t="s">
        <v>1206</v>
      </c>
      <c r="AI12" s="455" t="s">
        <v>1206</v>
      </c>
      <c r="AJ12" s="455" t="s">
        <v>1206</v>
      </c>
      <c r="AK12" s="455" t="s">
        <v>1206</v>
      </c>
      <c r="AL12" s="455" t="s">
        <v>1206</v>
      </c>
      <c r="AM12" s="455" t="s">
        <v>1206</v>
      </c>
      <c r="AN12" s="455" t="s">
        <v>1206</v>
      </c>
      <c r="AO12" s="455" t="s">
        <v>1206</v>
      </c>
      <c r="AP12" s="455" t="s">
        <v>1206</v>
      </c>
      <c r="AQ12" s="455" t="s">
        <v>1206</v>
      </c>
      <c r="AR12" s="455" t="s">
        <v>1206</v>
      </c>
      <c r="AS12" s="455" t="s">
        <v>1206</v>
      </c>
      <c r="AT12" s="455" t="s">
        <v>1206</v>
      </c>
      <c r="AU12" s="455" t="s">
        <v>1206</v>
      </c>
      <c r="AV12" s="455" t="s">
        <v>1206</v>
      </c>
      <c r="AW12" s="455" t="s">
        <v>1206</v>
      </c>
      <c r="AX12" s="455" t="s">
        <v>1206</v>
      </c>
      <c r="AY12" s="455" t="s">
        <v>1206</v>
      </c>
      <c r="AZ12" s="455" t="s">
        <v>1206</v>
      </c>
      <c r="BA12" s="455" t="s">
        <v>1206</v>
      </c>
      <c r="BB12" s="455" t="s">
        <v>1206</v>
      </c>
      <c r="BC12" s="455" t="s">
        <v>1206</v>
      </c>
      <c r="BD12" s="455" t="s">
        <v>1206</v>
      </c>
      <c r="BE12" s="455" t="s">
        <v>1206</v>
      </c>
      <c r="BF12" s="455" t="s">
        <v>1206</v>
      </c>
      <c r="BG12" s="455" t="s">
        <v>1206</v>
      </c>
      <c r="BH12" s="455" t="s">
        <v>1206</v>
      </c>
      <c r="BI12" s="455" t="s">
        <v>1206</v>
      </c>
      <c r="BJ12" s="455" t="s">
        <v>1206</v>
      </c>
      <c r="BK12" s="455" t="s">
        <v>1206</v>
      </c>
      <c r="BL12" s="455" t="s">
        <v>1206</v>
      </c>
      <c r="BM12" s="455" t="s">
        <v>1206</v>
      </c>
      <c r="BN12" s="455" t="s">
        <v>1206</v>
      </c>
      <c r="BO12" s="455" t="s">
        <v>1206</v>
      </c>
      <c r="BP12" s="455" t="s">
        <v>1206</v>
      </c>
      <c r="BQ12" s="455" t="s">
        <v>1206</v>
      </c>
      <c r="BR12" s="455" t="s">
        <v>1206</v>
      </c>
      <c r="BS12" s="455" t="s">
        <v>1206</v>
      </c>
      <c r="BT12" s="455" t="s">
        <v>1206</v>
      </c>
      <c r="BU12" s="455" t="s">
        <v>1206</v>
      </c>
      <c r="BV12" s="455" t="s">
        <v>1206</v>
      </c>
      <c r="BW12" s="455" t="s">
        <v>1206</v>
      </c>
      <c r="BX12" s="455" t="s">
        <v>1206</v>
      </c>
      <c r="BY12" s="455" t="s">
        <v>1206</v>
      </c>
      <c r="BZ12" s="455" t="s">
        <v>1206</v>
      </c>
      <c r="CA12" s="455" t="s">
        <v>1206</v>
      </c>
      <c r="CB12" s="455" t="s">
        <v>1206</v>
      </c>
      <c r="CC12" s="455" t="s">
        <v>1206</v>
      </c>
      <c r="CD12" s="455" t="s">
        <v>1206</v>
      </c>
      <c r="CE12" s="456" t="s">
        <v>1206</v>
      </c>
      <c r="CF12" s="457" t="s">
        <v>1206</v>
      </c>
      <c r="CG12" s="457" t="s">
        <v>1206</v>
      </c>
      <c r="CH12" s="458" t="s">
        <v>1206</v>
      </c>
      <c r="CI12" s="459" t="s">
        <v>1206</v>
      </c>
      <c r="CJ12" s="460" t="s">
        <v>1206</v>
      </c>
      <c r="CK12" s="457" t="s">
        <v>1206</v>
      </c>
      <c r="CL12" s="457" t="s">
        <v>1206</v>
      </c>
      <c r="CM12" s="457" t="s">
        <v>1206</v>
      </c>
      <c r="CN12" s="458" t="s">
        <v>1206</v>
      </c>
      <c r="CO12" s="459" t="s">
        <v>1206</v>
      </c>
      <c r="CP12" s="460" t="s">
        <v>1206</v>
      </c>
      <c r="CQ12" s="457" t="s">
        <v>1206</v>
      </c>
      <c r="CR12" s="457" t="s">
        <v>1206</v>
      </c>
      <c r="CS12" s="457" t="s">
        <v>1206</v>
      </c>
      <c r="CT12" s="458" t="s">
        <v>1206</v>
      </c>
      <c r="CU12" s="459" t="s">
        <v>1206</v>
      </c>
      <c r="CV12" s="460" t="s">
        <v>1206</v>
      </c>
      <c r="CW12" s="461" t="s">
        <v>1206</v>
      </c>
      <c r="CX12" s="461" t="s">
        <v>1206</v>
      </c>
      <c r="CY12" s="461" t="s">
        <v>1206</v>
      </c>
      <c r="CZ12" s="461" t="s">
        <v>1206</v>
      </c>
      <c r="DA12" s="461" t="s">
        <v>1206</v>
      </c>
      <c r="DB12" s="461" t="s">
        <v>1206</v>
      </c>
      <c r="DC12" s="461" t="s">
        <v>1206</v>
      </c>
      <c r="DD12" s="461" t="s">
        <v>1206</v>
      </c>
      <c r="DE12" s="461" t="s">
        <v>1206</v>
      </c>
      <c r="DF12" s="461" t="s">
        <v>1206</v>
      </c>
      <c r="DG12" s="461" t="s">
        <v>1206</v>
      </c>
      <c r="DH12" s="461" t="s">
        <v>1206</v>
      </c>
      <c r="DI12" s="461" t="s">
        <v>1206</v>
      </c>
      <c r="DJ12" s="461" t="s">
        <v>1206</v>
      </c>
      <c r="DK12" s="461" t="s">
        <v>1206</v>
      </c>
      <c r="DL12" s="461" t="s">
        <v>1206</v>
      </c>
      <c r="DM12" s="461" t="s">
        <v>1206</v>
      </c>
      <c r="DN12" s="461" t="s">
        <v>1206</v>
      </c>
      <c r="DO12" s="461" t="s">
        <v>1206</v>
      </c>
      <c r="DP12" s="461" t="s">
        <v>1206</v>
      </c>
      <c r="DQ12" s="461" t="s">
        <v>1206</v>
      </c>
      <c r="DR12" s="461" t="s">
        <v>1206</v>
      </c>
      <c r="DS12" s="461" t="s">
        <v>1206</v>
      </c>
      <c r="DT12" s="461" t="s">
        <v>1206</v>
      </c>
      <c r="DU12" s="461" t="s">
        <v>1206</v>
      </c>
      <c r="DV12" s="461" t="s">
        <v>1206</v>
      </c>
      <c r="DW12" s="461" t="s">
        <v>1206</v>
      </c>
      <c r="DX12" s="461" t="s">
        <v>1206</v>
      </c>
      <c r="DY12" s="461" t="s">
        <v>1206</v>
      </c>
      <c r="DZ12" s="461" t="s">
        <v>1206</v>
      </c>
      <c r="EA12" s="461" t="s">
        <v>1206</v>
      </c>
      <c r="EB12" s="461" t="s">
        <v>1206</v>
      </c>
      <c r="EC12" s="461" t="s">
        <v>1206</v>
      </c>
      <c r="ED12" s="461" t="s">
        <v>1206</v>
      </c>
      <c r="EE12" s="461" t="s">
        <v>1206</v>
      </c>
      <c r="EF12" s="461" t="s">
        <v>1206</v>
      </c>
      <c r="EG12" s="461" t="s">
        <v>1206</v>
      </c>
      <c r="EH12" s="461" t="s">
        <v>1206</v>
      </c>
      <c r="EI12" s="461" t="s">
        <v>1206</v>
      </c>
      <c r="EJ12" s="461" t="s">
        <v>1206</v>
      </c>
      <c r="EK12" s="461" t="s">
        <v>1206</v>
      </c>
      <c r="EL12" s="461" t="s">
        <v>1206</v>
      </c>
      <c r="EM12" s="461" t="s">
        <v>1206</v>
      </c>
      <c r="EN12" s="461" t="s">
        <v>1206</v>
      </c>
      <c r="EO12" s="461" t="s">
        <v>1206</v>
      </c>
      <c r="EP12" s="461" t="s">
        <v>1206</v>
      </c>
      <c r="EQ12" s="461" t="s">
        <v>1206</v>
      </c>
      <c r="ER12" s="461" t="s">
        <v>1206</v>
      </c>
      <c r="ES12" s="461" t="s">
        <v>1206</v>
      </c>
      <c r="ET12" s="461" t="s">
        <v>1206</v>
      </c>
      <c r="EU12" s="461" t="s">
        <v>1206</v>
      </c>
      <c r="EV12" s="461" t="s">
        <v>1206</v>
      </c>
      <c r="EW12" s="461" t="s">
        <v>1206</v>
      </c>
      <c r="EX12" s="461" t="s">
        <v>1206</v>
      </c>
      <c r="EY12" s="461" t="s">
        <v>1206</v>
      </c>
      <c r="EZ12" s="461" t="s">
        <v>1206</v>
      </c>
      <c r="FA12" s="461" t="s">
        <v>1206</v>
      </c>
      <c r="FB12" s="461" t="s">
        <v>1206</v>
      </c>
      <c r="FC12" s="461" t="s">
        <v>1206</v>
      </c>
      <c r="FD12" s="461" t="s">
        <v>1206</v>
      </c>
      <c r="FE12" s="461" t="s">
        <v>1206</v>
      </c>
      <c r="FF12" s="461" t="s">
        <v>1206</v>
      </c>
      <c r="FG12" s="461" t="s">
        <v>1206</v>
      </c>
      <c r="FH12" s="461" t="s">
        <v>1206</v>
      </c>
      <c r="FI12" s="461" t="s">
        <v>1206</v>
      </c>
      <c r="FJ12" s="461" t="s">
        <v>1206</v>
      </c>
      <c r="FK12" s="461" t="s">
        <v>1206</v>
      </c>
      <c r="FL12" s="461" t="s">
        <v>1206</v>
      </c>
      <c r="FM12" s="461" t="s">
        <v>1206</v>
      </c>
      <c r="FN12" s="461" t="s">
        <v>1206</v>
      </c>
      <c r="FO12" s="461" t="s">
        <v>1206</v>
      </c>
      <c r="FP12" s="461" t="s">
        <v>1206</v>
      </c>
      <c r="FQ12" s="461" t="s">
        <v>1206</v>
      </c>
      <c r="FR12" s="461" t="s">
        <v>1206</v>
      </c>
      <c r="FS12" s="461" t="s">
        <v>1206</v>
      </c>
    </row>
    <row r="13" spans="1:175" x14ac:dyDescent="0.2">
      <c r="A13" s="450" t="s">
        <v>1206</v>
      </c>
      <c r="B13" s="450" t="s">
        <v>1206</v>
      </c>
      <c r="C13" s="450" t="s">
        <v>1206</v>
      </c>
      <c r="D13" s="450" t="s">
        <v>1206</v>
      </c>
      <c r="E13" s="462" t="s">
        <v>1206</v>
      </c>
      <c r="F13" s="451" t="s">
        <v>1206</v>
      </c>
      <c r="G13" s="452" t="s">
        <v>1206</v>
      </c>
      <c r="H13" s="453" t="s">
        <v>1206</v>
      </c>
      <c r="I13" s="454" t="s">
        <v>1206</v>
      </c>
      <c r="J13" s="454" t="s">
        <v>1206</v>
      </c>
      <c r="K13" s="454" t="s">
        <v>1206</v>
      </c>
      <c r="L13" s="454" t="s">
        <v>1206</v>
      </c>
      <c r="M13" s="454" t="s">
        <v>1206</v>
      </c>
      <c r="N13" s="454" t="s">
        <v>1206</v>
      </c>
      <c r="O13" s="454" t="s">
        <v>1206</v>
      </c>
      <c r="P13" s="454" t="s">
        <v>1206</v>
      </c>
      <c r="Q13" s="454" t="s">
        <v>1206</v>
      </c>
      <c r="R13" s="454" t="s">
        <v>1206</v>
      </c>
      <c r="S13" s="454" t="s">
        <v>1206</v>
      </c>
      <c r="T13" s="454" t="s">
        <v>1206</v>
      </c>
      <c r="U13" s="454" t="s">
        <v>1206</v>
      </c>
      <c r="V13" s="454" t="s">
        <v>1206</v>
      </c>
      <c r="W13" s="454" t="s">
        <v>1206</v>
      </c>
      <c r="X13" s="454" t="s">
        <v>1206</v>
      </c>
      <c r="Y13" s="454" t="s">
        <v>1206</v>
      </c>
      <c r="Z13" s="454" t="s">
        <v>1206</v>
      </c>
      <c r="AA13" s="454" t="s">
        <v>1206</v>
      </c>
      <c r="AB13" s="454" t="s">
        <v>1206</v>
      </c>
      <c r="AC13" s="454" t="s">
        <v>1206</v>
      </c>
      <c r="AD13" s="454" t="s">
        <v>1206</v>
      </c>
      <c r="AE13" s="454" t="s">
        <v>1206</v>
      </c>
      <c r="AF13" s="454" t="s">
        <v>1206</v>
      </c>
      <c r="AG13" s="454" t="s">
        <v>1206</v>
      </c>
      <c r="AH13" s="454" t="s">
        <v>1206</v>
      </c>
      <c r="AI13" s="454" t="s">
        <v>1206</v>
      </c>
      <c r="AJ13" s="454" t="s">
        <v>1206</v>
      </c>
      <c r="AK13" s="454" t="s">
        <v>1206</v>
      </c>
      <c r="AL13" s="454" t="s">
        <v>1206</v>
      </c>
      <c r="AM13" s="454" t="s">
        <v>1206</v>
      </c>
      <c r="AN13" s="454" t="s">
        <v>1206</v>
      </c>
      <c r="AO13" s="454" t="s">
        <v>1206</v>
      </c>
      <c r="AP13" s="454" t="s">
        <v>1206</v>
      </c>
      <c r="AQ13" s="454" t="s">
        <v>1206</v>
      </c>
      <c r="AR13" s="454" t="s">
        <v>1206</v>
      </c>
      <c r="AS13" s="454" t="s">
        <v>1206</v>
      </c>
      <c r="AT13" s="454" t="s">
        <v>1206</v>
      </c>
      <c r="AU13" s="454" t="s">
        <v>1206</v>
      </c>
      <c r="AV13" s="454" t="s">
        <v>1206</v>
      </c>
      <c r="AW13" s="454" t="s">
        <v>1206</v>
      </c>
      <c r="AX13" s="454" t="s">
        <v>1206</v>
      </c>
      <c r="AY13" s="454" t="s">
        <v>1206</v>
      </c>
      <c r="AZ13" s="454" t="s">
        <v>1206</v>
      </c>
      <c r="BA13" s="454" t="s">
        <v>1206</v>
      </c>
      <c r="BB13" s="454" t="s">
        <v>1206</v>
      </c>
      <c r="BC13" s="454" t="s">
        <v>1206</v>
      </c>
      <c r="BD13" s="454" t="s">
        <v>1206</v>
      </c>
      <c r="BE13" s="454" t="s">
        <v>1206</v>
      </c>
      <c r="BF13" s="454" t="s">
        <v>1206</v>
      </c>
      <c r="BG13" s="454" t="s">
        <v>1206</v>
      </c>
      <c r="BH13" s="454" t="s">
        <v>1206</v>
      </c>
      <c r="BI13" s="454" t="s">
        <v>1206</v>
      </c>
      <c r="BJ13" s="454" t="s">
        <v>1206</v>
      </c>
      <c r="BK13" s="454" t="s">
        <v>1206</v>
      </c>
      <c r="BL13" s="454" t="s">
        <v>1206</v>
      </c>
      <c r="BM13" s="454" t="s">
        <v>1206</v>
      </c>
      <c r="BN13" s="454" t="s">
        <v>1206</v>
      </c>
      <c r="BO13" s="454" t="s">
        <v>1206</v>
      </c>
      <c r="BP13" s="454" t="s">
        <v>1206</v>
      </c>
      <c r="BQ13" s="454" t="s">
        <v>1206</v>
      </c>
      <c r="BR13" s="454" t="s">
        <v>1206</v>
      </c>
      <c r="BS13" s="454" t="s">
        <v>1206</v>
      </c>
      <c r="BT13" s="454" t="s">
        <v>1206</v>
      </c>
      <c r="BU13" s="454" t="s">
        <v>1206</v>
      </c>
      <c r="BV13" s="454" t="s">
        <v>1206</v>
      </c>
      <c r="BW13" s="454" t="s">
        <v>1206</v>
      </c>
      <c r="BX13" s="454" t="s">
        <v>1206</v>
      </c>
      <c r="BY13" s="454" t="s">
        <v>1206</v>
      </c>
      <c r="BZ13" s="454" t="s">
        <v>1206</v>
      </c>
      <c r="CA13" s="454" t="s">
        <v>1206</v>
      </c>
      <c r="CB13" s="454" t="s">
        <v>1206</v>
      </c>
      <c r="CC13" s="454" t="s">
        <v>1206</v>
      </c>
      <c r="CD13" s="454" t="s">
        <v>1206</v>
      </c>
      <c r="CE13" s="463" t="s">
        <v>1206</v>
      </c>
      <c r="CF13" s="457" t="s">
        <v>1206</v>
      </c>
      <c r="CG13" s="457" t="s">
        <v>1206</v>
      </c>
      <c r="CH13" s="458" t="s">
        <v>1206</v>
      </c>
      <c r="CI13" s="459" t="s">
        <v>1206</v>
      </c>
      <c r="CJ13" s="460" t="s">
        <v>1206</v>
      </c>
      <c r="CK13" s="457" t="s">
        <v>1206</v>
      </c>
      <c r="CL13" s="457" t="s">
        <v>1206</v>
      </c>
      <c r="CM13" s="457" t="s">
        <v>1206</v>
      </c>
      <c r="CN13" s="458" t="s">
        <v>1206</v>
      </c>
      <c r="CO13" s="459" t="s">
        <v>1206</v>
      </c>
      <c r="CP13" s="460" t="s">
        <v>1206</v>
      </c>
      <c r="CQ13" s="457" t="s">
        <v>1206</v>
      </c>
      <c r="CR13" s="457" t="s">
        <v>1206</v>
      </c>
      <c r="CS13" s="457" t="s">
        <v>1206</v>
      </c>
      <c r="CT13" s="458" t="s">
        <v>1206</v>
      </c>
      <c r="CU13" s="459" t="s">
        <v>1206</v>
      </c>
      <c r="CV13" s="460" t="s">
        <v>1206</v>
      </c>
      <c r="CW13" s="461" t="s">
        <v>1206</v>
      </c>
      <c r="CX13" s="461" t="s">
        <v>1206</v>
      </c>
      <c r="CY13" s="461" t="s">
        <v>1206</v>
      </c>
      <c r="CZ13" s="461" t="s">
        <v>1206</v>
      </c>
      <c r="DA13" s="461" t="s">
        <v>1206</v>
      </c>
      <c r="DB13" s="461" t="s">
        <v>1206</v>
      </c>
      <c r="DC13" s="461" t="s">
        <v>1206</v>
      </c>
      <c r="DD13" s="461" t="s">
        <v>1206</v>
      </c>
      <c r="DE13" s="461" t="s">
        <v>1206</v>
      </c>
      <c r="DF13" s="461" t="s">
        <v>1206</v>
      </c>
      <c r="DG13" s="461" t="s">
        <v>1206</v>
      </c>
      <c r="DH13" s="461" t="s">
        <v>1206</v>
      </c>
      <c r="DI13" s="461" t="s">
        <v>1206</v>
      </c>
      <c r="DJ13" s="461" t="s">
        <v>1206</v>
      </c>
      <c r="DK13" s="461" t="s">
        <v>1206</v>
      </c>
      <c r="DL13" s="461" t="s">
        <v>1206</v>
      </c>
      <c r="DM13" s="461" t="s">
        <v>1206</v>
      </c>
      <c r="DN13" s="461" t="s">
        <v>1206</v>
      </c>
      <c r="DO13" s="461" t="s">
        <v>1206</v>
      </c>
      <c r="DP13" s="461" t="s">
        <v>1206</v>
      </c>
      <c r="DQ13" s="461" t="s">
        <v>1206</v>
      </c>
      <c r="DR13" s="461" t="s">
        <v>1206</v>
      </c>
      <c r="DS13" s="461" t="s">
        <v>1206</v>
      </c>
      <c r="DT13" s="461" t="s">
        <v>1206</v>
      </c>
      <c r="DU13" s="461" t="s">
        <v>1206</v>
      </c>
      <c r="DV13" s="461" t="s">
        <v>1206</v>
      </c>
      <c r="DW13" s="461" t="s">
        <v>1206</v>
      </c>
      <c r="DX13" s="461" t="s">
        <v>1206</v>
      </c>
      <c r="DY13" s="461" t="s">
        <v>1206</v>
      </c>
      <c r="DZ13" s="461" t="s">
        <v>1206</v>
      </c>
      <c r="EA13" s="461" t="s">
        <v>1206</v>
      </c>
      <c r="EB13" s="461" t="s">
        <v>1206</v>
      </c>
      <c r="EC13" s="461" t="s">
        <v>1206</v>
      </c>
      <c r="ED13" s="461" t="s">
        <v>1206</v>
      </c>
      <c r="EE13" s="461" t="s">
        <v>1206</v>
      </c>
      <c r="EF13" s="461" t="s">
        <v>1206</v>
      </c>
      <c r="EG13" s="461" t="s">
        <v>1206</v>
      </c>
      <c r="EH13" s="461" t="s">
        <v>1206</v>
      </c>
      <c r="EI13" s="461" t="s">
        <v>1206</v>
      </c>
      <c r="EJ13" s="461" t="s">
        <v>1206</v>
      </c>
      <c r="EK13" s="461" t="s">
        <v>1206</v>
      </c>
      <c r="EL13" s="461" t="s">
        <v>1206</v>
      </c>
      <c r="EM13" s="461" t="s">
        <v>1206</v>
      </c>
      <c r="EN13" s="461" t="s">
        <v>1206</v>
      </c>
      <c r="EO13" s="461" t="s">
        <v>1206</v>
      </c>
      <c r="EP13" s="461" t="s">
        <v>1206</v>
      </c>
      <c r="EQ13" s="461" t="s">
        <v>1206</v>
      </c>
      <c r="ER13" s="461" t="s">
        <v>1206</v>
      </c>
      <c r="ES13" s="461" t="s">
        <v>1206</v>
      </c>
      <c r="ET13" s="461" t="s">
        <v>1206</v>
      </c>
      <c r="EU13" s="461" t="s">
        <v>1206</v>
      </c>
      <c r="EV13" s="461" t="s">
        <v>1206</v>
      </c>
      <c r="EW13" s="461" t="s">
        <v>1206</v>
      </c>
      <c r="EX13" s="461" t="s">
        <v>1206</v>
      </c>
      <c r="EY13" s="461" t="s">
        <v>1206</v>
      </c>
      <c r="EZ13" s="461" t="s">
        <v>1206</v>
      </c>
      <c r="FA13" s="461" t="s">
        <v>1206</v>
      </c>
      <c r="FB13" s="461" t="s">
        <v>1206</v>
      </c>
      <c r="FC13" s="461" t="s">
        <v>1206</v>
      </c>
      <c r="FD13" s="461" t="s">
        <v>1206</v>
      </c>
      <c r="FE13" s="461" t="s">
        <v>1206</v>
      </c>
      <c r="FF13" s="461" t="s">
        <v>1206</v>
      </c>
      <c r="FG13" s="461" t="s">
        <v>1206</v>
      </c>
      <c r="FH13" s="461" t="s">
        <v>1206</v>
      </c>
      <c r="FI13" s="461" t="s">
        <v>1206</v>
      </c>
      <c r="FJ13" s="461" t="s">
        <v>1206</v>
      </c>
      <c r="FK13" s="461" t="s">
        <v>1206</v>
      </c>
      <c r="FL13" s="461" t="s">
        <v>1206</v>
      </c>
      <c r="FM13" s="461" t="s">
        <v>1206</v>
      </c>
      <c r="FN13" s="461" t="s">
        <v>1206</v>
      </c>
      <c r="FO13" s="461" t="s">
        <v>1206</v>
      </c>
      <c r="FP13" s="461" t="s">
        <v>1206</v>
      </c>
      <c r="FQ13" s="461" t="s">
        <v>1206</v>
      </c>
      <c r="FR13" s="461" t="s">
        <v>1206</v>
      </c>
      <c r="FS13" s="461" t="s">
        <v>1206</v>
      </c>
    </row>
    <row r="14" spans="1:175" ht="117" customHeight="1" x14ac:dyDescent="0.2">
      <c r="A14" s="464" t="s">
        <v>5</v>
      </c>
      <c r="B14" s="465" t="s">
        <v>292</v>
      </c>
      <c r="C14" s="465" t="s">
        <v>35</v>
      </c>
      <c r="D14" s="465" t="s">
        <v>6</v>
      </c>
      <c r="E14" s="465" t="s">
        <v>72</v>
      </c>
      <c r="F14" s="466" t="s">
        <v>75</v>
      </c>
      <c r="G14" s="467" t="s">
        <v>1207</v>
      </c>
      <c r="H14" s="468" t="s">
        <v>1208</v>
      </c>
      <c r="I14" s="469" t="s">
        <v>1229</v>
      </c>
      <c r="J14" s="470" t="s">
        <v>1209</v>
      </c>
      <c r="K14" s="470"/>
      <c r="L14" s="470"/>
      <c r="M14" s="469"/>
      <c r="N14" s="470"/>
      <c r="O14" s="470"/>
      <c r="P14" s="470"/>
      <c r="Q14" s="470"/>
      <c r="R14" s="470"/>
      <c r="S14" s="470"/>
      <c r="T14" s="470"/>
      <c r="U14" s="470"/>
      <c r="V14" s="470"/>
      <c r="W14" s="470"/>
      <c r="X14" s="470"/>
      <c r="Y14" s="470"/>
      <c r="Z14" s="470"/>
      <c r="AA14" s="470"/>
      <c r="AB14" s="470"/>
      <c r="AC14" s="470"/>
      <c r="AD14" s="470"/>
      <c r="AE14" s="470"/>
      <c r="AF14" s="470"/>
      <c r="AG14" s="470"/>
      <c r="AH14" s="470"/>
      <c r="AI14" s="470"/>
      <c r="AJ14" s="470"/>
      <c r="AK14" s="470"/>
      <c r="AL14" s="471"/>
      <c r="AM14" s="471"/>
      <c r="AN14" s="471"/>
      <c r="AO14" s="471"/>
      <c r="AP14" s="471"/>
      <c r="AQ14" s="471"/>
      <c r="AR14" s="471"/>
      <c r="AS14" s="471"/>
      <c r="AT14" s="471"/>
      <c r="AU14" s="471"/>
      <c r="AV14" s="471"/>
      <c r="AW14" s="471"/>
      <c r="AX14" s="471"/>
      <c r="AY14" s="471"/>
      <c r="AZ14" s="471"/>
      <c r="BA14" s="471"/>
      <c r="BB14" s="471"/>
      <c r="BC14" s="471"/>
      <c r="BD14" s="471"/>
      <c r="BE14" s="471"/>
      <c r="BF14" s="471"/>
      <c r="BG14" s="471"/>
      <c r="BH14" s="471"/>
      <c r="BI14" s="471"/>
      <c r="BJ14" s="471"/>
      <c r="BK14" s="471"/>
      <c r="BL14" s="471"/>
      <c r="BM14" s="471"/>
      <c r="BN14" s="471"/>
      <c r="BO14" s="471"/>
      <c r="BP14" s="471"/>
      <c r="BQ14" s="471"/>
      <c r="BR14" s="471"/>
      <c r="BS14" s="471"/>
      <c r="BT14" s="471"/>
      <c r="BU14" s="471"/>
      <c r="BV14" s="471"/>
      <c r="BW14" s="471"/>
      <c r="BX14" s="471"/>
      <c r="BY14" s="471"/>
      <c r="BZ14" s="471"/>
      <c r="CA14" s="471"/>
      <c r="CB14" s="471"/>
      <c r="CC14" s="471"/>
      <c r="CD14" s="471"/>
      <c r="CE14" s="472"/>
      <c r="CF14" s="254" t="s">
        <v>1210</v>
      </c>
      <c r="CG14" s="254" t="s">
        <v>1211</v>
      </c>
      <c r="CH14" s="473" t="s">
        <v>1230</v>
      </c>
      <c r="CI14" s="474" t="s">
        <v>1231</v>
      </c>
      <c r="CJ14" s="475" t="s">
        <v>1232</v>
      </c>
      <c r="CK14" s="254" t="s">
        <v>1212</v>
      </c>
      <c r="CL14" s="254" t="s">
        <v>1213</v>
      </c>
      <c r="CM14" s="254" t="s">
        <v>1214</v>
      </c>
      <c r="CN14" s="473" t="s">
        <v>1233</v>
      </c>
      <c r="CO14" s="474" t="s">
        <v>1234</v>
      </c>
      <c r="CP14" s="475" t="s">
        <v>1235</v>
      </c>
      <c r="CQ14" s="254" t="s">
        <v>1215</v>
      </c>
      <c r="CR14" s="254" t="s">
        <v>1216</v>
      </c>
      <c r="CS14" s="254" t="s">
        <v>1217</v>
      </c>
      <c r="CT14" s="473" t="s">
        <v>1238</v>
      </c>
      <c r="CU14" s="474" t="s">
        <v>1237</v>
      </c>
      <c r="CV14" s="475" t="s">
        <v>1236</v>
      </c>
      <c r="CW14" s="476" t="str">
        <f t="shared" ref="CW14:FH14" si="0">IF(I14="","",I$14)</f>
        <v>Not PEPFAR</v>
      </c>
      <c r="CX14" s="476" t="str">
        <f t="shared" si="0"/>
        <v>12345_DSD</v>
      </c>
      <c r="CY14" s="476" t="str">
        <f t="shared" si="0"/>
        <v/>
      </c>
      <c r="CZ14" s="476" t="str">
        <f t="shared" si="0"/>
        <v/>
      </c>
      <c r="DA14" s="476" t="str">
        <f t="shared" si="0"/>
        <v/>
      </c>
      <c r="DB14" s="476" t="str">
        <f t="shared" si="0"/>
        <v/>
      </c>
      <c r="DC14" s="476" t="str">
        <f t="shared" si="0"/>
        <v/>
      </c>
      <c r="DD14" s="476" t="str">
        <f t="shared" si="0"/>
        <v/>
      </c>
      <c r="DE14" s="476" t="str">
        <f t="shared" si="0"/>
        <v/>
      </c>
      <c r="DF14" s="476" t="str">
        <f t="shared" si="0"/>
        <v/>
      </c>
      <c r="DG14" s="476" t="str">
        <f t="shared" si="0"/>
        <v/>
      </c>
      <c r="DH14" s="476" t="str">
        <f t="shared" si="0"/>
        <v/>
      </c>
      <c r="DI14" s="476" t="str">
        <f t="shared" si="0"/>
        <v/>
      </c>
      <c r="DJ14" s="476" t="str">
        <f t="shared" si="0"/>
        <v/>
      </c>
      <c r="DK14" s="476" t="str">
        <f t="shared" si="0"/>
        <v/>
      </c>
      <c r="DL14" s="476" t="str">
        <f t="shared" si="0"/>
        <v/>
      </c>
      <c r="DM14" s="476" t="str">
        <f t="shared" si="0"/>
        <v/>
      </c>
      <c r="DN14" s="476" t="str">
        <f t="shared" si="0"/>
        <v/>
      </c>
      <c r="DO14" s="476" t="str">
        <f t="shared" si="0"/>
        <v/>
      </c>
      <c r="DP14" s="476" t="str">
        <f t="shared" si="0"/>
        <v/>
      </c>
      <c r="DQ14" s="476" t="str">
        <f t="shared" si="0"/>
        <v/>
      </c>
      <c r="DR14" s="476" t="str">
        <f t="shared" si="0"/>
        <v/>
      </c>
      <c r="DS14" s="476" t="str">
        <f t="shared" si="0"/>
        <v/>
      </c>
      <c r="DT14" s="476" t="str">
        <f t="shared" si="0"/>
        <v/>
      </c>
      <c r="DU14" s="476" t="str">
        <f t="shared" si="0"/>
        <v/>
      </c>
      <c r="DV14" s="476" t="str">
        <f t="shared" si="0"/>
        <v/>
      </c>
      <c r="DW14" s="476" t="str">
        <f t="shared" si="0"/>
        <v/>
      </c>
      <c r="DX14" s="476" t="str">
        <f t="shared" si="0"/>
        <v/>
      </c>
      <c r="DY14" s="476" t="str">
        <f t="shared" si="0"/>
        <v/>
      </c>
      <c r="DZ14" s="476" t="str">
        <f t="shared" si="0"/>
        <v/>
      </c>
      <c r="EA14" s="476" t="str">
        <f t="shared" si="0"/>
        <v/>
      </c>
      <c r="EB14" s="476" t="str">
        <f t="shared" si="0"/>
        <v/>
      </c>
      <c r="EC14" s="476" t="str">
        <f t="shared" si="0"/>
        <v/>
      </c>
      <c r="ED14" s="476" t="str">
        <f t="shared" si="0"/>
        <v/>
      </c>
      <c r="EE14" s="476" t="str">
        <f t="shared" si="0"/>
        <v/>
      </c>
      <c r="EF14" s="476" t="str">
        <f t="shared" si="0"/>
        <v/>
      </c>
      <c r="EG14" s="476" t="str">
        <f t="shared" si="0"/>
        <v/>
      </c>
      <c r="EH14" s="476" t="str">
        <f t="shared" si="0"/>
        <v/>
      </c>
      <c r="EI14" s="476" t="str">
        <f t="shared" si="0"/>
        <v/>
      </c>
      <c r="EJ14" s="476" t="str">
        <f t="shared" si="0"/>
        <v/>
      </c>
      <c r="EK14" s="476" t="str">
        <f t="shared" si="0"/>
        <v/>
      </c>
      <c r="EL14" s="476" t="str">
        <f t="shared" si="0"/>
        <v/>
      </c>
      <c r="EM14" s="476" t="str">
        <f t="shared" si="0"/>
        <v/>
      </c>
      <c r="EN14" s="476" t="str">
        <f t="shared" si="0"/>
        <v/>
      </c>
      <c r="EO14" s="476" t="str">
        <f t="shared" si="0"/>
        <v/>
      </c>
      <c r="EP14" s="476" t="str">
        <f t="shared" si="0"/>
        <v/>
      </c>
      <c r="EQ14" s="476" t="str">
        <f t="shared" si="0"/>
        <v/>
      </c>
      <c r="ER14" s="476" t="str">
        <f t="shared" si="0"/>
        <v/>
      </c>
      <c r="ES14" s="476" t="str">
        <f t="shared" si="0"/>
        <v/>
      </c>
      <c r="ET14" s="476" t="str">
        <f t="shared" si="0"/>
        <v/>
      </c>
      <c r="EU14" s="476" t="str">
        <f t="shared" si="0"/>
        <v/>
      </c>
      <c r="EV14" s="476" t="str">
        <f t="shared" si="0"/>
        <v/>
      </c>
      <c r="EW14" s="476" t="str">
        <f t="shared" si="0"/>
        <v/>
      </c>
      <c r="EX14" s="476" t="str">
        <f t="shared" si="0"/>
        <v/>
      </c>
      <c r="EY14" s="476" t="str">
        <f t="shared" si="0"/>
        <v/>
      </c>
      <c r="EZ14" s="476" t="str">
        <f t="shared" si="0"/>
        <v/>
      </c>
      <c r="FA14" s="476" t="str">
        <f t="shared" si="0"/>
        <v/>
      </c>
      <c r="FB14" s="476" t="str">
        <f t="shared" si="0"/>
        <v/>
      </c>
      <c r="FC14" s="476" t="str">
        <f t="shared" si="0"/>
        <v/>
      </c>
      <c r="FD14" s="476" t="str">
        <f t="shared" si="0"/>
        <v/>
      </c>
      <c r="FE14" s="476" t="str">
        <f t="shared" si="0"/>
        <v/>
      </c>
      <c r="FF14" s="476" t="str">
        <f t="shared" si="0"/>
        <v/>
      </c>
      <c r="FG14" s="476" t="str">
        <f t="shared" si="0"/>
        <v/>
      </c>
      <c r="FH14" s="476" t="str">
        <f t="shared" si="0"/>
        <v/>
      </c>
      <c r="FI14" s="476" t="str">
        <f t="shared" ref="FI14:FS14" si="1">IF(BU14="","",BU$14)</f>
        <v/>
      </c>
      <c r="FJ14" s="476" t="str">
        <f t="shared" si="1"/>
        <v/>
      </c>
      <c r="FK14" s="476" t="str">
        <f t="shared" si="1"/>
        <v/>
      </c>
      <c r="FL14" s="476" t="str">
        <f t="shared" si="1"/>
        <v/>
      </c>
      <c r="FM14" s="476" t="str">
        <f t="shared" si="1"/>
        <v/>
      </c>
      <c r="FN14" s="476" t="str">
        <f t="shared" si="1"/>
        <v/>
      </c>
      <c r="FO14" s="476" t="str">
        <f t="shared" si="1"/>
        <v/>
      </c>
      <c r="FP14" s="476" t="str">
        <f t="shared" si="1"/>
        <v/>
      </c>
      <c r="FQ14" s="476" t="str">
        <f t="shared" si="1"/>
        <v/>
      </c>
      <c r="FR14" s="476" t="str">
        <f t="shared" si="1"/>
        <v/>
      </c>
      <c r="FS14" s="476" t="str">
        <f t="shared" si="1"/>
        <v/>
      </c>
    </row>
    <row r="15" spans="1:175" x14ac:dyDescent="0.2">
      <c r="A15" s="6"/>
      <c r="B15" s="6"/>
      <c r="C15" s="6"/>
      <c r="D15" s="6"/>
      <c r="E15" s="6"/>
      <c r="F15" t="str">
        <f t="shared" ref="F15" si="2">$A15&amp;IF($C15&lt;&gt;"","|"&amp;$C15,"")&amp;IF($D15&lt;&gt;"","|"&amp;$D15,"")&amp;IF($E15&lt;&gt;"","|"&amp;$E15,"")</f>
        <v/>
      </c>
      <c r="G15" s="477"/>
      <c r="H15" s="449">
        <f>SUM($CJ15,$CW15)</f>
        <v>0</v>
      </c>
      <c r="I15" s="445"/>
      <c r="J15" s="478"/>
      <c r="K15" s="478"/>
      <c r="L15" s="478"/>
      <c r="M15" s="445"/>
      <c r="N15" s="478"/>
      <c r="O15" s="478"/>
      <c r="P15" s="478"/>
      <c r="Q15" s="478"/>
      <c r="R15" s="478"/>
      <c r="S15" s="478"/>
      <c r="T15" s="478"/>
      <c r="U15" s="478"/>
      <c r="V15" s="478"/>
      <c r="W15" s="478"/>
      <c r="X15" s="478"/>
      <c r="Y15" s="478"/>
      <c r="Z15" s="478"/>
      <c r="AA15" s="478"/>
      <c r="AB15" s="478"/>
      <c r="AC15" s="478"/>
      <c r="AD15" s="478"/>
      <c r="AE15" s="478"/>
      <c r="AF15" s="478"/>
      <c r="AG15" s="478"/>
      <c r="AH15" s="478"/>
      <c r="AI15" s="478"/>
      <c r="AJ15" s="478"/>
      <c r="AK15" s="478"/>
      <c r="AL15" s="478"/>
      <c r="AM15" s="478"/>
      <c r="AN15" s="478"/>
      <c r="AO15" s="478"/>
      <c r="AP15" s="478"/>
      <c r="AQ15" s="478"/>
      <c r="AR15" s="478"/>
      <c r="AS15" s="478"/>
      <c r="AT15" s="478"/>
      <c r="AU15" s="478"/>
      <c r="AV15" s="478"/>
      <c r="AW15" s="478"/>
      <c r="AX15" s="478"/>
      <c r="AY15" s="478"/>
      <c r="AZ15" s="478"/>
      <c r="BA15" s="478"/>
      <c r="BB15" s="478"/>
      <c r="BC15" s="478"/>
      <c r="BD15" s="478"/>
      <c r="BE15" s="478"/>
      <c r="BF15" s="478"/>
      <c r="BG15" s="478"/>
      <c r="BH15" s="478"/>
      <c r="BI15" s="478"/>
      <c r="BJ15" s="478"/>
      <c r="BK15" s="478"/>
      <c r="BL15" s="478"/>
      <c r="BM15" s="478"/>
      <c r="BN15" s="478"/>
      <c r="BO15" s="478"/>
      <c r="BP15" s="478"/>
      <c r="BQ15" s="478"/>
      <c r="BR15" s="478"/>
      <c r="BS15" s="478"/>
      <c r="BT15" s="478"/>
      <c r="BU15" s="478"/>
      <c r="BV15" s="478"/>
      <c r="BW15" s="478"/>
      <c r="BX15" s="478"/>
      <c r="BY15" s="478"/>
      <c r="BZ15" s="478"/>
      <c r="CA15" s="478"/>
      <c r="CB15" s="478"/>
      <c r="CC15" s="478"/>
      <c r="CD15" s="478"/>
      <c r="CE15" s="446"/>
      <c r="CF15" s="249">
        <f>ROUND(SUM($CP15,$CV15),0)</f>
        <v>0</v>
      </c>
      <c r="CG15" s="249">
        <f>ROUND(MAX($CP15,$CV15),0)</f>
        <v>0</v>
      </c>
      <c r="CH15" s="479"/>
      <c r="CI15" s="448"/>
      <c r="CJ15" s="449" t="str">
        <f>IF(SUM($CF15)=0,"",IF(SUM($CF15)=SUM($CG15),SUM($CF15),IF(UPPER($CH15)="MAX",$CG15,IF(UPPER($CH15)="CUSTOM",MIN(MAX(ROUND($CF15+$G15*($CI15),0),$CG15),$CF15),$CF15))))</f>
        <v/>
      </c>
      <c r="CK15" s="249">
        <f>ROUND(SUMIFS($CW15:$FS15,$CW$14:$FS$14,"*DSD*"),0)</f>
        <v>0</v>
      </c>
      <c r="CL15" s="62" cm="1">
        <f t="array" ref="CL15">MIN_DSD</f>
        <v>0</v>
      </c>
      <c r="CM15" s="249">
        <f>COUNTIFS($CW$14:$FS$14,"*DSD*",$CW15:$FS15,"&gt;0")</f>
        <v>0</v>
      </c>
      <c r="CN15" s="480"/>
      <c r="CO15" s="481"/>
      <c r="CP15" s="449" t="str">
        <f>IF(SUM($CK15)=0,"",IF(OR(SUM($CK15)=SUM($CL15),AND(SUM($CK15)=ROUND(SUM($G15)*(1-SUM($I15)),0),SUM($CQ15)=0)),SUM($CK15),IF(UPPER($CN15)="MAX",$CL15,IF(UPPER($CN15)="CUSTOM",MIN(MAX(ROUND($CK15+$G15*($CO15),0),$CL15),$CK15),$CK15))))</f>
        <v/>
      </c>
      <c r="CQ15" s="249">
        <f>ROUND(SUMIFS($CW15:$FS15,$CW$14:$FS$14,"*TA*"),0)</f>
        <v>0</v>
      </c>
      <c r="CR15" s="62" cm="1">
        <f t="array" ref="CR15">MIN_TA</f>
        <v>0</v>
      </c>
      <c r="CS15" s="62">
        <f>COUNTIFS($CW$14:$FS$14,"*TA*",$CW15:$FS15,"&gt;0")</f>
        <v>0</v>
      </c>
      <c r="CT15" s="480"/>
      <c r="CU15" s="481"/>
      <c r="CV15" s="449" t="str">
        <f>IF(SUM($CQ15)=0,"",IF(OR(SUM($CQ15)=SUM($CR15),AND(SUM($CQ15)=ROUND(SUM($G15)*(1-SUM($I15)),0),SUM($CK15)=0)),SUM($CQ15),IF(UPPER($CT15)="MAX",$CR15,IF(UPPER($CT15)="CUSTOM",MIN(MAX(ROUND($CQ15+$G15*($CU15),0),$CR15),$CQ15),$CQ15))))</f>
        <v/>
      </c>
      <c r="CW15" s="258" t="str">
        <f>IF(OR(CW$14="",SUM($G15)=0,SUM(I15)=0),"",ROUND($G15*I15,0))</f>
        <v/>
      </c>
      <c r="CX15" s="258" t="str">
        <f t="shared" ref="CX15:FI15" si="3">IF(OR(CX$14="",SUM($G15)=0,SUM(J15)=0),"",ROUND($G15*J15,0))</f>
        <v/>
      </c>
      <c r="CY15" s="258" t="str">
        <f t="shared" si="3"/>
        <v/>
      </c>
      <c r="CZ15" s="258" t="str">
        <f t="shared" si="3"/>
        <v/>
      </c>
      <c r="DA15" s="258" t="str">
        <f t="shared" si="3"/>
        <v/>
      </c>
      <c r="DB15" s="258" t="str">
        <f t="shared" si="3"/>
        <v/>
      </c>
      <c r="DC15" s="258" t="str">
        <f t="shared" si="3"/>
        <v/>
      </c>
      <c r="DD15" s="258" t="str">
        <f t="shared" si="3"/>
        <v/>
      </c>
      <c r="DE15" s="258" t="str">
        <f t="shared" si="3"/>
        <v/>
      </c>
      <c r="DF15" s="258" t="str">
        <f t="shared" si="3"/>
        <v/>
      </c>
      <c r="DG15" s="258" t="str">
        <f t="shared" si="3"/>
        <v/>
      </c>
      <c r="DH15" s="258" t="str">
        <f t="shared" si="3"/>
        <v/>
      </c>
      <c r="DI15" s="258" t="str">
        <f t="shared" si="3"/>
        <v/>
      </c>
      <c r="DJ15" s="258" t="str">
        <f t="shared" si="3"/>
        <v/>
      </c>
      <c r="DK15" s="258" t="str">
        <f t="shared" si="3"/>
        <v/>
      </c>
      <c r="DL15" s="258" t="str">
        <f t="shared" si="3"/>
        <v/>
      </c>
      <c r="DM15" s="258" t="str">
        <f t="shared" si="3"/>
        <v/>
      </c>
      <c r="DN15" s="258" t="str">
        <f t="shared" si="3"/>
        <v/>
      </c>
      <c r="DO15" s="258" t="str">
        <f t="shared" si="3"/>
        <v/>
      </c>
      <c r="DP15" s="258" t="str">
        <f t="shared" si="3"/>
        <v/>
      </c>
      <c r="DQ15" s="258" t="str">
        <f t="shared" si="3"/>
        <v/>
      </c>
      <c r="DR15" s="258" t="str">
        <f t="shared" si="3"/>
        <v/>
      </c>
      <c r="DS15" s="258" t="str">
        <f t="shared" si="3"/>
        <v/>
      </c>
      <c r="DT15" s="258" t="str">
        <f t="shared" si="3"/>
        <v/>
      </c>
      <c r="DU15" s="258" t="str">
        <f t="shared" si="3"/>
        <v/>
      </c>
      <c r="DV15" s="258" t="str">
        <f t="shared" si="3"/>
        <v/>
      </c>
      <c r="DW15" s="258" t="str">
        <f t="shared" si="3"/>
        <v/>
      </c>
      <c r="DX15" s="258" t="str">
        <f t="shared" si="3"/>
        <v/>
      </c>
      <c r="DY15" s="258" t="str">
        <f t="shared" si="3"/>
        <v/>
      </c>
      <c r="DZ15" s="258" t="str">
        <f t="shared" si="3"/>
        <v/>
      </c>
      <c r="EA15" s="258" t="str">
        <f t="shared" si="3"/>
        <v/>
      </c>
      <c r="EB15" s="258" t="str">
        <f t="shared" si="3"/>
        <v/>
      </c>
      <c r="EC15" s="258" t="str">
        <f t="shared" si="3"/>
        <v/>
      </c>
      <c r="ED15" s="258" t="str">
        <f t="shared" si="3"/>
        <v/>
      </c>
      <c r="EE15" s="258" t="str">
        <f t="shared" si="3"/>
        <v/>
      </c>
      <c r="EF15" s="258" t="str">
        <f t="shared" si="3"/>
        <v/>
      </c>
      <c r="EG15" s="258" t="str">
        <f t="shared" si="3"/>
        <v/>
      </c>
      <c r="EH15" s="258" t="str">
        <f t="shared" si="3"/>
        <v/>
      </c>
      <c r="EI15" s="258" t="str">
        <f t="shared" si="3"/>
        <v/>
      </c>
      <c r="EJ15" s="258" t="str">
        <f t="shared" si="3"/>
        <v/>
      </c>
      <c r="EK15" s="258" t="str">
        <f t="shared" si="3"/>
        <v/>
      </c>
      <c r="EL15" s="258" t="str">
        <f t="shared" si="3"/>
        <v/>
      </c>
      <c r="EM15" s="258" t="str">
        <f t="shared" si="3"/>
        <v/>
      </c>
      <c r="EN15" s="258" t="str">
        <f t="shared" si="3"/>
        <v/>
      </c>
      <c r="EO15" s="258" t="str">
        <f t="shared" si="3"/>
        <v/>
      </c>
      <c r="EP15" s="258" t="str">
        <f t="shared" si="3"/>
        <v/>
      </c>
      <c r="EQ15" s="258" t="str">
        <f t="shared" si="3"/>
        <v/>
      </c>
      <c r="ER15" s="258" t="str">
        <f t="shared" si="3"/>
        <v/>
      </c>
      <c r="ES15" s="258" t="str">
        <f t="shared" si="3"/>
        <v/>
      </c>
      <c r="ET15" s="258" t="str">
        <f t="shared" si="3"/>
        <v/>
      </c>
      <c r="EU15" s="258" t="str">
        <f t="shared" si="3"/>
        <v/>
      </c>
      <c r="EV15" s="258" t="str">
        <f t="shared" si="3"/>
        <v/>
      </c>
      <c r="EW15" s="258" t="str">
        <f t="shared" si="3"/>
        <v/>
      </c>
      <c r="EX15" s="258" t="str">
        <f t="shared" si="3"/>
        <v/>
      </c>
      <c r="EY15" s="258" t="str">
        <f t="shared" si="3"/>
        <v/>
      </c>
      <c r="EZ15" s="258" t="str">
        <f t="shared" si="3"/>
        <v/>
      </c>
      <c r="FA15" s="258" t="str">
        <f t="shared" si="3"/>
        <v/>
      </c>
      <c r="FB15" s="258" t="str">
        <f t="shared" si="3"/>
        <v/>
      </c>
      <c r="FC15" s="258" t="str">
        <f t="shared" si="3"/>
        <v/>
      </c>
      <c r="FD15" s="258" t="str">
        <f t="shared" si="3"/>
        <v/>
      </c>
      <c r="FE15" s="258" t="str">
        <f t="shared" si="3"/>
        <v/>
      </c>
      <c r="FF15" s="258" t="str">
        <f t="shared" si="3"/>
        <v/>
      </c>
      <c r="FG15" s="258" t="str">
        <f t="shared" si="3"/>
        <v/>
      </c>
      <c r="FH15" s="258" t="str">
        <f t="shared" si="3"/>
        <v/>
      </c>
      <c r="FI15" s="258" t="str">
        <f t="shared" si="3"/>
        <v/>
      </c>
      <c r="FJ15" s="258" t="str">
        <f t="shared" ref="FJ15:FS15" si="4">IF(OR(FJ$14="",SUM($G15)=0,SUM(BV15)=0),"",ROUND($G15*BV15,0))</f>
        <v/>
      </c>
      <c r="FK15" s="258" t="str">
        <f t="shared" si="4"/>
        <v/>
      </c>
      <c r="FL15" s="258" t="str">
        <f t="shared" si="4"/>
        <v/>
      </c>
      <c r="FM15" s="258" t="str">
        <f t="shared" si="4"/>
        <v/>
      </c>
      <c r="FN15" s="258" t="str">
        <f t="shared" si="4"/>
        <v/>
      </c>
      <c r="FO15" s="258" t="str">
        <f t="shared" si="4"/>
        <v/>
      </c>
      <c r="FP15" s="258" t="str">
        <f t="shared" si="4"/>
        <v/>
      </c>
      <c r="FQ15" s="258" t="str">
        <f t="shared" si="4"/>
        <v/>
      </c>
      <c r="FR15" s="258" t="str">
        <f t="shared" si="4"/>
        <v/>
      </c>
      <c r="FS15" s="258" t="str">
        <f t="shared" si="4"/>
        <v/>
      </c>
    </row>
    <row r="16" spans="1:175" x14ac:dyDescent="0.2">
      <c r="H16" s="449"/>
      <c r="CF16" s="249"/>
      <c r="CG16" s="249"/>
      <c r="CH16" s="479"/>
      <c r="CI16" s="448"/>
      <c r="CJ16" s="449"/>
      <c r="CK16" s="249"/>
      <c r="CL16" s="62"/>
      <c r="CM16" s="249"/>
      <c r="CN16" s="480"/>
      <c r="CO16" s="481"/>
      <c r="CP16" s="449"/>
      <c r="CQ16" s="249"/>
      <c r="CR16" s="62"/>
      <c r="CS16" s="62"/>
      <c r="CT16" s="480"/>
      <c r="CU16" s="481"/>
      <c r="CV16" s="449"/>
      <c r="CW16" s="258"/>
      <c r="CX16" s="258"/>
      <c r="CY16" s="258"/>
      <c r="CZ16" s="258"/>
      <c r="DA16" s="258"/>
    </row>
    <row r="17" spans="8:105" x14ac:dyDescent="0.2">
      <c r="H17" s="449"/>
      <c r="CF17" s="249"/>
      <c r="CG17" s="249"/>
      <c r="CH17" s="479"/>
      <c r="CI17" s="448"/>
      <c r="CJ17" s="449"/>
      <c r="CK17" s="249"/>
      <c r="CL17" s="62"/>
      <c r="CM17" s="249"/>
      <c r="CN17" s="480"/>
      <c r="CO17" s="481"/>
      <c r="CP17" s="449"/>
      <c r="CQ17" s="249"/>
      <c r="CR17" s="62"/>
      <c r="CS17" s="62"/>
      <c r="CT17" s="480"/>
      <c r="CU17" s="481"/>
      <c r="CV17" s="449"/>
      <c r="CW17" s="258"/>
      <c r="CX17" s="258"/>
      <c r="CY17" s="258"/>
      <c r="CZ17" s="258"/>
      <c r="DA17" s="258"/>
    </row>
    <row r="18" spans="8:105" x14ac:dyDescent="0.2">
      <c r="H18" s="449"/>
      <c r="CF18" s="249"/>
      <c r="CG18" s="249"/>
      <c r="CH18" s="479"/>
      <c r="CI18" s="448"/>
      <c r="CJ18" s="449"/>
      <c r="CK18" s="249"/>
      <c r="CL18" s="62"/>
      <c r="CM18" s="249"/>
      <c r="CN18" s="480"/>
      <c r="CO18" s="481"/>
      <c r="CP18" s="449"/>
      <c r="CQ18" s="249"/>
      <c r="CR18" s="62"/>
      <c r="CS18" s="62"/>
      <c r="CT18" s="480"/>
      <c r="CU18" s="481"/>
      <c r="CV18" s="449"/>
      <c r="CW18" s="258"/>
      <c r="CX18" s="258"/>
      <c r="CY18" s="258"/>
      <c r="CZ18" s="258"/>
      <c r="DA18" s="258"/>
    </row>
    <row r="19" spans="8:105" x14ac:dyDescent="0.2">
      <c r="H19" s="449"/>
      <c r="CF19" s="249"/>
      <c r="CG19" s="249"/>
      <c r="CH19" s="479"/>
      <c r="CI19" s="448"/>
      <c r="CJ19" s="449"/>
      <c r="CK19" s="249"/>
      <c r="CL19" s="62"/>
      <c r="CM19" s="249"/>
      <c r="CN19" s="480"/>
      <c r="CO19" s="481"/>
      <c r="CP19" s="449"/>
      <c r="CQ19" s="249"/>
      <c r="CR19" s="62"/>
      <c r="CS19" s="62"/>
      <c r="CT19" s="480"/>
      <c r="CU19" s="481"/>
      <c r="CV19" s="449"/>
      <c r="CW19" s="258"/>
      <c r="CX19" s="258"/>
      <c r="CY19" s="258"/>
      <c r="CZ19" s="258"/>
      <c r="DA19" s="258"/>
    </row>
    <row r="20" spans="8:105" x14ac:dyDescent="0.2">
      <c r="H20" s="449"/>
      <c r="CF20" s="249"/>
      <c r="CG20" s="249"/>
      <c r="CH20" s="479"/>
      <c r="CI20" s="448"/>
      <c r="CJ20" s="449"/>
      <c r="CK20" s="249"/>
      <c r="CL20" s="62"/>
      <c r="CM20" s="249"/>
      <c r="CN20" s="480"/>
      <c r="CO20" s="481"/>
      <c r="CP20" s="449"/>
      <c r="CQ20" s="249"/>
      <c r="CR20" s="62"/>
      <c r="CS20" s="62"/>
      <c r="CT20" s="480"/>
      <c r="CU20" s="481"/>
      <c r="CV20" s="449"/>
      <c r="CW20" s="258"/>
      <c r="CX20" s="258"/>
      <c r="CY20" s="258"/>
      <c r="CZ20" s="258"/>
      <c r="DA20" s="258"/>
    </row>
    <row r="21" spans="8:105" x14ac:dyDescent="0.2">
      <c r="H21" s="449"/>
      <c r="CF21" s="249"/>
      <c r="CG21" s="249"/>
      <c r="CH21" s="479"/>
      <c r="CI21" s="448"/>
      <c r="CJ21" s="449"/>
      <c r="CK21" s="249"/>
      <c r="CL21" s="62"/>
      <c r="CM21" s="249"/>
      <c r="CN21" s="480"/>
      <c r="CO21" s="481"/>
      <c r="CP21" s="449"/>
      <c r="CQ21" s="249"/>
      <c r="CR21" s="62"/>
      <c r="CS21" s="62"/>
      <c r="CT21" s="480"/>
      <c r="CU21" s="481"/>
      <c r="CV21" s="449"/>
      <c r="CW21" s="258"/>
      <c r="CX21" s="258"/>
      <c r="CY21" s="258"/>
      <c r="CZ21" s="258"/>
      <c r="DA21" s="258"/>
    </row>
    <row r="22" spans="8:105" x14ac:dyDescent="0.2">
      <c r="H22" s="449"/>
      <c r="CF22" s="249"/>
      <c r="CG22" s="249"/>
      <c r="CH22" s="479"/>
      <c r="CI22" s="448"/>
      <c r="CJ22" s="449"/>
      <c r="CK22" s="249"/>
      <c r="CL22" s="62"/>
      <c r="CM22" s="249"/>
      <c r="CN22" s="480"/>
      <c r="CO22" s="481"/>
      <c r="CP22" s="449"/>
      <c r="CQ22" s="249"/>
      <c r="CR22" s="62"/>
      <c r="CS22" s="62"/>
      <c r="CT22" s="480"/>
      <c r="CU22" s="481"/>
      <c r="CV22" s="449"/>
      <c r="CW22" s="258"/>
      <c r="CX22" s="258"/>
      <c r="CY22" s="258"/>
      <c r="CZ22" s="258"/>
      <c r="DA22" s="258"/>
    </row>
    <row r="23" spans="8:105" x14ac:dyDescent="0.2">
      <c r="H23" s="449"/>
      <c r="CF23" s="249"/>
      <c r="CG23" s="249"/>
      <c r="CH23" s="479"/>
      <c r="CI23" s="448"/>
      <c r="CJ23" s="449"/>
      <c r="CK23" s="249"/>
      <c r="CL23" s="62"/>
      <c r="CM23" s="249"/>
      <c r="CN23" s="480"/>
      <c r="CO23" s="481"/>
      <c r="CP23" s="449"/>
      <c r="CQ23" s="249"/>
      <c r="CR23" s="62"/>
      <c r="CS23" s="62"/>
      <c r="CT23" s="480"/>
      <c r="CU23" s="481"/>
      <c r="CV23" s="449"/>
      <c r="CW23" s="258"/>
      <c r="CX23" s="258"/>
      <c r="CY23" s="258"/>
      <c r="CZ23" s="258"/>
      <c r="DA23" s="258"/>
    </row>
  </sheetData>
  <mergeCells count="1">
    <mergeCell ref="A3:B3"/>
  </mergeCells>
  <conditionalFormatting sqref="CH1:CH1048576 CN1:CN1048576 CT1:CT1048576">
    <cfRule type="expression" dxfId="65" priority="13">
      <formula>AND(ROW(CH1)&gt;14,UPPER(CH1)&lt;&gt;"CUSTOM",UPPER(CH1)&lt;&gt;"MAX",UPPER(CH1)&lt;&gt;"SUM",CH1&lt;&gt;"")</formula>
    </cfRule>
  </conditionalFormatting>
  <conditionalFormatting sqref="CV1:CV1048576">
    <cfRule type="expression" dxfId="64" priority="10">
      <formula>AND(ROW($CV1)&gt;14,OR(SUM($CV1)&gt;SUM($CQ1),SUM($CV1)&lt;SUM($CR1)))</formula>
    </cfRule>
  </conditionalFormatting>
  <conditionalFormatting sqref="CJ1:CJ1048576">
    <cfRule type="expression" dxfId="63" priority="11">
      <formula>AND(ROW(CJ1)&gt;14,OR(CJ1&gt;CF1,CJ1&lt;CG1))</formula>
    </cfRule>
  </conditionalFormatting>
  <conditionalFormatting sqref="I1:CE1048576">
    <cfRule type="expression" dxfId="62" priority="3">
      <formula>AND(ROW(I1)&gt;14,OR(SUM(I1)&gt;1,SUM(I1)&lt;0))</formula>
    </cfRule>
  </conditionalFormatting>
  <conditionalFormatting sqref="CO1:CO1048576 CU1:CU1048576 CI1:CI1048576">
    <cfRule type="expression" dxfId="61" priority="12">
      <formula>AND(ROW(CI1)&gt;14,SUM(CI1)&gt;0)</formula>
    </cfRule>
  </conditionalFormatting>
  <conditionalFormatting sqref="H1:H1048576">
    <cfRule type="expression" dxfId="60" priority="4">
      <formula>AND(ROW($H1)&gt;14,ABS(ROUND(SUM($H1),0)-ROUND(SUM($G1),0))&gt;2)</formula>
    </cfRule>
    <cfRule type="expression" dxfId="59" priority="6">
      <formula>AND(ROW($H1)&gt;14,ROUND(SUM($H1),0)&lt;&gt;ROUND(SUM($G1),0))</formula>
    </cfRule>
  </conditionalFormatting>
  <conditionalFormatting sqref="CP1:CP1048576">
    <cfRule type="expression" dxfId="58" priority="14">
      <formula>AND(ROW($CP1)&gt;14,OR(SUM($CP1)&gt;SUM($CK1),SUM($CP1)&lt;SUM($CL1)))</formula>
    </cfRule>
  </conditionalFormatting>
  <conditionalFormatting sqref="CQ1:CU1048576">
    <cfRule type="expression" dxfId="57" priority="7">
      <formula>AND(ROW($CQ1)&gt;14,$A1&lt;&gt;"",OR(SUM($CQ1)=0,$CS1&lt;=1,SUM($CQ1)=SUM($CR1),AND(SUM($G1)=SUM($CQ1),SUM($CK1)=0)))</formula>
    </cfRule>
  </conditionalFormatting>
  <conditionalFormatting sqref="CF1:CI1048576">
    <cfRule type="expression" dxfId="56" priority="8">
      <formula>AND(ROW($CF1)&gt;14,$A1&lt;&gt;"",OR(SUM($CP1)=0,SUM($CV1)=0,$CM1=0,$CS1=0,SUM($CF1)=SUM($CG1),SUM($G1)&gt;=SUM($CF1)))</formula>
    </cfRule>
  </conditionalFormatting>
  <conditionalFormatting sqref="CO1:CO1048576">
    <cfRule type="expression" dxfId="55" priority="9">
      <formula>AND(ROW($CO1)&gt;14,$A1&lt;&gt;"",UPPER($CN1)&lt;&gt;"CUSTOM")</formula>
    </cfRule>
  </conditionalFormatting>
  <conditionalFormatting sqref="CK1:CO1048576">
    <cfRule type="expression" dxfId="54" priority="5">
      <formula>AND(ROW($CK1)&gt;14,$A1&lt;&gt;"",OR(SUM($CK1)=0,$CM1&lt;=1,SUM($CK1)=SUM($CL1),AND(SUM($G1)=SUM($CK1),SUM($CQ1)=0)))</formula>
    </cfRule>
  </conditionalFormatting>
  <conditionalFormatting sqref="CU1:CU1048576">
    <cfRule type="expression" dxfId="53" priority="2">
      <formula>AND(ROW($CU1)&gt;14,$A1&lt;&gt;"",UPPER($CT1)&lt;&gt;"CUSTOM")</formula>
    </cfRule>
  </conditionalFormatting>
  <conditionalFormatting sqref="CI1:CI1048576">
    <cfRule type="expression" dxfId="52" priority="1">
      <formula>AND(ROW($CF1)&gt;14,$A1&lt;&gt;"",UPPER($CH1)&lt;&gt;"CUSTOM")</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9</vt:i4>
      </vt:variant>
    </vt:vector>
  </HeadingPairs>
  <TitlesOfParts>
    <vt:vector size="30" baseType="lpstr">
      <vt:lpstr>Home</vt:lpstr>
      <vt:lpstr>Spectrum</vt:lpstr>
      <vt:lpstr>Prioritization</vt:lpstr>
      <vt:lpstr>Cascade</vt:lpstr>
      <vt:lpstr>PMTCT</vt:lpstr>
      <vt:lpstr>EID</vt:lpstr>
      <vt:lpstr>TB</vt:lpstr>
      <vt:lpstr>VMMC</vt:lpstr>
      <vt:lpstr>KP</vt:lpstr>
      <vt:lpstr>HTS</vt:lpstr>
      <vt:lpstr>CXCA</vt:lpstr>
      <vt:lpstr>HTS_RECENT</vt:lpstr>
      <vt:lpstr>TX_TB_PREV</vt:lpstr>
      <vt:lpstr>PP</vt:lpstr>
      <vt:lpstr>OVC</vt:lpstr>
      <vt:lpstr>GEND</vt:lpstr>
      <vt:lpstr>AGYW</vt:lpstr>
      <vt:lpstr>PrEP</vt:lpstr>
      <vt:lpstr>KP_MAT</vt:lpstr>
      <vt:lpstr>KP Validation</vt:lpstr>
      <vt:lpstr>PSNUxIM</vt:lpstr>
      <vt:lpstr>HTS_RECENT!HTS_TST.Emergency</vt:lpstr>
      <vt:lpstr>HTS_RECENT!HTS_TST.Inpat</vt:lpstr>
      <vt:lpstr>HTS_RECENT!HTS_TST.MobileMod</vt:lpstr>
      <vt:lpstr>HTS_RECENT!HTS_TST.Other</vt:lpstr>
      <vt:lpstr>HTS_RECENT!HTS_TST.OtherMod</vt:lpstr>
      <vt:lpstr>HTS_RECENT!HTS_TST.STIClinic</vt:lpstr>
      <vt:lpstr>HTS_RECENT!HTS_TST.VCT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2022-01-21T00:47:28Z</dcterms:modified>
</cp:coreProperties>
</file>